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heme/theme1.xml" ContentType="application/vnd.openxmlformats-officedocument.theme+xml"/>
  <Override PartName="/xl/drawings/drawing2.xml" ContentType="application/vnd.openxmlformats-officedocument.drawing+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externalLinks/externalLink167.xml" ContentType="application/vnd.openxmlformats-officedocument.spreadsheetml.externalLink+xml"/>
  <Override PartName="/xl/externalLinks/externalLink168.xml" ContentType="application/vnd.openxmlformats-officedocument.spreadsheetml.externalLink+xml"/>
  <Override PartName="/xl/externalLinks/externalLink169.xml" ContentType="application/vnd.openxmlformats-officedocument.spreadsheetml.externalLink+xml"/>
  <Override PartName="/xl/externalLinks/externalLink170.xml" ContentType="application/vnd.openxmlformats-officedocument.spreadsheetml.externalLink+xml"/>
  <Override PartName="/xl/externalLinks/externalLink171.xml" ContentType="application/vnd.openxmlformats-officedocument.spreadsheetml.externalLink+xml"/>
  <Override PartName="/xl/externalLinks/externalLink172.xml" ContentType="application/vnd.openxmlformats-officedocument.spreadsheetml.externalLink+xml"/>
  <Override PartName="/xl/externalLinks/externalLink173.xml" ContentType="application/vnd.openxmlformats-officedocument.spreadsheetml.externalLink+xml"/>
  <Override PartName="/xl/externalLinks/externalLink174.xml" ContentType="application/vnd.openxmlformats-officedocument.spreadsheetml.externalLink+xml"/>
  <Override PartName="/xl/externalLinks/externalLink175.xml" ContentType="application/vnd.openxmlformats-officedocument.spreadsheetml.externalLink+xml"/>
  <Override PartName="/xl/externalLinks/externalLink176.xml" ContentType="application/vnd.openxmlformats-officedocument.spreadsheetml.externalLink+xml"/>
  <Override PartName="/xl/externalLinks/externalLink177.xml" ContentType="application/vnd.openxmlformats-officedocument.spreadsheetml.externalLink+xml"/>
  <Override PartName="/xl/externalLinks/externalLink178.xml" ContentType="application/vnd.openxmlformats-officedocument.spreadsheetml.externalLink+xml"/>
  <Override PartName="/xl/externalLinks/externalLink179.xml" ContentType="application/vnd.openxmlformats-officedocument.spreadsheetml.externalLink+xml"/>
  <Override PartName="/xl/externalLinks/externalLink180.xml" ContentType="application/vnd.openxmlformats-officedocument.spreadsheetml.externalLink+xml"/>
  <Override PartName="/xl/externalLinks/externalLink181.xml" ContentType="application/vnd.openxmlformats-officedocument.spreadsheetml.externalLink+xml"/>
  <Override PartName="/xl/externalLinks/externalLink182.xml" ContentType="application/vnd.openxmlformats-officedocument.spreadsheetml.externalLink+xml"/>
  <Override PartName="/xl/externalLinks/externalLink183.xml" ContentType="application/vnd.openxmlformats-officedocument.spreadsheetml.externalLink+xml"/>
  <Override PartName="/xl/externalLinks/externalLink184.xml" ContentType="application/vnd.openxmlformats-officedocument.spreadsheetml.externalLink+xml"/>
  <Override PartName="/xl/externalLinks/externalLink185.xml" ContentType="application/vnd.openxmlformats-officedocument.spreadsheetml.externalLink+xml"/>
  <Override PartName="/xl/externalLinks/externalLink186.xml" ContentType="application/vnd.openxmlformats-officedocument.spreadsheetml.externalLink+xml"/>
  <Override PartName="/xl/externalLinks/externalLink187.xml" ContentType="application/vnd.openxmlformats-officedocument.spreadsheetml.externalLink+xml"/>
  <Override PartName="/xl/externalLinks/externalLink188.xml" ContentType="application/vnd.openxmlformats-officedocument.spreadsheetml.externalLink+xml"/>
  <Override PartName="/xl/externalLinks/externalLink189.xml" ContentType="application/vnd.openxmlformats-officedocument.spreadsheetml.externalLink+xml"/>
  <Override PartName="/xl/externalLinks/externalLink190.xml" ContentType="application/vnd.openxmlformats-officedocument.spreadsheetml.externalLink+xml"/>
  <Override PartName="/xl/externalLinks/externalLink191.xml" ContentType="application/vnd.openxmlformats-officedocument.spreadsheetml.externalLink+xml"/>
  <Override PartName="/xl/externalLinks/externalLink192.xml" ContentType="application/vnd.openxmlformats-officedocument.spreadsheetml.externalLink+xml"/>
  <Override PartName="/xl/externalLinks/externalLink193.xml" ContentType="application/vnd.openxmlformats-officedocument.spreadsheetml.externalLink+xml"/>
  <Override PartName="/xl/externalLinks/externalLink194.xml" ContentType="application/vnd.openxmlformats-officedocument.spreadsheetml.externalLink+xml"/>
  <Override PartName="/xl/externalLinks/externalLink195.xml" ContentType="application/vnd.openxmlformats-officedocument.spreadsheetml.externalLink+xml"/>
  <Override PartName="/xl/externalLinks/externalLink196.xml" ContentType="application/vnd.openxmlformats-officedocument.spreadsheetml.externalLink+xml"/>
  <Override PartName="/xl/externalLinks/externalLink197.xml" ContentType="application/vnd.openxmlformats-officedocument.spreadsheetml.externalLink+xml"/>
  <Override PartName="/xl/externalLinks/externalLink198.xml" ContentType="application/vnd.openxmlformats-officedocument.spreadsheetml.externalLink+xml"/>
  <Override PartName="/xl/externalLinks/externalLink199.xml" ContentType="application/vnd.openxmlformats-officedocument.spreadsheetml.externalLink+xml"/>
  <Override PartName="/xl/externalLinks/externalLink200.xml" ContentType="application/vnd.openxmlformats-officedocument.spreadsheetml.externalLink+xml"/>
  <Override PartName="/xl/externalLinks/externalLink201.xml" ContentType="application/vnd.openxmlformats-officedocument.spreadsheetml.externalLink+xml"/>
  <Override PartName="/xl/externalLinks/externalLink202.xml" ContentType="application/vnd.openxmlformats-officedocument.spreadsheetml.externalLink+xml"/>
  <Override PartName="/xl/externalLinks/externalLink203.xml" ContentType="application/vnd.openxmlformats-officedocument.spreadsheetml.externalLink+xml"/>
  <Override PartName="/xl/externalLinks/externalLink204.xml" ContentType="application/vnd.openxmlformats-officedocument.spreadsheetml.externalLink+xml"/>
  <Override PartName="/xl/externalLinks/externalLink205.xml" ContentType="application/vnd.openxmlformats-officedocument.spreadsheetml.externalLink+xml"/>
  <Override PartName="/xl/externalLinks/externalLink206.xml" ContentType="application/vnd.openxmlformats-officedocument.spreadsheetml.externalLink+xml"/>
  <Override PartName="/xl/externalLinks/externalLink207.xml" ContentType="application/vnd.openxmlformats-officedocument.spreadsheetml.externalLink+xml"/>
  <Override PartName="/xl/externalLinks/externalLink208.xml" ContentType="application/vnd.openxmlformats-officedocument.spreadsheetml.externalLink+xml"/>
  <Override PartName="/xl/externalLinks/externalLink209.xml" ContentType="application/vnd.openxmlformats-officedocument.spreadsheetml.externalLink+xml"/>
  <Override PartName="/xl/externalLinks/externalLink210.xml" ContentType="application/vnd.openxmlformats-officedocument.spreadsheetml.externalLink+xml"/>
  <Override PartName="/xl/externalLinks/externalLink211.xml" ContentType="application/vnd.openxmlformats-officedocument.spreadsheetml.externalLink+xml"/>
  <Override PartName="/xl/externalLinks/externalLink212.xml" ContentType="application/vnd.openxmlformats-officedocument.spreadsheetml.externalLink+xml"/>
  <Override PartName="/xl/externalLinks/externalLink213.xml" ContentType="application/vnd.openxmlformats-officedocument.spreadsheetml.externalLink+xml"/>
  <Override PartName="/xl/externalLinks/externalLink214.xml" ContentType="application/vnd.openxmlformats-officedocument.spreadsheetml.externalLink+xml"/>
  <Override PartName="/xl/externalLinks/externalLink215.xml" ContentType="application/vnd.openxmlformats-officedocument.spreadsheetml.externalLink+xml"/>
  <Override PartName="/xl/externalLinks/externalLink216.xml" ContentType="application/vnd.openxmlformats-officedocument.spreadsheetml.externalLink+xml"/>
  <Override PartName="/xl/externalLinks/externalLink217.xml" ContentType="application/vnd.openxmlformats-officedocument.spreadsheetml.externalLink+xml"/>
  <Override PartName="/xl/externalLinks/externalLink218.xml" ContentType="application/vnd.openxmlformats-officedocument.spreadsheetml.externalLink+xml"/>
  <Override PartName="/xl/externalLinks/externalLink219.xml" ContentType="application/vnd.openxmlformats-officedocument.spreadsheetml.externalLink+xml"/>
  <Override PartName="/xl/externalLinks/externalLink220.xml" ContentType="application/vnd.openxmlformats-officedocument.spreadsheetml.externalLink+xml"/>
  <Override PartName="/xl/externalLinks/externalLink221.xml" ContentType="application/vnd.openxmlformats-officedocument.spreadsheetml.externalLink+xml"/>
  <Override PartName="/xl/externalLinks/externalLink222.xml" ContentType="application/vnd.openxmlformats-officedocument.spreadsheetml.externalLink+xml"/>
  <Override PartName="/xl/externalLinks/externalLink223.xml" ContentType="application/vnd.openxmlformats-officedocument.spreadsheetml.externalLink+xml"/>
  <Override PartName="/xl/externalLinks/externalLink224.xml" ContentType="application/vnd.openxmlformats-officedocument.spreadsheetml.externalLink+xml"/>
  <Override PartName="/xl/externalLinks/externalLink225.xml" ContentType="application/vnd.openxmlformats-officedocument.spreadsheetml.externalLink+xml"/>
  <Override PartName="/xl/externalLinks/externalLink226.xml" ContentType="application/vnd.openxmlformats-officedocument.spreadsheetml.externalLink+xml"/>
  <Override PartName="/xl/externalLinks/externalLink227.xml" ContentType="application/vnd.openxmlformats-officedocument.spreadsheetml.externalLink+xml"/>
  <Override PartName="/xl/externalLinks/externalLink228.xml" ContentType="application/vnd.openxmlformats-officedocument.spreadsheetml.externalLink+xml"/>
  <Override PartName="/xl/externalLinks/externalLink229.xml" ContentType="application/vnd.openxmlformats-officedocument.spreadsheetml.externalLink+xml"/>
  <Override PartName="/xl/externalLinks/externalLink230.xml" ContentType="application/vnd.openxmlformats-officedocument.spreadsheetml.externalLink+xml"/>
  <Override PartName="/xl/externalLinks/externalLink231.xml" ContentType="application/vnd.openxmlformats-officedocument.spreadsheetml.externalLink+xml"/>
  <Override PartName="/xl/externalLinks/externalLink232.xml" ContentType="application/vnd.openxmlformats-officedocument.spreadsheetml.externalLink+xml"/>
  <Override PartName="/xl/externalLinks/externalLink233.xml" ContentType="application/vnd.openxmlformats-officedocument.spreadsheetml.externalLink+xml"/>
  <Override PartName="/xl/externalLinks/externalLink234.xml" ContentType="application/vnd.openxmlformats-officedocument.spreadsheetml.externalLink+xml"/>
  <Override PartName="/xl/externalLinks/externalLink235.xml" ContentType="application/vnd.openxmlformats-officedocument.spreadsheetml.externalLink+xml"/>
  <Override PartName="/xl/externalLinks/externalLink236.xml" ContentType="application/vnd.openxmlformats-officedocument.spreadsheetml.externalLink+xml"/>
  <Override PartName="/xl/externalLinks/externalLink237.xml" ContentType="application/vnd.openxmlformats-officedocument.spreadsheetml.externalLink+xml"/>
  <Override PartName="/xl/externalLinks/externalLink238.xml" ContentType="application/vnd.openxmlformats-officedocument.spreadsheetml.externalLink+xml"/>
  <Override PartName="/xl/externalLinks/externalLink239.xml" ContentType="application/vnd.openxmlformats-officedocument.spreadsheetml.externalLink+xml"/>
  <Override PartName="/xl/externalLinks/externalLink240.xml" ContentType="application/vnd.openxmlformats-officedocument.spreadsheetml.externalLink+xml"/>
  <Override PartName="/xl/externalLinks/externalLink241.xml" ContentType="application/vnd.openxmlformats-officedocument.spreadsheetml.externalLink+xml"/>
  <Override PartName="/xl/externalLinks/externalLink242.xml" ContentType="application/vnd.openxmlformats-officedocument.spreadsheetml.externalLink+xml"/>
  <Override PartName="/xl/externalLinks/externalLink243.xml" ContentType="application/vnd.openxmlformats-officedocument.spreadsheetml.externalLink+xml"/>
  <Override PartName="/xl/externalLinks/externalLink244.xml" ContentType="application/vnd.openxmlformats-officedocument.spreadsheetml.externalLink+xml"/>
  <Override PartName="/xl/externalLinks/externalLink245.xml" ContentType="application/vnd.openxmlformats-officedocument.spreadsheetml.externalLink+xml"/>
  <Override PartName="/xl/externalLinks/externalLink246.xml" ContentType="application/vnd.openxmlformats-officedocument.spreadsheetml.externalLink+xml"/>
  <Override PartName="/xl/externalLinks/externalLink247.xml" ContentType="application/vnd.openxmlformats-officedocument.spreadsheetml.externalLink+xml"/>
  <Override PartName="/xl/externalLinks/externalLink248.xml" ContentType="application/vnd.openxmlformats-officedocument.spreadsheetml.externalLink+xml"/>
  <Override PartName="/xl/externalLinks/externalLink249.xml" ContentType="application/vnd.openxmlformats-officedocument.spreadsheetml.externalLink+xml"/>
  <Override PartName="/xl/externalLinks/externalLink250.xml" ContentType="application/vnd.openxmlformats-officedocument.spreadsheetml.externalLink+xml"/>
  <Override PartName="/xl/externalLinks/externalLink251.xml" ContentType="application/vnd.openxmlformats-officedocument.spreadsheetml.externalLink+xml"/>
  <Override PartName="/xl/externalLinks/externalLink252.xml" ContentType="application/vnd.openxmlformats-officedocument.spreadsheetml.externalLink+xml"/>
  <Override PartName="/xl/externalLinks/externalLink253.xml" ContentType="application/vnd.openxmlformats-officedocument.spreadsheetml.externalLink+xml"/>
  <Override PartName="/xl/externalLinks/externalLink254.xml" ContentType="application/vnd.openxmlformats-officedocument.spreadsheetml.externalLink+xml"/>
  <Override PartName="/xl/externalLinks/externalLink255.xml" ContentType="application/vnd.openxmlformats-officedocument.spreadsheetml.externalLink+xml"/>
  <Override PartName="/xl/externalLinks/externalLink256.xml" ContentType="application/vnd.openxmlformats-officedocument.spreadsheetml.externalLink+xml"/>
  <Override PartName="/xl/externalLinks/externalLink257.xml" ContentType="application/vnd.openxmlformats-officedocument.spreadsheetml.externalLink+xml"/>
  <Override PartName="/xl/externalLinks/externalLink258.xml" ContentType="application/vnd.openxmlformats-officedocument.spreadsheetml.externalLink+xml"/>
  <Override PartName="/xl/externalLinks/externalLink259.xml" ContentType="application/vnd.openxmlformats-officedocument.spreadsheetml.externalLink+xml"/>
  <Override PartName="/xl/externalLinks/externalLink260.xml" ContentType="application/vnd.openxmlformats-officedocument.spreadsheetml.externalLink+xml"/>
  <Override PartName="/xl/externalLinks/externalLink261.xml" ContentType="application/vnd.openxmlformats-officedocument.spreadsheetml.externalLink+xml"/>
  <Override PartName="/xl/externalLinks/externalLink262.xml" ContentType="application/vnd.openxmlformats-officedocument.spreadsheetml.externalLink+xml"/>
  <Override PartName="/xl/externalLinks/externalLink263.xml" ContentType="application/vnd.openxmlformats-officedocument.spreadsheetml.externalLink+xml"/>
  <Override PartName="/xl/externalLinks/externalLink264.xml" ContentType="application/vnd.openxmlformats-officedocument.spreadsheetml.externalLink+xml"/>
  <Override PartName="/xl/externalLinks/externalLink265.xml" ContentType="application/vnd.openxmlformats-officedocument.spreadsheetml.externalLink+xml"/>
  <Override PartName="/xl/externalLinks/externalLink266.xml" ContentType="application/vnd.openxmlformats-officedocument.spreadsheetml.externalLink+xml"/>
  <Override PartName="/xl/externalLinks/externalLink267.xml" ContentType="application/vnd.openxmlformats-officedocument.spreadsheetml.externalLink+xml"/>
  <Override PartName="/xl/externalLinks/externalLink268.xml" ContentType="application/vnd.openxmlformats-officedocument.spreadsheetml.externalLink+xml"/>
  <Override PartName="/xl/externalLinks/externalLink269.xml" ContentType="application/vnd.openxmlformats-officedocument.spreadsheetml.externalLink+xml"/>
  <Override PartName="/xl/externalLinks/externalLink270.xml" ContentType="application/vnd.openxmlformats-officedocument.spreadsheetml.externalLink+xml"/>
  <Override PartName="/xl/externalLinks/externalLink271.xml" ContentType="application/vnd.openxmlformats-officedocument.spreadsheetml.externalLink+xml"/>
  <Override PartName="/xl/externalLinks/externalLink272.xml" ContentType="application/vnd.openxmlformats-officedocument.spreadsheetml.externalLink+xml"/>
  <Override PartName="/xl/externalLinks/externalLink273.xml" ContentType="application/vnd.openxmlformats-officedocument.spreadsheetml.externalLink+xml"/>
  <Override PartName="/xl/externalLinks/externalLink274.xml" ContentType="application/vnd.openxmlformats-officedocument.spreadsheetml.externalLink+xml"/>
  <Override PartName="/xl/externalLinks/externalLink275.xml" ContentType="application/vnd.openxmlformats-officedocument.spreadsheetml.externalLink+xml"/>
  <Override PartName="/xl/externalLinks/externalLink276.xml" ContentType="application/vnd.openxmlformats-officedocument.spreadsheetml.externalLink+xml"/>
  <Override PartName="/xl/externalLinks/externalLink277.xml" ContentType="application/vnd.openxmlformats-officedocument.spreadsheetml.externalLink+xml"/>
  <Override PartName="/xl/externalLinks/externalLink278.xml" ContentType="application/vnd.openxmlformats-officedocument.spreadsheetml.externalLink+xml"/>
  <Override PartName="/xl/externalLinks/externalLink279.xml" ContentType="application/vnd.openxmlformats-officedocument.spreadsheetml.externalLink+xml"/>
  <Override PartName="/xl/externalLinks/externalLink280.xml" ContentType="application/vnd.openxmlformats-officedocument.spreadsheetml.externalLink+xml"/>
  <Override PartName="/xl/externalLinks/externalLink281.xml" ContentType="application/vnd.openxmlformats-officedocument.spreadsheetml.externalLink+xml"/>
  <Override PartName="/xl/externalLinks/externalLink282.xml" ContentType="application/vnd.openxmlformats-officedocument.spreadsheetml.externalLink+xml"/>
  <Override PartName="/xl/externalLinks/externalLink283.xml" ContentType="application/vnd.openxmlformats-officedocument.spreadsheetml.externalLink+xml"/>
  <Override PartName="/xl/externalLinks/externalLink284.xml" ContentType="application/vnd.openxmlformats-officedocument.spreadsheetml.externalLink+xml"/>
  <Override PartName="/xl/externalLinks/externalLink285.xml" ContentType="application/vnd.openxmlformats-officedocument.spreadsheetml.externalLink+xml"/>
  <Override PartName="/xl/externalLinks/externalLink286.xml" ContentType="application/vnd.openxmlformats-officedocument.spreadsheetml.externalLink+xml"/>
  <Override PartName="/xl/externalLinks/externalLink287.xml" ContentType="application/vnd.openxmlformats-officedocument.spreadsheetml.externalLink+xml"/>
  <Override PartName="/xl/externalLinks/externalLink288.xml" ContentType="application/vnd.openxmlformats-officedocument.spreadsheetml.externalLink+xml"/>
  <Override PartName="/xl/externalLinks/externalLink289.xml" ContentType="application/vnd.openxmlformats-officedocument.spreadsheetml.externalLink+xml"/>
  <Override PartName="/xl/externalLinks/externalLink290.xml" ContentType="application/vnd.openxmlformats-officedocument.spreadsheetml.externalLink+xml"/>
  <Override PartName="/xl/externalLinks/externalLink291.xml" ContentType="application/vnd.openxmlformats-officedocument.spreadsheetml.externalLink+xml"/>
  <Override PartName="/xl/externalLinks/externalLink292.xml" ContentType="application/vnd.openxmlformats-officedocument.spreadsheetml.externalLink+xml"/>
  <Override PartName="/xl/externalLinks/externalLink293.xml" ContentType="application/vnd.openxmlformats-officedocument.spreadsheetml.externalLink+xml"/>
  <Override PartName="/xl/externalLinks/externalLink294.xml" ContentType="application/vnd.openxmlformats-officedocument.spreadsheetml.externalLink+xml"/>
  <Override PartName="/xl/externalLinks/externalLink295.xml" ContentType="application/vnd.openxmlformats-officedocument.spreadsheetml.externalLink+xml"/>
  <Override PartName="/xl/externalLinks/externalLink296.xml" ContentType="application/vnd.openxmlformats-officedocument.spreadsheetml.externalLink+xml"/>
  <Override PartName="/xl/externalLinks/externalLink297.xml" ContentType="application/vnd.openxmlformats-officedocument.spreadsheetml.externalLink+xml"/>
  <Override PartName="/xl/externalLinks/externalLink298.xml" ContentType="application/vnd.openxmlformats-officedocument.spreadsheetml.externalLink+xml"/>
  <Override PartName="/xl/externalLinks/externalLink299.xml" ContentType="application/vnd.openxmlformats-officedocument.spreadsheetml.externalLink+xml"/>
  <Override PartName="/xl/externalLinks/externalLink300.xml" ContentType="application/vnd.openxmlformats-officedocument.spreadsheetml.externalLink+xml"/>
  <Override PartName="/xl/externalLinks/externalLink301.xml" ContentType="application/vnd.openxmlformats-officedocument.spreadsheetml.externalLink+xml"/>
  <Override PartName="/xl/externalLinks/externalLink302.xml" ContentType="application/vnd.openxmlformats-officedocument.spreadsheetml.externalLink+xml"/>
  <Override PartName="/xl/externalLinks/externalLink303.xml" ContentType="application/vnd.openxmlformats-officedocument.spreadsheetml.externalLink+xml"/>
  <Override PartName="/xl/externalLinks/externalLink304.xml" ContentType="application/vnd.openxmlformats-officedocument.spreadsheetml.externalLink+xml"/>
  <Override PartName="/xl/externalLinks/externalLink305.xml" ContentType="application/vnd.openxmlformats-officedocument.spreadsheetml.externalLink+xml"/>
  <Override PartName="/xl/externalLinks/externalLink306.xml" ContentType="application/vnd.openxmlformats-officedocument.spreadsheetml.externalLink+xml"/>
  <Override PartName="/xl/externalLinks/externalLink307.xml" ContentType="application/vnd.openxmlformats-officedocument.spreadsheetml.externalLink+xml"/>
  <Override PartName="/xl/externalLinks/externalLink308.xml" ContentType="application/vnd.openxmlformats-officedocument.spreadsheetml.externalLink+xml"/>
  <Override PartName="/xl/externalLinks/externalLink309.xml" ContentType="application/vnd.openxmlformats-officedocument.spreadsheetml.externalLink+xml"/>
  <Override PartName="/xl/externalLinks/externalLink310.xml" ContentType="application/vnd.openxmlformats-officedocument.spreadsheetml.externalLink+xml"/>
  <Override PartName="/xl/externalLinks/externalLink311.xml" ContentType="application/vnd.openxmlformats-officedocument.spreadsheetml.externalLink+xml"/>
  <Override PartName="/xl/externalLinks/externalLink312.xml" ContentType="application/vnd.openxmlformats-officedocument.spreadsheetml.externalLink+xml"/>
  <Override PartName="/xl/externalLinks/externalLink313.xml" ContentType="application/vnd.openxmlformats-officedocument.spreadsheetml.externalLink+xml"/>
  <Override PartName="/xl/externalLinks/externalLink314.xml" ContentType="application/vnd.openxmlformats-officedocument.spreadsheetml.externalLink+xml"/>
  <Override PartName="/xl/externalLinks/externalLink315.xml" ContentType="application/vnd.openxmlformats-officedocument.spreadsheetml.externalLink+xml"/>
  <Override PartName="/xl/externalLinks/externalLink316.xml" ContentType="application/vnd.openxmlformats-officedocument.spreadsheetml.externalLink+xml"/>
  <Override PartName="/xl/externalLinks/externalLink317.xml" ContentType="application/vnd.openxmlformats-officedocument.spreadsheetml.externalLink+xml"/>
  <Override PartName="/xl/externalLinks/externalLink318.xml" ContentType="application/vnd.openxmlformats-officedocument.spreadsheetml.externalLink+xml"/>
  <Override PartName="/xl/externalLinks/externalLink319.xml" ContentType="application/vnd.openxmlformats-officedocument.spreadsheetml.externalLink+xml"/>
  <Override PartName="/xl/externalLinks/externalLink320.xml" ContentType="application/vnd.openxmlformats-officedocument.spreadsheetml.externalLink+xml"/>
  <Override PartName="/xl/externalLinks/externalLink321.xml" ContentType="application/vnd.openxmlformats-officedocument.spreadsheetml.externalLink+xml"/>
  <Override PartName="/xl/externalLinks/externalLink322.xml" ContentType="application/vnd.openxmlformats-officedocument.spreadsheetml.externalLink+xml"/>
  <Override PartName="/xl/externalLinks/externalLink323.xml" ContentType="application/vnd.openxmlformats-officedocument.spreadsheetml.externalLink+xml"/>
  <Override PartName="/xl/externalLinks/externalLink324.xml" ContentType="application/vnd.openxmlformats-officedocument.spreadsheetml.externalLink+xml"/>
  <Override PartName="/xl/externalLinks/externalLink325.xml" ContentType="application/vnd.openxmlformats-officedocument.spreadsheetml.externalLink+xml"/>
  <Override PartName="/xl/externalLinks/externalLink326.xml" ContentType="application/vnd.openxmlformats-officedocument.spreadsheetml.externalLink+xml"/>
  <Override PartName="/xl/externalLinks/externalLink327.xml" ContentType="application/vnd.openxmlformats-officedocument.spreadsheetml.externalLink+xml"/>
  <Override PartName="/xl/externalLinks/externalLink328.xml" ContentType="application/vnd.openxmlformats-officedocument.spreadsheetml.externalLink+xml"/>
  <Override PartName="/xl/externalLinks/externalLink329.xml" ContentType="application/vnd.openxmlformats-officedocument.spreadsheetml.externalLink+xml"/>
  <Override PartName="/xl/externalLinks/externalLink330.xml" ContentType="application/vnd.openxmlformats-officedocument.spreadsheetml.externalLink+xml"/>
  <Override PartName="/xl/externalLinks/externalLink331.xml" ContentType="application/vnd.openxmlformats-officedocument.spreadsheetml.externalLink+xml"/>
  <Override PartName="/xl/externalLinks/externalLink332.xml" ContentType="application/vnd.openxmlformats-officedocument.spreadsheetml.externalLink+xml"/>
  <Override PartName="/xl/externalLinks/externalLink333.xml" ContentType="application/vnd.openxmlformats-officedocument.spreadsheetml.externalLink+xml"/>
  <Override PartName="/xl/externalLinks/externalLink334.xml" ContentType="application/vnd.openxmlformats-officedocument.spreadsheetml.externalLink+xml"/>
  <Override PartName="/xl/externalLinks/externalLink335.xml" ContentType="application/vnd.openxmlformats-officedocument.spreadsheetml.externalLink+xml"/>
  <Override PartName="/xl/externalLinks/externalLink336.xml" ContentType="application/vnd.openxmlformats-officedocument.spreadsheetml.externalLink+xml"/>
  <Override PartName="/xl/externalLinks/externalLink337.xml" ContentType="application/vnd.openxmlformats-officedocument.spreadsheetml.externalLink+xml"/>
  <Override PartName="/xl/externalLinks/externalLink338.xml" ContentType="application/vnd.openxmlformats-officedocument.spreadsheetml.externalLink+xml"/>
  <Override PartName="/xl/externalLinks/externalLink339.xml" ContentType="application/vnd.openxmlformats-officedocument.spreadsheetml.externalLink+xml"/>
  <Override PartName="/xl/externalLinks/externalLink340.xml" ContentType="application/vnd.openxmlformats-officedocument.spreadsheetml.externalLink+xml"/>
  <Override PartName="/xl/externalLinks/externalLink341.xml" ContentType="application/vnd.openxmlformats-officedocument.spreadsheetml.externalLink+xml"/>
  <Override PartName="/xl/externalLinks/externalLink342.xml" ContentType="application/vnd.openxmlformats-officedocument.spreadsheetml.externalLink+xml"/>
  <Override PartName="/xl/externalLinks/externalLink343.xml" ContentType="application/vnd.openxmlformats-officedocument.spreadsheetml.externalLink+xml"/>
  <Override PartName="/xl/externalLinks/externalLink344.xml" ContentType="application/vnd.openxmlformats-officedocument.spreadsheetml.externalLink+xml"/>
  <Override PartName="/xl/externalLinks/externalLink345.xml" ContentType="application/vnd.openxmlformats-officedocument.spreadsheetml.externalLink+xml"/>
  <Override PartName="/xl/externalLinks/externalLink346.xml" ContentType="application/vnd.openxmlformats-officedocument.spreadsheetml.externalLink+xml"/>
  <Override PartName="/xl/externalLinks/externalLink347.xml" ContentType="application/vnd.openxmlformats-officedocument.spreadsheetml.externalLink+xml"/>
  <Override PartName="/xl/externalLinks/externalLink348.xml" ContentType="application/vnd.openxmlformats-officedocument.spreadsheetml.externalLink+xml"/>
  <Override PartName="/xl/externalLinks/externalLink349.xml" ContentType="application/vnd.openxmlformats-officedocument.spreadsheetml.externalLink+xml"/>
  <Override PartName="/xl/externalLinks/externalLink350.xml" ContentType="application/vnd.openxmlformats-officedocument.spreadsheetml.externalLink+xml"/>
  <Override PartName="/xl/externalLinks/externalLink351.xml" ContentType="application/vnd.openxmlformats-officedocument.spreadsheetml.externalLink+xml"/>
  <Override PartName="/xl/externalLinks/externalLink352.xml" ContentType="application/vnd.openxmlformats-officedocument.spreadsheetml.externalLink+xml"/>
  <Override PartName="/xl/externalLinks/externalLink353.xml" ContentType="application/vnd.openxmlformats-officedocument.spreadsheetml.externalLink+xml"/>
  <Override PartName="/xl/externalLinks/externalLink354.xml" ContentType="application/vnd.openxmlformats-officedocument.spreadsheetml.externalLink+xml"/>
  <Override PartName="/xl/externalLinks/externalLink355.xml" ContentType="application/vnd.openxmlformats-officedocument.spreadsheetml.externalLink+xml"/>
  <Override PartName="/xl/externalLinks/externalLink356.xml" ContentType="application/vnd.openxmlformats-officedocument.spreadsheetml.externalLink+xml"/>
  <Override PartName="/xl/externalLinks/externalLink357.xml" ContentType="application/vnd.openxmlformats-officedocument.spreadsheetml.externalLink+xml"/>
  <Override PartName="/xl/externalLinks/externalLink358.xml" ContentType="application/vnd.openxmlformats-officedocument.spreadsheetml.externalLink+xml"/>
  <Override PartName="/xl/externalLinks/externalLink359.xml" ContentType="application/vnd.openxmlformats-officedocument.spreadsheetml.externalLink+xml"/>
  <Override PartName="/xl/externalLinks/externalLink360.xml" ContentType="application/vnd.openxmlformats-officedocument.spreadsheetml.externalLink+xml"/>
  <Override PartName="/xl/externalLinks/externalLink361.xml" ContentType="application/vnd.openxmlformats-officedocument.spreadsheetml.externalLink+xml"/>
  <Override PartName="/xl/externalLinks/externalLink362.xml" ContentType="application/vnd.openxmlformats-officedocument.spreadsheetml.externalLink+xml"/>
  <Override PartName="/xl/externalLinks/externalLink363.xml" ContentType="application/vnd.openxmlformats-officedocument.spreadsheetml.externalLink+xml"/>
  <Override PartName="/xl/externalLinks/externalLink364.xml" ContentType="application/vnd.openxmlformats-officedocument.spreadsheetml.externalLink+xml"/>
  <Override PartName="/xl/externalLinks/externalLink365.xml" ContentType="application/vnd.openxmlformats-officedocument.spreadsheetml.externalLink+xml"/>
  <Override PartName="/xl/externalLinks/externalLink366.xml" ContentType="application/vnd.openxmlformats-officedocument.spreadsheetml.externalLink+xml"/>
  <Override PartName="/xl/externalLinks/externalLink367.xml" ContentType="application/vnd.openxmlformats-officedocument.spreadsheetml.externalLink+xml"/>
  <Override PartName="/xl/externalLinks/externalLink368.xml" ContentType="application/vnd.openxmlformats-officedocument.spreadsheetml.externalLink+xml"/>
  <Override PartName="/xl/externalLinks/externalLink369.xml" ContentType="application/vnd.openxmlformats-officedocument.spreadsheetml.externalLink+xml"/>
  <Override PartName="/xl/externalLinks/externalLink370.xml" ContentType="application/vnd.openxmlformats-officedocument.spreadsheetml.externalLink+xml"/>
  <Override PartName="/xl/externalLinks/externalLink371.xml" ContentType="application/vnd.openxmlformats-officedocument.spreadsheetml.externalLink+xml"/>
  <Override PartName="/xl/externalLinks/externalLink372.xml" ContentType="application/vnd.openxmlformats-officedocument.spreadsheetml.externalLink+xml"/>
  <Override PartName="/xl/externalLinks/externalLink373.xml" ContentType="application/vnd.openxmlformats-officedocument.spreadsheetml.externalLink+xml"/>
  <Override PartName="/xl/externalLinks/externalLink374.xml" ContentType="application/vnd.openxmlformats-officedocument.spreadsheetml.externalLink+xml"/>
  <Override PartName="/xl/externalLinks/externalLink375.xml" ContentType="application/vnd.openxmlformats-officedocument.spreadsheetml.externalLink+xml"/>
  <Override PartName="/xl/externalLinks/externalLink376.xml" ContentType="application/vnd.openxmlformats-officedocument.spreadsheetml.externalLink+xml"/>
  <Override PartName="/xl/externalLinks/externalLink377.xml" ContentType="application/vnd.openxmlformats-officedocument.spreadsheetml.externalLink+xml"/>
  <Override PartName="/xl/externalLinks/externalLink378.xml" ContentType="application/vnd.openxmlformats-officedocument.spreadsheetml.externalLink+xml"/>
  <Override PartName="/xl/externalLinks/externalLink379.xml" ContentType="application/vnd.openxmlformats-officedocument.spreadsheetml.externalLink+xml"/>
  <Override PartName="/xl/externalLinks/externalLink380.xml" ContentType="application/vnd.openxmlformats-officedocument.spreadsheetml.externalLink+xml"/>
  <Override PartName="/xl/externalLinks/externalLink381.xml" ContentType="application/vnd.openxmlformats-officedocument.spreadsheetml.externalLink+xml"/>
  <Override PartName="/xl/externalLinks/externalLink382.xml" ContentType="application/vnd.openxmlformats-officedocument.spreadsheetml.externalLink+xml"/>
  <Override PartName="/xl/externalLinks/externalLink383.xml" ContentType="application/vnd.openxmlformats-officedocument.spreadsheetml.externalLink+xml"/>
  <Override PartName="/xl/externalLinks/externalLink384.xml" ContentType="application/vnd.openxmlformats-officedocument.spreadsheetml.externalLink+xml"/>
  <Override PartName="/xl/externalLinks/externalLink385.xml" ContentType="application/vnd.openxmlformats-officedocument.spreadsheetml.externalLink+xml"/>
  <Override PartName="/xl/externalLinks/externalLink386.xml" ContentType="application/vnd.openxmlformats-officedocument.spreadsheetml.externalLink+xml"/>
  <Override PartName="/xl/externalLinks/externalLink387.xml" ContentType="application/vnd.openxmlformats-officedocument.spreadsheetml.externalLink+xml"/>
  <Override PartName="/xl/externalLinks/externalLink388.xml" ContentType="application/vnd.openxmlformats-officedocument.spreadsheetml.externalLink+xml"/>
  <Override PartName="/xl/externalLinks/externalLink389.xml" ContentType="application/vnd.openxmlformats-officedocument.spreadsheetml.externalLink+xml"/>
  <Override PartName="/xl/externalLinks/externalLink390.xml" ContentType="application/vnd.openxmlformats-officedocument.spreadsheetml.externalLink+xml"/>
  <Override PartName="/xl/externalLinks/externalLink391.xml" ContentType="application/vnd.openxmlformats-officedocument.spreadsheetml.externalLink+xml"/>
  <Override PartName="/xl/externalLinks/externalLink392.xml" ContentType="application/vnd.openxmlformats-officedocument.spreadsheetml.externalLink+xml"/>
  <Override PartName="/xl/externalLinks/externalLink393.xml" ContentType="application/vnd.openxmlformats-officedocument.spreadsheetml.externalLink+xml"/>
  <Override PartName="/xl/externalLinks/externalLink394.xml" ContentType="application/vnd.openxmlformats-officedocument.spreadsheetml.externalLink+xml"/>
  <Override PartName="/xl/externalLinks/externalLink395.xml" ContentType="application/vnd.openxmlformats-officedocument.spreadsheetml.externalLink+xml"/>
  <Override PartName="/xl/externalLinks/externalLink396.xml" ContentType="application/vnd.openxmlformats-officedocument.spreadsheetml.externalLink+xml"/>
  <Override PartName="/xl/externalLinks/externalLink397.xml" ContentType="application/vnd.openxmlformats-officedocument.spreadsheetml.externalLink+xml"/>
  <Override PartName="/xl/externalLinks/externalLink398.xml" ContentType="application/vnd.openxmlformats-officedocument.spreadsheetml.externalLink+xml"/>
  <Override PartName="/xl/externalLinks/externalLink399.xml" ContentType="application/vnd.openxmlformats-officedocument.spreadsheetml.externalLink+xml"/>
  <Override PartName="/xl/externalLinks/externalLink400.xml" ContentType="application/vnd.openxmlformats-officedocument.spreadsheetml.externalLink+xml"/>
  <Override PartName="/xl/externalLinks/externalLink401.xml" ContentType="application/vnd.openxmlformats-officedocument.spreadsheetml.externalLink+xml"/>
  <Override PartName="/xl/externalLinks/externalLink402.xml" ContentType="application/vnd.openxmlformats-officedocument.spreadsheetml.externalLink+xml"/>
  <Override PartName="/xl/externalLinks/externalLink403.xml" ContentType="application/vnd.openxmlformats-officedocument.spreadsheetml.externalLink+xml"/>
  <Override PartName="/xl/externalLinks/externalLink404.xml" ContentType="application/vnd.openxmlformats-officedocument.spreadsheetml.externalLink+xml"/>
  <Override PartName="/xl/externalLinks/externalLink405.xml" ContentType="application/vnd.openxmlformats-officedocument.spreadsheetml.externalLink+xml"/>
  <Override PartName="/xl/externalLinks/externalLink406.xml" ContentType="application/vnd.openxmlformats-officedocument.spreadsheetml.externalLink+xml"/>
  <Override PartName="/xl/externalLinks/externalLink407.xml" ContentType="application/vnd.openxmlformats-officedocument.spreadsheetml.externalLink+xml"/>
  <Override PartName="/xl/externalLinks/externalLink408.xml" ContentType="application/vnd.openxmlformats-officedocument.spreadsheetml.externalLink+xml"/>
  <Override PartName="/xl/externalLinks/externalLink409.xml" ContentType="application/vnd.openxmlformats-officedocument.spreadsheetml.externalLink+xml"/>
  <Override PartName="/xl/externalLinks/externalLink410.xml" ContentType="application/vnd.openxmlformats-officedocument.spreadsheetml.externalLink+xml"/>
  <Override PartName="/xl/externalLinks/externalLink411.xml" ContentType="application/vnd.openxmlformats-officedocument.spreadsheetml.externalLink+xml"/>
  <Override PartName="/xl/externalLinks/externalLink412.xml" ContentType="application/vnd.openxmlformats-officedocument.spreadsheetml.externalLink+xml"/>
  <Override PartName="/xl/externalLinks/externalLink413.xml" ContentType="application/vnd.openxmlformats-officedocument.spreadsheetml.externalLink+xml"/>
  <Override PartName="/xl/externalLinks/externalLink414.xml" ContentType="application/vnd.openxmlformats-officedocument.spreadsheetml.externalLink+xml"/>
  <Override PartName="/xl/externalLinks/externalLink415.xml" ContentType="application/vnd.openxmlformats-officedocument.spreadsheetml.externalLink+xml"/>
  <Override PartName="/xl/externalLinks/externalLink416.xml" ContentType="application/vnd.openxmlformats-officedocument.spreadsheetml.externalLink+xml"/>
  <Override PartName="/xl/externalLinks/externalLink417.xml" ContentType="application/vnd.openxmlformats-officedocument.spreadsheetml.externalLink+xml"/>
  <Override PartName="/xl/externalLinks/externalLink418.xml" ContentType="application/vnd.openxmlformats-officedocument.spreadsheetml.externalLink+xml"/>
  <Override PartName="/xl/externalLinks/externalLink419.xml" ContentType="application/vnd.openxmlformats-officedocument.spreadsheetml.externalLink+xml"/>
  <Override PartName="/xl/externalLinks/externalLink1.xml" ContentType="application/vnd.openxmlformats-officedocument.spreadsheetml.externalLink+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fileSharing readOnlyRecommended="1"/>
  <workbookPr defaultThemeVersion="166925"/>
  <mc:AlternateContent xmlns:mc="http://schemas.openxmlformats.org/markup-compatibility/2006">
    <mc:Choice Requires="x15">
      <x15ac:absPath xmlns:x15ac="http://schemas.microsoft.com/office/spreadsheetml/2010/11/ac" url="https://unproteccion-my.sharepoint.com/personal/mario_gomez_unp_gov_co/Documents/Documentos/"/>
    </mc:Choice>
  </mc:AlternateContent>
  <xr:revisionPtr revIDLastSave="0" documentId="8_{D3ADA6B2-B4E4-43B3-8752-A1B1673859CE}" xr6:coauthVersionLast="47" xr6:coauthVersionMax="47" xr10:uidLastSave="{00000000-0000-0000-0000-000000000000}"/>
  <bookViews>
    <workbookView xWindow="-120" yWindow="-120" windowWidth="29040" windowHeight="15840" tabRatio="694" xr2:uid="{F6429A3D-658B-4DB5-907D-359C5BDD35E6}"/>
  </bookViews>
  <sheets>
    <sheet name="LIQUIDACIONES" sheetId="1" r:id="rId1"/>
    <sheet name="DESCRIPCION" sheetId="2" r:id="rId2"/>
    <sheet name="EXT" sheetId="3" r:id="rId3"/>
    <sheet name="SIN EJECUTORIA" sheetId="4" r:id="rId4"/>
    <sheet name="Primeras Instancias" sheetId="5" r:id="rId5"/>
  </sheets>
  <externalReferences>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 r:id="rId176"/>
    <externalReference r:id="rId177"/>
    <externalReference r:id="rId178"/>
    <externalReference r:id="rId179"/>
    <externalReference r:id="rId180"/>
    <externalReference r:id="rId181"/>
    <externalReference r:id="rId182"/>
    <externalReference r:id="rId183"/>
    <externalReference r:id="rId184"/>
    <externalReference r:id="rId185"/>
    <externalReference r:id="rId186"/>
    <externalReference r:id="rId187"/>
    <externalReference r:id="rId188"/>
    <externalReference r:id="rId189"/>
    <externalReference r:id="rId190"/>
    <externalReference r:id="rId191"/>
    <externalReference r:id="rId192"/>
    <externalReference r:id="rId193"/>
    <externalReference r:id="rId194"/>
    <externalReference r:id="rId195"/>
    <externalReference r:id="rId196"/>
    <externalReference r:id="rId197"/>
    <externalReference r:id="rId198"/>
    <externalReference r:id="rId199"/>
    <externalReference r:id="rId200"/>
    <externalReference r:id="rId201"/>
    <externalReference r:id="rId202"/>
    <externalReference r:id="rId203"/>
    <externalReference r:id="rId204"/>
    <externalReference r:id="rId205"/>
    <externalReference r:id="rId206"/>
    <externalReference r:id="rId207"/>
    <externalReference r:id="rId208"/>
    <externalReference r:id="rId209"/>
    <externalReference r:id="rId210"/>
    <externalReference r:id="rId211"/>
    <externalReference r:id="rId212"/>
    <externalReference r:id="rId213"/>
    <externalReference r:id="rId214"/>
    <externalReference r:id="rId215"/>
    <externalReference r:id="rId216"/>
    <externalReference r:id="rId217"/>
    <externalReference r:id="rId218"/>
    <externalReference r:id="rId219"/>
    <externalReference r:id="rId220"/>
    <externalReference r:id="rId221"/>
    <externalReference r:id="rId222"/>
    <externalReference r:id="rId223"/>
    <externalReference r:id="rId224"/>
    <externalReference r:id="rId225"/>
    <externalReference r:id="rId226"/>
    <externalReference r:id="rId227"/>
    <externalReference r:id="rId228"/>
    <externalReference r:id="rId229"/>
    <externalReference r:id="rId230"/>
    <externalReference r:id="rId231"/>
    <externalReference r:id="rId232"/>
    <externalReference r:id="rId233"/>
    <externalReference r:id="rId234"/>
    <externalReference r:id="rId235"/>
    <externalReference r:id="rId236"/>
    <externalReference r:id="rId237"/>
    <externalReference r:id="rId238"/>
    <externalReference r:id="rId239"/>
    <externalReference r:id="rId240"/>
    <externalReference r:id="rId241"/>
    <externalReference r:id="rId242"/>
    <externalReference r:id="rId243"/>
    <externalReference r:id="rId244"/>
    <externalReference r:id="rId245"/>
    <externalReference r:id="rId246"/>
    <externalReference r:id="rId247"/>
    <externalReference r:id="rId248"/>
    <externalReference r:id="rId249"/>
    <externalReference r:id="rId250"/>
    <externalReference r:id="rId251"/>
    <externalReference r:id="rId252"/>
    <externalReference r:id="rId253"/>
    <externalReference r:id="rId254"/>
    <externalReference r:id="rId255"/>
    <externalReference r:id="rId256"/>
    <externalReference r:id="rId257"/>
    <externalReference r:id="rId258"/>
    <externalReference r:id="rId259"/>
    <externalReference r:id="rId260"/>
    <externalReference r:id="rId261"/>
    <externalReference r:id="rId262"/>
    <externalReference r:id="rId263"/>
    <externalReference r:id="rId264"/>
    <externalReference r:id="rId265"/>
    <externalReference r:id="rId266"/>
    <externalReference r:id="rId267"/>
    <externalReference r:id="rId268"/>
    <externalReference r:id="rId269"/>
    <externalReference r:id="rId270"/>
    <externalReference r:id="rId271"/>
    <externalReference r:id="rId272"/>
    <externalReference r:id="rId273"/>
    <externalReference r:id="rId274"/>
    <externalReference r:id="rId275"/>
    <externalReference r:id="rId276"/>
    <externalReference r:id="rId277"/>
    <externalReference r:id="rId278"/>
    <externalReference r:id="rId279"/>
    <externalReference r:id="rId280"/>
    <externalReference r:id="rId281"/>
    <externalReference r:id="rId282"/>
    <externalReference r:id="rId283"/>
    <externalReference r:id="rId284"/>
    <externalReference r:id="rId285"/>
    <externalReference r:id="rId286"/>
    <externalReference r:id="rId287"/>
    <externalReference r:id="rId288"/>
    <externalReference r:id="rId289"/>
    <externalReference r:id="rId290"/>
    <externalReference r:id="rId291"/>
    <externalReference r:id="rId292"/>
    <externalReference r:id="rId293"/>
    <externalReference r:id="rId294"/>
    <externalReference r:id="rId295"/>
    <externalReference r:id="rId296"/>
    <externalReference r:id="rId297"/>
    <externalReference r:id="rId298"/>
    <externalReference r:id="rId299"/>
    <externalReference r:id="rId300"/>
    <externalReference r:id="rId301"/>
    <externalReference r:id="rId302"/>
    <externalReference r:id="rId303"/>
    <externalReference r:id="rId304"/>
    <externalReference r:id="rId305"/>
    <externalReference r:id="rId306"/>
    <externalReference r:id="rId307"/>
    <externalReference r:id="rId308"/>
    <externalReference r:id="rId309"/>
    <externalReference r:id="rId310"/>
    <externalReference r:id="rId311"/>
    <externalReference r:id="rId312"/>
    <externalReference r:id="rId313"/>
    <externalReference r:id="rId314"/>
    <externalReference r:id="rId315"/>
    <externalReference r:id="rId316"/>
    <externalReference r:id="rId317"/>
    <externalReference r:id="rId318"/>
    <externalReference r:id="rId319"/>
    <externalReference r:id="rId320"/>
    <externalReference r:id="rId321"/>
    <externalReference r:id="rId322"/>
    <externalReference r:id="rId323"/>
    <externalReference r:id="rId324"/>
    <externalReference r:id="rId325"/>
    <externalReference r:id="rId326"/>
    <externalReference r:id="rId327"/>
    <externalReference r:id="rId328"/>
    <externalReference r:id="rId329"/>
    <externalReference r:id="rId330"/>
    <externalReference r:id="rId331"/>
    <externalReference r:id="rId332"/>
    <externalReference r:id="rId333"/>
    <externalReference r:id="rId334"/>
    <externalReference r:id="rId335"/>
    <externalReference r:id="rId336"/>
    <externalReference r:id="rId337"/>
    <externalReference r:id="rId338"/>
    <externalReference r:id="rId339"/>
    <externalReference r:id="rId340"/>
    <externalReference r:id="rId341"/>
    <externalReference r:id="rId342"/>
    <externalReference r:id="rId343"/>
    <externalReference r:id="rId344"/>
    <externalReference r:id="rId345"/>
    <externalReference r:id="rId346"/>
    <externalReference r:id="rId347"/>
    <externalReference r:id="rId348"/>
    <externalReference r:id="rId349"/>
    <externalReference r:id="rId350"/>
    <externalReference r:id="rId351"/>
    <externalReference r:id="rId352"/>
    <externalReference r:id="rId353"/>
    <externalReference r:id="rId354"/>
    <externalReference r:id="rId355"/>
    <externalReference r:id="rId356"/>
    <externalReference r:id="rId357"/>
    <externalReference r:id="rId358"/>
    <externalReference r:id="rId359"/>
    <externalReference r:id="rId360"/>
    <externalReference r:id="rId361"/>
    <externalReference r:id="rId362"/>
    <externalReference r:id="rId363"/>
    <externalReference r:id="rId364"/>
    <externalReference r:id="rId365"/>
    <externalReference r:id="rId366"/>
    <externalReference r:id="rId367"/>
    <externalReference r:id="rId368"/>
    <externalReference r:id="rId369"/>
    <externalReference r:id="rId370"/>
    <externalReference r:id="rId371"/>
    <externalReference r:id="rId372"/>
    <externalReference r:id="rId373"/>
    <externalReference r:id="rId374"/>
    <externalReference r:id="rId375"/>
    <externalReference r:id="rId376"/>
    <externalReference r:id="rId377"/>
    <externalReference r:id="rId378"/>
    <externalReference r:id="rId379"/>
    <externalReference r:id="rId380"/>
    <externalReference r:id="rId381"/>
    <externalReference r:id="rId382"/>
    <externalReference r:id="rId383"/>
    <externalReference r:id="rId384"/>
    <externalReference r:id="rId385"/>
    <externalReference r:id="rId386"/>
    <externalReference r:id="rId387"/>
    <externalReference r:id="rId388"/>
    <externalReference r:id="rId389"/>
    <externalReference r:id="rId390"/>
    <externalReference r:id="rId391"/>
    <externalReference r:id="rId392"/>
    <externalReference r:id="rId393"/>
    <externalReference r:id="rId394"/>
    <externalReference r:id="rId395"/>
    <externalReference r:id="rId396"/>
    <externalReference r:id="rId397"/>
    <externalReference r:id="rId398"/>
    <externalReference r:id="rId399"/>
    <externalReference r:id="rId400"/>
    <externalReference r:id="rId401"/>
    <externalReference r:id="rId402"/>
    <externalReference r:id="rId403"/>
    <externalReference r:id="rId404"/>
    <externalReference r:id="rId405"/>
    <externalReference r:id="rId406"/>
    <externalReference r:id="rId407"/>
    <externalReference r:id="rId408"/>
    <externalReference r:id="rId409"/>
    <externalReference r:id="rId410"/>
    <externalReference r:id="rId411"/>
    <externalReference r:id="rId412"/>
    <externalReference r:id="rId413"/>
    <externalReference r:id="rId414"/>
    <externalReference r:id="rId415"/>
    <externalReference r:id="rId416"/>
    <externalReference r:id="rId417"/>
    <externalReference r:id="rId418"/>
    <externalReference r:id="rId419"/>
    <externalReference r:id="rId420"/>
    <externalReference r:id="rId421"/>
    <externalReference r:id="rId422"/>
    <externalReference r:id="rId423"/>
    <externalReference r:id="rId424"/>
  </externalReferences>
  <definedNames>
    <definedName name="_xlnm._FilterDatabase" localSheetId="2" hidden="1">EXT!$A$1:$I$1</definedName>
    <definedName name="_xlnm._FilterDatabase" localSheetId="0" hidden="1">LIQUIDACIONES!$A$4:$UI$1018</definedName>
    <definedName name="_xlnm._FilterDatabase" localSheetId="4" hidden="1">'Primeras Instancias'!$A$1:$WWY$1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J609" i="1" l="1"/>
  <c r="BH11" i="5"/>
  <c r="BK183" i="1" l="1"/>
  <c r="BJ910" i="1" l="1"/>
  <c r="BJ558" i="1" l="1"/>
  <c r="BJ932" i="1" l="1"/>
  <c r="BJ931" i="1" l="1"/>
  <c r="BJ926" i="1" l="1"/>
  <c r="BJ923" i="1" l="1"/>
  <c r="BJ917" i="1" l="1"/>
  <c r="BJ916" i="1" l="1"/>
  <c r="BJ914" i="1" l="1"/>
  <c r="BJ913" i="1" l="1"/>
  <c r="BJ912" i="1" l="1"/>
  <c r="BJ905" i="1" l="1"/>
  <c r="BJ904" i="1" l="1"/>
  <c r="BJ903" i="1" l="1"/>
  <c r="BJ902" i="1" l="1"/>
  <c r="BJ900" i="1" l="1"/>
  <c r="BJ899" i="1" l="1"/>
  <c r="BJ897" i="1" l="1"/>
  <c r="BJ895" i="1" l="1"/>
  <c r="BJ894" i="1" l="1"/>
  <c r="BJ893" i="1" l="1"/>
  <c r="BJ892" i="1" l="1"/>
  <c r="BJ891" i="1" l="1"/>
  <c r="BJ890" i="1" l="1"/>
  <c r="BJ888" i="1" l="1"/>
  <c r="BJ886" i="1" l="1"/>
  <c r="BJ885" i="1" l="1"/>
  <c r="BJ933" i="1" l="1"/>
  <c r="BJ927" i="1" l="1"/>
  <c r="BJ920" i="1"/>
  <c r="BJ898" i="1" l="1"/>
  <c r="BJ580" i="1" l="1"/>
  <c r="BJ113" i="1"/>
  <c r="BJ801" i="1" l="1"/>
  <c r="BJ681" i="1" l="1"/>
  <c r="BJ831" i="1" l="1"/>
  <c r="BJ59" i="1" l="1"/>
  <c r="BJ35" i="1" l="1"/>
  <c r="BJ924" i="1" l="1"/>
  <c r="BJ832" i="1" l="1"/>
  <c r="BJ813" i="1" l="1"/>
  <c r="BJ42" i="1" l="1"/>
  <c r="BJ513" i="1" l="1"/>
  <c r="BJ129" i="1" l="1"/>
  <c r="BJ6" i="1" l="1"/>
  <c r="BJ169" i="1"/>
  <c r="BJ133" i="1" l="1"/>
  <c r="BJ737" i="1" l="1"/>
  <c r="BJ531" i="1" l="1"/>
  <c r="BJ173" i="1" l="1"/>
  <c r="BJ152" i="1" l="1"/>
  <c r="BJ105" i="1" l="1"/>
  <c r="BJ179" i="1" l="1"/>
  <c r="BJ160" i="1" l="1"/>
  <c r="BJ121" i="1" l="1"/>
  <c r="BJ154" i="1" l="1"/>
  <c r="BJ515" i="1" l="1"/>
  <c r="BJ212" i="1" l="1"/>
  <c r="BJ213" i="1" l="1"/>
  <c r="BJ10" i="1" l="1"/>
  <c r="BJ432" i="1" l="1"/>
  <c r="BJ74" i="1" l="1"/>
  <c r="BJ197" i="1" l="1"/>
  <c r="BJ167" i="1" l="1"/>
  <c r="BJ170" i="1" l="1"/>
  <c r="BJ190" i="1" l="1"/>
  <c r="BJ111" i="1" l="1"/>
  <c r="BJ13" i="1" l="1"/>
  <c r="BJ11" i="1" l="1"/>
  <c r="BJ5" i="1" l="1"/>
  <c r="BJ884" i="1"/>
  <c r="BJ883" i="1" l="1"/>
  <c r="BJ882" i="1" l="1"/>
  <c r="BJ881" i="1" l="1"/>
  <c r="BJ880" i="1" l="1"/>
  <c r="BJ879" i="1" l="1"/>
  <c r="BJ878" i="1" l="1"/>
  <c r="BJ877" i="1" l="1"/>
  <c r="BJ876" i="1" l="1"/>
  <c r="BJ875" i="1" l="1"/>
  <c r="BJ874" i="1"/>
  <c r="BJ873" i="1" l="1"/>
  <c r="BJ872" i="1" l="1"/>
  <c r="BJ871" i="1" l="1"/>
  <c r="BJ870" i="1" l="1"/>
  <c r="BJ869" i="1" l="1"/>
  <c r="BJ868" i="1" l="1"/>
  <c r="BJ867" i="1" l="1"/>
  <c r="BJ866" i="1" l="1"/>
  <c r="BJ865" i="1" l="1"/>
  <c r="BJ864" i="1" l="1"/>
  <c r="BJ863" i="1" l="1"/>
  <c r="BJ862" i="1" l="1"/>
  <c r="BJ861" i="1" l="1"/>
  <c r="BJ860" i="1" l="1"/>
  <c r="BJ859" i="1" l="1"/>
  <c r="BJ858" i="1"/>
  <c r="BJ857" i="1" l="1"/>
  <c r="BJ856" i="1" l="1"/>
  <c r="BJ855" i="1" l="1"/>
  <c r="BJ854" i="1" l="1"/>
  <c r="BJ853" i="1"/>
  <c r="BJ852" i="1" l="1"/>
  <c r="BJ850" i="1" l="1"/>
  <c r="BJ848" i="1" l="1"/>
  <c r="BJ847" i="1" l="1"/>
  <c r="BJ846" i="1" l="1"/>
  <c r="BJ843" i="1" l="1"/>
  <c r="BJ842" i="1" l="1"/>
  <c r="BJ841" i="1" l="1"/>
  <c r="BJ840" i="1" l="1"/>
  <c r="BJ839" i="1" l="1"/>
  <c r="BJ838" i="1" l="1"/>
  <c r="BJ837" i="1" l="1"/>
  <c r="BJ836" i="1" l="1"/>
  <c r="BJ835" i="1" l="1"/>
  <c r="BJ834" i="1" l="1"/>
  <c r="BJ833" i="1" l="1"/>
  <c r="BJ830" i="1" l="1"/>
  <c r="BJ829" i="1" l="1"/>
  <c r="BJ828" i="1" l="1"/>
  <c r="BJ827" i="1" l="1"/>
  <c r="BJ824" i="1" l="1"/>
  <c r="BJ823" i="1"/>
  <c r="BJ822" i="1" l="1"/>
  <c r="BJ821" i="1" l="1"/>
  <c r="BJ820" i="1" l="1"/>
  <c r="BJ819" i="1" l="1"/>
  <c r="BJ817" i="1" l="1"/>
  <c r="BJ816" i="1" l="1"/>
  <c r="BJ815" i="1" l="1"/>
  <c r="BJ814" i="1" l="1"/>
  <c r="BJ485" i="1" l="1"/>
  <c r="BJ812" i="1" l="1"/>
  <c r="BJ811" i="1" l="1"/>
  <c r="BJ810" i="1" l="1"/>
  <c r="BJ809" i="1" l="1"/>
  <c r="BJ808" i="1" l="1"/>
  <c r="BJ807" i="1" l="1"/>
  <c r="BJ806" i="1" l="1"/>
  <c r="BJ805" i="1" l="1"/>
  <c r="BJ483" i="1" l="1"/>
  <c r="BJ802" i="1" l="1"/>
  <c r="BJ800" i="1" l="1"/>
  <c r="BJ799" i="1" l="1"/>
  <c r="BJ797" i="1" l="1"/>
  <c r="BJ796" i="1" l="1"/>
  <c r="BJ795" i="1" l="1"/>
  <c r="BJ794" i="1" l="1"/>
  <c r="BJ793" i="1" l="1"/>
  <c r="BJ792" i="1" l="1"/>
  <c r="BJ791" i="1" l="1"/>
  <c r="BJ790" i="1" l="1"/>
  <c r="BJ789" i="1" l="1"/>
  <c r="BJ786" i="1" l="1"/>
  <c r="BJ785" i="1" l="1"/>
  <c r="BJ784" i="1" l="1"/>
  <c r="BJ783" i="1" l="1"/>
  <c r="BJ782" i="1" l="1"/>
  <c r="BJ781" i="1" l="1"/>
  <c r="BJ780" i="1" l="1"/>
  <c r="BJ778" i="1" l="1"/>
  <c r="BJ776" i="1" l="1"/>
  <c r="BJ775" i="1" l="1"/>
  <c r="BJ774" i="1" l="1"/>
  <c r="BJ773" i="1" l="1"/>
  <c r="BJ772" i="1" l="1"/>
  <c r="BJ770" i="1" l="1"/>
  <c r="BJ769" i="1" l="1"/>
  <c r="BJ768" i="1" l="1"/>
  <c r="BJ764" i="1" l="1"/>
  <c r="BJ763" i="1" l="1"/>
  <c r="BJ762" i="1" l="1"/>
  <c r="BJ761" i="1" l="1"/>
  <c r="BJ760" i="1" l="1"/>
  <c r="BJ759" i="1" l="1"/>
  <c r="BJ758" i="1" l="1"/>
  <c r="BJ757" i="1" l="1"/>
  <c r="BJ756" i="1"/>
  <c r="BJ755" i="1"/>
  <c r="BJ754" i="1"/>
  <c r="BJ753" i="1" l="1"/>
  <c r="BJ752" i="1" l="1"/>
  <c r="BJ751" i="1" l="1"/>
  <c r="BJ431" i="1" l="1"/>
  <c r="BJ750" i="1" l="1"/>
  <c r="BJ749" i="1" l="1"/>
  <c r="BJ748" i="1" l="1"/>
  <c r="BJ746" i="1" l="1"/>
  <c r="BJ745" i="1" l="1"/>
  <c r="BJ744" i="1" l="1"/>
  <c r="BJ743" i="1"/>
  <c r="BJ742" i="1" l="1"/>
  <c r="BJ741" i="1" l="1"/>
  <c r="BJ740" i="1" l="1"/>
  <c r="BJ739" i="1" l="1"/>
  <c r="BJ738" i="1" l="1"/>
  <c r="BJ736" i="1" l="1"/>
  <c r="BJ735" i="1" l="1"/>
  <c r="BJ734" i="1" l="1"/>
  <c r="BJ733" i="1" l="1"/>
  <c r="BJ732" i="1" l="1"/>
  <c r="BJ730" i="1" l="1"/>
  <c r="BJ729" i="1" l="1"/>
  <c r="BJ728" i="1" l="1"/>
  <c r="BJ727" i="1" l="1"/>
  <c r="BJ726" i="1" l="1"/>
  <c r="BJ725" i="1"/>
  <c r="BJ724" i="1" l="1"/>
  <c r="BJ723" i="1" l="1"/>
  <c r="BJ722" i="1" l="1"/>
  <c r="BJ719" i="1" l="1"/>
  <c r="BJ718" i="1" l="1"/>
  <c r="BJ717" i="1" l="1"/>
  <c r="BJ714" i="1"/>
  <c r="BJ713" i="1"/>
  <c r="BJ711" i="1" l="1"/>
  <c r="BJ710" i="1" l="1"/>
  <c r="BJ709" i="1" l="1"/>
  <c r="BJ707" i="1" l="1"/>
  <c r="BJ706" i="1" l="1"/>
  <c r="BJ705" i="1" l="1"/>
  <c r="BJ704" i="1" l="1"/>
  <c r="BJ703" i="1"/>
  <c r="BJ702" i="1" l="1"/>
  <c r="BJ701" i="1" l="1"/>
  <c r="BJ700" i="1" l="1"/>
  <c r="BJ699" i="1" l="1"/>
  <c r="BJ696" i="1" l="1"/>
  <c r="BJ695" i="1" l="1"/>
  <c r="BJ421" i="1" l="1"/>
  <c r="BJ693" i="1" l="1"/>
  <c r="BJ692" i="1" l="1"/>
  <c r="BJ691" i="1" l="1"/>
  <c r="BJ690" i="1" l="1"/>
  <c r="BJ688" i="1" l="1"/>
  <c r="BJ687" i="1" l="1"/>
  <c r="BJ686" i="1" l="1"/>
  <c r="BJ685" i="1" l="1"/>
  <c r="BJ684" i="1" l="1"/>
  <c r="BJ683" i="1" l="1"/>
  <c r="BJ682" i="1" l="1"/>
  <c r="BJ389" i="1" l="1"/>
  <c r="BJ680" i="1" l="1"/>
  <c r="BJ679" i="1" l="1"/>
  <c r="BJ678" i="1" l="1"/>
  <c r="BJ677" i="1" l="1"/>
  <c r="BJ674" i="1" l="1"/>
  <c r="BJ673" i="1" l="1"/>
  <c r="BJ672" i="1" l="1"/>
  <c r="BJ671" i="1" l="1"/>
  <c r="BJ669" i="1" l="1"/>
  <c r="BJ372" i="1" l="1"/>
  <c r="BJ667" i="1" l="1"/>
  <c r="BJ666" i="1" l="1"/>
  <c r="BJ665" i="1" l="1"/>
  <c r="BJ662" i="1" l="1"/>
  <c r="BJ661" i="1" l="1"/>
  <c r="BJ660" i="1" l="1"/>
  <c r="BJ659" i="1" l="1"/>
  <c r="BJ657" i="1" l="1"/>
  <c r="BJ656" i="1" l="1"/>
  <c r="BJ655" i="1" l="1"/>
  <c r="BJ654" i="1" l="1"/>
  <c r="BJ653" i="1" l="1"/>
  <c r="BJ652" i="1" l="1"/>
  <c r="BJ650" i="1" l="1"/>
  <c r="BJ648" i="1" l="1"/>
  <c r="BJ647" i="1" l="1"/>
  <c r="BJ646" i="1" l="1"/>
  <c r="BJ645" i="1" l="1"/>
  <c r="BJ644" i="1" l="1"/>
  <c r="BJ642" i="1" l="1"/>
  <c r="BJ641" i="1" l="1"/>
  <c r="BJ640" i="1" l="1"/>
  <c r="BJ639" i="1" l="1"/>
  <c r="BJ637" i="1" l="1"/>
  <c r="BJ636" i="1" l="1"/>
  <c r="BJ635" i="1" l="1"/>
  <c r="BJ634" i="1" l="1"/>
  <c r="BJ633" i="1" l="1"/>
  <c r="BJ632" i="1" l="1"/>
  <c r="BJ631" i="1" l="1"/>
  <c r="BJ630" i="1" l="1"/>
  <c r="BJ628" i="1" l="1"/>
  <c r="BJ627" i="1" l="1"/>
  <c r="BJ626" i="1" l="1"/>
  <c r="BJ625" i="1" l="1"/>
  <c r="BJ624" i="1" l="1"/>
  <c r="BJ623" i="1" l="1"/>
  <c r="BJ622" i="1" l="1"/>
  <c r="BJ621" i="1" l="1"/>
  <c r="BJ620" i="1" l="1"/>
  <c r="BJ619" i="1" l="1"/>
  <c r="BJ618" i="1" l="1"/>
  <c r="BJ617" i="1" l="1"/>
  <c r="BJ616" i="1" l="1"/>
  <c r="BJ615" i="1" l="1"/>
  <c r="BJ614" i="1" l="1"/>
  <c r="BJ613" i="1" l="1"/>
  <c r="BJ612" i="1" l="1"/>
  <c r="BJ610" i="1" l="1"/>
  <c r="BJ608" i="1" l="1"/>
  <c r="BJ607" i="1" l="1"/>
  <c r="BJ606" i="1" l="1"/>
  <c r="BJ605" i="1" l="1"/>
  <c r="BJ265" i="1" l="1"/>
  <c r="BJ264" i="1" l="1"/>
  <c r="BJ603" i="1" l="1"/>
  <c r="BJ602" i="1" l="1"/>
  <c r="BJ601" i="1" l="1"/>
  <c r="BJ600" i="1" l="1"/>
  <c r="BJ599" i="1" l="1"/>
  <c r="BJ598" i="1" l="1"/>
  <c r="BJ597" i="1" l="1"/>
  <c r="BJ596" i="1" l="1"/>
  <c r="BJ595" i="1" l="1"/>
  <c r="BJ592" i="1" l="1"/>
  <c r="BJ591" i="1" l="1"/>
  <c r="BJ590" i="1" l="1"/>
  <c r="BJ588" i="1" l="1"/>
  <c r="BJ587" i="1" l="1"/>
  <c r="BJ586" i="1" l="1"/>
  <c r="BJ585" i="1" l="1"/>
  <c r="BJ584" i="1" l="1"/>
  <c r="BJ583" i="1" l="1"/>
  <c r="BJ582" i="1" l="1"/>
  <c r="BJ581" i="1" l="1"/>
  <c r="BJ579" i="1" l="1"/>
  <c r="BJ578" i="1" l="1"/>
  <c r="BJ577" i="1" l="1"/>
  <c r="BJ576" i="1" l="1"/>
  <c r="BJ574" i="1" l="1"/>
  <c r="BJ573" i="1" l="1"/>
  <c r="BJ572" i="1" l="1"/>
  <c r="BJ571" i="1" l="1"/>
  <c r="BJ570" i="1" l="1"/>
  <c r="BJ569" i="1" l="1"/>
  <c r="BJ568" i="1" l="1"/>
  <c r="BJ567" i="1" l="1"/>
  <c r="BJ566" i="1" l="1"/>
  <c r="BJ565" i="1" l="1"/>
  <c r="BJ564" i="1" l="1"/>
  <c r="BJ563" i="1" l="1"/>
  <c r="BJ562" i="1" l="1"/>
  <c r="BJ243" i="1" l="1"/>
  <c r="BJ561" i="1" l="1"/>
  <c r="BJ240" i="1" l="1"/>
  <c r="BJ239" i="1" l="1"/>
  <c r="BJ560" i="1" l="1"/>
  <c r="BJ559" i="1" l="1"/>
  <c r="BJ557" i="1" l="1"/>
  <c r="BJ556" i="1" l="1"/>
  <c r="BJ555" i="1" l="1"/>
  <c r="BJ554" i="1" l="1"/>
  <c r="BJ553" i="1" l="1"/>
  <c r="BJ552" i="1" l="1"/>
  <c r="BJ551" i="1" l="1"/>
  <c r="BJ550" i="1" l="1"/>
  <c r="BJ549" i="1" l="1"/>
  <c r="BJ219" i="1" l="1"/>
  <c r="BJ547" i="1" l="1"/>
  <c r="BJ544" i="1" l="1"/>
  <c r="BJ211" i="1" l="1"/>
  <c r="BJ209" i="1" l="1"/>
  <c r="BJ205" i="1" l="1"/>
  <c r="BJ203" i="1" l="1"/>
  <c r="BJ543" i="1" l="1"/>
  <c r="BJ541" i="1" l="1"/>
  <c r="BJ198" i="1" l="1"/>
  <c r="BJ540" i="1" l="1"/>
  <c r="BJ195" i="1" l="1"/>
  <c r="BJ194" i="1" l="1"/>
  <c r="BJ192" i="1" l="1"/>
  <c r="BJ539" i="1" l="1"/>
  <c r="BJ191" i="1" l="1"/>
  <c r="BJ189" i="1" l="1"/>
  <c r="BJ188" i="1" l="1"/>
  <c r="BJ187" i="1" l="1"/>
  <c r="BJ185" i="1" l="1"/>
  <c r="BJ538" i="1" l="1"/>
  <c r="BJ184" i="1" l="1"/>
  <c r="BJ183" i="1" l="1"/>
  <c r="BJ537" i="1" l="1"/>
  <c r="BJ535" i="1" l="1"/>
  <c r="BJ532" i="1" l="1"/>
  <c r="BJ177" i="1" l="1"/>
  <c r="BJ174" i="1" l="1"/>
  <c r="BJ172" i="1" l="1"/>
  <c r="BJ166" i="1" l="1"/>
  <c r="BJ164" i="1" l="1"/>
  <c r="BJ162" i="1" l="1"/>
  <c r="BJ161" i="1" l="1"/>
  <c r="BJ149" i="1" l="1"/>
  <c r="BJ148" i="1" l="1"/>
  <c r="BJ147" i="1" l="1"/>
  <c r="BJ146" i="1" l="1"/>
  <c r="BJ524" i="1" l="1"/>
  <c r="BJ137" i="1" l="1"/>
  <c r="BJ134" i="1" l="1"/>
  <c r="BJ114" i="1" l="1"/>
  <c r="BJ49" i="1" l="1"/>
  <c r="BJ47" i="1" l="1"/>
  <c r="BJ31" i="1" l="1"/>
  <c r="BJ8" i="1" l="1"/>
  <c r="BW84" i="1" l="1"/>
  <c r="BJ244" i="1" l="1"/>
  <c r="BJ229" i="1" l="1"/>
  <c r="BJ93" i="1" l="1"/>
  <c r="BJ804" i="1" l="1"/>
  <c r="BJ528" i="1" l="1"/>
  <c r="BJ629" i="1" l="1"/>
  <c r="BJ140" i="1" l="1"/>
  <c r="BJ259" i="1" l="1"/>
  <c r="BJ76" i="1" l="1"/>
  <c r="BJ66" i="1" l="1"/>
  <c r="BJ526" i="1" l="1"/>
  <c r="BJ48" i="1" l="1"/>
  <c r="BJ514" i="1" l="1"/>
  <c r="BK506" i="1" l="1"/>
  <c r="BK490" i="1"/>
  <c r="E787" i="1"/>
</calcChain>
</file>

<file path=xl/sharedStrings.xml><?xml version="1.0" encoding="utf-8"?>
<sst xmlns="http://schemas.openxmlformats.org/spreadsheetml/2006/main" count="32498" uniqueCount="10757">
  <si>
    <t>GESTIÓN JURIDICA</t>
  </si>
  <si>
    <t>UNIDAD NACIONAL DE PROTECCIÓN</t>
  </si>
  <si>
    <t>N° ESTADO ACTUAL</t>
  </si>
  <si>
    <t>ACCIONANTE/PETICIONARIO</t>
  </si>
  <si>
    <t>CEDULA DE CIUDADANIA /NIT</t>
  </si>
  <si>
    <t>ABOGADO</t>
  </si>
  <si>
    <t>FECHA DE RADICACION 1</t>
  </si>
  <si>
    <t>MES RADICACION 1</t>
  </si>
  <si>
    <t>RADICADO 1</t>
  </si>
  <si>
    <t>PERSONA QUE REMITE</t>
  </si>
  <si>
    <t>ASUNTO</t>
  </si>
  <si>
    <t>FECHA DE RADICACION 2</t>
  </si>
  <si>
    <t>MES RADICACION 2</t>
  </si>
  <si>
    <t>RADICADO 2</t>
  </si>
  <si>
    <t>FECHA DE RADICACION 3</t>
  </si>
  <si>
    <t>MES DE RADICACION 3</t>
  </si>
  <si>
    <t>RADICADO 3</t>
  </si>
  <si>
    <t>FECHA DE RADICACION 4</t>
  </si>
  <si>
    <t>MES DE RADICACION 4</t>
  </si>
  <si>
    <t>RADICADO 4</t>
  </si>
  <si>
    <t>FECHA DE RADICACION 5</t>
  </si>
  <si>
    <t>MES DE RADICACION 5</t>
  </si>
  <si>
    <t>RADICACION 5</t>
  </si>
  <si>
    <t>FECHA DE RADICACION 6</t>
  </si>
  <si>
    <t>MES DE RADICACION 6</t>
  </si>
  <si>
    <t>RADICACION 6</t>
  </si>
  <si>
    <t>FECHA DE RADICACION 7</t>
  </si>
  <si>
    <t>MES DE RADICACION 7</t>
  </si>
  <si>
    <t>RADICACION 7</t>
  </si>
  <si>
    <t>FECHA ENTREGA A FIRMA LIQUIDADORA</t>
  </si>
  <si>
    <t>LIQUIDADO</t>
  </si>
  <si>
    <t>RADICADO</t>
  </si>
  <si>
    <t>ETAPA/TRAMITE</t>
  </si>
  <si>
    <t>PERIODO LABORADO (INICIO)</t>
  </si>
  <si>
    <t>PERIODO LABORADO (RETIRO)</t>
  </si>
  <si>
    <t>OBSERVACIONES</t>
  </si>
  <si>
    <t>REGIMEN ADMINISTRATIVO APLICABLE</t>
  </si>
  <si>
    <t>1 INSTANCA</t>
  </si>
  <si>
    <t>FECHA FALLO 1 INSTANCIA</t>
  </si>
  <si>
    <t>2 INSTANCIA</t>
  </si>
  <si>
    <t>FECHA  FALLO 2 INSTANCIA</t>
  </si>
  <si>
    <t>FECHA EJECUTORIA</t>
  </si>
  <si>
    <t>TIPO DE PROCESO</t>
  </si>
  <si>
    <t>ENTIDAD DEMANDADA</t>
  </si>
  <si>
    <t>CONCEPTO REPARACION DIRECTA</t>
  </si>
  <si>
    <t>RESOLUCION DIAN</t>
  </si>
  <si>
    <t>RESOLUCION DE RECONOCIMIENTO</t>
  </si>
  <si>
    <t>RESOLUCION DE PAGO</t>
  </si>
  <si>
    <t>FECHA Y MEM  PRESUPUESTO</t>
  </si>
  <si>
    <t>VALOR ESTIMADO</t>
  </si>
  <si>
    <t>VALOR PAGADO</t>
  </si>
  <si>
    <t>FECHA DE PAGO</t>
  </si>
  <si>
    <t>MES  Y AÑO DE PAGO</t>
  </si>
  <si>
    <t>CORREO ELECTRONICO AL CUAL SE COMUNICA LA RESOLUCION Y FECHA DE COMUNICACIÓN</t>
  </si>
  <si>
    <t>PROCESO EJECUTIVO</t>
  </si>
  <si>
    <t>RESOLUCION DE PAGO POR RELIQUIDACION O POR MANDAMIENTO DE PAGO</t>
  </si>
  <si>
    <t>FECHA Y MEM DE REMISION A PRESUPUESTO EJECUTIVO/ RELIQUIDACION</t>
  </si>
  <si>
    <t>VALOR PAGADO POR RELIQUIDACION</t>
  </si>
  <si>
    <t>PAGADOS</t>
  </si>
  <si>
    <t>POR PAGAR</t>
  </si>
  <si>
    <t>817002466-1</t>
  </si>
  <si>
    <t>BLANCA INES CHAVEZ</t>
  </si>
  <si>
    <t>EXT14-00006367</t>
  </si>
  <si>
    <t>ABOGADA</t>
  </si>
  <si>
    <t>CUENTA COBRO</t>
  </si>
  <si>
    <t>19 001 3333 006 2013 00451 00</t>
  </si>
  <si>
    <t>PAGADO</t>
  </si>
  <si>
    <t>N/A</t>
  </si>
  <si>
    <t xml:space="preserve">PAGADA EN 2014
CONVENIO 006 DE 2012
PAGO CONCILIACION
PAGADA CON CUENTA DE COBRO EN 2014
</t>
  </si>
  <si>
    <t>LEY 1437 DE 2011</t>
  </si>
  <si>
    <t>JUZGADO SEXTO ADMINSTRATIVO DEL CIRCUITO DE POPAYAN</t>
  </si>
  <si>
    <t>CONCILIACION</t>
  </si>
  <si>
    <t>NA</t>
  </si>
  <si>
    <t>0793/2015</t>
  </si>
  <si>
    <t>MEM15-00016924
25/11/2015</t>
  </si>
  <si>
    <t xml:space="preserve">dic-15
</t>
  </si>
  <si>
    <t>WILSON MENDEZ VALENCIA</t>
  </si>
  <si>
    <t>JOSE ALIRIO JIMENEZ PATIÑO
KAREN DANIELA OSORIO AYALA</t>
  </si>
  <si>
    <t>EXT15-00039003</t>
  </si>
  <si>
    <t>SOLICITUD DE PAGO</t>
  </si>
  <si>
    <t>EXT18-00036513</t>
  </si>
  <si>
    <t>SOLICITUD DE RELIQUIDACION</t>
  </si>
  <si>
    <t>EXT18-00063000</t>
  </si>
  <si>
    <t>CESION DE CREDITO</t>
  </si>
  <si>
    <t>EXT18-00064350</t>
  </si>
  <si>
    <t>ALLEGA DOCUMENTOS</t>
  </si>
  <si>
    <t>EXT18-00093752</t>
  </si>
  <si>
    <t xml:space="preserve">RELIQUIDACION - ALLEGA DOCUMENTOS </t>
  </si>
  <si>
    <t xml:space="preserve">05/06/2018 SE ENCUENTRA EL EXPENDIENTE FISICO EN UNP YL LIQUIDADO UNP
"RELIQUIDACION
OFI18-00030641 26/07/18"
</t>
  </si>
  <si>
    <t>11 001 3331 016 2009 00319 00</t>
  </si>
  <si>
    <t>PAGADO POR RELIQUIDAR</t>
  </si>
  <si>
    <t>07/09/2001</t>
  </si>
  <si>
    <t>DECRETO 01 DE 1984</t>
  </si>
  <si>
    <t>JUZGADO QUINTO ADMINISTRATIVO DE DESCONGESTION DEL CIRCUITO JUDICIAL DE BOGOTA SECCION SEGUNDA</t>
  </si>
  <si>
    <t>TRIBUNAL ADMINISTRATIVO DE CUNDINAMARCA</t>
  </si>
  <si>
    <t>NRD-CONTRATO REALIDAD</t>
  </si>
  <si>
    <t>0779/15</t>
  </si>
  <si>
    <t>MEM15-00016924 DE 25/11/15</t>
  </si>
  <si>
    <t>DEIVIS ALBERTO CASTRO QUINTERO</t>
  </si>
  <si>
    <t>VIANIS BALDOVINO ARRIETA</t>
  </si>
  <si>
    <t>EXT14-00037131</t>
  </si>
  <si>
    <t>SOLICITUD PAGO</t>
  </si>
  <si>
    <t>EXT14-00063481</t>
  </si>
  <si>
    <t>DIAN</t>
  </si>
  <si>
    <t>RESOLUCION</t>
  </si>
  <si>
    <t>EXT14-00066856</t>
  </si>
  <si>
    <t>EXT15-00009346</t>
  </si>
  <si>
    <t>DERECHO DE PETICION</t>
  </si>
  <si>
    <t>EXT15-00044085</t>
  </si>
  <si>
    <t>77 001 3333 007 2012 00034 00</t>
  </si>
  <si>
    <t xml:space="preserve">PAGADA
</t>
  </si>
  <si>
    <t>JUZGADO SEPTIMO ADMIONISTRATIVO ORAL DE SINCELEJO</t>
  </si>
  <si>
    <t>TRIBUNAL ADMINSTRATIVO DE SUCRE</t>
  </si>
  <si>
    <t>27-11-2014
123201242-005954
NO FIGURAN DEUDAS
05-08-2015
123201242-002872
NO FIGURAN DEUDAS</t>
  </si>
  <si>
    <t>0547/15</t>
  </si>
  <si>
    <t xml:space="preserve">0547/15 
</t>
  </si>
  <si>
    <t>MEM15-00011449 DE 14/08/15</t>
  </si>
  <si>
    <t>LUIS EDUARDO MERCHAN PATIÑO</t>
  </si>
  <si>
    <t>JESUS EMILIO GARCIA ACOSTA
KAREN DANIELA OSORIO OLAYA</t>
  </si>
  <si>
    <t>EXT14-00038225</t>
  </si>
  <si>
    <t>EXT18-00062998</t>
  </si>
  <si>
    <t>RELIQUIDACION</t>
  </si>
  <si>
    <t>EXT18-00093757</t>
  </si>
  <si>
    <t>73 001 3331 003 2011 00407 00</t>
  </si>
  <si>
    <t>JUZGADO PRIMERO ADMINISTRATIVO DE DESCONGESTION DE IBAGUE</t>
  </si>
  <si>
    <t>0577/15</t>
  </si>
  <si>
    <t>0580/15</t>
  </si>
  <si>
    <t>MEM15-00024288 DE 03/09/15</t>
  </si>
  <si>
    <t>WILLIAM SANDOVAL BUITRAGO</t>
  </si>
  <si>
    <t xml:space="preserve">EXT14-00038441 </t>
  </si>
  <si>
    <t xml:space="preserve"> EXT14-00041860</t>
  </si>
  <si>
    <t>PETICION</t>
  </si>
  <si>
    <t xml:space="preserve"> EXT18-00093755</t>
  </si>
  <si>
    <t>SOLICITUD CORREGIR LIQUIDACION</t>
  </si>
  <si>
    <t>73 001 3331 002 2010 00102 00</t>
  </si>
  <si>
    <t>PAGADA
MEDIANTE OFI18-00043882 SE DA RESPUESTA AL  EXT18-00093755  F.</t>
  </si>
  <si>
    <t>TRIBUNAL ADMINSTRATIVO DEL TOLIMA</t>
  </si>
  <si>
    <t>0544/15</t>
  </si>
  <si>
    <t>RAMON FERNANDO PALOMINO SANCHEZ</t>
  </si>
  <si>
    <t>EXT14-00039043</t>
  </si>
  <si>
    <t xml:space="preserve">PAGADA (PENDIENTE ALGUNOS PAGOS DE MI PLANILLA)
</t>
  </si>
  <si>
    <t>JUZGADO PRIMERO ADMINISTRATIVO ORAL DE SINCELEJO</t>
  </si>
  <si>
    <t>TRIBUNAL ADMINISTRATIVO DE SUCRE</t>
  </si>
  <si>
    <t>0546/15</t>
  </si>
  <si>
    <t>VICTOR EUGENIO RAMIREZ LOZANO</t>
  </si>
  <si>
    <t>LUIS ARTURO VICTORIA</t>
  </si>
  <si>
    <t>EXT14-00039642</t>
  </si>
  <si>
    <t>EXT14-00063185</t>
  </si>
  <si>
    <t>SOLICITUD REINTEGRO Y PAGO</t>
  </si>
  <si>
    <t>EXT15-00046016</t>
  </si>
  <si>
    <t>EXT15-00072762</t>
  </si>
  <si>
    <t>EXT16-00036090</t>
  </si>
  <si>
    <t>FIDUPREVISORA</t>
  </si>
  <si>
    <t>REMITE INFORMACION</t>
  </si>
  <si>
    <t>10/02/2016
12/04/2016
28/12/2017</t>
  </si>
  <si>
    <t>feb-16
abr-16
dic-17</t>
  </si>
  <si>
    <t>EXT16-00009556
EXT16-00026738
EXT17-00102050</t>
  </si>
  <si>
    <t>ABOGADO
ANDJE
FIDUPREVISORA</t>
  </si>
  <si>
    <t>SOLICITUD PAGO DE SENTENCIA
REMITE SOLICITUD PAGO DE SENTENCIA
COMUNICA PAGO DE SENTENCIA</t>
  </si>
  <si>
    <t>12/02/2018 LTK
DEVUELVE 28/12/17
DEVUELTOS LTK RAD. LTK-003-017-2018,  27/03/2018</t>
  </si>
  <si>
    <t>11 001 3331 028 2009 00323 01</t>
  </si>
  <si>
    <t>PAGO SENTENCIA</t>
  </si>
  <si>
    <t>ESTE CASO CORRESPONDE PARA EL PAGO A LA AGENCIA SE REMITE CON OFICIO PARA SU CUMPLIMIENTO
Caso de REINTEGRO (Escolta de planta)
ABOGADO ALLEGA DOCUMENTOS 
EN EL FALLO DE SEGUNDA INSTANCIA SE ORDENA EL REINTEGRO AL DAS, EN CASO DE NO, LO DEBE HACER LA UNP 
PAGADO POR LA FIDUPREVISORA 13/05/16
SE REMITIO A LA AGENCIA PARA QUE ELLOS PAGUEN</t>
  </si>
  <si>
    <t>JUZGADO DECIMO ADMINISTRATIVO DE DESCONGESTION DE BOGOTA SECCION SEGUNDA</t>
  </si>
  <si>
    <t xml:space="preserve">TRIBUNAL ADMINISTRATIVO DE CUNDINAMARCA SECCION SEGUNDA SUBSECCION "E" </t>
  </si>
  <si>
    <t>NRD-INSUBSISTENCIA</t>
  </si>
  <si>
    <t>BORIX ARIEL TORRES LOPEZ</t>
  </si>
  <si>
    <t>JOSE ALIRIO JIMENEZ PATIÑO</t>
  </si>
  <si>
    <t xml:space="preserve">2014-09437 </t>
  </si>
  <si>
    <t>ALLEGA PODER</t>
  </si>
  <si>
    <t>EXT16-00073876</t>
  </si>
  <si>
    <t>JUZGADO</t>
  </si>
  <si>
    <t>DEVOLUCION OFICIOSO</t>
  </si>
  <si>
    <t>EXT18-00087074</t>
  </si>
  <si>
    <t>AUTO QUE LIBRA MANDAMIENTO DE PAGO</t>
  </si>
  <si>
    <t>68 001 3331 012 2009 00266 00</t>
  </si>
  <si>
    <t>JUZGADO SEGUNDO ADMINISTRATIVO DE DESCONGESTION DE BUCARAMANGA</t>
  </si>
  <si>
    <t xml:space="preserve">TRIBUNAL ADMINISTRATIVO DE SANTANDER DE DESCONGESTION </t>
  </si>
  <si>
    <t>0635/15</t>
  </si>
  <si>
    <t>MEM15-00013707 DE 29/09/15</t>
  </si>
  <si>
    <t>68 001 3333 002 2018 00302 00</t>
  </si>
  <si>
    <t>CARLOS HUMBERTO SANCHEZ ARIAS</t>
  </si>
  <si>
    <t>CORREO ELCTRONICO</t>
  </si>
  <si>
    <t>REMITE FALLO</t>
  </si>
  <si>
    <t xml:space="preserve">EXT15-00005444 </t>
  </si>
  <si>
    <t>11 001 3331 020 2011 00536 00</t>
  </si>
  <si>
    <t>PAGADA</t>
  </si>
  <si>
    <t>JUZGADO SEGUNDO ADMINISTRATIVO DE DESCONGESTION DE BOGOTA</t>
  </si>
  <si>
    <t>0640/15</t>
  </si>
  <si>
    <t>0733/16</t>
  </si>
  <si>
    <t>MEM16-00018388 12/10/2016</t>
  </si>
  <si>
    <t>304889016</t>
  </si>
  <si>
    <t>LUIS ARMANDO PEREZ FLOREZ</t>
  </si>
  <si>
    <t>GREYDA ANGELIK COLMENARES URIBE</t>
  </si>
  <si>
    <t>EXT14-00041152</t>
  </si>
  <si>
    <t>ANDJE</t>
  </si>
  <si>
    <t>REMITE POR COMPETENCIA</t>
  </si>
  <si>
    <t>EXT14-00045819</t>
  </si>
  <si>
    <t>AGN</t>
  </si>
  <si>
    <t>EXT15-00061192</t>
  </si>
  <si>
    <t>54 001 3331 005 2011 00304 00</t>
  </si>
  <si>
    <r>
      <t xml:space="preserve">PAGADA / SE REALIZO EQUIVOCADAMENTE UN PAGO NO DEBIDO Y EN VARIAS OCASIONES SE HA REITERADO A LUIS ARMANDO PEREZ FLOREZ LA REPETICION DEL DINERO SIN OBTENER RESPUESTAS DE SU PARTE
MEDIANTE OFI17-00024207 DEL 07/07/2017 SE ENVIAN 23 FOLIOS ORIGINALES
</t>
    </r>
    <r>
      <rPr>
        <b/>
        <sz val="10"/>
        <rFont val="Calibri"/>
        <family val="2"/>
        <scheme val="minor"/>
      </rPr>
      <t/>
    </r>
  </si>
  <si>
    <t>JUZGADO CUARTO ADMINISTRATIVO DE DESCONGESTION DE CUCUTA</t>
  </si>
  <si>
    <t>0868/2015</t>
  </si>
  <si>
    <t>MEM15-00018715
23/12/2015
MEM16-00006708  25/04/2016</t>
  </si>
  <si>
    <t>PABLO EDWIN PEDRAZA GOMEZ</t>
  </si>
  <si>
    <t>EXT14-00041415</t>
  </si>
  <si>
    <t>EXT15-00018558</t>
  </si>
  <si>
    <t>BENEFICIARIO</t>
  </si>
  <si>
    <t>11 001 3331 717 2011 00047 00</t>
  </si>
  <si>
    <t>JUZGADO DIECISIETE ADMINSTRATIVO DE DESCONGESTION DE BOGOTA</t>
  </si>
  <si>
    <t>0348/2016 
0737/2016 (MODIFICA)</t>
  </si>
  <si>
    <t>MEM16-00008587
23/05/2016
MEM16-00018388 
12/10/2016</t>
  </si>
  <si>
    <t>304897916</t>
  </si>
  <si>
    <t>RAUL ANTONIO DIAZ GUTIERREZ</t>
  </si>
  <si>
    <t>EXT14-00041417</t>
  </si>
  <si>
    <t>11 001 3331 017 2011 00615 00</t>
  </si>
  <si>
    <t>06/06/2001</t>
  </si>
  <si>
    <t>13/01/2011</t>
  </si>
  <si>
    <t>JUZGADO SEXTO ADMINISTRATIVO DE DESCONGESTION DEL CIRCUITO DE BOGOTA</t>
  </si>
  <si>
    <t>260/2016</t>
  </si>
  <si>
    <t>0731/2016</t>
  </si>
  <si>
    <t>305135616</t>
  </si>
  <si>
    <t>ALDO ENRIQUE ACOSTA MEJIA</t>
  </si>
  <si>
    <t>LUIS ENRIQUE MOLINA</t>
  </si>
  <si>
    <t>EXT14-00044575</t>
  </si>
  <si>
    <t>EXT14-00041265</t>
  </si>
  <si>
    <t>41 001 2331 007 2005 01241 00</t>
  </si>
  <si>
    <t>JUZGADO SEPTIMO ADMINISTRATTIVO DE SANTA MARTA</t>
  </si>
  <si>
    <t>02/0810</t>
  </si>
  <si>
    <t>TRIBUNAL ADMINISTRATIVO DEL MAGDALENA</t>
  </si>
  <si>
    <t>545/15</t>
  </si>
  <si>
    <t>$15.559.283
5.186.428
(DR. LUIS ENRIQUE MOLINA NAVARRO)</t>
  </si>
  <si>
    <t>243928315
243929515
(DR. LUIS ENRIQUE MOLINA NAVARRO)</t>
  </si>
  <si>
    <t xml:space="preserve">OSCAR ALONSO SUAREZ MONSALVE </t>
  </si>
  <si>
    <t>EXT14-00042671</t>
  </si>
  <si>
    <t>MIN HACIENDA</t>
  </si>
  <si>
    <t>68 001 3331 008 2006 01919 00</t>
  </si>
  <si>
    <t xml:space="preserve">NO ESTA EN EL ANEXO 4, CORRESPONDE A LA AGENCIA No.385
</t>
  </si>
  <si>
    <t>JUZGADO OCTACO ADMINISTRATIVO DE BUCARAMANGA</t>
  </si>
  <si>
    <t>TRIBUNAL ADMINSTRATIVO DE SANTANDER EN DESCONGESTION</t>
  </si>
  <si>
    <t xml:space="preserve">LUIS ANTONIO SANCHEZ PEREZ </t>
  </si>
  <si>
    <t>JORGE ENRIQUE ALFARO VASQUEZ</t>
  </si>
  <si>
    <t xml:space="preserve">EXT14-00043151
</t>
  </si>
  <si>
    <t>EXT15-00053746</t>
  </si>
  <si>
    <t>08 001 3331 003 2011 00301 00</t>
  </si>
  <si>
    <r>
      <t xml:space="preserve">PAGADA
</t>
    </r>
    <r>
      <rPr>
        <b/>
        <sz val="10"/>
        <rFont val="Calibri"/>
        <family val="2"/>
        <scheme val="minor"/>
      </rPr>
      <t/>
    </r>
  </si>
  <si>
    <t>JUZGADO PRIMERO DE DESCONGESTION DE BARRANQUILLA</t>
  </si>
  <si>
    <t>TRIBUNAL ADMINSTRATIVO DEL ATLANTICO</t>
  </si>
  <si>
    <t>877/15 
233/2016
1064/2017</t>
  </si>
  <si>
    <t>MEM15-00018816
28/12/2015
MEM16-00006708  25/04/2016
MEM17-00014375
13/10/2017</t>
  </si>
  <si>
    <t>$ 8.863.025
$ 10.499.072</t>
  </si>
  <si>
    <t>$ 7.090.420
(MARBEL LUZ GAMEZ BARROS)
$ 1.172.605
(DR. JORGE ENRIQUE ALFARO VASQUEZ)
$ 10.499.072</t>
  </si>
  <si>
    <t xml:space="preserve">
117367416
(MARBEL LUZ GAMEZ BARROS)
117397116
(DR. JORGE ENRIQUE ALFARO VASQUEZ)
307379517</t>
  </si>
  <si>
    <t>10/05/2016
(MARBEL LUZ GAMEZ BARROS)
10/05/2016
(DR. JORGE ENRIQUE ALFARO VASQUEZ)
20/10/2017</t>
  </si>
  <si>
    <t>may-16
may-16
oct-17</t>
  </si>
  <si>
    <t>LUIS HAUBER NIEVAS LEMOS</t>
  </si>
  <si>
    <t>DIANA MARIA ARANZAZU</t>
  </si>
  <si>
    <t>EXT14-00048416</t>
  </si>
  <si>
    <t>EXT14-00043152</t>
  </si>
  <si>
    <t>EXT15-00005460</t>
  </si>
  <si>
    <t>EXT15-00024577</t>
  </si>
  <si>
    <t>EXT17-00005981</t>
  </si>
  <si>
    <t>AUTORIZA CONSIGNAR</t>
  </si>
  <si>
    <t>76 001 3331 013 2011 00295 00</t>
  </si>
  <si>
    <t>JUZGADO SEXTO ADMINISTRATIVO DE DESCONGESTION DE CALI</t>
  </si>
  <si>
    <t>633/15</t>
  </si>
  <si>
    <t>657/15 
 731/2015</t>
  </si>
  <si>
    <t>JHON ALEXANDER RAMOS GRAJALES</t>
  </si>
  <si>
    <t xml:space="preserve">EXT14-00043182 </t>
  </si>
  <si>
    <t>EXT14-00043157</t>
  </si>
  <si>
    <t>CORREO ELECTRONICO</t>
  </si>
  <si>
    <t>AUTO QUE LIBRA MANDAMIENTO DE PAGO Y DECRETA MEDIDAS CAUTELARES</t>
  </si>
  <si>
    <t>EXT18-00103726</t>
  </si>
  <si>
    <t>AUTO LIBRA MANDAMIENTO DE PAGO</t>
  </si>
  <si>
    <t>EXT18-00103896</t>
  </si>
  <si>
    <t>NOTIFICA DEMANDA EJECUTIVA</t>
  </si>
  <si>
    <t>EXT18-00103899</t>
  </si>
  <si>
    <t>68 001 3331 001 2009 00297 00</t>
  </si>
  <si>
    <t>JUZGADO PRIMERO ADMINISTRATIVO DE DESCONGESTION DEL CIRCUITO JUDICIAL DE BUCARAMANGA</t>
  </si>
  <si>
    <t>TRIBUNAL ADMINISTRATIVO DE DESCOPNGESTION SALA DE ASUNTO LABORALES -BUCARAMANGA</t>
  </si>
  <si>
    <t>645/15</t>
  </si>
  <si>
    <t>68 001 3333 009 2018 00169 00</t>
  </si>
  <si>
    <t>PEDRO JULIAN HERNANDEZ MARQUEZ</t>
  </si>
  <si>
    <t xml:space="preserve">EXT14-00043183
</t>
  </si>
  <si>
    <t>EXT14-00045811</t>
  </si>
  <si>
    <t xml:space="preserve">ABOGADO </t>
  </si>
  <si>
    <t>REMITE PODER</t>
  </si>
  <si>
    <t>11 001 3331 023 2009 00211 00</t>
  </si>
  <si>
    <t xml:space="preserve">PAGADA </t>
  </si>
  <si>
    <t>JUZGADO NOVENO ADMINISTRATIVO DE DESCONGESTION DE BOGOTA(REVOCADO)</t>
  </si>
  <si>
    <t xml:space="preserve">TRIBUNAL ADMINISTRATIVO DE CUNDINAMARCA SECCION SEGUNDA SUBSECCION "F" EN DESCONGESTION </t>
  </si>
  <si>
    <t>261/16</t>
  </si>
  <si>
    <t>0728/2016</t>
  </si>
  <si>
    <t>MEM16-00018388  12/10/2016</t>
  </si>
  <si>
    <t>305268016
(DR. JOSE ALIRIO JIMENEZ)
379456216
(PROTECCION)</t>
  </si>
  <si>
    <t>24/10/2016
(DR. JOSE ALIRIO JIMENEZ)
26/12/2016
(PROTECCION)</t>
  </si>
  <si>
    <t>oct-16
dic-16</t>
  </si>
  <si>
    <t xml:space="preserve">CISER HINCAPIE HERRERA </t>
  </si>
  <si>
    <t>EXT14-00044577</t>
  </si>
  <si>
    <t>47 001 2331 002 2005 01004 00</t>
  </si>
  <si>
    <t xml:space="preserve">PAGADA
</t>
  </si>
  <si>
    <t>JUZGADO SEGUNDO ADMINISTRATIVO DE DESCONGESTION DE STA MARTA</t>
  </si>
  <si>
    <t>0442/15</t>
  </si>
  <si>
    <t>0442/15 
CON RESOL. MODIF. 0474/15</t>
  </si>
  <si>
    <t>MEM15-00010398 DE 22/07/15</t>
  </si>
  <si>
    <t>$ 16.208.582
$ 5.402.861
(DR. LUIS ENRIQUE MOLINA NAVARRO)</t>
  </si>
  <si>
    <t>241760515
241770115
(DR. LUIS ENRIQUE MOLINA NAVARRO)</t>
  </si>
  <si>
    <t>31/08/2015
31/08/2015
(DR. LUIS ENRIQUE MOLINA NAVARRO)</t>
  </si>
  <si>
    <t>ago-15
ago-15</t>
  </si>
  <si>
    <t>EDWIN RAFAEL GRANADOS FONTALVO</t>
  </si>
  <si>
    <t>0443/15</t>
  </si>
  <si>
    <t xml:space="preserve">0443/15 
</t>
  </si>
  <si>
    <t>$ 16.602.067
(DR. LUIS ENRIQUE MOLINA NAVARRO)
$ 49.806.202</t>
  </si>
  <si>
    <r>
      <t xml:space="preserve">241709315
(DR. LUIS ENRIQUE MOLINA NAVARRO)
</t>
    </r>
    <r>
      <rPr>
        <sz val="9"/>
        <color theme="1"/>
        <rFont val="Arial Narrow"/>
        <family val="2"/>
      </rPr>
      <t>241699115</t>
    </r>
  </si>
  <si>
    <t>31/08/2015
(DR. LUIS ENRIQUE MOLINA NAVARRO)
31/08/2015</t>
  </si>
  <si>
    <t>EDGAR REINALDO CASTRO CHAMORRO</t>
  </si>
  <si>
    <t>11 001 3331 706 2011 00022 00</t>
  </si>
  <si>
    <t>JUZGADO SEXTO ADMINISTRATIVO DE DESCONGESTION DE BOGOTA</t>
  </si>
  <si>
    <t>637/15</t>
  </si>
  <si>
    <t>347/2016</t>
  </si>
  <si>
    <t>MEM16-00008587 
23/05/2016</t>
  </si>
  <si>
    <t>ALEXANDER RODRIGUEZ</t>
  </si>
  <si>
    <t>ANGEL PORTO GUZMAN</t>
  </si>
  <si>
    <t xml:space="preserve">EXT14-00045298
</t>
  </si>
  <si>
    <t>EXT14-00042850</t>
  </si>
  <si>
    <t>08 001 3331 010 2011 00076 00</t>
  </si>
  <si>
    <t>JUZGADO PRIMERO ADMINISTRATIVO DE DESCONGESTION DE BARRANQUILLA</t>
  </si>
  <si>
    <t>TRIBUNAL ADMINISTRATIVO DEL ATLANTICO</t>
  </si>
  <si>
    <t>651/15</t>
  </si>
  <si>
    <t>800/2015</t>
  </si>
  <si>
    <t>(MEM15-00015991 12/11/15)
MEM15-00017181
27/11/2015
 MEM16-00004218 DE 11 DE MARZO DE 2016</t>
  </si>
  <si>
    <t>CARLOS MARIO ROJAS VARGAS</t>
  </si>
  <si>
    <t>ALEJANDRO HORTUA INSUASTI</t>
  </si>
  <si>
    <t xml:space="preserve">EXT14-00045299
</t>
  </si>
  <si>
    <t>EXT16-00071660</t>
  </si>
  <si>
    <t>REMITE DOCUMENTOS</t>
  </si>
  <si>
    <t>05 001 3331 009 2011 00364 00</t>
  </si>
  <si>
    <t>JUZGADO SEGUNDO ADMINISTRADTIVO DE DESCONGESTION DE MEDELLIN</t>
  </si>
  <si>
    <t>TRIBUNAL ADMINSTRATIVO DE ANTIOQUIA</t>
  </si>
  <si>
    <t>0743/2016</t>
  </si>
  <si>
    <t>MEM16-00018388 
12/10/2016</t>
  </si>
  <si>
    <t>$ 91.111.386
$ 39.047.736
(DR. ALEJANDRO HORTUA INSUASTY)</t>
  </si>
  <si>
    <t xml:space="preserve">302665616 
302691816
(DR. ALEJANDRO HORTUA INSUASTY)
</t>
  </si>
  <si>
    <t xml:space="preserve">27/10/2016
27/10/2016
(DR. ALEJANDRO HORTUA INSUASTY)
</t>
  </si>
  <si>
    <t>oct-16
oct-16</t>
  </si>
  <si>
    <t>JEAN CHRISTIAN CASTRO BONFANTE</t>
  </si>
  <si>
    <t>INGRID MARIA YEPES CARPINTERO</t>
  </si>
  <si>
    <t>EXT14-00047037</t>
  </si>
  <si>
    <t>EXT15-00071402</t>
  </si>
  <si>
    <t>SOLICITUD 
CUMPLIMIENTO
 SENTENCIA</t>
  </si>
  <si>
    <t>EXT15-00074592</t>
  </si>
  <si>
    <t>REMISION POR 
COMPETENCIA</t>
  </si>
  <si>
    <t>EXT16-00047320</t>
  </si>
  <si>
    <t>EXT17-00014513</t>
  </si>
  <si>
    <t>REQUERIMIENTO CUMPLIMIENTO DE SENTENCIA</t>
  </si>
  <si>
    <t>01/03/2017
06/03/2017
20/04/2017
21/06/2017
03/08/2017
22/08/2017
05/03/2018
21/05/2018</t>
  </si>
  <si>
    <t>mar-17
mar-17
abr-17
jun-17
ago-17
ago-17
mar-18
may-18</t>
  </si>
  <si>
    <t>EXT17-00014833
EXT17-00016316
EXT17-00028720
EXT17-00046885
EXT17-00059331
EXT17-00064197
EXT18-00019415
EXT18-00045080</t>
  </si>
  <si>
    <t>FIDUPREVISORA
ABOGADA
JUZGADO
ABOGADA
ABOGADA
ABOGADA
ABOGADA
ABOGADA</t>
  </si>
  <si>
    <t>TRASLADO POR COMPETENCIA
SOLICITUD ACTUACIONES REALIZADAS
CUMPLIMIENTO SENTENCIA 
OFICIO  
ALLEGA DOCUMENTOS
OFICIO
SOLICITUD DE INFORMACION
ALLEGA DOCUMENTOS</t>
  </si>
  <si>
    <t>28/09/2018
02/10/2018</t>
  </si>
  <si>
    <t>sep-2018
oct-2018</t>
  </si>
  <si>
    <t>CORREO ELECTRONICO
EXT18-00099705</t>
  </si>
  <si>
    <t>JUZGADO
JUZGADO</t>
  </si>
  <si>
    <t>REQUIERE GASTOS PROCESALES
REMITE AUTO</t>
  </si>
  <si>
    <t>12/02/2018 LTK
DEVUELTO LTK RAD:LTK-002-006-2018 23/02/18</t>
  </si>
  <si>
    <t>70 001 3333 007 2012 00081 00</t>
  </si>
  <si>
    <t>NO APARECE EN EL DECRETO 1303
SE COMUNICO A LA ABOGADA MEDIANTE OFI17-00025989 / (08/08/2017 NO SE ENCONTRO EN EL ARCHIVO) (30/08/2017 SE RECONSTRUYE EXPEDIENTE) ORIGINALES EXT17-00059331 Y EXT17-00064197
SE DA RESPUESTA MEDIANTE OFI18-00012133 22/03/18 E</t>
  </si>
  <si>
    <t xml:space="preserve">JUZGADO SEPTIMO ADMINISTRATIVO ORAL DE SINCELEJO </t>
  </si>
  <si>
    <t>0737/18</t>
  </si>
  <si>
    <t>ingridps@gmail.com 15/06/2018</t>
  </si>
  <si>
    <t>DIEGO ALEJANDRO MONTOYA BETANCUR</t>
  </si>
  <si>
    <t>EXT14-00048365</t>
  </si>
  <si>
    <t>05 001 3331 018 2011 00282 00</t>
  </si>
  <si>
    <t>JUZGADO DIECIOCHO ADMINISTRATIVO DE MEDELLIN</t>
  </si>
  <si>
    <t>TRIBUNAL ADMINMSTRATIVO DE ANTIOQUIA</t>
  </si>
  <si>
    <t>0742/2016</t>
  </si>
  <si>
    <t>$ 95.145.300
$ 40.776.558
(DR. ALEJANDRO HORTUA INSUASTY)</t>
  </si>
  <si>
    <t>304866616
304883616
(DR. ALEJANDRO HORTUA INSUASTY)</t>
  </si>
  <si>
    <t>28/10/2016
28/10/2016
(DR. ALEJANDRO HORTUA INSUASTY)</t>
  </si>
  <si>
    <t>ORLANDO MORENO CAICEDO</t>
  </si>
  <si>
    <t>ERWIN VERA BAUTISTA</t>
  </si>
  <si>
    <t>EXT14-00048680</t>
  </si>
  <si>
    <t>EXT15-00019257</t>
  </si>
  <si>
    <t>EXT15-00063768</t>
  </si>
  <si>
    <t>REMITE OFICIO</t>
  </si>
  <si>
    <t>EXT18-00029771</t>
  </si>
  <si>
    <t>MIGRACION</t>
  </si>
  <si>
    <t>REMISION DE DOCUMENTOS</t>
  </si>
  <si>
    <t>68 001 2331 000 2011 00703 00</t>
  </si>
  <si>
    <t>TRIBUNAL ADMINSTRATIVO DE SANTANDER SUBSECCION DE DESCONGESTION</t>
  </si>
  <si>
    <t>1451/17</t>
  </si>
  <si>
    <t>2345918</t>
  </si>
  <si>
    <t>JUAN CARLOS MORENO BLANCO</t>
  </si>
  <si>
    <t xml:space="preserve">EXT14-00048684
</t>
  </si>
  <si>
    <t>EXT15-00019247</t>
  </si>
  <si>
    <t xml:space="preserve">05 DE MAYO/2017
NO PERTENECIERON AL CONTRATO 438/17 NPA NO TIENE INFORMACION </t>
  </si>
  <si>
    <t>68 001 1331 000 2012 00211 00</t>
  </si>
  <si>
    <t>NO APARECE EN EL DECRETO 1303
SE COMUNICO AL ABOGADO
LA AGENCIA LO REMITIÓ/ (ADRIANA) SE SOLICITO LO DE LA DIAN YA QUE LOS DOCUMENTOS REPOSAN EN EL EXPEDIENTE Y SE PASO PARA LIQUIDACION Y ASÍ PROCEDER A HACER LA RESOLUCION DE PAGO</t>
  </si>
  <si>
    <t>0840-2017</t>
  </si>
  <si>
    <t>1458/17</t>
  </si>
  <si>
    <t>2342618</t>
  </si>
  <si>
    <t>68 001 2333 000 2016 01390 00</t>
  </si>
  <si>
    <t xml:space="preserve">ALEXIS JOAQUIN SICACHA CASTELLANOS </t>
  </si>
  <si>
    <t xml:space="preserve">EXT14-00049720
</t>
  </si>
  <si>
    <t>EXT16-00073911</t>
  </si>
  <si>
    <t>05 001 3331 022 2011 00343 00</t>
  </si>
  <si>
    <t>JUZGADO VEINTIDOS ADMINISTRATIVO DE MEDELLIN</t>
  </si>
  <si>
    <t>TRIBUNAL ADMINISTRATIVO DE ANTIOQUIA</t>
  </si>
  <si>
    <t>0725/2016</t>
  </si>
  <si>
    <t>$ 32.717.005
$ 59.595.166</t>
  </si>
  <si>
    <t>305397116
305435416</t>
  </si>
  <si>
    <t>28/10/2016
28/10/2016</t>
  </si>
  <si>
    <t>JOSE EUTIMIO ORTIZ VELEZ</t>
  </si>
  <si>
    <t>GUSTAVO ARANGUREN BOLIVAR</t>
  </si>
  <si>
    <t>EXT14-00050552</t>
  </si>
  <si>
    <t>EXT15-0009606</t>
  </si>
  <si>
    <t>CUENTA DE COBRO</t>
  </si>
  <si>
    <t>EXT15-00010223</t>
  </si>
  <si>
    <t>ASISTENTE LEGAL</t>
  </si>
  <si>
    <t>NOTIFICACION</t>
  </si>
  <si>
    <t>EXT18-00007083</t>
  </si>
  <si>
    <t>SOLIOCITUD DE INFORMACION</t>
  </si>
  <si>
    <t>EXT15-00079043</t>
  </si>
  <si>
    <t>23/04/2018
29/05/2018 
30/05/2018</t>
  </si>
  <si>
    <t>abr-18
may-18
may-18</t>
  </si>
  <si>
    <t>EXT18-00035386
EXT18-00048195
EXT18-00048594</t>
  </si>
  <si>
    <t>BENEFICIARIO
ABOGADA
BENEFICIARIO</t>
  </si>
  <si>
    <t xml:space="preserve">DERECHO DE PETICION
ALLEGA DOCUMENTOS
ALLEGA PODER Y PAZ Y SALVO
</t>
  </si>
  <si>
    <t>05/06/2018 SE ENCUENTRA EL EXPENDIENTE FISICO EN UNP YL LIQUIDADO UNP</t>
  </si>
  <si>
    <t>66 001 3331 003 2010 00327 00</t>
  </si>
  <si>
    <t>JUZGADO TERCERO ADMINISTRATIVO DE DESCONGESTION DE PEREIRA</t>
  </si>
  <si>
    <t>TRIBUNAL CONTENCIOSO ADMINISTRATIVO DE RISARALDA</t>
  </si>
  <si>
    <t>777/15</t>
  </si>
  <si>
    <t>JAVIER FRANCISCO LUNA CONTRERAS</t>
  </si>
  <si>
    <t>EXT14-00050681</t>
  </si>
  <si>
    <t>70 001 3333 009 2012 00068 00</t>
  </si>
  <si>
    <t>JUZGADO NOVENO ADMINSTRATIVO ORAL DE SINCELEJO</t>
  </si>
  <si>
    <t xml:space="preserve">0548/15 </t>
  </si>
  <si>
    <t>MARLON FRANKLIN VELEZ AGUDELO</t>
  </si>
  <si>
    <t>EXT14-00053059</t>
  </si>
  <si>
    <t>05 001 3331 012 2011 00305 00</t>
  </si>
  <si>
    <t>JUZGADO CUARTO ADMINISTRATIVO DE DESCONGESTION DE MEDELLIN</t>
  </si>
  <si>
    <t>0780/2015</t>
  </si>
  <si>
    <t>0791/2015</t>
  </si>
  <si>
    <t>MEM15-00016924   25/11/2015</t>
  </si>
  <si>
    <t>HOLMES FERNEY AGUDELO DIEZ</t>
  </si>
  <si>
    <t>EXT14-00054022</t>
  </si>
  <si>
    <t>EXT18-00005153</t>
  </si>
  <si>
    <t>SOLICITUD LIQUIDACION</t>
  </si>
  <si>
    <t>EXT18-00025641</t>
  </si>
  <si>
    <t>AUTO  TERMINA PROCESO POR PAGO</t>
  </si>
  <si>
    <t>05 001 3331 009 2011 00278 00</t>
  </si>
  <si>
    <t>NO APARECE EN EL DECRETO
ESTAR PENDIENTES DE LOS DOCUMENTOS REMITIDOS POR EL ABOGADO EL 16 DE JUNIO DE 2017</t>
  </si>
  <si>
    <t>JUZGADO DIECISIETE ADMINISTRATIVO DEL CIRCUITO DE MEDELLIN</t>
  </si>
  <si>
    <t>TRIBUNAL ADMINSTRATIVO DE ANTIOQUIA SALA DE DESCONGESTION SUBSECCION LABORAL</t>
  </si>
  <si>
    <t>1246/2017</t>
  </si>
  <si>
    <t>1490/17</t>
  </si>
  <si>
    <t>2377718</t>
  </si>
  <si>
    <t>alejandro0522@hotmail.com 
29/01/18</t>
  </si>
  <si>
    <t>05 001 3331 017 2017 00278 00</t>
  </si>
  <si>
    <t>MANUEL EDUARDO CONTRERAS DEL PORTILLO</t>
  </si>
  <si>
    <t>EDER ENRIQUE DIAZ OCHOA</t>
  </si>
  <si>
    <t>TRASLADO EXCEPCIONES</t>
  </si>
  <si>
    <t>EXT18-00087617</t>
  </si>
  <si>
    <t>CITACIÓN AUDIENCIA</t>
  </si>
  <si>
    <t>47 001 3331 001 2012 00291 00</t>
  </si>
  <si>
    <t xml:space="preserve">SE PAGARON  $73.771.247 AL BENEFICIARIO Y $8.498.997 AL FONDO DE PENSIONES (PORVENIR) OBLIGATORIAS, MÁS  $25.074.402 POR RELIQUIDACION </t>
  </si>
  <si>
    <t>532/2015</t>
  </si>
  <si>
    <t>0735/2016
0752/2016 corrige la 0735.
0528/2017 por medio del cual se da cumplimiento a la reliquidacion</t>
  </si>
  <si>
    <t xml:space="preserve">MEM16-00018388  12/10/2016
</t>
  </si>
  <si>
    <t>305231216</t>
  </si>
  <si>
    <t>0528/2017</t>
  </si>
  <si>
    <t>MEM17-00007135 30/05/2017</t>
  </si>
  <si>
    <t>JHONIER ENRIQUE BASTIDAS MONTERO</t>
  </si>
  <si>
    <t xml:space="preserve">EXT14-00054868 </t>
  </si>
  <si>
    <t>24/05/2017
ENTREGADO Y LIQUIDADO 22/11/2017
LIQUIDADO NPA</t>
  </si>
  <si>
    <t>47 001 3331 001 2013 00425 00</t>
  </si>
  <si>
    <t>(CON DOCUMENTOS COMPLETOS) SE DEVUELVE SENTENCIA AL ABOGADO
 OJO SE TRAMITE CON EL DT. 01 DE1984 LA DEMANDANDA FUE ADMITIDA EL 25 DE MARZO DE 2011</t>
  </si>
  <si>
    <t>JUZGADO SEGUNDO ADMINISTRATIVO DE DESCONGESTION DE SANTA MARTA</t>
  </si>
  <si>
    <t>531/2015</t>
  </si>
  <si>
    <t>1441/17</t>
  </si>
  <si>
    <t>2343418</t>
  </si>
  <si>
    <t>MILLER JOSE JARAMILLO DAZA</t>
  </si>
  <si>
    <t>47 001 3331 002 2013 00391 00</t>
  </si>
  <si>
    <t>JUZGADO SEGUNDO ADMINISTRATIVO DEL CIRCUITO DE SANTA MARTA</t>
  </si>
  <si>
    <t>530/2015</t>
  </si>
  <si>
    <t xml:space="preserve">349/2016 
0738/2016 (MODIFICA)
</t>
  </si>
  <si>
    <t>MEM16-00008587
23/05/2016
MEM16-00018388  12/10/2016</t>
  </si>
  <si>
    <t>$ 128.402.528
(DR. EDER ENRIQUE DIAZ OCHOA)
$ 2.866.200
(PROTECCION)</t>
  </si>
  <si>
    <t>305687816
(DR. EDER ENRIQUE DIAZ OCHOA)
379153116
(PROTECCION)</t>
  </si>
  <si>
    <t xml:space="preserve">28/10/2016
(DR. EDER ENRIQUE DIAZ OCHOA)
26/12/2016
(PROTECCION)
</t>
  </si>
  <si>
    <t xml:space="preserve">oct-16
dic-16
</t>
  </si>
  <si>
    <t>47 001 3333 001 2016 00268 00</t>
  </si>
  <si>
    <t>0513/2017
POR LA CUAL
SE ADICIONA  LA 0738/2016</t>
  </si>
  <si>
    <t>MEM17-00007047 26/05/2017</t>
  </si>
  <si>
    <t>$ 64.937.324
(DR. EDER ENRIQUE DIAZ OCHOA)
$ 2.770.840
(PROTECCION)</t>
  </si>
  <si>
    <t>139659217
(DR. EDER ENRIQUE DIAZ OCHOA)
139661517
(PROTECCION)</t>
  </si>
  <si>
    <t>31/05/2017
31/05/2017
(PROTECCION)</t>
  </si>
  <si>
    <t>may-17
may-17</t>
  </si>
  <si>
    <t>MILTON CESAR RODRIGUEZ ORTIZ</t>
  </si>
  <si>
    <t>EXT15-00068300</t>
  </si>
  <si>
    <t>PROCURADURIA</t>
  </si>
  <si>
    <t>OFICIO SOLICITA INFORMACION</t>
  </si>
  <si>
    <t>EXT15-00070962</t>
  </si>
  <si>
    <t>EXT16-00090691
(EJECUTIVO)</t>
  </si>
  <si>
    <t>NOTIFICA MANDAMIENTO DE PAGO</t>
  </si>
  <si>
    <t>EXT16-00090296</t>
  </si>
  <si>
    <t>13/12/2016
24/11/2016
06/07/2017
05/07/2017
05/09/2017
04/09/2017
23/04/2018</t>
  </si>
  <si>
    <t>dic-16
nov-16
jul-17
jul-17
sep-17
sep-17  
abr-18</t>
  </si>
  <si>
    <t>EXT16-00096178
EXT16-00091708
EXT17-00051078 
EXT17-00050717
EXT17-00068424
EXT17-00068218
EXT18-00035439</t>
  </si>
  <si>
    <t>ANDJE
ABOGADO
JUZGADO
JUZGADO
JUZGADO
JUZGADO
JUZGADO</t>
  </si>
  <si>
    <t>REMITE COPIA SENTENCIA
REMITE DERECHO DE PETICION
CITACION AUDIENCIA INICIAL
CITACION AUDIENCIA INICIAL
DECLARA FALTA DE COMPETENCIA
DECLARA FALTA DE COMPETENCIA
EJECUTIVO</t>
  </si>
  <si>
    <t>47 001 3331 002 2012 00290 00</t>
  </si>
  <si>
    <t xml:space="preserve">PAGADA
 (PENDIENTE ALGUNOS PAGOS DE MI PLANILLA)
</t>
  </si>
  <si>
    <t>0550/2017</t>
  </si>
  <si>
    <t>MEM17-00007542 05/06/2017</t>
  </si>
  <si>
    <t>JONAS ANTONIO BACA DONADO</t>
  </si>
  <si>
    <t>EXT14-00059898</t>
  </si>
  <si>
    <t>EXT14-00064647</t>
  </si>
  <si>
    <t>EXT15-00053744</t>
  </si>
  <si>
    <t>JUZGADO TERCERO ADMINISTRATIVO DE DESCONGESTION DE BARRANQUILLA</t>
  </si>
  <si>
    <t>TRIBUNAL ADMINISTRATIVO DEL ATLANTICO SUBSECCION DE DESCONGESTION</t>
  </si>
  <si>
    <t>0889/2016</t>
  </si>
  <si>
    <t>MEM16-00021787 13/12/2016
MEM16-00022499
27/12/2016</t>
  </si>
  <si>
    <t xml:space="preserve">ALBEIRIS ROBLES MARTINEZ </t>
  </si>
  <si>
    <t>EXT14-00058484</t>
  </si>
  <si>
    <t>EXT15-00071388</t>
  </si>
  <si>
    <t>ALLEGA RUT</t>
  </si>
  <si>
    <t>EXT15-00053738</t>
  </si>
  <si>
    <t>SOLICITUD  DE LIQUIDACION</t>
  </si>
  <si>
    <t>EXT17-00058919</t>
  </si>
  <si>
    <t>PAGADA
(SE DA RESPUESTA MEDIANTE OFI17-00030488 23/08/17)A</t>
  </si>
  <si>
    <t>JUZGADO SEPTIMO ADMINISTRATIVO DE BARRANQUILLA</t>
  </si>
  <si>
    <t>0957/2016</t>
  </si>
  <si>
    <t>MEM16-00022439 23/12/2016</t>
  </si>
  <si>
    <t>RUBEN DARIO GONZALEZ GONZALEZ</t>
  </si>
  <si>
    <t>EXT14-00060079</t>
  </si>
  <si>
    <t>EXT16-00025897</t>
  </si>
  <si>
    <t>EXT16-00036304</t>
  </si>
  <si>
    <t>05 001 3331 011 2011 00254 00</t>
  </si>
  <si>
    <t xml:space="preserve"> NO SE ENCUENTRA COMO IMPUESTO ES DE LA AGENCIA 436 </t>
  </si>
  <si>
    <t>JUZGADO ONCE ADMINISTRATIVO DE MEDELLIN</t>
  </si>
  <si>
    <t>INDIRA GOLDA ACOSTA HERAZO 
BRIAN HEYKO SERNA ACOSTA
PABLO ANDRES SERNA ACOSTA
MAYRA ALEJANDRA SERNA ACOSTA
(leonor lopez vargas) sucesor procesal SERGIO ANTONIO NUCCI. (R.D.)
GERMAN SERNA LOPEZ
NASIN SERNA LOPEZ
ROBINSON SERNA LOPEZ</t>
  </si>
  <si>
    <t>LUZ MARINA DE LAS SALAS SANJUAN</t>
  </si>
  <si>
    <t>EXT14-00065869</t>
  </si>
  <si>
    <t>EXT15-00046146</t>
  </si>
  <si>
    <t>EXT15-00058876</t>
  </si>
  <si>
    <t>EXT17-00080535</t>
  </si>
  <si>
    <t>EXT17-00017387</t>
  </si>
  <si>
    <t>TRASLADO POR COMPETENCIA</t>
  </si>
  <si>
    <t>27/11/2017
01/03/2018
20/03/2018
26/04/2018</t>
  </si>
  <si>
    <t>nov-17
mar-18
mar-18
abr-18</t>
  </si>
  <si>
    <t xml:space="preserve">EXT17-00092844
EXT18-00018852
EXT18-00024458
EXT18-00037054 </t>
  </si>
  <si>
    <t>ABOGADA
ABOGADA
ABOGADA
ABOGADA</t>
  </si>
  <si>
    <t>ADICION DERECHO DE PETICION
DERECHO DE PETICION
ALLEGA DOCUMENTACION
SOLICITUD DE CUMPLIMIENTO DE SENTENCIA</t>
  </si>
  <si>
    <t>EXT18-00052091</t>
  </si>
  <si>
    <t>LUZ MARINA DE LAS SALAS SAN JUAN</t>
  </si>
  <si>
    <t>08 001 2331 001 2004 02475 00</t>
  </si>
  <si>
    <t>PAGADO PARCIALMENTE</t>
  </si>
  <si>
    <t>REPARACION DIRECTA</t>
  </si>
  <si>
    <t>MUERTE DE PARTICULAR - DAS</t>
  </si>
  <si>
    <t>MAURICIO ROMERO RAMOS</t>
  </si>
  <si>
    <t>NIYIRETH ORTIGOZA MAYORGA</t>
  </si>
  <si>
    <t>ACTA</t>
  </si>
  <si>
    <t>DAS</t>
  </si>
  <si>
    <t>EN EL ANEXO ES EL No. 149.</t>
  </si>
  <si>
    <t>EXT14-00002553</t>
  </si>
  <si>
    <t xml:space="preserve">EXT13-00031244 </t>
  </si>
  <si>
    <t>CUMPLIMIENTO DE SENTENCIA</t>
  </si>
  <si>
    <t>EXT14-00008649</t>
  </si>
  <si>
    <t>ATENCION A OFICIO</t>
  </si>
  <si>
    <t>25 000 2325 000 2009 00405 00</t>
  </si>
  <si>
    <t>OJO APARECE COMO PAGADA SEGÚN RESPUESTA DEL ARCHIVO SE ENCUENTRA EN EL ARCHIVO DE INVENTARIO UNICO DOCUMENTAL DE FECHA 18 DE DIC. DE 2014 (CARPETA UNP EN ENTIDAD) CAJA 51
CARPETA DE CONTENCIOSO
EN EL ANEXO ES EL 149</t>
  </si>
  <si>
    <t>TRIBUNAL ADMNISTRATIVO DE CUNDINAMARCA - SECCION SEGUNDA</t>
  </si>
  <si>
    <t>CONSEJO DE ESTADO</t>
  </si>
  <si>
    <t>MININTERIOR Y DE JUSTICIA</t>
  </si>
  <si>
    <t>GUSTAVO LOCARNO GUTIERREZ Y OTROS</t>
  </si>
  <si>
    <t>PENDIENTE</t>
  </si>
  <si>
    <t>EXT18-00022553</t>
  </si>
  <si>
    <t>MINTERIOR</t>
  </si>
  <si>
    <t>SOLICITUD</t>
  </si>
  <si>
    <t>EXT18-00059732</t>
  </si>
  <si>
    <t>SOLICITUD DE INTERESES</t>
  </si>
  <si>
    <t>EXT18-00105830</t>
  </si>
  <si>
    <t>MININTERIOR</t>
  </si>
  <si>
    <t>JUZGADO QUINTO ADMINISTRATIVO DEL CIRCUITO DE VALLEDUPAR</t>
  </si>
  <si>
    <t>TRIBUNAL ADMINISTRATIVO DEL CESAR</t>
  </si>
  <si>
    <t>MUERTE DE PARTICULAR -DAS</t>
  </si>
  <si>
    <t>ingrid.ortega@mininterior.gov.co 
15/06/18</t>
  </si>
  <si>
    <t>JHON JAIRO MARTINEZ MOLINA</t>
  </si>
  <si>
    <t>EN EL ANEXO ES EL No. 682</t>
  </si>
  <si>
    <t>05 001 3333 023 2012 00222 00</t>
  </si>
  <si>
    <t>PAGADA, OJO ESTA SENTENCIA YA SE PAGO, SEGUN RESPUESTA DEL 24 DE SEPTIEMBRE DE 2015, DEL ARCHIVO GENERAL DE LA NACION, SE ENCUENTRA EN EL ARCHIVO DE INVENTARIO UNICO DOCUMENTAL DE FECHA 18 DE DIC. DE 2014 (CARPETA LIQUID. SENTENCIA JUDICIAL  UBICADO EN EL No. 14 ) CAJA 2
CON DOCUMENTOS COMPLETOS
OJO HABIA ALLEGADO TODA LA DOC. EN FEBRERO DE 2014</t>
  </si>
  <si>
    <t>JUZGADO VEINTITRES ADMINISTRATIVO ORAL DE MEDELLIN</t>
  </si>
  <si>
    <t>OSCAR AUGUSTO SANDOVAL CASTILLA</t>
  </si>
  <si>
    <t>ADRIANA ROMERO PEREIRA</t>
  </si>
  <si>
    <t xml:space="preserve">PAGADA PERO SOLICITAN RELIQUIDAR
</t>
  </si>
  <si>
    <t>EXT17-00101975</t>
  </si>
  <si>
    <t>24/05/2017
ENTREGADO Y LIQUIDADO 29/08/2017
LIQUIDADO NPA</t>
  </si>
  <si>
    <t>11 001 3331 708 2010 00147 00</t>
  </si>
  <si>
    <t>EN EL ANEXO ES EL No. 699
OJO SE OBSERVA QUE YA SE LE PAGO
SE ENCUENTRA EN EL ARCHIVO DE INVENTARIO UNICO DOCUMENTAL DE FECHA 18 DE DIC. DE 2014 (CARPETA LIQUID. SENTENCIA JUDICIAL  UBICADO EN EL No. 41) CAJA 4
SE DA RESPUESTA MEDIANTE OFI17-00048314 28/12/2017 L</t>
  </si>
  <si>
    <t>JUZGADO OCTAVO ADMINSTRATIVO DE DESCONGESTION DE BOGOTA</t>
  </si>
  <si>
    <t>1486/17</t>
  </si>
  <si>
    <t>3000318</t>
  </si>
  <si>
    <t>suasesorlegal01@hahoo.com
03/02/18</t>
  </si>
  <si>
    <t>JOHAN ALBERTO MOJICA QUINTERO</t>
  </si>
  <si>
    <t>DEIBY GUILLERMO ARAQUE ABRIL</t>
  </si>
  <si>
    <t>20 001 3331 004 2012 00005 00</t>
  </si>
  <si>
    <t>PAGADA 
 (PENDIENTE ALGUNOS PAGO DE MI PLANILLA)</t>
  </si>
  <si>
    <t>JUZGDO CUARTO ADMINISTRATIVO DEL CIRCUITO DE VALLEDUPAR</t>
  </si>
  <si>
    <t>TRIBUNAL ADMINSTRATIVO DEL CESAR</t>
  </si>
  <si>
    <t>634/15</t>
  </si>
  <si>
    <t>658/2015</t>
  </si>
  <si>
    <t>ALONSO ARDILA ROJAS</t>
  </si>
  <si>
    <t>EXT16-00070760</t>
  </si>
  <si>
    <t>EXT16-00071126</t>
  </si>
  <si>
    <t>EXT18-00093748</t>
  </si>
  <si>
    <t>68 001 3331 006 2010 00094 00</t>
  </si>
  <si>
    <t>10/01/2009</t>
  </si>
  <si>
    <t>638/2015</t>
  </si>
  <si>
    <t>MEM15-00018816
28/12/2015
MEM16-00018388 
12/10/2016</t>
  </si>
  <si>
    <t>DANIEL ALBEIRO HERNANDEZ BRAVO</t>
  </si>
  <si>
    <t>EXT18-00109261</t>
  </si>
  <si>
    <t>TRIBUNAL</t>
  </si>
  <si>
    <t>68 001 2333 000 2012 00273 00</t>
  </si>
  <si>
    <t>TRIBUNAL ADMINISTRATIVO DE SANTANDER</t>
  </si>
  <si>
    <t>0643/15</t>
  </si>
  <si>
    <t>FERNANDO MAURICIO GARCIA CARO</t>
  </si>
  <si>
    <t>EXT18-00087473</t>
  </si>
  <si>
    <t>SOLICITA RELIQUIDACION</t>
  </si>
  <si>
    <t>11 001 3331 023 2010 00171 00</t>
  </si>
  <si>
    <t>01/01/2004</t>
  </si>
  <si>
    <t>12/12/2008</t>
  </si>
  <si>
    <t>JUZGADO DIECIOCHO ADMINISTRATIVO DE DESCONGESTION DEL CIRCUITO JUDICIAL DE BOGOTA SECCION SEGUNDA</t>
  </si>
  <si>
    <t>641/15</t>
  </si>
  <si>
    <t>A 30-09-2018,    $24.711.606</t>
  </si>
  <si>
    <t>HUBER DARIO ARIAS ORJUELA</t>
  </si>
  <si>
    <t>11 001 3331 027 2011 00571 00</t>
  </si>
  <si>
    <t>JUZGADO DECIMO ADMINISTRATIVO DE DESCONGESTION DEL CIRCUITO DE BOGOTA SECCION SEGUNDA</t>
  </si>
  <si>
    <t>644/15</t>
  </si>
  <si>
    <t>0875/2015
0744/2016 (COMPLEMENTA)</t>
  </si>
  <si>
    <t>MEM15-00018715 23/12/15
 MEM16-00018388 
 12/10/2016</t>
  </si>
  <si>
    <t>$ 30.844.685
$ 89.020.692</t>
  </si>
  <si>
    <t>404806415
302610116</t>
  </si>
  <si>
    <t>24/10/2016
27/10/2016</t>
  </si>
  <si>
    <t>RUBEN DARIO OLIVEROS GARZON</t>
  </si>
  <si>
    <t>JORGE IVAN JARRO DIAZ</t>
  </si>
  <si>
    <t>EXT15-00053607</t>
  </si>
  <si>
    <t>73 001 3331 004 2010 00360 00</t>
  </si>
  <si>
    <t>JUZGADO CUARTO ADMINISTRATIVO DE IBAGUE</t>
  </si>
  <si>
    <t>TRIBUNAL ADMINISTRATIVO DEL TOLIMA</t>
  </si>
  <si>
    <t>866/2015</t>
  </si>
  <si>
    <t>871/2015
231/2016 (CORRIGE)</t>
  </si>
  <si>
    <t>MEM15-00018715
23/12/2015
MEM16-00006708 
25/04/2016</t>
  </si>
  <si>
    <t>MARCO ANTONIO SANTIESTEBAN SARMIENTO</t>
  </si>
  <si>
    <t>EXT15-0000958</t>
  </si>
  <si>
    <t>68 001 2331 000 2009 00593 00</t>
  </si>
  <si>
    <t>15/12/2008</t>
  </si>
  <si>
    <t>TRIBUNAL ADMINISTRATIVO DE SANTANDER  SUBSECCION DE DESCONGESTION  SALA DE ASUNTOS LABORALES</t>
  </si>
  <si>
    <t>CONSEJO DE ESTADO SECCION SEGUNDA SUBSECCION B</t>
  </si>
  <si>
    <t>639/15</t>
  </si>
  <si>
    <t>0764/2016</t>
  </si>
  <si>
    <t>MEM16-00018944 24/10/2016</t>
  </si>
  <si>
    <t>305175216</t>
  </si>
  <si>
    <t>JAIRO SANCHEZ PEÑA</t>
  </si>
  <si>
    <t>CLAUDIA PATRICIA CORREA PINEDA</t>
  </si>
  <si>
    <t>EXT15-00012615</t>
  </si>
  <si>
    <t>EXT16-00057998</t>
  </si>
  <si>
    <t>25 000 2325 000 2008 00919 00</t>
  </si>
  <si>
    <t>TRIBUNAL ADMINISTRATIVO DE CUNDINARMARCA SECCION SEGUNDA SUBSECCION "B"</t>
  </si>
  <si>
    <t>CONSEJO DE ESTADO SALA DE CONTENCIOSO ADMINISTRATIVO SECCION SEGUNDA SUBESCCION "B"</t>
  </si>
  <si>
    <t>CON PROYECTO DE RESOLC. DE RECONOCIMIENTO</t>
  </si>
  <si>
    <t>0205/2017</t>
  </si>
  <si>
    <t>MEM17-00002583 24/02/2017</t>
  </si>
  <si>
    <t xml:space="preserve">JORGE AUGUSTO OSORIO BOTERO </t>
  </si>
  <si>
    <t>JUAN GUILLERMO OCAMPO GONZALEZ</t>
  </si>
  <si>
    <t>EXT15-00018156</t>
  </si>
  <si>
    <t>ANJDE</t>
  </si>
  <si>
    <t>REMITE SOLICITUD DE PAGO</t>
  </si>
  <si>
    <t>EXT15-00048768</t>
  </si>
  <si>
    <t>EXT17-00002969</t>
  </si>
  <si>
    <t>EXT17-00019400</t>
  </si>
  <si>
    <t xml:space="preserve">20/10/2014
09/07/2015
31/08/2015
21/09/2015
16/10/2015
16/12/2016
16/12/2016
24/01/2017
28/04/2017
08/05/2017
05/05/2017
09/10/2017
17/05/2018
</t>
  </si>
  <si>
    <t>oct-14
jul-15
ago-15
sep-15
oct-15
dic-16
dic-16
ene-17
abr-17
may-17
may-17
oct-17
may-18</t>
  </si>
  <si>
    <t>EXT14-00053364
EXT15-00035905
EXT15-00048797
EXT15-00055051
EXT15-00062046
EXT16-00097132
(EJECUTIVO)
EXT16-00097346
(EJECUTIVO)
EXT17-00004543
(EJECUTIVO)
EXT17-00031223
EXT17-00033413
EXT17-00032770
EXT17-00078549
EXT18-00044182</t>
  </si>
  <si>
    <t xml:space="preserve">ANDJE
ANDJE
ABOGADO
ABOGADO
ABOGADO
JUZGADO
JUZGADO
JUZGADO
ABOGADO
JUZGADO
JUZGADO
JUZGADO
ABOGADO
</t>
  </si>
  <si>
    <t xml:space="preserve">REMITE OFICIO
REMITE DERECHO DE PETICION
REMITE DERECHO DE PETICION
REMITE DERECHO DE PETICION
REMITE DERECHO DE PETICION
AUTO ADMISORIO/COPIA DEMANDA
AUTO ADMISORIO/COPIA DEMANDA
ENVIA AUTO ADMISORIO/COPIA DEMANDA
DERECHO DE PETECION
REMITE DERECHO DE PETICION
NOTIFICACION POR ESTADO/AUTO
NOTIFICACION POR ESTADO/AUTO
NOTIFICA POR ESTADO
</t>
  </si>
  <si>
    <t>ago-2018
ago-2018</t>
  </si>
  <si>
    <t>17 001 3331 003 2011 00558 00</t>
  </si>
  <si>
    <t>PAGADA
(SE DA RESPUESTA MEDIANTE OFI17-00003067 31/01/17 Y OFI17-00011428 30/03/17)A OFI18-00022220 01/06/18 E
MEDIANTE OFI18-00037951 DE 04-09-2018, SE DA RESPUESTA AL EXT18-00075749, EXT18-00076385</t>
  </si>
  <si>
    <t>JUZGADO OCTAVO ADMINISTRATIVO DE DESCONGESTION DE MANIZALES</t>
  </si>
  <si>
    <t>TRIBUNAL ADMISTRATIVO DE CALDAS</t>
  </si>
  <si>
    <t>0888/2016
0527/2017 POR MEDIO DE LA CUAL SE ADICIONA LA 0888/2016</t>
  </si>
  <si>
    <t>MEM16-00021787 13/12/2016</t>
  </si>
  <si>
    <t xml:space="preserve">$ 147.042.391
</t>
  </si>
  <si>
    <t xml:space="preserve">3932966816
</t>
  </si>
  <si>
    <t xml:space="preserve">27/12/2016
</t>
  </si>
  <si>
    <t xml:space="preserve">dic-16
</t>
  </si>
  <si>
    <t>ABOGADO-OCAMPOGONZALEZ@HOTMAIL.COM 
29/01/18</t>
  </si>
  <si>
    <t>17 001 3333 004 2016 00151 00</t>
  </si>
  <si>
    <t>0527/17
1459/17</t>
  </si>
  <si>
    <t xml:space="preserve">MEM17-00007135 30/05/2017
</t>
  </si>
  <si>
    <t>$ 89.679.493
$ 35.142.282</t>
  </si>
  <si>
    <t>147991617
2369318</t>
  </si>
  <si>
    <t>07/06/2017
12/01/2018</t>
  </si>
  <si>
    <t>jun-17
ene-18</t>
  </si>
  <si>
    <t>JHON FREDY QUINTERO ARROYAVE</t>
  </si>
  <si>
    <t>EXT15-00018154</t>
  </si>
  <si>
    <t>EXT15-00048788</t>
  </si>
  <si>
    <t>EXT14-00050281</t>
  </si>
  <si>
    <t>EXT15-00035905</t>
  </si>
  <si>
    <t>REMITE DERECHO DE PETICION</t>
  </si>
  <si>
    <t>31/08/2015
16/10/2015
16/01/2018
17/05/2018
12/06/2018</t>
  </si>
  <si>
    <t>ago-15
oct-15
ene-18
may-18
jun-18</t>
  </si>
  <si>
    <t>EXT15-00048797
EXT15-00062046
EXT18-00003555
EXT18-00044182
EXT18-00052492</t>
  </si>
  <si>
    <t>ABOGADO 
ABOGADO
ABOGADO
ABOGADO
JUZGADO</t>
  </si>
  <si>
    <t>EXT18-00066463</t>
  </si>
  <si>
    <t>COLFONDOS</t>
  </si>
  <si>
    <t>ACLARACION DEPOSITOS</t>
  </si>
  <si>
    <t>17 001 3331 001 2011 00386 00</t>
  </si>
  <si>
    <t xml:space="preserve">PAGADA (PENDIENTE LO DE PENSIONES COLFONDOS $12.181.495)
SE DA RESPUESTA MEDIANTE OFI18-00002062 18/01/18 L OFI18-00022220 01/06/18 E
CORREO ELECTRÓNICO 26/07/18  L
</t>
  </si>
  <si>
    <t>JUZGADO SEPTIMO ADMINISTRATIVO DE DESCONGESTION DE MANIZALES</t>
  </si>
  <si>
    <t>0902-2017</t>
  </si>
  <si>
    <t>0740/2016</t>
  </si>
  <si>
    <t>$ 28.436.169
$ 54.169.567</t>
  </si>
  <si>
    <t>305361416
359623016</t>
  </si>
  <si>
    <t>28/10/2016
09/12/2016</t>
  </si>
  <si>
    <t>CON MANDAMIENTO DE PAGO</t>
  </si>
  <si>
    <t>1489/17</t>
  </si>
  <si>
    <t>2385818</t>
  </si>
  <si>
    <t>CARLOS ALBERTO GIRALDO BETANCUR</t>
  </si>
  <si>
    <t>EXT15-00018151</t>
  </si>
  <si>
    <t>EXT15-00048714</t>
  </si>
  <si>
    <t>17 001 3331 003 2011 00317 00</t>
  </si>
  <si>
    <t>TRIBUNAL ADMINISTRATIVO DE CALDAS</t>
  </si>
  <si>
    <t>22-12-2017
110242448-04072
NO FIGURAN.</t>
  </si>
  <si>
    <t>0905-2017</t>
  </si>
  <si>
    <t>0734/2016
0222/2018</t>
  </si>
  <si>
    <t>$ 68.816.074
$ 43.285.696</t>
  </si>
  <si>
    <t>$ 39.183.026
$ 20.644.822
(DR. JUAN GUILLERMO OCAMPO GONZALEZ)
$ 43.285.696</t>
  </si>
  <si>
    <t>305654016
305476516
(DR. JUAN GUILLERMO OCAMPO GONZALEZ)
42826718</t>
  </si>
  <si>
    <t>28/10/2016
28/10/2016
(DR. JUAN GUILLERMO OCAMPO GONZALEZ)
27/02/2018</t>
  </si>
  <si>
    <t>oct-16
oct-16
feb-18</t>
  </si>
  <si>
    <t xml:space="preserve">ABOGADOS_OCAMPOGONZALEZ@HOTMAIL.COM </t>
  </si>
  <si>
    <t>RUBEN DARIO MONTOYA AGUIRRE</t>
  </si>
  <si>
    <t>JORGE PORTOCARRERO</t>
  </si>
  <si>
    <t>EXT14-00058040</t>
  </si>
  <si>
    <t>EXT15-00013282</t>
  </si>
  <si>
    <t>EXT16-00026683</t>
  </si>
  <si>
    <t>76 001 3333 009 2012 00002 00</t>
  </si>
  <si>
    <t>EN EL ANEXO ES EL 238
PAGADA</t>
  </si>
  <si>
    <t xml:space="preserve"> JUZGADO NOVENO ADMINISTRATIVO DE ORALIDAD DE CALI</t>
  </si>
  <si>
    <t xml:space="preserve">TRIBUNAL CONTENCIOSO ADMINISTRATIVO DEL VALLE DEL CAUCA  </t>
  </si>
  <si>
    <t>0310/2016
2623/2016</t>
  </si>
  <si>
    <t>0961/2016</t>
  </si>
  <si>
    <t>SANDRA MILENA GOMEZ Y OTROS</t>
  </si>
  <si>
    <t>LEONTE CHAVARRO HURTADO</t>
  </si>
  <si>
    <t>EXT14-00067175</t>
  </si>
  <si>
    <t>18 001 3333 753 2014 00149 00</t>
  </si>
  <si>
    <t>PROCURADURIA 71 JUDICIAL I PARA ASUNTOS ADMINISTRATIVOS</t>
  </si>
  <si>
    <t>JUZGADO TERCERO ADMINISTRATIVO ORAL DE DESCONGESTION DE FLORENCIA-CAQUETA</t>
  </si>
  <si>
    <t>(MUERTE DE LIDER COMUNITARIO)</t>
  </si>
  <si>
    <t>609/15</t>
  </si>
  <si>
    <t xml:space="preserve">610/15
0405/16
0585/17
</t>
  </si>
  <si>
    <t>MEM15-00012642  10/09/2015
MEM16-00011363 30/06/2016
MEM17-00008235
20/06/2017</t>
  </si>
  <si>
    <r>
      <t xml:space="preserve">$ 523.520.000
(LEONTE CHAPARRO HURTADO)
$ 15.038.051
(LEONTE CHAVARRO HURTADO)
$ 4.427.294
(LEONTE CHAVARRO HURTADO)
</t>
    </r>
    <r>
      <rPr>
        <sz val="9"/>
        <rFont val="Arial Narrow"/>
        <family val="2"/>
      </rPr>
      <t>$13.265.606</t>
    </r>
  </si>
  <si>
    <r>
      <t xml:space="preserve">266850615
(LEONTE CHAVARRO HURTADO)
266840415
(LEONTE CHAVARRO HURTADO)
189821616
(LEONTE CHAVARRO HURTADO)
</t>
    </r>
    <r>
      <rPr>
        <sz val="9"/>
        <rFont val="Arial Narrow"/>
        <family val="2"/>
      </rPr>
      <t>166516817</t>
    </r>
    <r>
      <rPr>
        <sz val="9"/>
        <color rgb="FFFF0000"/>
        <rFont val="Arial Narrow"/>
        <family val="2"/>
      </rPr>
      <t xml:space="preserve">
</t>
    </r>
  </si>
  <si>
    <t>22/09/2015
(LEONTE CHAVARRO HURTADO)
22/09/2015
(LEONTE CHAVARRO HURTADO)
15/07/2016
(LEONTE CHAVARRO HURTADO)
27/06/2017</t>
  </si>
  <si>
    <r>
      <t xml:space="preserve">sep-15
sep-15
jul-16
</t>
    </r>
    <r>
      <rPr>
        <sz val="9"/>
        <rFont val="Arial Narrow"/>
        <family val="2"/>
      </rPr>
      <t>jun-17</t>
    </r>
    <r>
      <rPr>
        <sz val="9"/>
        <color theme="1"/>
        <rFont val="Arial Narrow"/>
        <family val="2"/>
      </rPr>
      <t xml:space="preserve">
</t>
    </r>
  </si>
  <si>
    <t xml:space="preserve">NELSON MOSQUERA GOMEZ </t>
  </si>
  <si>
    <t>RAFAEL AUGUSTO CUELLAR GOMEZ</t>
  </si>
  <si>
    <t>EXT15-00000569</t>
  </si>
  <si>
    <t>EXT16-00002532</t>
  </si>
  <si>
    <t>RESPUESTA OFI5-00035947 27/11/15</t>
  </si>
  <si>
    <t>EXT17-00005389
(EJECUTIVO)</t>
  </si>
  <si>
    <t>NOTIFICA ESTADO</t>
  </si>
  <si>
    <t>27/01/0217</t>
  </si>
  <si>
    <t>EXT17-00005668
(EJECUTIVO)</t>
  </si>
  <si>
    <t>EXT14-00066202</t>
  </si>
  <si>
    <t>REMITE COPIA AUTENTICA</t>
  </si>
  <si>
    <t>14/07/2016
04/08/2016
12/08/2016
28/09/2016
03/10/2016
04/11/2016</t>
  </si>
  <si>
    <t>jul-16
ago-16
ago-16
sep-16
oct-16
nov-16</t>
  </si>
  <si>
    <t>EXT16-00054431
EXT16-00060120
(EJECUTIVO)
EXT16-00062600
(EJECUTIVO)
EXT16-00075899
(EJECUTIVO)
EXT16-00077607
EXT16-00087256</t>
  </si>
  <si>
    <t>JUZGADO
JUZGADO
JUZGADO
JUZGADO
JUZGADO
JUZGADO</t>
  </si>
  <si>
    <t xml:space="preserve">MANDAMIENTO DE PAGO
COPIA DE LA DEMANDA/AUTO ADMISORIO
AUTO LIBRA MANDAMIENTO
AUTO ORDENA SEGUIR EJECUCION
NOTIFICA AUTO
NOTIFICA POR ESTADO
</t>
  </si>
  <si>
    <t>76 001 3331 003 2011 00359 00</t>
  </si>
  <si>
    <t>EN EL ANEXO ES EL 239
PAGADA
OFI18-00030936  SOLICITUD TERMINACION DEL PROCESO</t>
  </si>
  <si>
    <t>JUZGADO QUINTO ADMINISTRATIVO DE DESCONGESTION DE CALI</t>
  </si>
  <si>
    <t>277/2016</t>
  </si>
  <si>
    <t>0665/2016</t>
  </si>
  <si>
    <t xml:space="preserve">CONSULTINGRISK@CR-ABOGADOS.COM
15/05/18
</t>
  </si>
  <si>
    <t xml:space="preserve">76 001 3333 006 2016 00117 00  </t>
  </si>
  <si>
    <t>0233-18</t>
  </si>
  <si>
    <t xml:space="preserve">MARCELO GIRALDO BOTERO </t>
  </si>
  <si>
    <t xml:space="preserve">EXT15-00000799
</t>
  </si>
  <si>
    <t>EXT15-00048762</t>
  </si>
  <si>
    <t>EXT17-00004560</t>
  </si>
  <si>
    <t>RECURSO</t>
  </si>
  <si>
    <t>EXT18-00044182</t>
  </si>
  <si>
    <t>DERECHO DE PETECION</t>
  </si>
  <si>
    <t>17 001 3331 002 2011 00632 00</t>
  </si>
  <si>
    <t xml:space="preserve">EN EL ANEXO ES EL 417
(SE DA RESPUESTA MEDIANTE OFI17-00011428 30/03/17)A  OFI18-0002222 01/06/18 E
PENDIENTE POR EFECTUAR APORTES A PENSION </t>
  </si>
  <si>
    <t>TRIBUNAL ADMINSTRATIVO DE CALDAS</t>
  </si>
  <si>
    <t>252/2016
0908-2017</t>
  </si>
  <si>
    <t>0964/2016</t>
  </si>
  <si>
    <t>abogados-ocampogonzalez@hotmail.com
30/01/18</t>
  </si>
  <si>
    <t>1537/17</t>
  </si>
  <si>
    <t>11936818</t>
  </si>
  <si>
    <t>LUIS ALEJANDRO GARZON ZABALETA</t>
  </si>
  <si>
    <t>DAVID ALEJANDRO ORJUELA</t>
  </si>
  <si>
    <t>EXT15-00002089</t>
  </si>
  <si>
    <t>EXT15-00025934</t>
  </si>
  <si>
    <t>EXT15-00045761</t>
  </si>
  <si>
    <t>50 001 3331 006 2012 00014 00</t>
  </si>
  <si>
    <t>EN EL ANEXO ES EL 376
PAGADA</t>
  </si>
  <si>
    <t>JUZGADO SEXTO ADMINISTRATIVO DE DESCONGESTION DE VILLAVICENCIO</t>
  </si>
  <si>
    <t>TRIBUNAL ADMINISTRATIVO DEL META</t>
  </si>
  <si>
    <t>257/2016</t>
  </si>
  <si>
    <t>0727/2016  
0751/2016 (CORRIGE)</t>
  </si>
  <si>
    <t>302755116</t>
  </si>
  <si>
    <t>COLOMBIA TELECOMUNICACIONES S.A. E.S.P</t>
  </si>
  <si>
    <t>830122566-1</t>
  </si>
  <si>
    <t>MARTHA ENEA RUIZ DIAZ</t>
  </si>
  <si>
    <t>EXT15-0003960</t>
  </si>
  <si>
    <t>2014-000-10</t>
  </si>
  <si>
    <t>PAGADA CON COMPENSACION
EXISTE RESOLUCION DE COMPENSACION No.6282-0281 de 15 de abril de 2015 REMITIDA POR LA DIAN POR $ 681.510.265
COMPENSACION DIAN W.</t>
  </si>
  <si>
    <t>PROCURDURIA 119 JUDICIAL II PARA ASUNTOS ADMINISTRATIVOS</t>
  </si>
  <si>
    <t>JUZGADO VEINTIDOS ADMINISTRATIVO DE DESCONGESTION DE BOGOTA</t>
  </si>
  <si>
    <t>PAGO POR COMPENSACION</t>
  </si>
  <si>
    <t xml:space="preserve">FABIO ERNESTO PANTOJA MEDINA </t>
  </si>
  <si>
    <t>RUBEN DARIO MENDOZA</t>
  </si>
  <si>
    <t>EXT15-00029120</t>
  </si>
  <si>
    <t>81 001 3331 001 2008 00093 00</t>
  </si>
  <si>
    <t>EN EL ANEXO ES EL 698
PAGADA</t>
  </si>
  <si>
    <t>JUZGADO PRIMERO ADMINISTRATIVO DE ARAUCA</t>
  </si>
  <si>
    <t>TRIBUNAL ADMINISTRATIVO DE ARAUCA</t>
  </si>
  <si>
    <t>778/2015</t>
  </si>
  <si>
    <t>0732/2016</t>
  </si>
  <si>
    <t>302593316</t>
  </si>
  <si>
    <t>DIEGO ALEXANDER CESPEDES MORENO  
(GLORIA LILIANA MARIN MARTINEZ)</t>
  </si>
  <si>
    <t>71.946.254
32.273.501</t>
  </si>
  <si>
    <t>EXT15-00004639</t>
  </si>
  <si>
    <t>EXT15-00024705</t>
  </si>
  <si>
    <t xml:space="preserve"> EXT16-00035291 </t>
  </si>
  <si>
    <t>EXT17-00011352</t>
  </si>
  <si>
    <t>SOLICITUD RELIQUIDACION</t>
  </si>
  <si>
    <t>EXT18-00045199</t>
  </si>
  <si>
    <t>LIBRA MANDAMIENTO DE PAGO</t>
  </si>
  <si>
    <t>EXT18-00094460</t>
  </si>
  <si>
    <t>NOTIFICA ESTADO.
AUTO TERMINA PROCESO POR PAGO</t>
  </si>
  <si>
    <t>11 001 3331 010 2010 00172 00</t>
  </si>
  <si>
    <t>PAGADA
OFI18-00030422  SOLICITUD TERMINACION DEL PROCESO. 25-07-2018</t>
  </si>
  <si>
    <t xml:space="preserve">0959/2016
</t>
  </si>
  <si>
    <t xml:space="preserve">$ 59.778.910
</t>
  </si>
  <si>
    <t xml:space="preserve">5513717
</t>
  </si>
  <si>
    <t xml:space="preserve">17/01/2017
</t>
  </si>
  <si>
    <t xml:space="preserve">ene-17
</t>
  </si>
  <si>
    <t>SUASESORLEGAL01@YAHOO.COM
29/01/18</t>
  </si>
  <si>
    <t>11 001 3335 047 2017 00050 00</t>
  </si>
  <si>
    <t>1452/17</t>
  </si>
  <si>
    <t>GUSTAVO ADOLFO HERNANDEZ PALACIOS</t>
  </si>
  <si>
    <t>EXT15-00005267</t>
  </si>
  <si>
    <t>76 001 2331 003 2010 00246 00</t>
  </si>
  <si>
    <t>PAGADA
EN EL ANEXO ES EL 269
LLEGA A MI SIGOB EL 10 DE AGOSTO DE 2015</t>
  </si>
  <si>
    <t>JUZGADO TERCERO ADMINISTRATIVO DE CALI
Y SENT. ADICIONAL</t>
  </si>
  <si>
    <t xml:space="preserve">09/05/12
13/08/12 
</t>
  </si>
  <si>
    <t>TRIBUNAL CONTENCIOSO ADMINSTRATIVO DEL VALLE</t>
  </si>
  <si>
    <t>309/2016</t>
  </si>
  <si>
    <t>0516/2017</t>
  </si>
  <si>
    <t>$ 15.268.864
$ 6.543.799
(DR. JORGE EDISON PORTOCARRERO BANGUERA)</t>
  </si>
  <si>
    <t>148029517
48022117
(DR. JORGE EDISON PORTOCARRERO BANGUERA)</t>
  </si>
  <si>
    <t>07/06/2017
07/06/2017
(DR. JORGE EDISON PORTOCARRERO BANGUERA)</t>
  </si>
  <si>
    <t>jun-17
jun-17</t>
  </si>
  <si>
    <t xml:space="preserve">ALEXANDER MONTOYA CASTAÑO </t>
  </si>
  <si>
    <t xml:space="preserve">EXT15-00005255
</t>
  </si>
  <si>
    <t>EXT16-00100097</t>
  </si>
  <si>
    <t>17 001 2300 000 2007 00274 00</t>
  </si>
  <si>
    <t xml:space="preserve">APARECE IMPUESTA A LA AGENCIA 
PAGADA POR LA FIDUPREVISORA
MEDIANTE EXT16-00100097 29/12/16 LA FIDUPREVISORA INDICA QUE MEDIANTE OFICIO No. 20160990019361 18/04/16 FUE PAGADO POR ELLOS E
</t>
  </si>
  <si>
    <t>JUZGADO TERCERO ADMINISTRATIVO DE MANIZALES</t>
  </si>
  <si>
    <t>ELIAS SALOMON MENDOZA JAIMES</t>
  </si>
  <si>
    <t>KAREN DANIELA OSORIO AYALA</t>
  </si>
  <si>
    <t xml:space="preserve">EXT15-00005442
</t>
  </si>
  <si>
    <t xml:space="preserve"> EXT18-00087474 </t>
  </si>
  <si>
    <t>DERECHO DE PETICION - RELIQUIDACION SENTENCIA</t>
  </si>
  <si>
    <t>68 001 3331 003 2010 00056 00</t>
  </si>
  <si>
    <t>JUZGADO TERCERO ADMINISTRATIVO DE DESCONGESTION DE BUCARAMANGA</t>
  </si>
  <si>
    <t xml:space="preserve">TRIBUNAL ADMINISTRATIVO DE SANTANDER SUBSECCION DE DESCONGESTION SALA LABORAL </t>
  </si>
  <si>
    <t>781/15</t>
  </si>
  <si>
    <t>MEM15-00016924 25/11/15</t>
  </si>
  <si>
    <t>CARLOS IVAN VEGA GUERRERO</t>
  </si>
  <si>
    <t>25 000 2325 000 2007 01285 00</t>
  </si>
  <si>
    <t xml:space="preserve">EN EL ANEXO ES EL 674
PAGADA
</t>
  </si>
  <si>
    <t>TRIBUNAL ADMINISTRATIVO DE CUNDINARMARCA SECCION SEGUNDA SUBSECCION "E"</t>
  </si>
  <si>
    <t>CONSEJO DE ESTADO SALA DE CONTENCIOSO ADMINISTRATIVO SECCION SEGUNDA SUBESCCION "A"</t>
  </si>
  <si>
    <t>869/2015</t>
  </si>
  <si>
    <t>0872/2015</t>
  </si>
  <si>
    <t>MEM15-00018715  23/12/15</t>
  </si>
  <si>
    <t>JHON FREDY SEGURA HERNANDEZ</t>
  </si>
  <si>
    <t>EXT15-00009580</t>
  </si>
  <si>
    <t>68 001 2331 000 2010 00043 00</t>
  </si>
  <si>
    <t>EN EN ANEXO ES EL 9
PAGADA</t>
  </si>
  <si>
    <t>TRIBUNAL ADMIISTRATIVO DE SANTANDER</t>
  </si>
  <si>
    <t>0204/2017</t>
  </si>
  <si>
    <t xml:space="preserve">RAMIRO ALBERTO GOMEZ PEREAÑEZ </t>
  </si>
  <si>
    <t>FERNANDO ALVAREZ ECHEVERRI</t>
  </si>
  <si>
    <t>EXT16-00088554</t>
  </si>
  <si>
    <t>12/02/2018 LTK
ENTREGADOS LTK</t>
  </si>
  <si>
    <t>05 001 3333 023 2013 00096 00</t>
  </si>
  <si>
    <t>NO APARECE EN EL DECRETO PERO EL TRIBUNAL DECRETA SUCESION PROCESAL OJO SE DEBEN PARAR INTERESES HASTA LOS 6 MESES, LUEGO SE INICIAN DESDE CUANDO PRESENTO SOLICITUD</t>
  </si>
  <si>
    <t>JUZGADO VEINTITRES ADMIISTRATIVO ORAL  DE MEDELLIN</t>
  </si>
  <si>
    <t>NRD-PRIMA DE RIESGO</t>
  </si>
  <si>
    <t>0685/2018</t>
  </si>
  <si>
    <t>CLINICAJURIDICA@UNE.NET.CO 
15/06/18</t>
  </si>
  <si>
    <t>ELKIN LEONARDO RAMIREZ DURAN</t>
  </si>
  <si>
    <t>EXT15-00005438</t>
  </si>
  <si>
    <t>EXT18-00014139</t>
  </si>
  <si>
    <t>18/05/18 LTK
ENTREGADO POR LTK 26-06-2018</t>
  </si>
  <si>
    <t>68 001 3331 701 2010 00365 00</t>
  </si>
  <si>
    <t xml:space="preserve">EN EL ANEXO NO SE ENCUENTRA REGISTRADA
NO SE REMITE PORQUE HAN DEVUELTO LOS DEMAS CASOS DE ESCOLTAS PORQUE SOSTIENEN QUE SI CORRESPONDE A LA UNP
SE DA RESPUESTA MEDIANTE OFI18-00009644 08/03/18 E
CORREO ELECTRÓNICO 26/07/18 L
</t>
  </si>
  <si>
    <t>JUZGADO ADMINISTRATIVO DE DESCONGESTION DE BARRANCABERMEJA</t>
  </si>
  <si>
    <t>0514-18</t>
  </si>
  <si>
    <t xml:space="preserve">joaljipa@yahoo.es </t>
  </si>
  <si>
    <t>MAURICIO BEDOYA CARDENAS</t>
  </si>
  <si>
    <t>EXT15-00005443</t>
  </si>
  <si>
    <t>EXT15-00007174</t>
  </si>
  <si>
    <t>68 001 3331 013 2012 00055 00</t>
  </si>
  <si>
    <t>01/07/2007</t>
  </si>
  <si>
    <t xml:space="preserve">EN EL ANEXO ES EL 62
PAGADA
</t>
  </si>
  <si>
    <t>JUZGADO PRMERO ADMINISTRATIVO DE DESCONGESTION DE BUCARAMANGA</t>
  </si>
  <si>
    <t>642/15</t>
  </si>
  <si>
    <t>0878/2015</t>
  </si>
  <si>
    <t>MEM15-00018715 23/12/15</t>
  </si>
  <si>
    <t>RAUL AMAYA HERRERA</t>
  </si>
  <si>
    <t>EXT15-00005440</t>
  </si>
  <si>
    <t>68 001 3331 007 2010 00114 00</t>
  </si>
  <si>
    <t>PAGADA
EN EL ANEXO ES LA No. 74 / SE REALIZA EL PAGO A NOMBRE DEL DR. JOSE ALIRIO JIMENEZ PATIÑO</t>
  </si>
  <si>
    <t>JUZGADO SEPTIMO ADMINISTRATIVO DE BUCARAMANGA</t>
  </si>
  <si>
    <t>259/2016</t>
  </si>
  <si>
    <t>0518/17</t>
  </si>
  <si>
    <t>LUIS EDUARDO DURAN PAYARES</t>
  </si>
  <si>
    <t>CARLOS AUGUSTO JAIMES BOHORQUEZ</t>
  </si>
  <si>
    <t>EXT15-00006403</t>
  </si>
  <si>
    <t>EXT17-00086684</t>
  </si>
  <si>
    <t>68 081 3301 001 2008 00357 00</t>
  </si>
  <si>
    <t>NO APARECE EN EL DECRETO</t>
  </si>
  <si>
    <t>JUZGADO UNICO ADMINISTRATIVO DE BARRANCABERMEJA</t>
  </si>
  <si>
    <t>0734/18</t>
  </si>
  <si>
    <t>carlosaugustojaimesbohorquez@gmail.com
15/06/18</t>
  </si>
  <si>
    <t xml:space="preserve">JAVIER ENRIQUE ESCOBAR HERNANDEZ </t>
  </si>
  <si>
    <t>EXT15-00006548</t>
  </si>
  <si>
    <t>EXT15-00053741</t>
  </si>
  <si>
    <t>EXT18-00039073</t>
  </si>
  <si>
    <t>CAMBIO DE CERTIFICACION BANCARIAS</t>
  </si>
  <si>
    <t>EXT18-00056235</t>
  </si>
  <si>
    <t>SOLICITA TENER EN CUENTA PORCENTAJES PARA PAGO CREDITO JUDICIAL</t>
  </si>
  <si>
    <t>12/02/2018 LTK
ENTREGADOS LTK
05/06/2018 SE ENCUENTRA EL EXPENDIENTE FISICO EN UNP YL</t>
  </si>
  <si>
    <t>08 001 3331 008 2012 00056 00</t>
  </si>
  <si>
    <t>26-07-2018,  102244439-00078,  NO PRESENTA DEUDAS.</t>
  </si>
  <si>
    <t xml:space="preserve">RICARDO ANDRES ALVAREZ VARGAS </t>
  </si>
  <si>
    <t>EXT15-00007079</t>
  </si>
  <si>
    <t>EXT15-00018132</t>
  </si>
  <si>
    <t>EXT15-00048731</t>
  </si>
  <si>
    <t>EXT17-00041296</t>
  </si>
  <si>
    <t>EXT18-00002062</t>
  </si>
  <si>
    <t>INFORMA CAMBIO DE CUENTA BANCARIA</t>
  </si>
  <si>
    <t>17 001 3331 002 2011 00561 00</t>
  </si>
  <si>
    <t>PAGADA
EN EL ANEXO 418. SE CONTESTAC. / SE PAGO AL DR. JUAN GUILLERMO OCAMPO GONZALEZ LA SUMA DE $52.090.913 MEDIANTE OP 147717617 
(SE RESPONDE MEDIANTE CORREO ELECTRONICO 27/06/17)A OFI18-00002062 18/01/18 L</t>
  </si>
  <si>
    <t>270/2016</t>
  </si>
  <si>
    <t>0517/2017
1541/17</t>
  </si>
  <si>
    <t>$ 173.636.376
$ 42.788.137</t>
  </si>
  <si>
    <t xml:space="preserve">$ 52.090.913
(DR. JUAN GUILLERMO 
OCAMPO GONZALEZ)
$ 121.545.463
$ 42.788.137
</t>
  </si>
  <si>
    <t>147717617 
(DR. JUAN GUILLERMO 
OCAMPO GONZALEZ)
147744817
2988718</t>
  </si>
  <si>
    <t>07/06/2017
(DR. JUAN GUILLERMO 
OCAMPO GONZALEZ)
2017/06/2017
15/01/2018</t>
  </si>
  <si>
    <t>jun-17
jun-17
ene-18</t>
  </si>
  <si>
    <t>ABOGADO-OCAMPOGONZALEZ@HOTMAIL.COM 
30/01/2018</t>
  </si>
  <si>
    <t>ALBERTO URIBE RIVERA</t>
  </si>
  <si>
    <t xml:space="preserve">EXT15-00005274 </t>
  </si>
  <si>
    <t>EXT16-00040602</t>
  </si>
  <si>
    <t>EXT18-00004663</t>
  </si>
  <si>
    <t>EXT18-00006011</t>
  </si>
  <si>
    <t>PAGO HONORARIOS</t>
  </si>
  <si>
    <t>EXT18-00015488</t>
  </si>
  <si>
    <t>ACLARACION DE LIQUIDACION</t>
  </si>
  <si>
    <t>76 001 3331 017 2011 00108 00</t>
  </si>
  <si>
    <t>EN EL ANEXO ES EL 304 
SE DA RESPUESTA MEDIANTE OFI18-00002362 19/01/18 L OFI18-00009162 05/03/18 L</t>
  </si>
  <si>
    <t xml:space="preserve"> JUZGADO OCTAVO  ADMINISTRATIVO DE DESCONGESTION DEL CIRCUITO JUDICIAL DE SANTIAGO DE CALI</t>
  </si>
  <si>
    <t>29-12-2017 L
105201244-14-034
NO FIGURAN.</t>
  </si>
  <si>
    <t>0868-2017</t>
  </si>
  <si>
    <t>1503/17</t>
  </si>
  <si>
    <t>7799418</t>
  </si>
  <si>
    <t>jorge.portocarrero@hotmail.com 
30/01/18</t>
  </si>
  <si>
    <t xml:space="preserve">RICARDO JOSE HERNANDEZ MEZA </t>
  </si>
  <si>
    <t>CARLOS ARTURO GOMEZ TRUJILLO</t>
  </si>
  <si>
    <t>EXT15-00009398</t>
  </si>
  <si>
    <t>EXT15-00015731</t>
  </si>
  <si>
    <t>EXT15-00036983</t>
  </si>
  <si>
    <t>EXT15-00043024</t>
  </si>
  <si>
    <t xml:space="preserve">EXT17-00092589 </t>
  </si>
  <si>
    <t>NOTIFICA ESTADO EJECUTIVO</t>
  </si>
  <si>
    <t>54 518 3331 001 2012 00026 00</t>
  </si>
  <si>
    <t>EN EL ANEXO ES EL 16 Y EL 38 ALLEGA DOC. FALTAN DECLARACION JURAMENTADA DATOS DEL BENEFICIARIO Y CC BENEF) / (08/08/2017 NO SE ENCONTRO EN EL ARCHIVO)
MEDIANTE EXT17-00092589 27/11/17 EL JUZGADO INFORMA LA TERMINACION DEL PROCESO EJECUTIVO</t>
  </si>
  <si>
    <t>JUZGADO ADMINSTRATIVO DE DESCONGESTION DE PAMPLONA</t>
  </si>
  <si>
    <t>TRIBUNAL ADMINISTRATIVO DE NORTE DE SANTANDER DESPACHO DE DESCONGESTION No. 2</t>
  </si>
  <si>
    <t>540/2015</t>
  </si>
  <si>
    <t>0225/2017</t>
  </si>
  <si>
    <t>MEM17-00004282 29/03/2017</t>
  </si>
  <si>
    <t>54 518 3333 001 2016 00206 00</t>
  </si>
  <si>
    <t>LUIS CARLOS MARIN BASTO</t>
  </si>
  <si>
    <t>EXT15-00009582</t>
  </si>
  <si>
    <t>02/02/18 LTK
RAD:LTK-002-005-2018 23/02/18 INFORMAN QUE NO LLEGÓ A LTK. EL EXPEDIENTE SE ENVIO LTK EL 15/03/2018 OFI18-00011111</t>
  </si>
  <si>
    <t>68 001 2331 000 2011 00174 00</t>
  </si>
  <si>
    <t>EN EL ANEXO ES LA 72 
(08/08/2017 ASIGNADA A NATALIA URBANO CON RESOLUCION PROYECTADA PARA RESOLUCION)</t>
  </si>
  <si>
    <t>TRIBUNAL ADMINISTRATIVO DE DESCONGESTION DE SANTANDER</t>
  </si>
  <si>
    <t>13-02-2018
01-04-242-448-01086
NO FIGURAN.</t>
  </si>
  <si>
    <t>255/2016
0871-2017</t>
  </si>
  <si>
    <t>0500-18
0673-18 (MODIFICA LA 0500-18)</t>
  </si>
  <si>
    <t>JOALJIPA@YAHOO.ES</t>
  </si>
  <si>
    <t>HEDELBERTO MENDOZA MIEL (con dian)</t>
  </si>
  <si>
    <t xml:space="preserve">EXT15-00009591
</t>
  </si>
  <si>
    <t>EXT18-00057694</t>
  </si>
  <si>
    <t xml:space="preserve">SOLICITUD COMUINICACION RESOLUCION Y ORDEN DE PAGO </t>
  </si>
  <si>
    <t>2/05/2017 1ra entrega (Acta OFI17-00015375)
31/05/2017 devuelto a la UNP (correo de Juan Falla para Wilson y Gloria)
6/06/2017 2da entrega (Acta OFI17-00020110)
ENTREGADO Y LIQUIDADO 22/11/2017
LIQUIDADO NPA</t>
  </si>
  <si>
    <t>68 001 2331 000 2011 00246 00</t>
  </si>
  <si>
    <t xml:space="preserve">EN EL ANEXO ES LA 69 CON DOCUMENTOS COMPLETOS
CORREO ELECTRÓNICO 26/06/18 L
</t>
  </si>
  <si>
    <t>0686-18</t>
  </si>
  <si>
    <t>JORGE ELIECER ACONCHA PACHECO</t>
  </si>
  <si>
    <t xml:space="preserve">EXT15-00009577
</t>
  </si>
  <si>
    <t>2/05/2017 1ra entrega (Acta OFI17-00015375)
31/05/2017 devuelto a la UNP (correo de Juan Falla para Wilson y Gloria)
6/06/2017 2da entrega (Acta OFI17-00020110)
ENTREGADO Y LIQUIDADO 25/07/2017
LIQUIDADO NPA</t>
  </si>
  <si>
    <t>68 001 2331 000 2009 00604 00</t>
  </si>
  <si>
    <t>EN EL ANEXO ES LA 82 CON DOCUMENTOS COMPLETOS</t>
  </si>
  <si>
    <t>24-04-2018
129201242-01-1011-002064
NO FIGURAN</t>
  </si>
  <si>
    <t>0877-2017</t>
  </si>
  <si>
    <t>0682/2018</t>
  </si>
  <si>
    <t>joaljipa@yahoo.es   15/06/2018</t>
  </si>
  <si>
    <t xml:space="preserve">LEONARDO DIAZ BARRAGAN </t>
  </si>
  <si>
    <t xml:space="preserve">EXT15-00009586
</t>
  </si>
  <si>
    <t>68 001 2331 005 2009 00588 00</t>
  </si>
  <si>
    <t>EN EL ANEXO ES LA 58 CON DOCUMENTOS FALLO SEGUNDA INSTANCIA CONFIRMA</t>
  </si>
  <si>
    <t xml:space="preserve">CONSEJO DE ESTADO </t>
  </si>
  <si>
    <t>285/2016
0885-2017</t>
  </si>
  <si>
    <t>0498-18</t>
  </si>
  <si>
    <t>JOALJIPA@YAHOO.ES 
16/05/18</t>
  </si>
  <si>
    <t>ALEXANDER JESUS PEREZ ROMERO</t>
  </si>
  <si>
    <t>EXT15-00010365</t>
  </si>
  <si>
    <t>EXT17-00032971</t>
  </si>
  <si>
    <t xml:space="preserve">NOTIFICACION </t>
  </si>
  <si>
    <t>EXT17-00033798</t>
  </si>
  <si>
    <t>EXT18-00051292</t>
  </si>
  <si>
    <t>JUZGADO SEGUNDO ADMINISTRATIVO ORAL DEL CIRCUITO DE SANTA MARTA</t>
  </si>
  <si>
    <t>REMITE COMUNICACIÓN ESTADO-DENIEGAN MEDIDAS CAUTELARES</t>
  </si>
  <si>
    <t>47 001 3331 002 2013 00027 00</t>
  </si>
  <si>
    <t>NO SE ENCUENTRA EN LOS ANEXOS
PAGADA 
DENIEGAN MEDIDAS CAUTELARES</t>
  </si>
  <si>
    <t>JUZGADO SEGUNDO ADMINSTRATIVO DEL CIRCUITO DE SANTA MARTA</t>
  </si>
  <si>
    <t>TRIBUNAL ADMINISTRATIVO  DEL MAGDALENA</t>
  </si>
  <si>
    <t>536/2015</t>
  </si>
  <si>
    <t xml:space="preserve">0730/2016
</t>
  </si>
  <si>
    <t xml:space="preserve">MEM16-00018388 12/10/2016
</t>
  </si>
  <si>
    <t>$ 142.696.514
(DR. EDER ENRIQUE DIAZ OCHOA)
$ 21.788.103
(COLFONDOS)</t>
  </si>
  <si>
    <t xml:space="preserve">305207416
(DR. EDER ENRIQUE DIAZ OCHOA)
379092116
(COLFONDOS)
</t>
  </si>
  <si>
    <t xml:space="preserve">28/10/2016
(DR. EDER ENRIQUE DIAZ OCHOA)
26/12/2016
(COLFONDOS)
</t>
  </si>
  <si>
    <t>41 001 3331 001 2016 00486 00
47 001 3333 001 2016 00486 00</t>
  </si>
  <si>
    <t>0510/2017</t>
  </si>
  <si>
    <t>$ 73.028.273
(DR. EDER ENRIQUE DIAZ OCHOA)
$ 9.146.233
(COLFONDOS)</t>
  </si>
  <si>
    <t>139665617
(DR. EDER ENRIQUE DIAZ OCHOA)
139668817
(COLFONDOS)</t>
  </si>
  <si>
    <t>31/05/2017
(DR. EDER ENRIQUE DIAZ OCHOA)
31/05/2017
(COLFONDOS)</t>
  </si>
  <si>
    <t>JOSE ANTONIO LEON GODIN</t>
  </si>
  <si>
    <t xml:space="preserve">EXT15-00010363
</t>
  </si>
  <si>
    <t>EXT15-00049288</t>
  </si>
  <si>
    <t>47 001 3333 005 2012 00004 00</t>
  </si>
  <si>
    <t>JUZGADO QUINTO ADMINISTRATIVO DEL CIRCUITO DE SANTA MARTA</t>
  </si>
  <si>
    <t>534/15</t>
  </si>
  <si>
    <t>659/2015 
743/2015 (CORRIGE)</t>
  </si>
  <si>
    <t>MEM15-00013707  29/09/15
MEM15-00015991
12/11/2015</t>
  </si>
  <si>
    <t>$ 60.637.500
$ 3.073.167</t>
  </si>
  <si>
    <t>$ 61.463.341
(DR. EDER ENRIQUE DIAZ OCHOA)
$ 3.073.167
(DR. EDER ENRIQUE DIAZ OCHOA)</t>
  </si>
  <si>
    <t>286760615
(DR. EDER ENRIQUE DIAZ OCHOA)
358081215
(DR. EDER ENRIQUE DIAZ OCHOA)</t>
  </si>
  <si>
    <t>07/10/2015
(DR. EDER ENRIQUE DIAZ OCHOA)
07/12/2015
(DR. EDER ENRIQUE DIAZ OCHOA)</t>
  </si>
  <si>
    <t>oct-15
dic-15</t>
  </si>
  <si>
    <t>EXT15-00010364</t>
  </si>
  <si>
    <t>EXT15-00060262</t>
  </si>
  <si>
    <t>SOLICITA INFORMACION</t>
  </si>
  <si>
    <t>04/12/215</t>
  </si>
  <si>
    <t xml:space="preserve">OFICIO </t>
  </si>
  <si>
    <t>EXT16-00091678</t>
  </si>
  <si>
    <t>EXT16-00096740</t>
  </si>
  <si>
    <t>15/12/2016
06/07/2017
21/05/2018</t>
  </si>
  <si>
    <t>dic-16
jul-17
may-18</t>
  </si>
  <si>
    <t>EXT16-00096869
EXT17-00051816
EXT18-00045326</t>
  </si>
  <si>
    <t>JUZGADO
JUZGADO
JUZGADO</t>
  </si>
  <si>
    <t>NOTIFICA ESTADO
REMITE AUTO DEMANDA EJECUTIVA
COMUNICA ESTADO EJECUTIVO</t>
  </si>
  <si>
    <t>EXT18-00087052</t>
  </si>
  <si>
    <t>CITACION AUDIENCIA</t>
  </si>
  <si>
    <t>47 001 3331 002 2013 00396 00</t>
  </si>
  <si>
    <t>NO SE ENCUENTRA EN LOS ANEXOS
PAGADA
(PENDIENTE ALGUNOS PAGOS DE MI PLANILLA)
ESTE EJECUTIVO ESTA EN PROCESO DE CONCILIACION  W.</t>
  </si>
  <si>
    <t>535/2015</t>
  </si>
  <si>
    <t xml:space="preserve">MEM15-00018715  23/12/15
</t>
  </si>
  <si>
    <t>47 001 3333 002 2016 00363 00</t>
  </si>
  <si>
    <t>0512/2017</t>
  </si>
  <si>
    <t>MANUEL BILLI VALERA RAYO</t>
  </si>
  <si>
    <t>EXT15-00012648</t>
  </si>
  <si>
    <t>08 001 3333 011 2013 00169 00</t>
  </si>
  <si>
    <t>NO HAN ALLEGADO DOCUMENTOS
EN EL ANEXO ES EL NUMERO 403 
SEGUNDA INSTANCIA CONFIRMA LA PRIMERA INSTANCIA DEL 30/05(14 MEDIANTE LA CUAL SE NEGARON LAS PRETENSIONES DE LA DEMANDA 
LAS DOS INSTANCIAS NEGARON</t>
  </si>
  <si>
    <t>JUZGADO ONCE ADMINISTRATIVO DE BARRANQUILLA</t>
  </si>
  <si>
    <t xml:space="preserve">HECTOR VILLOTA SANTACRUZ Y OTROS 
SANTIAGO VILLOTA ROMO
CLAUDIA PATRICIA VILLOTA ROMO
HECTOR ENRIQUE VILLOTA ROMO
AURA ELVIRA ROMO DE VILLOTA
MARIA TERESA VILLOTA GUERRERO
HECTOR ALFREDO VILLOTA GUERRERO
ROSA ALBA RODRIGUEZ GUERRERO
</t>
  </si>
  <si>
    <t>DIANA AYDEE ONOFRE MEZA
GERARDO EDILFONSO JURADO CALPA</t>
  </si>
  <si>
    <t>EXT15-00012562</t>
  </si>
  <si>
    <t>EXT15-00019048</t>
  </si>
  <si>
    <t>EXT16-00092982</t>
  </si>
  <si>
    <t>EXT17-00032523</t>
  </si>
  <si>
    <t>EXT17-00100306</t>
  </si>
  <si>
    <t>EXT18-00036135</t>
  </si>
  <si>
    <t>POLICIA</t>
  </si>
  <si>
    <t>SOLICITUD DE INFORMACION</t>
  </si>
  <si>
    <t>52 001 2331 000 1999 00986 00</t>
  </si>
  <si>
    <t>PAGADA
(SE DA RESPUESTA MEDIANTE OFI17-00017879 22/05/17)A OFI17-00048166 27/12/17 OFI18-00018631 11/05/18 E</t>
  </si>
  <si>
    <t>TRIBUNAL ADMISTRATIVO DE PASTO</t>
  </si>
  <si>
    <t>CONSEJO DE ESTADO SECCION TERCERA</t>
  </si>
  <si>
    <t xml:space="preserve"> (MUERTE DE DIPUTADO)-DAS</t>
  </si>
  <si>
    <t>0819/2017
0869/2017 (PARA ANULAR)</t>
  </si>
  <si>
    <t>0960/2016
0819/17 MODIFICA 0960/16</t>
  </si>
  <si>
    <t>DIANAONOFRE@HOTMAIL.COM
29/01/18</t>
  </si>
  <si>
    <t>1482/17</t>
  </si>
  <si>
    <t>2498718</t>
  </si>
  <si>
    <t>ELKIN JOSE GUERRERO ALVARADO</t>
  </si>
  <si>
    <t>EXT15-00022070</t>
  </si>
  <si>
    <t>EXT16-00048102</t>
  </si>
  <si>
    <t>EXT17-00007665</t>
  </si>
  <si>
    <t>EXT17-00023292</t>
  </si>
  <si>
    <t>DERECHO DE PETICIION</t>
  </si>
  <si>
    <t>04/05/2017
ENTREGADO Y LIQUIDADO 22/11/2017
LIQUIDADO NPA</t>
  </si>
  <si>
    <t>11 001 3331 011 2011 00402 00</t>
  </si>
  <si>
    <t>EN EL ANEXO ES EL 6
PAGADA
(SE DA RESPUESTA MEDIANTE OFI17-00013895 20/04/17)A</t>
  </si>
  <si>
    <t>JUZGADO PRIMERO ADMINISTRATIVO DE DESCONGESTION DEL CIRCUITO JUDICIAL DE BOGOTA</t>
  </si>
  <si>
    <t>0724/2016 
0356/2017 POR LA CUAL SE ADICINA 0724/2016
0962/2016</t>
  </si>
  <si>
    <t>MEM16-00018388 12/10/2016 
MEM16-00022439 23/12/2016
MEM17-00005390
24/04/2017</t>
  </si>
  <si>
    <t>$ 93.933.461
$ 1.065.948
$ 31.311.153
(DRA. CLAUDIA PATRICIA CORREA PINEDA)
$ 14.354.695
(DRA. CLAUDIA PATRICIA CORREA PINEDA)
$ 43.064.086</t>
  </si>
  <si>
    <t>304935216
5520917
304950916
(DRA. CLAUDIA PATRICIA CORREA PINEDA)
103015217
(DRA. CLAUDIA PATRICIA CORREA PINEDA)
102998817</t>
  </si>
  <si>
    <t>28/10/2016
19/01/2017
28/10/2016
(DRA. CLAUDIA PATRICIA CORREA PINEDA)
27/04/2017
(DRA. CLAUDIA PATRICIA CORREA PINEDA)
27/04/2017</t>
  </si>
  <si>
    <t>oct-16
ene-17
oct-2016
abr-17
abr-17</t>
  </si>
  <si>
    <t xml:space="preserve">LEONARDO FABIO JIMENEZ VICTORIA </t>
  </si>
  <si>
    <t>EXT18-00014459</t>
  </si>
  <si>
    <t>EXT18-00052162</t>
  </si>
  <si>
    <t>SOLICITA COMUNICACIÓN RESOLUCION DE PAGO</t>
  </si>
  <si>
    <t>02/05/2017
ENTREGADO Y LIQUIDADO 02/10/2017
LIQUIDADO NPA</t>
  </si>
  <si>
    <t>11 001 3331 717 2012 00142 00</t>
  </si>
  <si>
    <t xml:space="preserve">EN EL ANEXO ES LA 581 CON DOCUMENTOS (Falta DIAN, FOTOCP. CC. Y T.P ABOGADA)
LA DEMANDA FUE RADICADA EL 05 DE JUNIO DE 2012
SE DA RESPUESTA MEDIANTE OFI18-00008480 01/03/18 E
CORREO ELECTRONICO 21/06/18
</t>
  </si>
  <si>
    <t>JUZGADO DIECISIETE ADMINISTRATIVO DE DESCONGESTION DE BOGOTA</t>
  </si>
  <si>
    <t>266/2016</t>
  </si>
  <si>
    <t>0711-18</t>
  </si>
  <si>
    <t>correapinedaclaudia@hotmail.com
21-06-2018</t>
  </si>
  <si>
    <t>MILTON ALEXANDER COLMENARES PEREZ</t>
  </si>
  <si>
    <t>CARLOS HERNAN RIAÑO ORDOÑEZ</t>
  </si>
  <si>
    <t>EXT15-00014129</t>
  </si>
  <si>
    <t>EXT16-00049404</t>
  </si>
  <si>
    <t>SOLICITA DEVOLUCION DE DOCUMENTOS DE COBRO DE SENTENCIA</t>
  </si>
  <si>
    <t>EXT16-00049960</t>
  </si>
  <si>
    <t>EXT17-00102048</t>
  </si>
  <si>
    <t>COMUNICACIÓN PAGO DE SENTENCIA</t>
  </si>
  <si>
    <t>54 001 3331 001 2011 00309 00</t>
  </si>
  <si>
    <t>(NO APARECE IMPUESTA)
(ABOGADO RETIRA SOLICITUD)
EN OFICIO DE FECHA 14/07/16 SE AUTORIZA A GLORIA PARA ENTREGAR LOS DOCUMENTOS AL ABOGADO MEDIANTE ACTA DE ENTREGA No. 002/2016 
MEDIANTE EXT17-00102048 28/12/17 LA FIDUPREVISORA ENVIA COMUNICACIÓN PAGO DE SENTENCIA</t>
  </si>
  <si>
    <t>JUZGADO SEGUNDO ADMINISTRATIVO DE DESCONGESTION DE CUCUTA</t>
  </si>
  <si>
    <t>TRIBUNAL ADMINSTRATIVO DE SANTANDER DESPACHO DE DESCONGESTION</t>
  </si>
  <si>
    <t>0230-18</t>
  </si>
  <si>
    <t xml:space="preserve">ALEXANDER GOMEZ MOLINA </t>
  </si>
  <si>
    <t>EXT14-00035673</t>
  </si>
  <si>
    <t>COMUNICACIÓN</t>
  </si>
  <si>
    <t>EXT15-00015804</t>
  </si>
  <si>
    <t>EXT15-00027829</t>
  </si>
  <si>
    <t>RECLAMACION</t>
  </si>
  <si>
    <t>EXT15-00040081</t>
  </si>
  <si>
    <t>EXT15-00061568</t>
  </si>
  <si>
    <t>14/06/2016
13/02/2017
24/12/2017
05/02/2018
06/03/2018</t>
  </si>
  <si>
    <t>jun-16
feb-17
oct-17
feb-18
mar-18</t>
  </si>
  <si>
    <t>EXT16-00045137
EXT17-00009505
CORREO ELECTRÓNICO
EXT18-00009594
EXT18-00020416</t>
  </si>
  <si>
    <t>ABOGADA
BENEFICIARIO
JUZGADO
ABOGADA
ABOGADA</t>
  </si>
  <si>
    <t>SOLICITUD DE PAGO
PETICION
COMUNICACIÓN
SOLICITUD
DERECHO DE PETICION</t>
  </si>
  <si>
    <t>70 001 3333 005 2012 00022 00</t>
  </si>
  <si>
    <t>IMPUESTO, ANEXO 4, No. 551
CON DOCUMENTOS COMPLETOS
DOCUMENTOS INCOMPLETOS
SEGUNDA INSTANCIA CONFIRMA Y CONDENA EN COSTAS
FALTAN DOCUMENTOS: CONSTANCIAS DE SER PRIMERA COPIA Y PRESTAR MERITO EJECUTIVO, FOTOCOPIA DE LA T.P. DE LA ABOGADA, COPIA DEL RUT DE LA ABOGADA
SE DA RESPUESTA MEDIANTE OFI18-00010676 14/03/18 L</t>
  </si>
  <si>
    <t>JUZGADO QUINTO ADMINISTRATIVO ORAL DE SINCELEJO</t>
  </si>
  <si>
    <t>TRIBUNAL ADMINISTRATIVO DE SUCRE- SALA PRIMERA DE DECISION ORAL</t>
  </si>
  <si>
    <t>0904-2017</t>
  </si>
  <si>
    <t>0219-18</t>
  </si>
  <si>
    <t>VIANIS.BALDOVINO@GMAIL.COM</t>
  </si>
  <si>
    <t>JAVIER ANTONIO LADINO GASPAR</t>
  </si>
  <si>
    <t>EXT15-00018130</t>
  </si>
  <si>
    <t>EXT15-00007080</t>
  </si>
  <si>
    <t>EXT15-00048760</t>
  </si>
  <si>
    <t>SOLICITUD CUMPLIMIENTO DE SENTENCIA</t>
  </si>
  <si>
    <t>17 001 3331 007 2011 00684 00</t>
  </si>
  <si>
    <t>EN EL ANEXO 412
 FALLO SEGUNDA INSTANCIA MODIFICA Y CONFIRMA</t>
  </si>
  <si>
    <t>JUZGADO TERCERO DE DESCONGESTION DE MANIZALES</t>
  </si>
  <si>
    <t>0870-2017</t>
  </si>
  <si>
    <t>1523/17</t>
  </si>
  <si>
    <t>7774818</t>
  </si>
  <si>
    <t>ANDRES FELIPE YARCE SIERRA</t>
  </si>
  <si>
    <t>EXT15-00016577</t>
  </si>
  <si>
    <t>EXT17-00062292</t>
  </si>
  <si>
    <t>PETICIONARIO</t>
  </si>
  <si>
    <t>ESTADO DEL PROCESO</t>
  </si>
  <si>
    <t>02/05/2017
MEDIANTE OFI17-00030580 24/08/2017  SE ENVIAN DOCUMENTOS ORIGINALES (IMPRESOS LOS DE ÉL) (22 FOLIOS EN GENERAL)
ENTREGADO Y LIQUIDADO 22/11/2017
LIQUIDADO NPA</t>
  </si>
  <si>
    <t>05 001 3331 005 2011 00514 00</t>
  </si>
  <si>
    <t>EN EL DECRETO ES EL No. 430</t>
  </si>
  <si>
    <t>JUZGADO PRIMERO ADMINISTRATIVO DE DESCONGESTION DE MEDELLIN</t>
  </si>
  <si>
    <t>TRIBUNAL ADMINISTRATIVO DE ANTIOQUIA SALA DE DESCONGESTION SUBSECCION LABORAL</t>
  </si>
  <si>
    <t>0221/18</t>
  </si>
  <si>
    <t xml:space="preserve">alejandro0552@hotmail.com </t>
  </si>
  <si>
    <t>LUIS FERNANDO HUMANEZ MARQUEZ (LUIS FERNANDO HERNANDEZ MARQUEZ)</t>
  </si>
  <si>
    <t>EXT15-00016808</t>
  </si>
  <si>
    <t>EXT15-00044524</t>
  </si>
  <si>
    <t>EXT16-00078311</t>
  </si>
  <si>
    <t>EXT17-00072124</t>
  </si>
  <si>
    <t>INFORMATIVO</t>
  </si>
  <si>
    <t>EXT17-00062374</t>
  </si>
  <si>
    <t>21/11/2017
13/02/2018</t>
  </si>
  <si>
    <t>nov-17
feb-18</t>
  </si>
  <si>
    <t>EXT17-00091187
EXT18-00012598</t>
  </si>
  <si>
    <t xml:space="preserve">BENEFICIARIO
BENEFICIARIO
</t>
  </si>
  <si>
    <t>DERECHO DE PETICION
DERECHO DE PETICION</t>
  </si>
  <si>
    <t>02/05/2017
ENTREGADO Y LIQUIDADO 22/11/2017
LIQUIDADO NPA</t>
  </si>
  <si>
    <t>05 001 3331 029 2011 00502 00</t>
  </si>
  <si>
    <t xml:space="preserve">EN EL ANEXO ES LA 444 CON DOCUMENTOS COMPLETOS
(SE DA RESPUESTA MEDIANTE OFI17-00030317 23/08/17 Y CORREO ELECTRONICO 07/12/17)A OFI18-00006868 20/02/18 E
</t>
  </si>
  <si>
    <t>254/2016</t>
  </si>
  <si>
    <t>0692-18</t>
  </si>
  <si>
    <t xml:space="preserve">FAIBER ARMANDO ARAQUE SANTANA </t>
  </si>
  <si>
    <t>GABRIEL JAIME RODRIGUEZ ORTIZ</t>
  </si>
  <si>
    <t>EXT15-00016856</t>
  </si>
  <si>
    <t>EXT15-00045718</t>
  </si>
  <si>
    <t>EXT16-00070094</t>
  </si>
  <si>
    <t>EXT18-00106186</t>
  </si>
  <si>
    <t>05 001 3331 009 2011 00116 00</t>
  </si>
  <si>
    <t>OJO NO APARECE EN EL DECRETO, PERO EL JUZGADO EN PRIMERA INSTANCIA EN PARTE RESOLUTIVA CONDENA A LA UNP
PENDIENTE (FALTA. PODER, COPA CC. DEL BENEFICARIO, DATOS Y CERTF. DE TETENCION EN LA FUENTE). SEGUNDA INSTANCIA CONFIRMA</t>
  </si>
  <si>
    <t>JUZGADO CUARTO ADMINSTRATIVO DE DESCONGESTION DEL CIRCUITO DE MEDELLIN</t>
  </si>
  <si>
    <t>25-07-2018,  1-11-244-439-1742, NO FIGURAN</t>
  </si>
  <si>
    <t>FARNAVI MURILLO AVILA
NALLARITH RENGIFO MURILLO</t>
  </si>
  <si>
    <t>40.378.648
1.121.881.465</t>
  </si>
  <si>
    <t>EXT15-00017611</t>
  </si>
  <si>
    <t>EXT15-00029656</t>
  </si>
  <si>
    <t>EXT16-00096379</t>
  </si>
  <si>
    <t>EXT18-00054532</t>
  </si>
  <si>
    <t>OFICIO TRANSFERIDO A LEONARDO</t>
  </si>
  <si>
    <t>50 001 3331 007 2007 00297 00</t>
  </si>
  <si>
    <t>PAGADA
"MEM18-000012356 29/06/18
OFI18-00026429 29/06/18" LC
OFI18-00029751 19-07-2018  L. (RESPUESTA EXT18-00054532)</t>
  </si>
  <si>
    <t>JUZGADO CUARTO ADMINISTRATIVO DE DESCONGESTION DE VILLAVICENCIO</t>
  </si>
  <si>
    <t xml:space="preserve">TRIBUNAL CONTENCIOSO ADMINISTRATIVO DEL META </t>
  </si>
  <si>
    <t>(MUERTE DE EX ALCALDE)-DAS</t>
  </si>
  <si>
    <t>0956 / 2016</t>
  </si>
  <si>
    <t xml:space="preserve">$ 399.319.946
(FARNAVI MURILLO AVILA)
</t>
  </si>
  <si>
    <t>6341017
(FARNAVI MURILLO AVILA)</t>
  </si>
  <si>
    <t xml:space="preserve">20/01/2017
(FARNAVI MURILLO AVILA)
</t>
  </si>
  <si>
    <t>0515/2017</t>
  </si>
  <si>
    <t>$ 86.271.854
(NALLARITH RENGIFO MURILLO)</t>
  </si>
  <si>
    <t>139674417
(NALLARITH RENGIFO MURILLO)</t>
  </si>
  <si>
    <t>31/05/2017
(NALLARITH RENGIFO MURILLO)</t>
  </si>
  <si>
    <t>JAYSON ORLANDO ORDOÑEZ VALENCIA</t>
  </si>
  <si>
    <t>ADRIANA JIMENA CASTILLO</t>
  </si>
  <si>
    <t xml:space="preserve">EXT15-00031086
</t>
  </si>
  <si>
    <t>EXT15-00017871</t>
  </si>
  <si>
    <t>EXT18-00020678</t>
  </si>
  <si>
    <t>EXT18-00027780</t>
  </si>
  <si>
    <t>19 001 3331 702 2011 00348 00</t>
  </si>
  <si>
    <t>01/12/2006
18/09/2010</t>
  </si>
  <si>
    <t>31/12/2008
08/12/2010</t>
  </si>
  <si>
    <t>NO APARECE EN EL ANEXO ES DE LA AGENCIA CASILLA 110
SE REMITE A LA AGENCIA
EL ABOGADO ALVARO DIUZA EL 07/03/18 MEDIANTE CORREO ELECTRÓNICO INFORMA QUE LA FIDUPREVISORA CANCELÓ EL CRÉDITO JUDICIAL
MEDIANTE OFI18-00009889 09/03/18 L SE SOLICITA A LA FIDUPREVISORA SOPORTE DE PAGO
PAGADO POR LA FIDUPREVISORA 25/07/17
PAGADO EN JUL 25/17 POR LA FIDUPREVISORA</t>
  </si>
  <si>
    <t>JUZGADO SEGUNDO ADMINISTRATIVO DE DESCONGESTION DE POPAYAN</t>
  </si>
  <si>
    <t>CESAR AUGUSTO CASTAÑO RAMIREZ</t>
  </si>
  <si>
    <t>EXT15-00018134</t>
  </si>
  <si>
    <t>EXT15-00048744</t>
  </si>
  <si>
    <t>EXT17-00053905</t>
  </si>
  <si>
    <t>EXT18-00010714</t>
  </si>
  <si>
    <t>SUSPENDE PROCESO EJECUTIVO</t>
  </si>
  <si>
    <t>EXT18-00092007</t>
  </si>
  <si>
    <t>REANUDA PROCESO EJECUTIVO</t>
  </si>
  <si>
    <t>02/05/2017 1ra entrega
31/05/2017 Devuelto a la UNP</t>
  </si>
  <si>
    <t>17 001 3331 003 2011 00710 00</t>
  </si>
  <si>
    <t>EN EL ANEXO 421
SE CONTESTA D. DE PETIC
(SE DA RESPUESTA MEDIANTE OFI17-00026027 24/07/17)A OFI18-00002062 18/01/18 L</t>
  </si>
  <si>
    <t>1504/17</t>
  </si>
  <si>
    <t>7789318</t>
  </si>
  <si>
    <t>abogados-ocampogonzalez@hotmail.com
01/02/18</t>
  </si>
  <si>
    <t>17 001 3331 001 2017 00134 00</t>
  </si>
  <si>
    <t>CESAR ARMANDO SALAZAR QUINTERO</t>
  </si>
  <si>
    <t>EXT15-00018128</t>
  </si>
  <si>
    <t>EXT15-00048751</t>
  </si>
  <si>
    <t>EXT18-00092212</t>
  </si>
  <si>
    <t>17 001 3331 001 2011 00503 00</t>
  </si>
  <si>
    <t>EN EL ANEXO 416 
SEGUNDA INSTANCIA CONFIRMA
SE DA RESPUESTA MEDIANTE OFI18-00022220 01/06/18 E</t>
  </si>
  <si>
    <t>0673-2017</t>
  </si>
  <si>
    <t>1524/17</t>
  </si>
  <si>
    <t>ABOGADO-OCAMPOGONZALEZ@HOTMAIL.COM 
30/01/18</t>
  </si>
  <si>
    <t>17 001 3333 004 2016 00398 00</t>
  </si>
  <si>
    <t>GERMAN EDUARDO BETANCUR VELASQUEZ</t>
  </si>
  <si>
    <t>EXT15-00000775</t>
  </si>
  <si>
    <t>EXT15- 00018125</t>
  </si>
  <si>
    <t>EXT15-00048728</t>
  </si>
  <si>
    <t>EXT15-00062046</t>
  </si>
  <si>
    <t>15/11/2016
25/01/2017
23/12/2016
24/01/2017
24/05/2017
06/06/2017
16/03/2017</t>
  </si>
  <si>
    <t xml:space="preserve">nov-16
ene-17
dic-16
ene-17
may-17
jun-17
mar-17
</t>
  </si>
  <si>
    <t>EXT16-00088348
EXT17-00004910
EXT16-00098842
EXT17-00004555
EXT17-00038393
EXT17-00041785
EXT17-00019400</t>
  </si>
  <si>
    <t>ABOGADO
ABOGADO
PROCURADURIA
ABOGADO
ANDJE
JUZGADO
ABOGADO</t>
  </si>
  <si>
    <t>DERECHO DE PETICION
DERECHO DE PETICION
CUMPLIMIENTO DE SENTENCIA
DERECHO DE PETICION
AUTO LIBRA 
MANDAMIENTO DE PAGO
COMUNICACIÓN
DERECHO DE PETICION</t>
  </si>
  <si>
    <t xml:space="preserve"> EXT18-00094090 </t>
  </si>
  <si>
    <t>SOLICITUD COMPROBANTES DE PAGO</t>
  </si>
  <si>
    <t xml:space="preserve">17 001 3331 001 2011 00498 00
</t>
  </si>
  <si>
    <t>0965/2016
MODIFICADA POR CUENTA BANCARIA  0167/2017
0349/2017 ADICIONA RESOLUCION 0965/2016</t>
  </si>
  <si>
    <t>MEM16-00022439 23/12/2016
MEM17-00002251
20/02/2017
MEM17-00005278 21/04/2017</t>
  </si>
  <si>
    <t xml:space="preserve">$ 94.713.300
$ 61.669.245
</t>
  </si>
  <si>
    <t>$ 94.713.300
$ 43.168.472
$ 18.500.773
(DR. JUAN GUILLERMO OCAMPO GONZALEZ)</t>
  </si>
  <si>
    <t>46291317
102925417
102935217
(DR. JUAN GUILLERMO OCAMPO GONZALEZ)</t>
  </si>
  <si>
    <t>03/03/2017
27/04/2017
27/04/2017
(DR. JUAN GUILLERMO OCAMPO GONZALEZ)</t>
  </si>
  <si>
    <r>
      <t>ene-17
abr-</t>
    </r>
    <r>
      <rPr>
        <sz val="9"/>
        <rFont val="Arial Narrow"/>
        <family val="2"/>
      </rPr>
      <t>17
abr-17</t>
    </r>
  </si>
  <si>
    <t>17 001 3333 001 2016 00318 00</t>
  </si>
  <si>
    <t>0504/2017
0808/2017</t>
  </si>
  <si>
    <t>MEM17-00006956 24/05/2017
MEM17-00011051
11/08/2017</t>
  </si>
  <si>
    <t>$ 32.855.152
$ 14.080.780
(DR. JUAN GUILLERMO OCAMPO GOMEZ)
$ 3.892.642</t>
  </si>
  <si>
    <t>136414117
136419617
(DR. JUAN GUILLERMO OCAMPO GOMEZ)
239547617</t>
  </si>
  <si>
    <t>30/05/2017
30/05/2017
(DR. JUAN GUILLERMO OCAMPO GOMEZ)
28/08/2017</t>
  </si>
  <si>
    <t>may-17
may-17
ago-17</t>
  </si>
  <si>
    <t>WILLIAM HUMBERTO OROZCO RODRIGUEZ</t>
  </si>
  <si>
    <t>EXT15-00018158</t>
  </si>
  <si>
    <t>EXT15-00048782</t>
  </si>
  <si>
    <t>EXT17-00069443</t>
  </si>
  <si>
    <t>EXT17-00007123</t>
  </si>
  <si>
    <t>EXT17-00042953</t>
  </si>
  <si>
    <t>15/03/2018
06/04/2018
04/04/2018
17/05/2018</t>
  </si>
  <si>
    <t>mar-18
abr-18
abr-18
may-18</t>
  </si>
  <si>
    <t>EXT18-00023252
EXT18-00029884
EXT18-00028909
EXT18-00044182</t>
  </si>
  <si>
    <t>BENEFICIARIO
JUZGADO
JUZGADO
ABOGADO</t>
  </si>
  <si>
    <t xml:space="preserve">DERECHO DE PETICION
AUTO COMUNICA SUSPENSION PROCESOI EJECUTIVO
AUTO COMUNICA SUSPENSION PROCESOI EJECUTIVO
DERECHO DE PETICION
</t>
  </si>
  <si>
    <t>17 001 3331 002 2011 00554 00</t>
  </si>
  <si>
    <t>0275/2016
0882/2017</t>
  </si>
  <si>
    <t>1439/17</t>
  </si>
  <si>
    <t>2895318</t>
  </si>
  <si>
    <t>ABOGADO-OCAMPOGONZALEZ@HOTMAIL.COM
26/01/18</t>
  </si>
  <si>
    <t>17 001 3333 004 2017 00143 00</t>
  </si>
  <si>
    <t>FABIO LEONARDO RUEDA SILVA</t>
  </si>
  <si>
    <t>GIME ALEXANDER RODRIGUEZ</t>
  </si>
  <si>
    <t>EXT15-00020541</t>
  </si>
  <si>
    <t>EXT15-00043082</t>
  </si>
  <si>
    <t>EXT15-00044690</t>
  </si>
  <si>
    <t>68 001 3331 002 2010 00293 00</t>
  </si>
  <si>
    <t>JUZGADO CUARTO DEL CIRCUITO ADMINISTRATIVO DE BUCARAMANGA</t>
  </si>
  <si>
    <t>0726/2016</t>
  </si>
  <si>
    <t>MEM16-00018388 DE 12/10/2016</t>
  </si>
  <si>
    <t>302710916</t>
  </si>
  <si>
    <t>0504/2017</t>
  </si>
  <si>
    <t>ANGEL MIGUEL TRIANA MUÑOZ</t>
  </si>
  <si>
    <t>EXT15-00019273</t>
  </si>
  <si>
    <t>68 001 2331 000 2010 00829 00</t>
  </si>
  <si>
    <t>NO ESTA EN EL DECRETO, TAMPOCO EL DESPACHO ORDENA SUCESION O PAGO POR PARTE DE LA UNP
CASO PARECIDO A JOSE EUTIMIO
SE INFORMA A LA PROCURADURIA QUE EL CASO NO ESTÁ IMPUESTO</t>
  </si>
  <si>
    <t>TRIBUNAL ADMINSTRATIVO DE SANTANDER DE DESCONGESTION</t>
  </si>
  <si>
    <t>DEMANDA INACTIVA PARA PROYECTAR RESOL. CON ESTE CRITERIO</t>
  </si>
  <si>
    <t>1443/17</t>
  </si>
  <si>
    <t>2899018</t>
  </si>
  <si>
    <t>ABOGADOERWINVERA@HOTMAIL.COM 
26/01/18</t>
  </si>
  <si>
    <t>68 001 2333 000 2016 01221 00</t>
  </si>
  <si>
    <t>RICARDO TABARES HINCAPIE</t>
  </si>
  <si>
    <t xml:space="preserve">EXT15-00020478
</t>
  </si>
  <si>
    <t>EXT15-00048722</t>
  </si>
  <si>
    <t>24/05/2017
ENTREGADO Y LIQUIDADO 02/10/2017
LIQUIDADO NPA</t>
  </si>
  <si>
    <t>17 001 3331 004 2011 00540 00</t>
  </si>
  <si>
    <t xml:space="preserve">CON DOCUMENTOS COMPLETOS
EN EL ANEXO 410 </t>
  </si>
  <si>
    <t>JUZGADO PRIMERO ADMINSTRATIVO DE DESCONGESTION DEL CIRCUITO DE MANIZALES</t>
  </si>
  <si>
    <t>258/2016</t>
  </si>
  <si>
    <t>1438/17</t>
  </si>
  <si>
    <t>2340618</t>
  </si>
  <si>
    <t>ABOGADO-OCAMPOGONZALEZ@HOTMAIL.COM 
26/01/18</t>
  </si>
  <si>
    <t>17 001 3333 004 2017 00195 00</t>
  </si>
  <si>
    <t xml:space="preserve">RUBEL MONTEALEGRE ORJUELA </t>
  </si>
  <si>
    <t xml:space="preserve">EXT15-00019271
</t>
  </si>
  <si>
    <t>EXT17-00024937</t>
  </si>
  <si>
    <t xml:space="preserve">COBRO </t>
  </si>
  <si>
    <t>EXT18-00011059</t>
  </si>
  <si>
    <t>EXT18-00082275</t>
  </si>
  <si>
    <t>TUTELA DE LA UNP CONTRA TRIBUNAL ADMINISTRATIVO DE SANTANDER</t>
  </si>
  <si>
    <t>EXT18-00081850</t>
  </si>
  <si>
    <t>EXT18-00103043</t>
  </si>
  <si>
    <t>TUTELA-UNP CONTRA TRIBUNAL DE SANTANDER</t>
  </si>
  <si>
    <t>68 001 2333 000 2012 00108 00</t>
  </si>
  <si>
    <t>NO SE ENCUENTRA EN LOS ANEXOS
PAGADA
(PENDIENTE LO DE FONDO)
(SE TRAMITA CON EL OFI17-00013996 21/04/17)A OFI18-00006808 19/02/18 L
OFI17-00014462     -  25-04-2017
SOLICITUD DE LEVANTAMIENTO DE MEDIDAS CAUTELARES
OFI17-00015470   -   03-05-2017
RECURSO DE REPOSICION EN SUBSIDIO DE  APELACION
OFI18-00007065   -   20-02-2018
SOLICITUD DE LEVANTAMIENTO DE MEDIDAS CAUTELARES Y TERMINACION DEL PROCESO POR PAGO TOTAL DE LA OBLIGACION. ART. 461 DEL C.G.P.
OFI18-00031504    -   31-07-2018
ACCION DE TUTELA 
MEDIENTE OFI18-00038207 SE DA RESPUESTA AL EXT18-00083804   F.</t>
  </si>
  <si>
    <t>TRIBUNAL ADMINISTRATIVO DE ORALIDAD DE SANTANDER</t>
  </si>
  <si>
    <t>CONSEJO DE ESTADO SECCION SEGUNDA SUBSECCION "B"</t>
  </si>
  <si>
    <t>264/2016</t>
  </si>
  <si>
    <t>0364/2017</t>
  </si>
  <si>
    <t>MEM17-00005512 26/04/2017</t>
  </si>
  <si>
    <t>$ 129.090.088
(DR. EVALDO VERA ERWIN)</t>
  </si>
  <si>
    <t xml:space="preserve">108210217
(DR. EVALDO VERA ERWIN)
</t>
  </si>
  <si>
    <t>04/05/2017
(DR. EVALDO VERA ERWIN)</t>
  </si>
  <si>
    <t>1514/17</t>
  </si>
  <si>
    <t>2443618</t>
  </si>
  <si>
    <t>FREDDY ALBERTO BENITEZ NIÑO</t>
  </si>
  <si>
    <t>EXT15-00021867</t>
  </si>
  <si>
    <t>EXT15-00036987</t>
  </si>
  <si>
    <t>NOTIFICACION ESTADO</t>
  </si>
  <si>
    <t>EXT17-00092589</t>
  </si>
  <si>
    <t>EXT18-00031835</t>
  </si>
  <si>
    <t>CONSULTA</t>
  </si>
  <si>
    <t>54 518 3331 001 2012 00008 00</t>
  </si>
  <si>
    <t>EN EL ANEXO ES EL 42
PAGADA
(PENDIENTE LO DE FONDO)
MEDIANTE EXT17-00092589 27/11/17 EL JUZGADO INFORMA LA TERMINACION DEL PROCESO EJECUTIVO</t>
  </si>
  <si>
    <t>JUZGADO ADMINISTRATIVO DE DESCONGESTION  DE PAMPLONA</t>
  </si>
  <si>
    <t xml:space="preserve">TRIBUNAL ADMINISTRATIVO DE NORTE DE SANTANDER </t>
  </si>
  <si>
    <t>024/0511/2017
0511/2017 MODIFICA LA 0224</t>
  </si>
  <si>
    <t>MEM17-00004885
07/04/2017
MEM17-00007047 26/05/2017</t>
  </si>
  <si>
    <t xml:space="preserve">$ 188.116.053
(DR. CARLOS ARTURO GOMEZ TRUJILLO)
</t>
  </si>
  <si>
    <t>140532617 
(DR. CARLOS ARTURO GOMEZ TRUJILLO)</t>
  </si>
  <si>
    <t>02/06/2017
(DR. CARLOS ARTURO GOMEZ TRUJILLO)</t>
  </si>
  <si>
    <t>ARTUROGOTRU@GMAIL.COM
15/05/18</t>
  </si>
  <si>
    <t>54 518 3333 001 2016 00202 00</t>
  </si>
  <si>
    <t>0349-18</t>
  </si>
  <si>
    <t>FRACY HOYOS TORRES</t>
  </si>
  <si>
    <t>MARIA IDALY SALAZAR</t>
  </si>
  <si>
    <t>EXT15-00022282</t>
  </si>
  <si>
    <t>EXT15-00058052</t>
  </si>
  <si>
    <t>EXT18-00042524</t>
  </si>
  <si>
    <t>SOLICITUS RESOLUCION Y RELIQUIDACION</t>
  </si>
  <si>
    <t>EXT18-00043045</t>
  </si>
  <si>
    <t>EN EL ANEXO ES EL 463  
 LIQUIDADA SE DA CUMPLIMIENTO NO HAY PAGO
SE DA RESPUESTA MEDIANTE OFI18-00022589 05/06/18 E</t>
  </si>
  <si>
    <t>JUZGADO DIECIOCHO ADMINISTRATIVO DEL CIRCUITO JUDICIAL DE CALI</t>
  </si>
  <si>
    <t xml:space="preserve">TRIBUNAL CONTECIOSO ADMINISTRATIVO DEL VALLE DEL CAUCA </t>
  </si>
  <si>
    <t>CON PROYECTO DE RESOLC. DE RECONOCIMIENTO OJO SALE PARA PAGO</t>
  </si>
  <si>
    <t>0739/2016
0511-18</t>
  </si>
  <si>
    <t xml:space="preserve">LEGALIZIMOS@HOTMAIL.COM </t>
  </si>
  <si>
    <t>CON TUTELA</t>
  </si>
  <si>
    <t xml:space="preserve">SANDRA MILENA BENAVIDES MACHADO </t>
  </si>
  <si>
    <t>EXT15-00022346</t>
  </si>
  <si>
    <t>EXT16-00012932</t>
  </si>
  <si>
    <t>EXT16-00076340</t>
  </si>
  <si>
    <t>11 001 3335 008 2014 00339 00</t>
  </si>
  <si>
    <t>NO SE ENCUENTRA EN LOS ANEXOS
EN EL FALLO CONDENA A LA UNP</t>
  </si>
  <si>
    <t>JUZGADO OCTAVO ADMINISTATIVO DE ORALIDAD DE BOGOTA</t>
  </si>
  <si>
    <t>MARIELA DUARTE PARRADO Y OTROS</t>
  </si>
  <si>
    <t>JOSE GUSTAVO SANCHEZ FERNANDEZ</t>
  </si>
  <si>
    <t>EXT15-00021976</t>
  </si>
  <si>
    <t>EXT15-00046545</t>
  </si>
  <si>
    <t>EXT16-00080990</t>
  </si>
  <si>
    <t>EXT18-00023503</t>
  </si>
  <si>
    <t>EXT18-00026772</t>
  </si>
  <si>
    <t>50 001 2331 000 1998 01262 00</t>
  </si>
  <si>
    <t>CON DOCUMENTOS (SE ALLEGAN DOC. FALTANTES, REQUERIDOS POR OFI) DE LA BASE DE DATOS DE ANDREA SE EXTRAE QUE ES DIRECTA Y RECIBIDA DEL DAS, EN EL FALLO CONDENAN A LA UNP / (08/08/2017 NO SE ENCONTRO EN EL ARCHIVO)
SE DA RESPUESTA MEDIANTE OFI18-00012049 22/03/18 L</t>
  </si>
  <si>
    <t>MINDEFENSA, POLICIA, DAS.</t>
  </si>
  <si>
    <t xml:space="preserve">(MUERTE LIDER POLITICO)-DAS Y DE MANERA DIRECTA </t>
  </si>
  <si>
    <t>273/2016</t>
  </si>
  <si>
    <t>0350-18
0391-18 MEDIANTE LA CUAL SE MODIFICA UN NUMERO DE CUENTA BANCARIA DE LA RES. 0350-18</t>
  </si>
  <si>
    <r>
      <t xml:space="preserve">$ 779.827.189
(JOSE GUSTAVO SANCHEZ FERNANDEZ)
$ 52.238.499
LUZ ESTELLA GIRALDO CARDONA
$ 17.412.833
MARIA INES GIRALDO CARDONA
$ 588.156.043
SARA JIMENA GIRALDO DUARTE
$ 566.417.246
NATALIA GIRALDO DUARTE
MARIELA DUARTE PARRADO
$ 1.386.501.186
TOTAL: </t>
    </r>
    <r>
      <rPr>
        <b/>
        <sz val="9"/>
        <rFont val="Arial Narrow"/>
        <family val="2"/>
      </rPr>
      <t>3.390.552.996</t>
    </r>
  </si>
  <si>
    <t>76112018
(JOSE GUSTAVO SANCHEZ FERNANDEZ)
(93739618)
LUZ ESTELLA GIRALDO CARDONA
(93723718)
MARIA INES GIRALDO CARDONA
(93713018)
SARA JIMENA GIRALDO DUARTE
(93695118)
NATALIA GIRALDO DUARTE 
93677618</t>
  </si>
  <si>
    <t>22/03/18
(JOSE GUSTAVO SANCHEZ FERNANDEZ)
(06/04/18)
LUZ ESTELLA GIRALDO CARDONA
(06/04/18)
MARIA INES GIRALDO CARDONA
(06/04/18)
SARA JIMENA GIRALDO DUARTE
(06/04/18)
NATALIA GIRALDO DUARTE 
06/04/18</t>
  </si>
  <si>
    <t>mar-18
(JOSE GUSTAVO SANCHEZ FERNANDEZ)
abr-18
LUZ ESTELLA GIRALDO CARDONA
abr-18
MARIA INES GIRALDO CARDONA
abr-18
SARA JIMENA GIRALDO DUARTE
abr-18
NATALIA GIRALDO DUARTE 
abr-18</t>
  </si>
  <si>
    <t>GUSANFER1@HOTMAIL.COM
03/05/18</t>
  </si>
  <si>
    <t xml:space="preserve">JONNY YULIAN RODRIGUEZ GUTIERREZ </t>
  </si>
  <si>
    <t>11 001 3335 008 2014 00223 00</t>
  </si>
  <si>
    <t xml:space="preserve">NO SE ENCUENTRA EN LOS ANEXOS
EN EL FALLO CONDENA A LA UNP
BENEFICIARIO SOLICITA NOTIFICARSELE DE LAS ACTUACIONES
POR SOLICITUD DEL BENEFICIARIO QUE SE LE COMUNIQUE EL PAGO jyrodriguez@hotmail.com Y jonny.rodriguez@unp.gov.co.Lo </t>
  </si>
  <si>
    <t>TRIBUNAL ADMINISTRTIVO DE CUNDINAMARCA</t>
  </si>
  <si>
    <t>1175/2017</t>
  </si>
  <si>
    <t>0226-18</t>
  </si>
  <si>
    <t>DR. FERNANDO ALVAREZ ECHEVERRY clinicajuridica@une.net.co 
15/05/18
jyrodriguez@hotmail.es 
jonny.rodriguez@unp.gov.co</t>
  </si>
  <si>
    <t>NEMESIO RUIZ</t>
  </si>
  <si>
    <t>NIXON TORRES CARCAMO</t>
  </si>
  <si>
    <t>EXT15-00022753</t>
  </si>
  <si>
    <t>EXT15-00035587</t>
  </si>
  <si>
    <t>EXT15-00048218</t>
  </si>
  <si>
    <t>EXT15-00055057</t>
  </si>
  <si>
    <t xml:space="preserve">REMITE DOCUMENTOS </t>
  </si>
  <si>
    <t>EXT16-00056574</t>
  </si>
  <si>
    <t>50 001 3331 001 2011 00063 00</t>
  </si>
  <si>
    <t>EN EL ANEXO ES EL 374
CON DOCUMENTOS
EN EL DECRETO ES LA 374
 CON OFI, SE INFORMA QUE FALTAN DOCUMENTOS / (08/08/2017 ASIGNADA A NATALIA URBANO - CON RESOLUCION PROYECTADA PARA LA REVISION)</t>
  </si>
  <si>
    <t>JUZGADO PRIMERO ADMINISTRATIVO DE DESCONGESTION DE VILLAVICENCIO</t>
  </si>
  <si>
    <t>TRIBUNAL AMDINISTRATIVO DEL META</t>
  </si>
  <si>
    <t>278/2016
0867-2017</t>
  </si>
  <si>
    <t>1436/17</t>
  </si>
  <si>
    <t>1789718</t>
  </si>
  <si>
    <t>JOSENIXON03@YAHOO.ES
26/01/18</t>
  </si>
  <si>
    <t>EDUARD HERNANDO MENDOZA BUENO</t>
  </si>
  <si>
    <t>EXT15-00023055</t>
  </si>
  <si>
    <t>EXT15-00043023</t>
  </si>
  <si>
    <t>EXT18-00003421</t>
  </si>
  <si>
    <t>EXT18-00023264</t>
  </si>
  <si>
    <t>SOLICITUD COBRO SENTENCIA</t>
  </si>
  <si>
    <t>EXT17-00098633</t>
  </si>
  <si>
    <t>AUTO TERMINA PROCESO  EJECUTIVO</t>
  </si>
  <si>
    <t>EXT18-00074977</t>
  </si>
  <si>
    <t xml:space="preserve">BENEFICIARIO </t>
  </si>
  <si>
    <t>54 518 3331 001 2011 00175 00</t>
  </si>
  <si>
    <t xml:space="preserve">EN EL ANEXO ES LA 39 
SE DA RESPUESTA MEDIANTE OFI18-00002128 18/01/18 L OFI18-00012012 22/03/18 E
MEDIANTE EXT17-00098633 DE 14-12-2017 JUZGADO DA POR TERMINADO EJECUTIVO POR PAGO
MEDIANTE OFI18-00036783 28/08/18 SE DA RESPUESTA A EXT18-00074977 L.
</t>
  </si>
  <si>
    <t>JUZGADO ADMINISTRATIVO DE DESCONGESTION PARA EL CIRCUITO JUDICIAL DE PAMPLONA</t>
  </si>
  <si>
    <t>0223/2017
0793/2017 MODIFIFA LA 
0223/2017</t>
  </si>
  <si>
    <t>MEM17-00004885
07/04/2017
MEM17-00010858
09/08/2017</t>
  </si>
  <si>
    <t xml:space="preserve">227380817
</t>
  </si>
  <si>
    <t>54 518 3333 001 2016 00204 00
CON MANDAMIENTO DE PAGO</t>
  </si>
  <si>
    <t>0224-18</t>
  </si>
  <si>
    <t xml:space="preserve">JULIO CESAR SUAREZ SANCHEZ </t>
  </si>
  <si>
    <t>EXT14-00067254</t>
  </si>
  <si>
    <t>REMISION POR COMPETENCIA</t>
  </si>
  <si>
    <t>EXT15-00024161</t>
  </si>
  <si>
    <t xml:space="preserve">TRIBUNAL </t>
  </si>
  <si>
    <t>EXT15-00036350</t>
  </si>
  <si>
    <t>COMUNICA SENTENCIA</t>
  </si>
  <si>
    <t>EXT15-00042672</t>
  </si>
  <si>
    <t>EXT15-00048755</t>
  </si>
  <si>
    <t>15/11/2016
16/01/18</t>
  </si>
  <si>
    <t>nov-16
ene-18</t>
  </si>
  <si>
    <t>EXT16-00088348
EXT18-00002062</t>
  </si>
  <si>
    <t>ABOGADO
ABOGADO</t>
  </si>
  <si>
    <t>DERECHO DE PETICION
INFORMA CAMBIO DE CUENTA BANCARIA</t>
  </si>
  <si>
    <t>17 001 2333 000 2012 00142 00</t>
  </si>
  <si>
    <t>EN EL ANEXO 427
CON DOCUMENTOS COMPLETOS
SE DA RESPUESTA MEDIANTE OFI18-00002062 18/01/18 L</t>
  </si>
  <si>
    <t>284/2016
0906-2017</t>
  </si>
  <si>
    <t>1509/17</t>
  </si>
  <si>
    <t>ABOGADO-OCAMPOGONZALEZ@HOTMAIL.COM 
01/02/18</t>
  </si>
  <si>
    <t>EXT15-00024701</t>
  </si>
  <si>
    <t>EXT15-00024698</t>
  </si>
  <si>
    <t>EXT18-00017761</t>
  </si>
  <si>
    <t>05 001 3331 030 2009 00306 00</t>
  </si>
  <si>
    <t>EN EL ANEXO ES LA 329 (DEL ARCHIVO SE REMITEN COPIAS A NOMBRE DE DAVID CORONADO PERO SON DE JAMINSON CUESTA)
CON DOCUMENTOS</t>
  </si>
  <si>
    <t xml:space="preserve">JUZGADO TERCERO ADMINISTRATIVO DE DESCONGESTION DE MEDELLIN </t>
  </si>
  <si>
    <t>25-07-2018,  1-11-244-439-1741, NO FIGURAN</t>
  </si>
  <si>
    <t xml:space="preserve">CONSEJO REGIONAL INDIGENA-CRIC </t>
  </si>
  <si>
    <t xml:space="preserve">EXT15-00025706
</t>
  </si>
  <si>
    <t>EXT15-00023620</t>
  </si>
  <si>
    <t>19 001 3333 005 2014 00275 00</t>
  </si>
  <si>
    <t>PAGADA
CONVENIO 230 DE 2014</t>
  </si>
  <si>
    <t>PROCURADURIA 184 JUDICIAL I PARA ASUNTOS ADMINISTRATIVOS</t>
  </si>
  <si>
    <t>JUZGADO QUINTO ADMINSTRATIVO DEL CIRCUITO DE POPAYAN</t>
  </si>
  <si>
    <t xml:space="preserve">
126/2016</t>
  </si>
  <si>
    <t xml:space="preserve">
MEM16-0006708 
25/04/2016</t>
  </si>
  <si>
    <t>CARLOS ANDRES LONDOÑO PATIÑO</t>
  </si>
  <si>
    <t>GERMAN GOMEZ GONZALEZ</t>
  </si>
  <si>
    <t xml:space="preserve">EXT15-00026869
</t>
  </si>
  <si>
    <t>EXT15-00076351</t>
  </si>
  <si>
    <t>EXT16-00033704</t>
  </si>
  <si>
    <t>EXT17-00019209</t>
  </si>
  <si>
    <t>EXT17-00062310</t>
  </si>
  <si>
    <t>SOLITUD DE INFORMACION</t>
  </si>
  <si>
    <t>17/08/2017
19/04/2017
09/05/2017
18/01/2018</t>
  </si>
  <si>
    <t>ago-17
abr-17
may-17
ene-18</t>
  </si>
  <si>
    <t>EXT17-00063443
EXT17-00028266
EXT17-00033642
EXT18-00004404</t>
  </si>
  <si>
    <t>ABOGADO
ABOGADO
ABOGADO
ABOGADO</t>
  </si>
  <si>
    <t>PETICION
DERECHO DE PETICION
ALLEGA DOCUMENTOS
DERECHO  DE PETICION</t>
  </si>
  <si>
    <t>EXT18-00069262</t>
  </si>
  <si>
    <t>02/05/2017
MEDIANTE  OFI17-00032224  05/09/2017 SE ENVIAN DOCUMENTOS ORIGINALES (TOTAL 31 FOLIOS EN GENERAL)
ENTREGADO Y LIQUIDADO 02/10/2017
LIQUIDADO NPA</t>
  </si>
  <si>
    <t>50 001 2331 003 2012 00087 00</t>
  </si>
  <si>
    <t>TRIBUNAL CONTECIOSO ADMINISTRATIVO DEL META</t>
  </si>
  <si>
    <t>0851-2017</t>
  </si>
  <si>
    <t>RUBEN DARIO ORTEGA QUIROZ</t>
  </si>
  <si>
    <t xml:space="preserve">EXT15-00026955 
</t>
  </si>
  <si>
    <t>REMITE AUTO</t>
  </si>
  <si>
    <t>EXT15-00053916</t>
  </si>
  <si>
    <t>EXT18-00033555</t>
  </si>
  <si>
    <t>05 001 3333 024 2013 00093 00</t>
  </si>
  <si>
    <t>NO APARECE EN EL DECRETO  PERO EN EL FALLO DE SEGUNDA INSTANCIA EN LA PAG. 8 SE HABLA QUE LA UNP ES SUCESORA DEL DAS</t>
  </si>
  <si>
    <t>JUZGADO 24 ADMINISTRATIVO DE ORALIDAD DE MEDELLIN</t>
  </si>
  <si>
    <t>DORA MARIA ARTUNDUAGA FLOREZ Y OTROS (R.D.)</t>
  </si>
  <si>
    <t>WILLIAM ALVIS PINZON</t>
  </si>
  <si>
    <t xml:space="preserve">EXT15-00027526
</t>
  </si>
  <si>
    <t>EXT15-00028463</t>
  </si>
  <si>
    <t>41 001 2331 000 2004 01340 00</t>
  </si>
  <si>
    <t>JUZGADO SEGUNDO ADMINISTRATIVO DEL CIRCUITO DE NEIVA</t>
  </si>
  <si>
    <t>TRIBUNAL CONTENCIOSO ADMINSTRATIVO DEL HUILA</t>
  </si>
  <si>
    <t>MININTERIOR, DEFENSA</t>
  </si>
  <si>
    <t>(MUERTE DE ALCALDE) MIN DEL INTERIOR</t>
  </si>
  <si>
    <t>541/15</t>
  </si>
  <si>
    <t>0542/2015 
660/2015</t>
  </si>
  <si>
    <t>MEM15-00011449 DE 14/08/15
MEM15-00013707 DE 29/09/15</t>
  </si>
  <si>
    <t>$ 48.862.246
$ 98.738.808</t>
  </si>
  <si>
    <t>24397515
297247915</t>
  </si>
  <si>
    <t>01/09/2015
15/10/2015</t>
  </si>
  <si>
    <t>sep-15
oct-15</t>
  </si>
  <si>
    <t>JHONY DE JESUS LORA HERNANDEZ</t>
  </si>
  <si>
    <t>FERNANDO ALFONSO SALGADO JURIS</t>
  </si>
  <si>
    <t>EXT15-00028069</t>
  </si>
  <si>
    <t>EXT15-00077982</t>
  </si>
  <si>
    <t>EXT17-00002546</t>
  </si>
  <si>
    <t>EXT17-00013577</t>
  </si>
  <si>
    <t>RESPUESTA A OFICIO</t>
  </si>
  <si>
    <t>EXT17-00080123</t>
  </si>
  <si>
    <t xml:space="preserve">COMUNICA  AUTO MANDAMIENTO EJECUTIVO </t>
  </si>
  <si>
    <t>EXT18-00005359</t>
  </si>
  <si>
    <t>ALLEGA CERTIFICADO BANCARIO ACTUALIZADO</t>
  </si>
  <si>
    <t>23/08/2018
24-08-2018</t>
  </si>
  <si>
    <t>CORREO ELECTRONICO
EXT18-00081903</t>
  </si>
  <si>
    <t>AUTO TERMINA PROCESO EJECUTIVO
REMITE ESTADO - TERMINA EJECUTIVO POR PAGO DE LA OBLIGACION</t>
  </si>
  <si>
    <r>
      <rPr>
        <sz val="9"/>
        <color theme="1"/>
        <rFont val="Arial Narrow"/>
        <family val="2"/>
      </rPr>
      <t xml:space="preserve">02/05/2017
</t>
    </r>
    <r>
      <rPr>
        <sz val="9"/>
        <rFont val="Arial Narrow"/>
        <family val="2"/>
      </rPr>
      <t xml:space="preserve">
ENTREGADO Y LIQUIDADO 02/10/2017
LIQUIDADO NPA</t>
    </r>
  </si>
  <si>
    <t>23 001 3331 005 2013 00077 00</t>
  </si>
  <si>
    <t>EN EL ANEXO ES LA 365 OJO PEDIR AL ABOGADO ACLARAC. RADICADO
CON DOCUMENTOS (FALTAN DOCUMENTOS -DELCARAC. JURAMENTADA)
ADMISION DE DEMANDA: 20 DE ABRIL DE 2012
SENT.ORDENA DAR APLIC. AL ART. 176 Y 177 DEL C.CA
(SE DA RESPUESTA MEDIANTE OFI17-00009739 16/03/17)A OFI18-00003886 30/01/18 L OFI18-00020693 24/05/18 LM 
MEDIANTE AUTO 22-08-2018 (ESTADO NO. 67) SE DA POR TERMINADO EL PROCESO EJECUTIVO POR PAGO TOTAL DE LA OBLIGACION</t>
  </si>
  <si>
    <t>JUZGADO QUINTO ADMINISTRATIVO DEL CIRCUITO DE MONTERIA</t>
  </si>
  <si>
    <t xml:space="preserve">24/02/2015
</t>
  </si>
  <si>
    <t>1488/17</t>
  </si>
  <si>
    <t>2380518</t>
  </si>
  <si>
    <t>FASJ@HOTMAIL.COM
29/01/18</t>
  </si>
  <si>
    <t>23 001 3333 005 2017 00127 00</t>
  </si>
  <si>
    <t>JOSE GUILLERMO ESPINOSA GIL</t>
  </si>
  <si>
    <t>EXT15-00028080</t>
  </si>
  <si>
    <t>EXT15-00032443</t>
  </si>
  <si>
    <t>EXT15-00048736</t>
  </si>
  <si>
    <t>EXT17-00004912</t>
  </si>
  <si>
    <t>CERTIFICACION BANCO</t>
  </si>
  <si>
    <t>EXT18-00010743</t>
  </si>
  <si>
    <t>EXT18-00092009</t>
  </si>
  <si>
    <t>17 001 3331 004 2011 00510 00</t>
  </si>
  <si>
    <t>JUZGADO PRIMERO ADMINISTRATIVO DE DESCONGESTION DEL CIRCUITO JUDICIAL DE MANIZALES</t>
  </si>
  <si>
    <t>282/2016</t>
  </si>
  <si>
    <t>1435/17</t>
  </si>
  <si>
    <t>17 001 3331 001 2017 00265 00</t>
  </si>
  <si>
    <t>JUAN ALEXANDER CASTRO LONDOÑO</t>
  </si>
  <si>
    <t>EXT15-00028575</t>
  </si>
  <si>
    <t>02/05/2017
DEVUELVE 03/01/2018
FUERA DE CONTRATO NPA</t>
  </si>
  <si>
    <t>05 001 3331 006 2012 00365 00</t>
  </si>
  <si>
    <t>EN EL ANEXO ES LA 439 CON DOCUMENTOS (FALTAN DOCUMENTOS)
SENTENCIA ORDENA DAR CUMPL. SEGÚN ART. 176 Y 177 DE CCA</t>
  </si>
  <si>
    <t>JUZGADO TERCERO ADMINISTRATIVO DE DESCONGESTION DE MEDELLIN</t>
  </si>
  <si>
    <t>286/2016</t>
  </si>
  <si>
    <t>0497-18</t>
  </si>
  <si>
    <t xml:space="preserve">alejandro0522@hotmail.com </t>
  </si>
  <si>
    <t>ROBINSON BONILLA Y OTRA (R.D.)</t>
  </si>
  <si>
    <t>PEDRO NEL OSPINA</t>
  </si>
  <si>
    <t>EXT15-00029244</t>
  </si>
  <si>
    <t>73 001 3331 003 2007 00248 00</t>
  </si>
  <si>
    <t>JUZGADO PRIMERO ADMINISTRATIVO DE DESCONGESTION DE IBAGUE (ART. 70 AUD. DE CONCILIACION )</t>
  </si>
  <si>
    <t>(LESIONES PERSONALES)</t>
  </si>
  <si>
    <t>232/2016</t>
  </si>
  <si>
    <t>MEM16-00006708 
 25/042016</t>
  </si>
  <si>
    <t>MARIO ENRIQUE ROMERO CARRASCAL</t>
  </si>
  <si>
    <t xml:space="preserve">EXT15-00004972
</t>
  </si>
  <si>
    <t>EXT15-00029928</t>
  </si>
  <si>
    <t>EXT15-00052645</t>
  </si>
  <si>
    <t>ALLEGA CERTIFICACION BANCARIA ACTUALIZADA</t>
  </si>
  <si>
    <t>EXT18-00007666</t>
  </si>
  <si>
    <t>SOLICITUD DE LIQUIDACION</t>
  </si>
  <si>
    <t>AUTO TERMINA PROCESO EJECUTIVO POR PAGO DE LA OBLIGACION
AUTO TERMINA PROCESO EJECUTIVO POR PAGO DE LA OBLIGACION</t>
  </si>
  <si>
    <t>23 001 2331 000 2011 00098 00</t>
  </si>
  <si>
    <t>EN EL ANEXO ES LA 368 CON DOCUMENTOS(FALTA DECLARA. JURAMENTADA)
OFI18-000003886 30/01/18 L
MEDIANTE AUTO 22-08-2018 (ESTADO NO. 67) SE DA POR TERMINADO EL PROCESO EJECUTIVO POR PAGO TOTAL DE LA OBLIGACION</t>
  </si>
  <si>
    <t>JUZGADO SEGUNDO ADMINISTRATIVO DE MONTERIA</t>
  </si>
  <si>
    <t>TRIBUNAL ADMINISTRATIVO DE CORDOBA</t>
  </si>
  <si>
    <t>253/2016</t>
  </si>
  <si>
    <t>1512/17</t>
  </si>
  <si>
    <t>7833918</t>
  </si>
  <si>
    <t>fasj@hotmail.com marie_romeroc@hotmail.com
31/01/18</t>
  </si>
  <si>
    <t>23 001 3333 005 2017 00527 00</t>
  </si>
  <si>
    <t>ADRIAN ALFREDO BELTRAN MORENO</t>
  </si>
  <si>
    <t xml:space="preserve">EXT15-00029931
</t>
  </si>
  <si>
    <t>EXT15-00050201</t>
  </si>
  <si>
    <t>EXT17-00013726</t>
  </si>
  <si>
    <t>EXT18-00054764</t>
  </si>
  <si>
    <t>68 001 2331 000 2009 00611 00</t>
  </si>
  <si>
    <t xml:space="preserve">EN EL ANEXO ES LA 85 CON DOCUMENTOS. SE LE ENVIA INFORMACION POR CORREO ELECTRONICO 
SE DIO RESPUESTA POR EMAIL NOTIFICACIONES JUDICIALES; adrybemo1972@hotmail.com   N.
</t>
  </si>
  <si>
    <t>CONSEJO DE ESTADO SECCION SEGUNDA</t>
  </si>
  <si>
    <t>16-08-2018,  129201242-01-1980-004611, NO FIGURAN DEUDAS</t>
  </si>
  <si>
    <t>1187/2017</t>
  </si>
  <si>
    <t>ALDEMAR JULIO ARDILA (ACUMULADO AL DE PATERNINA SISTEMA ORAL)</t>
  </si>
  <si>
    <t>ALDEMAR FARID MONTERO MARIN</t>
  </si>
  <si>
    <t xml:space="preserve">CORREO ELECTRONICO </t>
  </si>
  <si>
    <t>MEDIANTE OFI17-00030229 22/08/2017 SE ENVIAN FOTOCOPIAS DE DOCUMENTOS EN 64 FOLIOS
ENTREGADO Y LIQUIDADO 22/11/2017
LIQUIDADO NPA
20/02/18 LTK</t>
  </si>
  <si>
    <t>20 001 3333 006 2012 00096 00</t>
  </si>
  <si>
    <t>JUZGADO SEXTO ADMINISTRATIVO DE VALLEDUPAR</t>
  </si>
  <si>
    <t>LUZ MILA CELY GRANADOS Y OTROS (R.D.)</t>
  </si>
  <si>
    <t>CIRO NORBERTO GUACHA MEDINA</t>
  </si>
  <si>
    <t>EXT15-00032447</t>
  </si>
  <si>
    <t>EXT15-00044366</t>
  </si>
  <si>
    <t>EXT16-00005669</t>
  </si>
  <si>
    <t>15 000 2331 000 2006 00260 00
15 693 3331 002 2007 00061 00</t>
  </si>
  <si>
    <t>PAGADA  OJO UNA VEZ PAGADA REPETIR CONTRA LA PREVISORA
CON DOCUMENTOS COMPLETOS
EN EL ANEXO ES LA 576 CON DOCUMENTOS
ACUMULADA</t>
  </si>
  <si>
    <t>JUZGADO ADMINISTRATIVO DE DUITAMA</t>
  </si>
  <si>
    <t>TRIBUNAL ADMINISTRATIVO DE BOYACA</t>
  </si>
  <si>
    <t xml:space="preserve"> MUERTR DE PARTICULAR -DAS</t>
  </si>
  <si>
    <t>251/16</t>
  </si>
  <si>
    <t>0722/2016
 0963/2016</t>
  </si>
  <si>
    <t>MEM16-00018388  12/10/2016 
MEM16-00022439 
23/12/2016</t>
  </si>
  <si>
    <t>$ 291.894.978
$ 81.744.451
 (PAGO YULY TATIANA HERRERA Y OTROS)</t>
  </si>
  <si>
    <t>304863516
5502317</t>
  </si>
  <si>
    <t>24/10/2016
17/01/2017</t>
  </si>
  <si>
    <t xml:space="preserve">oct-16
ene-17
</t>
  </si>
  <si>
    <t>JUAN CARLOS GARCIA ORTIZ</t>
  </si>
  <si>
    <t>EXT15-00032918</t>
  </si>
  <si>
    <t>EXT17-00094946</t>
  </si>
  <si>
    <t>EXT17-00102180</t>
  </si>
  <si>
    <t>CERTIFICACION DIAN</t>
  </si>
  <si>
    <t>EXT18-00024562</t>
  </si>
  <si>
    <t>ENVIA ESTADO TERMINA PROCESO</t>
  </si>
  <si>
    <t>11 001 3335 007 2013 00030 00</t>
  </si>
  <si>
    <t>EN EL ANEXO ES LA 338 CON DOCUMENTOS
SEGUNDA INSTANCIA CONFIRMA
SE DA RESPUESTA MEDIANTE CORREO ELECTRONICO 14/12/17 A</t>
  </si>
  <si>
    <t xml:space="preserve">JUZGADO SEPTIMO ADMINISTRATIVO CONTENCIOSO DE ORALIDAD </t>
  </si>
  <si>
    <t>TRIBUNAL ADMINSTRATIVO DE CUNDINAMARCA SECCION SEGUNDA "SUBSECCION C"</t>
  </si>
  <si>
    <t>287/2016</t>
  </si>
  <si>
    <t>1506/17</t>
  </si>
  <si>
    <t>3010718</t>
  </si>
  <si>
    <t>suasesorlegal01@yahoo.com
01/02/18</t>
  </si>
  <si>
    <t>11 001 3335 007 2016 00548 00</t>
  </si>
  <si>
    <t>OMAR JOVANNY GOMEZ HENRIQUEZ</t>
  </si>
  <si>
    <t>EXT15-00032919</t>
  </si>
  <si>
    <t>EXT15-00042739</t>
  </si>
  <si>
    <t>EXT15-00073732</t>
  </si>
  <si>
    <t>EXT18-00045175</t>
  </si>
  <si>
    <t>NOTIFICA AUTO</t>
  </si>
  <si>
    <t>24/05/2017
MEDIANTE OFI17-00031864 01/09/2017 SE ENVIAN 3 FOLIOS DEL EXPEDIANTE EN FOTOCOPIAS
ENTREGADO Y LIQUIDADO 02/10/2017
LIQUIDADO NPA</t>
  </si>
  <si>
    <t>11 001 3335 030 2013 00116 00</t>
  </si>
  <si>
    <t>EN EL ANEXO ES EL 116
CON DOCUMENTOS
POR CORREO SE COMUNICA LIQUIDACION DE COSTAS POR $1.200.000
OJO AQUÍ ES DONDE EL JUEZ NO EXPIDE LA PRIMERA COPIA, SEGÚN EL DISTORCIONA CON LA FILOSOFIA DEL CPACA</t>
  </si>
  <si>
    <t xml:space="preserve">JUZGADO TREINTA ADMINISTRATIVO ORAL DEL CIRCUITO DE BOGOTA </t>
  </si>
  <si>
    <t>279/2016</t>
  </si>
  <si>
    <t>11 001 3335 030 2017 00029 00</t>
  </si>
  <si>
    <t>ALVARO ENRIQUE LOPEZ DURAN (ACUMULADO AL DE PATERNINA SISTEMA ORAL)</t>
  </si>
  <si>
    <t>EXT15-00064419</t>
  </si>
  <si>
    <t>EXT16-00077606</t>
  </si>
  <si>
    <t>24/05/2017
MEDIANTE OFI17-00029801  17/08/2017 SE ENVIAN DOCUMENTOS ORIGINALES EN 140 FOLIOS
ENTREGADO Y LIQUIDADO 22/11/2017
LIQUIDADO NPA</t>
  </si>
  <si>
    <t>20 001 3333 006 2012 00147 00</t>
  </si>
  <si>
    <t>(EN EL ANEXO ES LA 353)SE ALLEGA SENTENCIA
SEGUNDA INSTANCIA MODIFICA Y CONFIRMA
ALLEGA DOCUMENTOS (FALTAN)
SE SOLICITA LEVANTAMIENTO DE MEDIDAS CAUTELARES MEDIANTE OFI18-00002711 23/01/18 LM</t>
  </si>
  <si>
    <t>JUZGDO SEXTO ADMINISTRATIVO DE VALLEDUPAR</t>
  </si>
  <si>
    <t>1480/17</t>
  </si>
  <si>
    <t>7822218</t>
  </si>
  <si>
    <t>SENTENCIAJUSTA@HOTMAIL.COM
29/01/18</t>
  </si>
  <si>
    <t>JUAN FERNANDO BELEÑO LOBO (ACUMULADO AL DE PATERNINA, SISTEMA ORAL)</t>
  </si>
  <si>
    <t>EXT18-00009111</t>
  </si>
  <si>
    <t>24/05/2017
SE ENVIAN DOCUMENTOS 
MEDIANTE OFI17-00029802 17/08/17 CON 135 FOLIOS EN FOTOCOPIAS
ENTREGADO Y LIQUIDADO 22/11/2017
LIQUIDADO NPA</t>
  </si>
  <si>
    <t>20 001 3333 006 2012 00150 00</t>
  </si>
  <si>
    <t>(EN EL ANEXO ES LA 352)SE ALLEGA SENTENCIA
SEGUNDA INSTANCIA MODIFICA Y CONFIRMA
ALLEGA DOCUMENTOS (FALTAN)</t>
  </si>
  <si>
    <t>291/2016</t>
  </si>
  <si>
    <t>0228-18</t>
  </si>
  <si>
    <t>sentenciajusta@hotmail.com 
15/05/18</t>
  </si>
  <si>
    <t>RODRIGO ANDRES URIBE SANCHEZ</t>
  </si>
  <si>
    <t>EXT15-00033199</t>
  </si>
  <si>
    <t>EXT18-00034701</t>
  </si>
  <si>
    <t>04/05/2017
ENTREGADO Y LIQUIDADO 25/07/2017 
LIQUIDADO NPA</t>
  </si>
  <si>
    <t>11 001 3335 018 2012 00358 00</t>
  </si>
  <si>
    <t>EN EL ANEXO ES LA 466 
RELACIONA VARIOS DOC. PERO SOLOMANETE APARECE LA SENTENCIA APODERADA INFORMA QUE SE ALLEGO TODA LA DOCUMENTACION
OJO PARECER SER QUE ES DIRECTA, PENDIENTE CON NUEVO CRITERIO</t>
  </si>
  <si>
    <t>JUZGADO DIECIOCHO ADMINISTRATIVO DE BOGOTA</t>
  </si>
  <si>
    <t>0879-2017</t>
  </si>
  <si>
    <t>0481-18</t>
  </si>
  <si>
    <t>SUASESORLEGAL01@YAHOO.COM
28/05/18</t>
  </si>
  <si>
    <t>CARLOS ARTURO PEREZ DORIA</t>
  </si>
  <si>
    <t>EXT15-00033835</t>
  </si>
  <si>
    <t>EXT15-00052658</t>
  </si>
  <si>
    <t>EXT15-00073468</t>
  </si>
  <si>
    <t>REMITE RESPUESTA A OFI17-00003666</t>
  </si>
  <si>
    <t>23/03/2018
22/01/18</t>
  </si>
  <si>
    <t>mar-18
ene-18</t>
  </si>
  <si>
    <t>CORREO ELECTRONICO
AUTO REQUIERE INFORMACION</t>
  </si>
  <si>
    <t>LEVANTA MEDIDA</t>
  </si>
  <si>
    <t>05/05/2017
ENTREGADO Y LIQUIDADO 25/07/2017
LIQUIDADO NPA</t>
  </si>
  <si>
    <t>23 001 3331 002 2011 00313 00</t>
  </si>
  <si>
    <t>JUZGADO TERCERO ADMINISTRATIVO DE DESCIONGESTION DE MONTERIA</t>
  </si>
  <si>
    <t>TRIBUNAL ADMINSTRATIVO DE CORDOBA</t>
  </si>
  <si>
    <t>0874-2017</t>
  </si>
  <si>
    <t>23 001 3333 006 2017 00107 00</t>
  </si>
  <si>
    <t>EXT15-00033736</t>
  </si>
  <si>
    <t>EXT15-00078101</t>
  </si>
  <si>
    <t>EXT17-00066930</t>
  </si>
  <si>
    <r>
      <rPr>
        <sz val="9"/>
        <color theme="1"/>
        <rFont val="Arial Narrow"/>
        <family val="2"/>
      </rPr>
      <t>05/05/2017</t>
    </r>
    <r>
      <rPr>
        <sz val="9"/>
        <color rgb="FFFF0000"/>
        <rFont val="Arial Narrow"/>
        <family val="2"/>
      </rPr>
      <t xml:space="preserve">
</t>
    </r>
    <r>
      <rPr>
        <sz val="9"/>
        <color theme="1"/>
        <rFont val="Arial Narrow"/>
        <family val="2"/>
      </rPr>
      <t>ENTREGADO Y LIQUIDADO 25/07/2017
LTK
LIQUIDADO NPA</t>
    </r>
  </si>
  <si>
    <t>ANGEL MARIA SEGURA VARGAS</t>
  </si>
  <si>
    <t>EN EL ANEXO ES LA 106
CON DOCUMENTOS COMPLETOS 
SE ALLEGA COPIA DE LA SENTENCIA SEGUNDA INSTANCIA CONFIRMA FALLO / (SE DA RERSPUESTA MEDIANTE OFI17-00032118  05/09/2017)A</t>
  </si>
  <si>
    <t>JUZGADO DIECIOCHO ADMINISTRATIVO DE DESCONGESTION DE BOGOTA</t>
  </si>
  <si>
    <t>265/2016
0887-2017</t>
  </si>
  <si>
    <t>CARLOS ARTURO URBANO MUÑOZ</t>
  </si>
  <si>
    <t>ALVARO EMIRO FERNANDEZ GUISSAO</t>
  </si>
  <si>
    <t>EXT15-00034350</t>
  </si>
  <si>
    <t>REMITE SOLICITUD PAGO</t>
  </si>
  <si>
    <t>EXT17-00101007</t>
  </si>
  <si>
    <t>ALLEGA DOCUMENTACION</t>
  </si>
  <si>
    <t>EXT18-00024156</t>
  </si>
  <si>
    <t>05/05/2017
ENTREGADO Y LIQUIDADO 29/08/2017
MEDIANTE  OFI17-00030597 24/08/2017  SE ENVIAN DOCUMENTOS EN FOTOCOPIAS  37 FOLIOS OFI18-00012666 28/03/18 L
LIQUIDADO NPA</t>
  </si>
  <si>
    <t>19 001 3331 004 2011 00116 00</t>
  </si>
  <si>
    <t>EN  EL ANEXO ES LA No. 342
SE DA RESPUESTA MEDIANTE OFI17-00048264 28/12/17 L</t>
  </si>
  <si>
    <t>JUZGADO CUARTO ADMINISTATIVO DE DESCONGESTION DE POPAYAN</t>
  </si>
  <si>
    <t>0916/2017</t>
  </si>
  <si>
    <t>0223-18</t>
  </si>
  <si>
    <t xml:space="preserve">DR. ALVARO EMIRO FERNANDEZ GUISSAO
aefernandez@unicauca.edu.co </t>
  </si>
  <si>
    <t>19 001 3333 007 2017 00147 00</t>
  </si>
  <si>
    <t>WILLIAM ENRIQUE SALGUEDO MEZA</t>
  </si>
  <si>
    <t>EXT15-00034050</t>
  </si>
  <si>
    <t>EXT15-00053743</t>
  </si>
  <si>
    <t>EXT15-00047461</t>
  </si>
  <si>
    <t>08 001 3331 703 2012 00014 00</t>
  </si>
  <si>
    <t>EN EL ANEXO ES LA 400 
AUTO ADMISORIO 21 DE MARZO DE 2012 (EN EL ANEXO ES LA 400)
SEGUNDA INSTANCIA MODIFICA Y CONFIRMA
SE ALLEGAN DOCUMENTOS PARA PAGO (PARECE QUE EL FALLO NO ES PRIMERA COPIA MIRAR)
ABOGADO SOLICTA QUE SE LIQUIDE LA CONDENA ACTUALIZADA</t>
  </si>
  <si>
    <t>272/2016
0888-2017</t>
  </si>
  <si>
    <t xml:space="preserve">
0691-18</t>
  </si>
  <si>
    <t xml:space="preserve">$27.350.415
</t>
  </si>
  <si>
    <t>joralvasquez1@hotmail.com
27-07-2018</t>
  </si>
  <si>
    <t>JUAN DAVID RUIZ MORA</t>
  </si>
  <si>
    <t>EXT15-00035636</t>
  </si>
  <si>
    <t>EXT15-00048172</t>
  </si>
  <si>
    <t>EXT16-00054852</t>
  </si>
  <si>
    <t>05 001 3331 014 2010 00133 00</t>
  </si>
  <si>
    <t>EN EL ANEXO ES LA 442 ALLEGA DOCUMENTOS</t>
  </si>
  <si>
    <t>JUZGADO CATORCE ADMINISTRATIVO DE MEDELLIN</t>
  </si>
  <si>
    <t>290/2016</t>
  </si>
  <si>
    <t>0314/2017</t>
  </si>
  <si>
    <t>MEN17-00004663 05/04/2017</t>
  </si>
  <si>
    <t>05 001 3333 014 2016 00847 00</t>
  </si>
  <si>
    <t>DIEGO ARTURO TAMAYO ZAPATA</t>
  </si>
  <si>
    <t>EXT15-00035725</t>
  </si>
  <si>
    <t>EXT17-00050687</t>
  </si>
  <si>
    <t>RATIFICACION CUENTA 
DE COBRO</t>
  </si>
  <si>
    <t>EXT18-00026352</t>
  </si>
  <si>
    <t>04/05/2017
MEDIANTE OFI17-00026317 DEL 25/07/2017 SE ENTREGAN DOCUMENTOS EN 38 FOLIOS
ENTREGADO Y LIQUIDADO 22/11/2017
LIQUIDADO NPA</t>
  </si>
  <si>
    <t>05 001 3331 027 2012 00183 00</t>
  </si>
  <si>
    <t>TRIBUNAL ADMINISTRATIVO DE ANTIOQUIA SALA SEXTA DE DESCONGESTION</t>
  </si>
  <si>
    <t>DAS en supresion</t>
  </si>
  <si>
    <t xml:space="preserve"> (LESIONES PERSONALES EN ACCIDENTE DE TRANSITO)-DAS</t>
  </si>
  <si>
    <t>25-07-2018,  1-11-244-439-1740,  NO FIGURAN DEUDAS</t>
  </si>
  <si>
    <t>JORGE ERASMO PEDRAZA ALVARADO</t>
  </si>
  <si>
    <t xml:space="preserve">EXT15-00036892
</t>
  </si>
  <si>
    <t>EXT15-00029300</t>
  </si>
  <si>
    <t>05/05/2017
DEVUELVE 03/01/2017
FUERA DE CONTRATO NPA
20/02/18 LTK</t>
  </si>
  <si>
    <t>47 001 3333 003 2013 00425 00</t>
  </si>
  <si>
    <t>06/09/2007</t>
  </si>
  <si>
    <t>30/06/2009</t>
  </si>
  <si>
    <t>POR AUTO DECRETAN SUCESION PROCESAL
CONFIRMA SENTENCIA DE PRIMERA INSTANCIA
CONFIRMA FALLO DE PRIMERA INSTANCIA DECLARO PROBADA DE OFICIO EXCEPCION PREVIA DE PRESCRIPCION EXTINTIVA DE LOS DERECHOS LABORALES . NESTOR.
HOY, OCT 18 DE 2018, SE EXAMINó LA 2A INSTANCIA Y ESTA CONFIRMó LA 1A EN EL SENTIDO DE DENEGAR TODO  W.</t>
  </si>
  <si>
    <t>JUZGADO TERCERO ADMINISTRATIVO DE SANTA MARTA</t>
  </si>
  <si>
    <t>TRIBUAL ADMINISTRATIVO DEL MAGDALENA</t>
  </si>
  <si>
    <t>DIRECTA PARA ELABORAR CON NUEVO CRITERIO</t>
  </si>
  <si>
    <t>CARLOS MARIO RAMIREZ SUAZA</t>
  </si>
  <si>
    <t>REMITE COMUNICACIÓN</t>
  </si>
  <si>
    <t>EXT16-00052137</t>
  </si>
  <si>
    <t>05/05/2017
ENTREGADO Y LIQUIDADO 22/11/2017
LIQUIDADO NPA</t>
  </si>
  <si>
    <t>05 001 2333 010 2013 00086 00</t>
  </si>
  <si>
    <t>NO SE ENCUENTRA EN LOS ANEXOS
IMPUESTA POR EL TRIBUNAL COPIA SENTENCIA
TRIBUNAL DECLARA PAGO DE PRIMA DEL 27 DE JUNIO DE 2009 AL 31 DE DICIEMBRE DE 2011
POR AUTO DEL 5 DE OCTUBRE SE APRUEBAN COSTAS</t>
  </si>
  <si>
    <t>JUZGADO DECIMO ADMINISTRATIVO DE MEDELLIN</t>
  </si>
  <si>
    <t>TRIBUNAL ADMINISTRATIVO DE ANTIOQUIA- SALA PRIMERA DE ORALIDAD</t>
  </si>
  <si>
    <t>FABIO AUGUSTO HERNANDEZ GRIMALDOS</t>
  </si>
  <si>
    <t>EXT15-00037730</t>
  </si>
  <si>
    <t>68 001 2333 000 2012 00119 00</t>
  </si>
  <si>
    <t>EN EL ANEXO ES LA 79
rad. Demanda 16 de agosto de2012. Segunda instancia confirma
CON DOCUMENTOS (RELACIONA VARIOS DOCUMENTOS) CON COSTAS</t>
  </si>
  <si>
    <t>0900/17</t>
  </si>
  <si>
    <t>1450/2017</t>
  </si>
  <si>
    <t>ABOGADOERWINVERA@HOTMAIL.COM 
FAHER21@HOTMAIL.COM
23/01/18</t>
  </si>
  <si>
    <t>68 001 2333 000 2016 01067 00</t>
  </si>
  <si>
    <t>GERMAN DARIO RUEDA SANABRIA</t>
  </si>
  <si>
    <t xml:space="preserve">EXT15-00037734 </t>
  </si>
  <si>
    <t>68 001 2333 000 2012 00120 00</t>
  </si>
  <si>
    <t>(EN EL ANEXO ES LA 219)
CON DOCUMENTOS (NO SE ALLEGA CONST, DE EJECUTORIA,NI DE PRESTAR MERITO EJECUTIVO)</t>
  </si>
  <si>
    <t>TRIBINAL ADMISTRATIVO ORAL DE SANTANDER</t>
  </si>
  <si>
    <t>0876-2017</t>
  </si>
  <si>
    <t>1442/17</t>
  </si>
  <si>
    <t>2904018</t>
  </si>
  <si>
    <t xml:space="preserve">ABOGADOERWINVERA@HOTMAIL.COM
GEDAR-19@HOTMAIL.COM
26/01/18 </t>
  </si>
  <si>
    <t>LUIS ALFREDO LOPEZ DIAZ</t>
  </si>
  <si>
    <t xml:space="preserve">EXT15-00004085
</t>
  </si>
  <si>
    <t>EXT16-00077608</t>
  </si>
  <si>
    <t>EXT17-00080631</t>
  </si>
  <si>
    <t>EMITE PRONUNCIAMIENTO</t>
  </si>
  <si>
    <t>EXT18-00060170</t>
  </si>
  <si>
    <t>JUZGADO PRIMERO ADMINISTRATIVO ORAL DE VALLEDUPAR</t>
  </si>
  <si>
    <t>REMITE AUTO- MODIFICA LIQUIDACION DEL CREDITO 
29-06-2018</t>
  </si>
  <si>
    <t>ALLEGA ESTADO - 46</t>
  </si>
  <si>
    <t>EXT18-00070302</t>
  </si>
  <si>
    <t>JUZGADO PRIMERO ADMINISTRATIVO - SECCIONAL VALLEDUPAR</t>
  </si>
  <si>
    <t>NOTIFICACION ESTADO - 46- APRUEBA COSTAS</t>
  </si>
  <si>
    <t>20 001 3331 001 2012 00111 00</t>
  </si>
  <si>
    <t xml:space="preserve">PAGADA
EN EL ANEXO ES LA 354 CON DOCUMENTOS 
/(HAY CONDENA EN COSTAS)
SE SOLICITA LEVANTAMIENTO DE MEDIDAS CAUTELARES MEDIANTE OFI18-00003567 29/01/18 LM OFI18-00004581 05/02/18 CUMPLIMIENTO AUTO 
</t>
  </si>
  <si>
    <t>JUZGADO PRIMERO ADMINISTRATIVO DE VALLEDUPAR</t>
  </si>
  <si>
    <t>TRIBUNAL ADMINISTRATIVO DE CESAR</t>
  </si>
  <si>
    <t>256/2016</t>
  </si>
  <si>
    <t>20 001 3333 001 2012 00111 00</t>
  </si>
  <si>
    <t>1483/17</t>
  </si>
  <si>
    <t>JOSE GREGORIO CORDOBA CAMARGO</t>
  </si>
  <si>
    <t>EXT15-00004085</t>
  </si>
  <si>
    <t>EXT17-00023723</t>
  </si>
  <si>
    <t>JUZGADO 50 ADMINISTRATIVO DE BOGOTA</t>
  </si>
  <si>
    <t>AUTO</t>
  </si>
  <si>
    <t>20 001 3331 001 2012 00176 00</t>
  </si>
  <si>
    <t>EN EL ANEXO ES LA 355 
SE SOLICITA LEVANTAMIENTO DE MEDIDAS CAUTELARES MEDIANTE OFI18-00003567 29/01/18 LM OFI18-00004581 05/02/18 CUMPLIMIENTO AUTO LM</t>
  </si>
  <si>
    <t>281/2016</t>
  </si>
  <si>
    <t>20 001 3333 001 2012 00176 00</t>
  </si>
  <si>
    <t>1448/17</t>
  </si>
  <si>
    <t>2341818</t>
  </si>
  <si>
    <t>JOSE LUIS CELIS PEINADO</t>
  </si>
  <si>
    <t>EXT16-00000463</t>
  </si>
  <si>
    <t>EXT17-00038979</t>
  </si>
  <si>
    <t>OFICIO</t>
  </si>
  <si>
    <t>EXT17-00098452</t>
  </si>
  <si>
    <t xml:space="preserve">COMUNICA TERMINACION DE PROCESO EJECUTIVO </t>
  </si>
  <si>
    <t>20 001 3331 001 2012 00150 00</t>
  </si>
  <si>
    <t>PAGADA
EN EL ANEXO ES LA 350 
SE SOLICITA LEVANTAMIENTO DE MEDIDAS CAUTELARES MEDIANTE OFI18-00003567 29/01/18 LM OFI18-00004581 05/02/18 CUMPLIMIENTO AUTO LM</t>
  </si>
  <si>
    <t>283/2016</t>
  </si>
  <si>
    <t>20 001 3333 001 2012 00150 00</t>
  </si>
  <si>
    <t>1485/17</t>
  </si>
  <si>
    <t>2999318</t>
  </si>
  <si>
    <t>JAIME ENRIQUE MORENO TELLEZ</t>
  </si>
  <si>
    <t>EXT15-00040129</t>
  </si>
  <si>
    <t>EXT16-00023888</t>
  </si>
  <si>
    <t>EXT16-00092413</t>
  </si>
  <si>
    <t>EXT16-00079225</t>
  </si>
  <si>
    <t>EXT16-00100091</t>
  </si>
  <si>
    <t>DEVOLUCION COMUNICACIÓN</t>
  </si>
  <si>
    <t>30/03/2017
17/02/2016
05/02/2018
04/04/18</t>
  </si>
  <si>
    <t>mar-17
feb-16
feb-18
abr-18</t>
  </si>
  <si>
    <t>EXT17-00022998
EXT16-00011699
EXT18-00009289
EXT18-00028612</t>
  </si>
  <si>
    <t>BENEFICIARIO
ANDJE
BENEFICIARIO
BENEFICIARIO</t>
  </si>
  <si>
    <t>SOLICITUD DE PAGO
PETICION PAGO DE SENTENCIA
SOLICITUD DE PAGO
ALLEGA RUT</t>
  </si>
  <si>
    <t>23 001 3331 005 2014 00099 00</t>
  </si>
  <si>
    <t>NO APARECE EN EL DECRETO
OJO: RESPECTO DE LAS PREST. SOCIALES,  LA REP. DEL DAÑO NO PUEDE SER LA TOTALIDAD DE DICHOS MOMTOS, SINO LA CUOTA PARTE QUE LA ENTIDAD DEMANDADA DEJO DE TRASLADAR A LA ENTIDAD DEMANDADA  DEJÓ DE TRASLADAR A LAS ENTIDADES DE SEGURIDAD SOCIAL A LAS CUALES COTIZABA  EL CONTRATISTA DURANTE EL TIEMPO DE LA RELACION. L
SE DA RESPOUESTA MEDIANTE OFI16-00046574 01/11/16  G  OFI16-00048289 16/11/16 G  OFI17-00014382 24/04/17 G  OFI15-00034276 18/11/15 G OFI18-00006397 05/02/18 L</t>
  </si>
  <si>
    <t>JUZGADO QUINTO ADMINISTRATIVO DE MONTERIA</t>
  </si>
  <si>
    <t>23-05-2018
112242-1325
NO FIGURAN</t>
  </si>
  <si>
    <t>ROGERIO RENDON LOPEZ (ROGELIO RENDON LOPEZ)</t>
  </si>
  <si>
    <t>EXT15-00042379</t>
  </si>
  <si>
    <t>EXT16-00046352</t>
  </si>
  <si>
    <t>EXT17-00023471</t>
  </si>
  <si>
    <t>05 001 3333 022 2012 00056 00</t>
  </si>
  <si>
    <t>EN EL ANEXO ES EL No. 448 
SE ALLEGA NUEVA CERTIF. BANCARIA</t>
  </si>
  <si>
    <t>JUZGADO VEINTIDOS ADMINISTRATIVO ORAL DEL CIRCUITO DE MEDELLIN</t>
  </si>
  <si>
    <t>TRIBUNAL ADMINISTRATIVO DE ANTIOQUIA SALA CUARTA DE ORALIDAD</t>
  </si>
  <si>
    <t>269/2016
0880-2017</t>
  </si>
  <si>
    <t xml:space="preserve">NELSON DE JESUS ALCALDE DIAZ </t>
  </si>
  <si>
    <t>EXT15-00018162</t>
  </si>
  <si>
    <t>EXT15-00000774</t>
  </si>
  <si>
    <t>EXT15-00048775</t>
  </si>
  <si>
    <t>EXT17-00016289</t>
  </si>
  <si>
    <t>EXT17-00004558</t>
  </si>
  <si>
    <t>RECURSO DE REPOCISION</t>
  </si>
  <si>
    <t>17 001 3331 002 2011 00879 00</t>
  </si>
  <si>
    <t xml:space="preserve">EN EL ANEXO ES EL 413
PAGADA
(SE DA RESPUESTA MEDIANTE OFI17-00005023 13/02/17 Y  OFI17-00011428 30/03/17/ OFI17-00031223 09/05/17)A  </t>
  </si>
  <si>
    <t>276/2016</t>
  </si>
  <si>
    <t>0958/2016
0348/2017</t>
  </si>
  <si>
    <t>MEM16-00022439 23/12/2016
MEM17-0005271 21/04/2017
MEM17-00006956 24/05/2017</t>
  </si>
  <si>
    <t>$ 114.992.226
$ 74.165.548
$ 43.779.680</t>
  </si>
  <si>
    <t>$ 114.992.226
$ 74.165.548</t>
  </si>
  <si>
    <t>5063817
97780417</t>
  </si>
  <si>
    <t>18/01/2017
25/04/2017</t>
  </si>
  <si>
    <t>ene-17
abr-17</t>
  </si>
  <si>
    <t>17 001 3333 001 2016 00319 00</t>
  </si>
  <si>
    <t>0649/2017
0505/2017</t>
  </si>
  <si>
    <t>MEM17-00008617
28/06/2017
MEM17-00006956 24/05/2017</t>
  </si>
  <si>
    <t>$  4.661.795
$  13.133.904
(DR. JUAN GUILLERMO OCAMPO GONZALEZ)
$ 30.645.776</t>
  </si>
  <si>
    <t xml:space="preserve">177598617
141855517
(DR. JUAN GUILLERMO OCAMPO GONZALEZ)
136425917
</t>
  </si>
  <si>
    <t>06/07/2017
05/06/2017
(DR. JUAN GUILLERMO OCAMPO GONZALEZ)
30/05/2017</t>
  </si>
  <si>
    <t>jul-17
jun-17
may-17</t>
  </si>
  <si>
    <t>DUVERNEY VASQUEZ FRANCO</t>
  </si>
  <si>
    <t xml:space="preserve">EXT15-00042740
</t>
  </si>
  <si>
    <t>EXT15-00048741</t>
  </si>
  <si>
    <t>EXT18-00089843</t>
  </si>
  <si>
    <t>17 001 2333 001 2011 00528 00</t>
  </si>
  <si>
    <t xml:space="preserve"> EN EL ANEXO ES EL 414
SE DA RESPUESTA MEDIANTE OFI18-00022220 01/06/2018 E
OFI18-00040479 DE 17-09-2018, SE SOLICITA TERMINACION EJECUTIVO POR PAGO TOTAL DE LA OBLIGACION</t>
  </si>
  <si>
    <t>JUZGADO SEPTIMO ADMISTRTIVO DE DESCONGESTION DE MANIZALES</t>
  </si>
  <si>
    <t>0901-2017</t>
  </si>
  <si>
    <t>1447/17</t>
  </si>
  <si>
    <t>2902718</t>
  </si>
  <si>
    <t>abogados-ocampogonzalez@hotmail.com 
31/01/18</t>
  </si>
  <si>
    <t>17 001 3333 003 2017 00272 00</t>
  </si>
  <si>
    <t>JHON JAIME RAMIREZ RAMIREZ</t>
  </si>
  <si>
    <t>EXT15-00043018</t>
  </si>
  <si>
    <t>EXT17-00039354</t>
  </si>
  <si>
    <t>EXT18-00051153</t>
  </si>
  <si>
    <t>SOLICITA COMUNIQUE RESOLUCION DE PAGO</t>
  </si>
  <si>
    <t>AUTO TERMINA EJECUTIVO</t>
  </si>
  <si>
    <t>54 518 3331 001 2012 00006 00</t>
  </si>
  <si>
    <t>EN EL ANEXO ES EL 44
(SE DA RESPUESTA MEDIANTE OFI17-00020753 12/06/17 Y CORREO ELECTRONICO)A
CORREO ELECTRONICO 20/06/18
MEDIANTE EXT17-00098633 DE 14-12-2017 JUZGADO DA POR TERMINADO EJECUTIVO POR PAGO</t>
  </si>
  <si>
    <t>JUZGADO PRIMERO ADMINISTRATIVO ORAL DEL CIRCUITO JUDICIAL DE PAMPLONA</t>
  </si>
  <si>
    <t>0222/2017
0514/2017 MODIFICA LA 0222/2017</t>
  </si>
  <si>
    <t>$ 110.850.902
(DR. CARLOS ARTURO GOMEZ TRUJILLO)</t>
  </si>
  <si>
    <t>140528317
(DR. CARLOS ARTURO 
GOMEZ TRUJILLO)</t>
  </si>
  <si>
    <t>02/06/2017
(DR. CARLOS ARTURO 
GOMEZ TRUJILLO)</t>
  </si>
  <si>
    <t>ARTUROGOTRU@GMAIL.COM
31/01/18</t>
  </si>
  <si>
    <t>54 518 3333 001 2016 00203 00</t>
  </si>
  <si>
    <t>1487/17</t>
  </si>
  <si>
    <t>2439218</t>
  </si>
  <si>
    <t>EDUER TAPASCO BUENO</t>
  </si>
  <si>
    <t xml:space="preserve">EXT15-00043061
</t>
  </si>
  <si>
    <t>EXT15-00048719</t>
  </si>
  <si>
    <t>17 001 3331 004 2011 00390 00</t>
  </si>
  <si>
    <t>CON DOCUMENTOS COMPLETOS
 EN EL ANEXO 422
SE DA RESPUESTA OFI18-00022220 01/06/18 E</t>
  </si>
  <si>
    <t>TRIBUNAL ADMINISTRATIVO DE MANIZALES</t>
  </si>
  <si>
    <t>0890-2017</t>
  </si>
  <si>
    <t>1444/17</t>
  </si>
  <si>
    <t>2345418</t>
  </si>
  <si>
    <t>ANDRES FELIPE URREA CORREA</t>
  </si>
  <si>
    <t>EXT15-00043004</t>
  </si>
  <si>
    <t>EXT15-00069536</t>
  </si>
  <si>
    <t>EXT17-00041007</t>
  </si>
  <si>
    <t>MEMORIAL NO LLEGAN LOS DOCUMENTOS ANEXOS</t>
  </si>
  <si>
    <t>EXT18-00012533</t>
  </si>
  <si>
    <t>76 001 3331 705 2011 00051 00</t>
  </si>
  <si>
    <t>EN EL DECRETO SE ENCUENTRA EN EL 605 
(SE DA RESPUESTA MEDIANTE OFI17-00020999 13/05/17)A OFI18-00007961 26/02/18 L</t>
  </si>
  <si>
    <t>0886-2017</t>
  </si>
  <si>
    <t>0496-18</t>
  </si>
  <si>
    <t>CONSULTINRISK@CR_ABOGADOS.COM</t>
  </si>
  <si>
    <t>DAVID MAYORGA OSORIO</t>
  </si>
  <si>
    <t>JUAN JOSE PINTO ARCINIEGAS</t>
  </si>
  <si>
    <t>EXT15-00043240</t>
  </si>
  <si>
    <t>CONSEJO</t>
  </si>
  <si>
    <t>EXT16-00032591</t>
  </si>
  <si>
    <t>EXT16-00066334</t>
  </si>
  <si>
    <t>EXT17-00011042</t>
  </si>
  <si>
    <t>EXT18-00011453</t>
  </si>
  <si>
    <t>CUMPLIMIENTO DE PAGO</t>
  </si>
  <si>
    <t>14/02/2018
24/04/2018</t>
  </si>
  <si>
    <t>feb-18
abr-18</t>
  </si>
  <si>
    <t>EXT18-00013153
EXT18-00035949</t>
  </si>
  <si>
    <t>CUMPLIMIENTO DE PAGO
ALLEGA DOCUMENTOS</t>
  </si>
  <si>
    <t>68 001 2331 000 2009 00312 00</t>
  </si>
  <si>
    <t>EN EL DECRETO SE ENCUENTRA EN EL REGISTRO 35 Y 87
SEGUNDA INSTANCIA REVOCA
SE DA RESPUESTA MEDIANTE OFI18-00007689 23/02/18 L</t>
  </si>
  <si>
    <t>0898-2017</t>
  </si>
  <si>
    <t>JUAN CARLOS ZAPATA TABORDA</t>
  </si>
  <si>
    <t xml:space="preserve">EXT15-00045585
</t>
  </si>
  <si>
    <t>EXT16-00075250</t>
  </si>
  <si>
    <t>05 001 3331 018 2012 00421 00</t>
  </si>
  <si>
    <t>EN EL ANEXO ES LA 441 
CON DOCUMENTOS COMPLETOS
SEGUNDA INSTANCIA REVOCA</t>
  </si>
  <si>
    <t>289/2016
0889-2017</t>
  </si>
  <si>
    <t>RIVER ARMANDO ORTIZ MENESES</t>
  </si>
  <si>
    <t>MIGUEL ALVARO DIUZA</t>
  </si>
  <si>
    <t xml:space="preserve">EXT15-00046445
</t>
  </si>
  <si>
    <t>EXT15-00053325</t>
  </si>
  <si>
    <t xml:space="preserve">JUZGADO </t>
  </si>
  <si>
    <t>EXT15-00062387</t>
  </si>
  <si>
    <t>EXT15-00069785</t>
  </si>
  <si>
    <t>EXT16-00076711</t>
  </si>
  <si>
    <t>14/08/2017
07/03/2018
05/03/2018</t>
  </si>
  <si>
    <t>ago-17
mar-18
mar-18</t>
  </si>
  <si>
    <t>EXT17-00062346
EXT18-00020678
EXT18-00019926</t>
  </si>
  <si>
    <t>ABOGADO
ABOGADO
ABOGADO</t>
  </si>
  <si>
    <t>DERECHO DE PETICION
SOLICITUD DE INFORMACION
DERECHO DE PETICION</t>
  </si>
  <si>
    <t>19 001 3331 005 2013 00263 00</t>
  </si>
  <si>
    <t>JUZGADO QUINTO ADMINISTRATIVO DE POPAYAN</t>
  </si>
  <si>
    <t>TRIBUNAL ADMINISTRATIVO CONTENCIOSO DEL CAUCA</t>
  </si>
  <si>
    <t>UNP sucesor procesal del DAS</t>
  </si>
  <si>
    <t>12-09-2018, 117242448-1103, NO DEUDA</t>
  </si>
  <si>
    <t>268/2016
0896-2017</t>
  </si>
  <si>
    <t>WILLIAM ORLANDO SALAZAR AMARILES</t>
  </si>
  <si>
    <t xml:space="preserve">EXT15-00046311
</t>
  </si>
  <si>
    <t>PROCURDURIA</t>
  </si>
  <si>
    <t>TRIBUNAL ADMINISTRATIVO DE ANTIOQUIA SALA DE DESCONGESTION</t>
  </si>
  <si>
    <t>262/2016
0884-2017</t>
  </si>
  <si>
    <t>DIEGO ALEJANDRO ESCOBAR AGUDELO</t>
  </si>
  <si>
    <t>EXT15-00045994</t>
  </si>
  <si>
    <t>EXT15-00063506</t>
  </si>
  <si>
    <t>EXT15-00069765</t>
  </si>
  <si>
    <t>76 001 3333 006 2012 00003 00</t>
  </si>
  <si>
    <t>EN EL ANEXO  EN EL 300
TRIBUNAL ADMISTRATIVO DEL VALLE  CONFIRMAFALLO PARA CUMPLIMINETO
ALLEGAN DOCUMENTOS
SE ALLEGA AUTO QUE APRUEBA COSTAS.</t>
  </si>
  <si>
    <t>JUZGADO SEXTO ADMINSTRATIVO DE CALI</t>
  </si>
  <si>
    <t>0899-2017</t>
  </si>
  <si>
    <t>1505/17</t>
  </si>
  <si>
    <t>2993118</t>
  </si>
  <si>
    <t>JORGE.PORTOCARRERO@HOTMAIL.COM
01/02/18</t>
  </si>
  <si>
    <t>DELIA MARIA PEÑALOSA RINCON Y OTROS</t>
  </si>
  <si>
    <t>ELIZABETH PATIÑO ZEA</t>
  </si>
  <si>
    <t>EXT15-00046837</t>
  </si>
  <si>
    <t>15 001 2331 000 2007 00481 00</t>
  </si>
  <si>
    <t>JUZGADO PRIMERO ADMINISTRATIVO DE SANTA ROSA DE VITERBO</t>
  </si>
  <si>
    <t>TRIBUNAL ADMIISTRATIVO DE BOYACA SALA 10 DE DECSION DE DESCONGESTION</t>
  </si>
  <si>
    <t>ACCIDENTE DE TRANSITO-DAS</t>
  </si>
  <si>
    <t>0741/2016</t>
  </si>
  <si>
    <t>305007316</t>
  </si>
  <si>
    <t>PAULO HERNAN CABRERA MOSQUERA</t>
  </si>
  <si>
    <t>CARMIÑA ERASO DE REBOLLEDO</t>
  </si>
  <si>
    <t>EXT15-00046640</t>
  </si>
  <si>
    <t>EXT15-00052099</t>
  </si>
  <si>
    <t>EXT16-00004984</t>
  </si>
  <si>
    <t>EXT17-00029057</t>
  </si>
  <si>
    <t>EXT17-00018150</t>
  </si>
  <si>
    <t>CAMBIO DE NOMBRE</t>
  </si>
  <si>
    <t>22/01/2018
03/05/2018</t>
  </si>
  <si>
    <t>ene-18
may-18</t>
  </si>
  <si>
    <t>EXT18-00005241
EXT18-00039073</t>
  </si>
  <si>
    <t>ABOGADA
ABOGADA</t>
  </si>
  <si>
    <t>ALLEGA DOCUMENTACION
CUMPLIMIENTO DE SENTENCIA</t>
  </si>
  <si>
    <t>EXT18-00087103</t>
  </si>
  <si>
    <t>04/05/2017
MEDIANTE OFI17-00026150 DEL 25/07/2017 SE ENTREGAN DOCUMENTOS EN 133 FOLIOS
ENTREGADO Y LIQUIDADO 22/11/2017
LIQUIDADO NPA</t>
  </si>
  <si>
    <t>52 001 3333 005 2012 00195 00</t>
  </si>
  <si>
    <t>EN EL ANEXO ES LA 464  PERO TIENE PROBLEMA EN EL NOMBRE SE ALLEGA PARA PAGO DE COSTAS
FALTAN DOCUMENTOS (SE DA RESPUESTA MEDIANTE OFI17-00011200 03/04/17 Y OFI17-00016014 08/05/17/ OFI17-00016289 08/05/2017)A OFI18-00020473 23/05/18 E
OFI18-00040245 14/09/18  L.</t>
  </si>
  <si>
    <t>JUZGADO QUINTO ADMINISTRATIVO DE PASTO</t>
  </si>
  <si>
    <t>24-07-2018,  114242448-0153, NO POSEE DEUDAS</t>
  </si>
  <si>
    <t>274/2016</t>
  </si>
  <si>
    <t xml:space="preserve">HECTOR MAURICIO BRICEÑO PINZON </t>
  </si>
  <si>
    <t>ENRIQUE JOSE DE LA HOZ CAMPO</t>
  </si>
  <si>
    <t>EXT15-00047364</t>
  </si>
  <si>
    <t>EXT16-00073593</t>
  </si>
  <si>
    <t>EXT18-00038980</t>
  </si>
  <si>
    <t>AGENCIA</t>
  </si>
  <si>
    <t>24/05/2017
DEVUELVE 02/10/2017
DEVUELTOS NPA
07/06/18 LTK
DEVUELTO POR LTK 26-06-2018 FALTAN DOCUMENTOS</t>
  </si>
  <si>
    <t>13 001 3331 003 2008 00120 00</t>
  </si>
  <si>
    <t>JUZGADO PRIMERO ADMINISTATIVO DE DESCONGESTION DE CARTAGENA</t>
  </si>
  <si>
    <t>TRIBUNAL ADMINISTRATIVO DE BOLIVAR</t>
  </si>
  <si>
    <t>EDUARDO ALEXANDER CAPACHO ESPINEL</t>
  </si>
  <si>
    <t>EXT15-00048116</t>
  </si>
  <si>
    <t>EXT18-00033537</t>
  </si>
  <si>
    <t>EXT18-00046661</t>
  </si>
  <si>
    <t>ATENCION OFICiO</t>
  </si>
  <si>
    <t>54 000 3331 004 2010 00427 02</t>
  </si>
  <si>
    <t>NO SE ENCUENTRA EN LOS ANEXOS
NO APARECE IMPUESTO SE ENCUENTRA A CARGO DE LA AGENCIA CASILLA 145
SE DA RESPUESTA MEDIANTE OFI18-00015564 20/04/198 E
MEDIANTE EXT18-00046661 24/05/18 LA FIDUPREVISORA INFORMA EL PAGO DE $87.699.581,21 EL 05/04/17 L
ES DE LA AGENCIA Y LO PAGó LA FIDUPREVISORA  W.</t>
  </si>
  <si>
    <t>JUZGADO SEXTO ADMINISTRATIVO DE DESCONGESTION DE CUCUTA</t>
  </si>
  <si>
    <t>TRIBUNAL ADMINISTRATIVO DE NORTE DE SANTANDER</t>
  </si>
  <si>
    <t xml:space="preserve"> DAS</t>
  </si>
  <si>
    <t>JHON ALBEIRO CANO ARDILA</t>
  </si>
  <si>
    <t>EXT15-00048230</t>
  </si>
  <si>
    <t>EXT17-00056275</t>
  </si>
  <si>
    <t>PAGO DE SENTENCIA</t>
  </si>
  <si>
    <t>EXT18-00020944</t>
  </si>
  <si>
    <t>EXT18-00040371</t>
  </si>
  <si>
    <t>EXT18-00034109</t>
  </si>
  <si>
    <t>54 001 3331 701 2011 00035 00</t>
  </si>
  <si>
    <t>EN EL ANEXO ES LA 37
SEGUNDA INTANCIA CONFIRMA ALLEGAN DOCUMENTOS (APORTES SE SOLICITA)
OFI18-00018581 11/05/18 E</t>
  </si>
  <si>
    <t>JUZGDO PRIMERO ADMINISTRATIVO DE DESCONGESTION DE CUCUTA</t>
  </si>
  <si>
    <t>0895-2017</t>
  </si>
  <si>
    <t>0483-18</t>
  </si>
  <si>
    <t>COLMENARESABOGADOS2013@OUTLOOK.COM
28/05/18</t>
  </si>
  <si>
    <t>GERMAN DARIO ARIAS ESCOBAR</t>
  </si>
  <si>
    <t>EXT15-00051383</t>
  </si>
  <si>
    <t>EXT16-00097526</t>
  </si>
  <si>
    <t>05 001 3333 016 2013 00095 00</t>
  </si>
  <si>
    <t>APARECE EN MIGRACION CASILLA 04  SE ALLEGA FALLO SEGUNDA INSTANCIA EN DONDE SE DECRETA SUCESION A FAVOR DE LA UNP SE ORDENA RECONOCER PRIMA DEL 35%, DESDE EL 15 DE MAYO DE 2009 AL 31 DE ENERO DE 2013
SE ALLEGA  COPIA SENTENCIA HAY CONDENA EN COSTAS
MEDIANTE CORREO ELECTRONICO SE INDICA DE CORRECCION Y DESVINCULACION  DE LA UNP 21/05/18 L
ES DE MIGRACION  W.</t>
  </si>
  <si>
    <t>JUZGADO DIECISEIS ADMINISTRATIVO ORAL DEL CIRCUITO DE MEDELLIN</t>
  </si>
  <si>
    <t xml:space="preserve">TRIBUNAL ADMINISTRADTIVO DE ANTIOQUIA SALA CUARTA DE ORALIDAD </t>
  </si>
  <si>
    <t>GIOVANNI OSPINA FRANCO</t>
  </si>
  <si>
    <t xml:space="preserve"> EXT15-00051266</t>
  </si>
  <si>
    <t>POR ENTREGAR LTK
20/02/18 LTK
ENTREGADO POR LTK 26-06-2018</t>
  </si>
  <si>
    <t>05 001 3333 024 2013 00085 00</t>
  </si>
  <si>
    <t>APARECE EN MIGRACION CASILLA 07 SE ALLEGA  COPIA SENTENCIA DE SEGUNDA INSTANCIA EN DONDE SE DECRETA SUCESION PROCESAL A FAVOR DE LA UNP ADICIONA Y CONFIRMA
MEDIANTE CORREO ELECTRONICO INDICA LA NO INCORPARACION DE LA UNP 21/05/18 L
ES DE MIGRACION W.</t>
  </si>
  <si>
    <t>JUZGADO VEINTICUATRO ADMINISTRATIVO ORAL DEL CIRCUITO DE MEDELLIN</t>
  </si>
  <si>
    <t>JUAN CARLOS CETINA RODRIGUEZ</t>
  </si>
  <si>
    <t>EXT15-00050207</t>
  </si>
  <si>
    <t>04/05/2017
ENTREGADO Y LIQUIDADO 29/08/2017
LIQUIDADO NPA</t>
  </si>
  <si>
    <t>68 001 3331 009 2012 00045 00</t>
  </si>
  <si>
    <t>JUZGADO QUINTO ADMINISTRATIVO DE DESCONGESTION DE BUCARAMANGA</t>
  </si>
  <si>
    <t>TRIBUNAL ADMINISTATIVO DE DESCONGESTION DE SANTANDER</t>
  </si>
  <si>
    <t>16-08-2018,  129201242-01-1979-004612, NO FIGURAN</t>
  </si>
  <si>
    <t>288/2016</t>
  </si>
  <si>
    <t>JOHN WILBER PEREZ SUAREZ</t>
  </si>
  <si>
    <t>EXT15-00050218</t>
  </si>
  <si>
    <t>11 001 3335 016 2012 00152 00</t>
  </si>
  <si>
    <t>EN EL ANEXO ES LA 27 
CON DOCUMENTOS
SEGUNDA INSTANCIA CONFIRMA</t>
  </si>
  <si>
    <t>JUZGADO DIECISEIS ADMINISTRATIVO DE ORALIDAD</t>
  </si>
  <si>
    <t>TRIBUNAL ADMINISTRADTIVO DE CUNDINAMARCA SECCION SEGUNDA SUBSECCION "D"</t>
  </si>
  <si>
    <t>0897-2017</t>
  </si>
  <si>
    <t>1516/17</t>
  </si>
  <si>
    <t>7834018</t>
  </si>
  <si>
    <t>joaljipa@yahoo.es 
31/01/18</t>
  </si>
  <si>
    <t>JOSE CAMACHO MENDOZA</t>
  </si>
  <si>
    <t>EXT15-00050228</t>
  </si>
  <si>
    <t>68 001 2331 013 2011 00280 00</t>
  </si>
  <si>
    <t>EN EL ANEXO ES LA 78 CON DOCUMENTOS</t>
  </si>
  <si>
    <t>TRIBUNAL ADMINISTRATIVO DE SANTANDER SUBSECCION DE DESCONGESTION SALA DE ASUNTOS LABORALES</t>
  </si>
  <si>
    <t>280/2016
0883-2017</t>
  </si>
  <si>
    <t>0510-18</t>
  </si>
  <si>
    <t xml:space="preserve">HENRY MESIAS ARCILA PEREZ
</t>
  </si>
  <si>
    <t>EXT15-00050203</t>
  </si>
  <si>
    <t>EXT17-00066907</t>
  </si>
  <si>
    <t>INFORMATIVA</t>
  </si>
  <si>
    <t>EXT18-00014137</t>
  </si>
  <si>
    <t>EXT18-00020886</t>
  </si>
  <si>
    <t>EXT18-00022650</t>
  </si>
  <si>
    <t>05/05/2017
MEDIANTE OFI17-00026282 DEL 25/07/2017 SE ENTREGAN DOCUMENTOS EN 41 FOLIOS
MEDIANTE OFI17-00031027 28/08/2017 SE ENVIAN DOCUMENTOS EN FOTOCOPIAS EN 9 FOLIOS
ENTREGADO Y LIQUIDADO 22/11/2017
LIQUIDADO NPA
ENTREGADOS LTK RAD.LTK-005-036-2018 17/05/18</t>
  </si>
  <si>
    <t>68 001 3331 010 2010 00095 00</t>
  </si>
  <si>
    <t>JUZGADO TERCERO ADMINISTRATIVO DE DESCONGESTION DE BICARAMANGA</t>
  </si>
  <si>
    <t>0478-18</t>
  </si>
  <si>
    <t xml:space="preserve">JOALJIPA@YAHOO.ES </t>
  </si>
  <si>
    <t>GABRIEL ANTONIO CHAMORRO BEJARANO</t>
  </si>
  <si>
    <t>EXT15-00050212</t>
  </si>
  <si>
    <t>04/05/2017
ENTREGADO Y LIQUIDADO 25/07/2017
LIQUIDADO NPA</t>
  </si>
  <si>
    <t>68 081 3331 002 2012 00022 00
(68 001 3331 002 2012 00022 00)</t>
  </si>
  <si>
    <t xml:space="preserve">EN EL ANEXO ES LA 57 
SE ALLEGAN DOCUMENTOS
SEGUNDA INSTANCIA REVOCA
CORREO ELECTRÓNICO 26/06/18 L
</t>
  </si>
  <si>
    <t>JUZGADO SEGUNDO ADMINISTRATIVO DE BUCARAMANGA</t>
  </si>
  <si>
    <t>0891-2017</t>
  </si>
  <si>
    <t>0683-2018</t>
  </si>
  <si>
    <t>joaljipa@yahoo.es</t>
  </si>
  <si>
    <t>FREDY JORGE SALAZAR RODRIGUEZ</t>
  </si>
  <si>
    <t>EXT15-00050198</t>
  </si>
  <si>
    <t>05/05/2017
ENTREGADO Y LIQUIDADO 29/08/2017
LIQUIDADO NPA</t>
  </si>
  <si>
    <t>11 001 3331 702 2010 00191 00</t>
  </si>
  <si>
    <t>EN EL ANEXO ES LA 50 SE ALLEGAN DOCUMENTOS</t>
  </si>
  <si>
    <t>TRIBUNAL ADMISTRATIVO DE CUNDINAMARCA SALA DE DESCONGESTION</t>
  </si>
  <si>
    <t>1536/17</t>
  </si>
  <si>
    <t>7839218</t>
  </si>
  <si>
    <t>joaljipa@yahoo.es 
30/01/18</t>
  </si>
  <si>
    <t>ELKIN HERNANDEZ ABREO</t>
  </si>
  <si>
    <t xml:space="preserve">EXT15-00050226
</t>
  </si>
  <si>
    <t>EXT18-00097278</t>
  </si>
  <si>
    <t>SOLCITUD INFORMACION ESTADO DE PAGO</t>
  </si>
  <si>
    <t>68 001 2333 000 2013 00161 00</t>
  </si>
  <si>
    <t>EN EL ANEXO ES LA 91 SE ALLEGAN DOCUMENTOS
MEDIANTE OFI18-00044865 SE DA RESPUESTA AL  EXT18-00097278  F.</t>
  </si>
  <si>
    <t>0894-2017</t>
  </si>
  <si>
    <t>JORGE MARIO QUINTANA FERNANDEZ</t>
  </si>
  <si>
    <t>EXT15-00051397</t>
  </si>
  <si>
    <t>24/05/2017
MEDIANTE OFI17-00031864 01/09/2017  SE ENVIAN  23 FOLIOS  DEL EXPEDIENTE EN FOTOCOPIAS
DEVUELVE 02/10/2017
OFICIOS LTK
DEVUELTOS NPA
20/02/18 LTK
DEVUELTO POR LTK 26-06-2018</t>
  </si>
  <si>
    <t>47 001 3333 005 2013 00299 00</t>
  </si>
  <si>
    <t>EN EL ANEXO ES LA 475
TRIBUNAL DECLARA PROBADA LA EXCEPCION DE PRESCRIPCION EXTINTIVA DE LOS DERECHOS RECLAMADOS POR EL ACTOR.
HOY, OCT 18 DE 2018, SE EXAMINó LA 2A INSTANCIA Y ESTA CONFIRMó LA 1A EN EL SENTIDO DE DENEGAR TODO  W.</t>
  </si>
  <si>
    <t>JUZGADO QUINTO ADMIISTRATIVO DE SANTA MARTA</t>
  </si>
  <si>
    <t>TRIBUNAL ADMIISTRATIVO DEL MAGDALENA</t>
  </si>
  <si>
    <t>ALBERTO ALEGRIA</t>
  </si>
  <si>
    <t>JOHN ALEXANDER MARTINEZ MEJIA</t>
  </si>
  <si>
    <t>EXT15-00051341</t>
  </si>
  <si>
    <t>EXT17-00072711</t>
  </si>
  <si>
    <t>05 001 3333 023 2014 00146 00</t>
  </si>
  <si>
    <t>EN EL ANEXO ES LA 531 
SEGUNDA INSTANCIA REVOCA
SE ORDENA CANCELAR A PARTIR DEL 20 DE JULIO DE 2010</t>
  </si>
  <si>
    <t>YEISON ANDRES RUEDA VILLAMIL</t>
  </si>
  <si>
    <t>EXT15-00051337</t>
  </si>
  <si>
    <t>EXT15-00073436</t>
  </si>
  <si>
    <t>EXT16-00039596</t>
  </si>
  <si>
    <t>05/05/2017
ENTREGADA Y LIQUIDADA 25/07/2017
LIQUIDADO NPA</t>
  </si>
  <si>
    <t>05 001 3333 022 2014 00488 00</t>
  </si>
  <si>
    <t>SEGUNDA INSTANCIA REVOCA Y CONCEDE PARCIALMENTE
EN EL ANEXO ES EL 613</t>
  </si>
  <si>
    <t>267/2016
0881-2017</t>
  </si>
  <si>
    <t>HELMAN MATIZ CIFUENTES</t>
  </si>
  <si>
    <t>EXT15-00051269</t>
  </si>
  <si>
    <t>EXT16-00028801</t>
  </si>
  <si>
    <t>REMITE ESTADO</t>
  </si>
  <si>
    <t>EXT16-00069556</t>
  </si>
  <si>
    <t>05 001 3333 007 2013 00110 00</t>
  </si>
  <si>
    <t>NO SE ENCUENTRA EN LOS ANEXOS
SEGUNDA INSTANCIA CONFIRMA
OJO FALLO REMITIDO CON INCONSISTENCIAS</t>
  </si>
  <si>
    <t>JUZGADO SEPTIMO ADMINISTRATIVO DE ORALIDAD DE MEDELLIN</t>
  </si>
  <si>
    <t>0263-18</t>
  </si>
  <si>
    <t>CLINICAJURIDICA@UNE.NET.CO 
15/05/18</t>
  </si>
  <si>
    <t xml:space="preserve">EXT15-00052665
</t>
  </si>
  <si>
    <t>EXT17-00087914</t>
  </si>
  <si>
    <t>17 001 2333 003 2011 00515 02</t>
  </si>
  <si>
    <t>0878-2017</t>
  </si>
  <si>
    <t>WALTER HERRERA ACELAS</t>
  </si>
  <si>
    <t>EXT15-00053212</t>
  </si>
  <si>
    <t>68 081 2331 002 2009 00800 00</t>
  </si>
  <si>
    <t xml:space="preserve">NO APARECE EN EL DECRETO
</t>
  </si>
  <si>
    <t>TRIBUNAL ADMINISTRATIVO DE SANTANDER  DE DESCONGESTION</t>
  </si>
  <si>
    <t>0513-18</t>
  </si>
  <si>
    <t>EXT15-00055807</t>
  </si>
  <si>
    <t>EXT16-00016761</t>
  </si>
  <si>
    <t>EXT17-00066816</t>
  </si>
  <si>
    <t>EXT18-00031344</t>
  </si>
  <si>
    <t>EXT18-00042019</t>
  </si>
  <si>
    <t xml:space="preserve">RESPUESTA SOLICITUD </t>
  </si>
  <si>
    <t>17/05/2018
17/05/2018
28/05/2018</t>
  </si>
  <si>
    <t>may-18
may-18
may-18</t>
  </si>
  <si>
    <t>EXT18-00043807
EXT18-00044182
EXT18-00047686</t>
  </si>
  <si>
    <t>BENEFICIARIO
ABOGADO
FIDUPREVISORA</t>
  </si>
  <si>
    <t>DERECHO DE PETICION
DERECHO DE PETICION
RESPUESTA A  SOLICITUD</t>
  </si>
  <si>
    <t>05/05/2017
ENTREGADO Y LIQUIDADO 29/08/2017
MEDIANTE OFI17-00031027  28/08/2017 SE ENVIAN DOCUMENTOS  EN FOTOCOPIAS EN 36 FOLIOS
ENTREGADO 26/09/17
LIQUIDADO NPA</t>
  </si>
  <si>
    <t>17 001 3331 002 2011 00818 00</t>
  </si>
  <si>
    <t>EN EL ANEXO 419 
OJO LA SENTENCIA DE SEGUNDA INSTANCIA QUE CONFIRMO FALLO SE ACLARA EL 28 DE MAYO DE 2015
OJO SE HABLA DE SECION DE DERECHOS LITIGIOSOS
OJO FALTA CONSTANCIA DE SER PRIMERA COPIA Y PRESTAR MERITO EJECUTIVO
25/04/28  SE IMPRIME EL EXT16-00016761 04/03/18 
CESION DE DERECHOS A CLAUDIA PATRICIA SANCHEZ LONDOÑO 
SE DA RESPUESTA MEDIANTE OFI18-00016500 26/04/18 L OFI8-00016501 26/04/18 L OFI18-00022623  05/06/18 L OFI18-00022220 01/06/18 E
OFI18-00026143 28/06/18 L.
OFI18-00028353 12/07/18 L.
OFI18-00040579 17/09/18  L.</t>
  </si>
  <si>
    <t>JUZGADO SEPTIMO ADMINISTRATIVO DE MANIZALES</t>
  </si>
  <si>
    <t>FRANCISCO JAVIER NARVAEZ RESTREPO</t>
  </si>
  <si>
    <t>EXT15-00029693</t>
  </si>
  <si>
    <t>COMUNICA AUTO</t>
  </si>
  <si>
    <t>EXT15-00056822</t>
  </si>
  <si>
    <t>05 001 3333 012 2013 00091 00</t>
  </si>
  <si>
    <t>FALLO SEGUNDA INSTANCIA CONFIRMA Y ADICIONA SOBRE SUCESION PROCESAL
MEDIANTE CORREO ELECTRONICO SE INDICA LA CORRECCION Y DESVINCULACION DE LA UNP 21/05/18 L OFI18-00022052 31/05/18 SE REMITE A MIGRACION POR REMISION L
ES DE MIGRACION  W.</t>
  </si>
  <si>
    <t>JUZGADO DOCE ADMINISTRATIVO DE MEDELLIN</t>
  </si>
  <si>
    <t>PABLO CESAR AREVALO GALVAN</t>
  </si>
  <si>
    <t>EXT16-00051954</t>
  </si>
  <si>
    <t>ENTREGA DOCUMENTOS</t>
  </si>
  <si>
    <t>EXT15-00056689</t>
  </si>
  <si>
    <t>EXT17-00005445</t>
  </si>
  <si>
    <t xml:space="preserve"> PETICION</t>
  </si>
  <si>
    <t>EXT17-00005346</t>
  </si>
  <si>
    <t>EXT17-00098736</t>
  </si>
  <si>
    <t>19/02/2018
01/03/2018
01/03/2018
15/03/2018</t>
  </si>
  <si>
    <t>feb-18
mar-18
mar-18
mar-18</t>
  </si>
  <si>
    <t>EXT18-00014459
EXT18-00018767
EXT18-00011265
EXT18-00023273</t>
  </si>
  <si>
    <t>ABOGADA
ABOGADO
ABOGADA
BENEFICIARIO</t>
  </si>
  <si>
    <t xml:space="preserve">DERECHO DE PETICION
DERECHO DE PETICION
DERECHO DE PETICION
DERECHO DE PETICION </t>
  </si>
  <si>
    <t>04/05/2017
ENTREGADA Y LIQUIDADA 25/07/2017
LIQUIDADO NPA</t>
  </si>
  <si>
    <t>08 001 3331 703 2012 00083 00</t>
  </si>
  <si>
    <t>JUZGADO TERCERO ADMINISTRATIVO DE BARRANQUILLA</t>
  </si>
  <si>
    <t>26-07-2018, 102244439-00079,  NO PRESENTA DEUDAS</t>
  </si>
  <si>
    <t>MARTIN ALFREDO ALVAREZ HURTADO</t>
  </si>
  <si>
    <t>EXT15-00056690</t>
  </si>
  <si>
    <t>19 001 3331 001 2011 00621 00</t>
  </si>
  <si>
    <t>EN EL ANEXO ES LA 585 Y 642
 CON DOCUMENTOS COMPLETOS
TRIBUNAL CONFIRMA SENTENCIA</t>
  </si>
  <si>
    <t>JUZGADO PRIMERO ADMINISTRATIVO DEL CIRCUITO DE POPAYAN</t>
  </si>
  <si>
    <t>TRIBUNAL ADMINISTRATIVO DEL CAUCA</t>
  </si>
  <si>
    <t>1172/2017</t>
  </si>
  <si>
    <t>1540/17</t>
  </si>
  <si>
    <t>2987318</t>
  </si>
  <si>
    <t>correapinedaclaudia@hotmail.com 
30/01/18</t>
  </si>
  <si>
    <t>FERNANDO CELIS VELEZ</t>
  </si>
  <si>
    <t>EXT15-00056693</t>
  </si>
  <si>
    <t>EXT16-00051960</t>
  </si>
  <si>
    <t>19/02/2'18</t>
  </si>
  <si>
    <t>EXT18-00018767</t>
  </si>
  <si>
    <t>ANBOGADO</t>
  </si>
  <si>
    <t>EXT18-00043252</t>
  </si>
  <si>
    <t>05/05/2017
DEVUELTO 25/07/2017
LIQUIDADO NPA</t>
  </si>
  <si>
    <t>08 001 3331 703 2013 00006 00</t>
  </si>
  <si>
    <t>JAIME GREGORIO VELILLA CAMPO</t>
  </si>
  <si>
    <t>EXT15-00056692</t>
  </si>
  <si>
    <t>EXT16-00051956</t>
  </si>
  <si>
    <t>80 001 2331 703 2012 00080 00</t>
  </si>
  <si>
    <t>EN EL ANEXO ES LA 394 
LA SENTENCIA NO FUE APELADA SEGÚN CONSTANCIA DEL JUZGADO
ADMISION DEMANDA 11 DEABRIL DE 2012
SE DA RESPUESTA MEDIANTE OFI18-00008404 01/03/18 E OFI18-00011265 16/03/18 L</t>
  </si>
  <si>
    <t>JOHN ARCE ATUESTA</t>
  </si>
  <si>
    <t xml:space="preserve">FABIO NEL ACOSTA GUTIERREZ </t>
  </si>
  <si>
    <t xml:space="preserve">EXT15-00058756
</t>
  </si>
  <si>
    <t>73 001 3331 006 2011 00285 00</t>
  </si>
  <si>
    <t>NO APARECE EN EL DECRETO PERO EL TRIBUNAL ORDENA A LA UNP PAGAR
ALLEGA DOCUMENTOS, FALTAN
FALLO DE SEGUNDA INSTANCIA REVOCA Y ACOGE PRETENSIONES</t>
  </si>
  <si>
    <t>JUZGADO CUARTO ADMINISTRATIVO DE DESCONGESTION DE IBAGUE</t>
  </si>
  <si>
    <t>1538/17</t>
  </si>
  <si>
    <t>fabioacosta12@gmail.com 
01/02/18</t>
  </si>
  <si>
    <t>GABRIEL EDUARDO OCHOA MADERA</t>
  </si>
  <si>
    <t>EXT15-00059444</t>
  </si>
  <si>
    <t>EXT17-00042488</t>
  </si>
  <si>
    <t>68 001 3331 009 2012 00008 00</t>
  </si>
  <si>
    <t>EN EL ANEXO ES LA 473 
OJO EL PODER NO TRAE PRESENTACION PERSONAL
LA SENTENCIA DE PRIMERA INSTANCIA ORDENA QUE SE CUMPLIMINETO DE ACIERDO AL ART. 176 DE CCA
(SE DA RESPUESTA MEDIANTE CORREO ELECTRONICO 27/06/17)A</t>
  </si>
  <si>
    <t>JUZGADO SEPTIMO ADMINISTRATIVO DE DESCONGESTION DE BUCARAMANGA</t>
  </si>
  <si>
    <t>TRIBUNAL ADMINISTRATIVO DE SANTANDER SECCION DE DESCONGESTION</t>
  </si>
  <si>
    <t>WILLIAM CABALLERO BAUTISTA</t>
  </si>
  <si>
    <t>EXT15-00059449</t>
  </si>
  <si>
    <t>05/05/2017
ENTREGADO Y LIQUIDADO 25/07/2017
LIQUIDADO NPA
20/02/18 LTK</t>
  </si>
  <si>
    <t>68 001 2331 000 2011 00265 01</t>
  </si>
  <si>
    <t xml:space="preserve">NO APARECE EN EL DECRETO PERO EL TRIBUINAL ORDENA A LA UNP EL PAGO SEGUNDA INSTANCIA </t>
  </si>
  <si>
    <t>FELIPE CAJAR QUIROGA</t>
  </si>
  <si>
    <t>EXT15-00059448</t>
  </si>
  <si>
    <t>68 001 3331 004 2012 00105 00</t>
  </si>
  <si>
    <t>EN EL ANEXO ES LA 86 SE ALLEGA DOCUMENTOS</t>
  </si>
  <si>
    <t>0875-2017</t>
  </si>
  <si>
    <t>GILBERTO PRADA JAIMES</t>
  </si>
  <si>
    <t>EXT15-00059445</t>
  </si>
  <si>
    <t>68 001 3331 005 2010 00079 00</t>
  </si>
  <si>
    <t>EN EL ANEXO ES LA 75 SEGUNDA INSTANCIA CONFIRMA FALLO
FALLO DE SEGUNDA INSTANCIA FUE CORREGIDO EL 31 DE JULIO DE 2015</t>
  </si>
  <si>
    <t>1171/2017</t>
  </si>
  <si>
    <t>SORY HERNAN ALEGRIA SOL</t>
  </si>
  <si>
    <t>EXT15-00061137</t>
  </si>
  <si>
    <t>EXT18-00003418</t>
  </si>
  <si>
    <t>19 001 3331 702 2011 00131 00</t>
  </si>
  <si>
    <t>EN EL ANEXO ES LA 343 FALLO SEGUNDA INSTANCIA REVOCA
SE DA RESPUESTA MEDIANTE OFI18-00002045 18/01/18 L OFI18-00012666 28/03/18 L</t>
  </si>
  <si>
    <t>1508/17</t>
  </si>
  <si>
    <t>7780518</t>
  </si>
  <si>
    <t>AEFERNANDEZ@UNICAUCA.EDU.CO
26/01/18</t>
  </si>
  <si>
    <t>BEIMAR ANDRES MOSQUERA BLANDON</t>
  </si>
  <si>
    <t>EXT15-00062497</t>
  </si>
  <si>
    <t>EXT15-00070667</t>
  </si>
  <si>
    <t>05 001 3331 029 2011 00355 00</t>
  </si>
  <si>
    <t>EN EL ANEXO ES LA 328 SE ALLEGA CD
SE ALLEGAN DOCUMENTOS (MIRAR)
FALLO DE SEGUNDA INSTANCIA CONFIRMA</t>
  </si>
  <si>
    <t>JUZGADO SEGUNDO ADMIJSTRATIVO DE DESCONGESTION DE MEDELLIN</t>
  </si>
  <si>
    <t>0872-2017</t>
  </si>
  <si>
    <t>WILSON ORLANDO JIMENEZ CORTES</t>
  </si>
  <si>
    <t>ARMANDO E. COLON CARDENAS</t>
  </si>
  <si>
    <t>EXT15-00062488</t>
  </si>
  <si>
    <t>EXT16-00054889</t>
  </si>
  <si>
    <t>EXT17-00040426</t>
  </si>
  <si>
    <t>EXT17-00054656</t>
  </si>
  <si>
    <t>APORTA SEGURIDAD SOCIAL</t>
  </si>
  <si>
    <t>EXT18-00010516</t>
  </si>
  <si>
    <t>PAGO DE CUMPLIMIENTO SENTENCIA JUDICIAL</t>
  </si>
  <si>
    <t>EXT18-00050236</t>
  </si>
  <si>
    <t>24/05/2017
MEDIANTE  OFI17-00032224  05/09/2017 SE ENVIAN DOCUMENTOS ORIGINALES (TOTAL 31 FOLIOS EN GENERAL)
ENTREGADO Y LIQUIDADO 02/10/2017
LIQUIDADO NPA</t>
  </si>
  <si>
    <t>11 001 3331 029 2011 00381 00</t>
  </si>
  <si>
    <t xml:space="preserve">EN EL ANEXO ES EL 166
CON DOCUMENTOS COMPLETOS
EN EL DECRETO ES EL 166
SE DA RESPUESTA MEDIANTE OFI16-00024372 17/06/16 G OFI17-00031006 28/08/18 N OFI18-00006521 16/02/18 L
"EJECUTORIA 19/10/17
CORREO ELECTRONICO 19/06/18"
</t>
  </si>
  <si>
    <t>JUZGDO PRIMERO ADMISTATIVO DE DESCONGESTION DE BOGOTA</t>
  </si>
  <si>
    <t>0698/18</t>
  </si>
  <si>
    <t>ARMANDOCOLON1971@GMAIL.COM
19-06-2018</t>
  </si>
  <si>
    <t>CARLOS ALBERTO TEJEIRO</t>
  </si>
  <si>
    <t>EXT15-00063173</t>
  </si>
  <si>
    <t>EXT16-00033702</t>
  </si>
  <si>
    <t>EXT17-00022016</t>
  </si>
  <si>
    <t>EXT18-00019526</t>
  </si>
  <si>
    <t>EXT18-00094191</t>
  </si>
  <si>
    <t>SOLICITA DOCUMENTO</t>
  </si>
  <si>
    <t>50 001 2331 000 2011 00127 00</t>
  </si>
  <si>
    <t>TRIBUNAL CONTENCIOSO ADMINISTRATIVO DEL META</t>
  </si>
  <si>
    <t>0873-2017</t>
  </si>
  <si>
    <t xml:space="preserve">OLGA LUCIA CLAVIJO CLAVIJO
MARIA INES CEBALLOS DE CALVO 
AIDA LUCY CALVO CORREA
RAQUEL CALVO CLAVIJO
HECTOR MARIO CALVO CORREA
VICTOR ANDRES CALVO CORREA
</t>
  </si>
  <si>
    <t>25.246.461
31.499.189
1.088.249.256
16.804.376
1.002.802.558</t>
  </si>
  <si>
    <t>CARLOS ALFONSO OSORIO CANO</t>
  </si>
  <si>
    <t>EXT15-00063998</t>
  </si>
  <si>
    <t>EXT16-00030715</t>
  </si>
  <si>
    <t>EXT16-00069444</t>
  </si>
  <si>
    <t>MIN INTERIOR</t>
  </si>
  <si>
    <t>PAGO DE CONDENA</t>
  </si>
  <si>
    <t>EXT17-00004547</t>
  </si>
  <si>
    <t>REEMBOLSO</t>
  </si>
  <si>
    <t>EXT17-00014695</t>
  </si>
  <si>
    <t>MINTERIR</t>
  </si>
  <si>
    <t>LIQUIDACION CUOTA PARTE UNP</t>
  </si>
  <si>
    <t>30/11/2017
18/04/2018
07/05/2018</t>
  </si>
  <si>
    <t>nov-17
abr-18
may-18</t>
  </si>
  <si>
    <t>EXT17-00093834
EXT18-00034012
EXT18-00037274</t>
  </si>
  <si>
    <t>MINTERIOR
MINTERIOR
MINTERIOR</t>
  </si>
  <si>
    <t>REITERACION OFI17-998-OAJ-1400
SOLICITUD DE PAGO
SOLICITUD DE PAGO</t>
  </si>
  <si>
    <t>17 001 3331 004 2008 00203 00</t>
  </si>
  <si>
    <t>PAGADA
OJO MIN PAGA
APARECE EN UNIFICADOS ACTIVOS (RECIBA DEL MIN INT Y DAS) EN LA SENTENCIA SE VINCULA A LA ENTIDAD
SE DA RESPUESTA MEDIANTE OFI16-00046741 02/11/16, OFI16-00046741 02/11/16 G/ OFI17-00046381 14/12/17 A OFI18-00018504 11/05/18 E
PAGADA AL MINHACIENDA</t>
  </si>
  <si>
    <t>JUZGADO SEXTO ADMINISTRATIVO DE DESCONGESTION DE MANIZALES</t>
  </si>
  <si>
    <t>MUERTE DE CONCEJAL-MIN DEL INTERIOR Y DEL DAS</t>
  </si>
  <si>
    <t>0330/2017 (ANULAR)
1446/17
(MINTERIOR)</t>
  </si>
  <si>
    <t xml:space="preserve">$ 154.153.972
</t>
  </si>
  <si>
    <t>$ 154.153.972
 (MINTERIOR)</t>
  </si>
  <si>
    <t>13484218
(MINTERIOR)</t>
  </si>
  <si>
    <t>29/01/2018
(MINTERIOR)</t>
  </si>
  <si>
    <t>LUIS.DIAZ@MINHACIENDA.GOV.CO
29/01/18</t>
  </si>
  <si>
    <t>DAMASO JOSE TURIZO PATERNINA Y OTROS (SISTEMA ORAL SE ACUMULAN OTROS PROCESOS)</t>
  </si>
  <si>
    <t xml:space="preserve">EXT15-00064419
</t>
  </si>
  <si>
    <t>24/05/2017
MEDIANTE OFI17-00030491  23/08/2017 SE ENVIAN FOTOCOPIAS DE DOCUMENTOS EN 63 FOLIOS
ENTREGADO Y LIQUIDADO 22/11/2017
LIQUIDADO NPA</t>
  </si>
  <si>
    <t>20 001 3333 006 2012 00127 00</t>
  </si>
  <si>
    <t>(EN LE ANEXO ES LA 351)
SE ALLEGA SENTENCIA
SEGUNDA INSTANCIA MODIFICA Y CONFIRMA
ALLEGA DOCUMENTOS (FALTAN) (SE DA RESPUESTA MEDIANTE OFI17-00006874 24/02/17)A
SE SOLICITA LEVANTAMIENTO DE MEDIDAS CAUTELARES MEDIANTE OFI18-00002711 23/01/18 LM</t>
  </si>
  <si>
    <t>1479/17</t>
  </si>
  <si>
    <t>7810518</t>
  </si>
  <si>
    <t>JUAN PABLO PARRA MUÑOZ</t>
  </si>
  <si>
    <t>EXT15-00066446</t>
  </si>
  <si>
    <t>EXT16-000039603</t>
  </si>
  <si>
    <t>SOLICITUD INFORMACION</t>
  </si>
  <si>
    <t>EXT16-00084451</t>
  </si>
  <si>
    <t>DEVUELTOS LTK RAD.LTK-005-035-2018 17/05/18
20/02/18 LTK</t>
  </si>
  <si>
    <t>05 001 3331 008 2010 00363 00</t>
  </si>
  <si>
    <t>JUZGADO OCTAVO DMINISTRATIVO DE MEDELLIN</t>
  </si>
  <si>
    <t>TRIBUNAL ADMIISTRATIVO DE ANTIOQUIA</t>
  </si>
  <si>
    <t>05 001 3333 008 2016 00797 00</t>
  </si>
  <si>
    <t>ISABEL CRISTINA DIOSA</t>
  </si>
  <si>
    <t xml:space="preserve">
</t>
  </si>
  <si>
    <t>07/06/18 LTK
DEVUELTOS POR LTK 26-06-2018 FALTAN DOCUMENTOS</t>
  </si>
  <si>
    <t>05 001 3331 029 2012 00086 00</t>
  </si>
  <si>
    <t>JUZGADO VEINTINUEVE ADMINISTRATIVO DE MEDELLIN</t>
  </si>
  <si>
    <t>TRIBUNAL ADMINISTRTIVO DE ANTIOQUIA</t>
  </si>
  <si>
    <t>DARIO ALBERTO SALAZAR SALAZAR</t>
  </si>
  <si>
    <t>OSCAR ALARCON CUELLAR</t>
  </si>
  <si>
    <t>EXT15-00066946</t>
  </si>
  <si>
    <t>EXT18-00108252</t>
  </si>
  <si>
    <t>NOTIFICA SENTENCIA</t>
  </si>
  <si>
    <t>20/02/18 LTK
05/06/2018 SE ENCUENTRA EL EXPENDIENTE FISICO EN UNP YL
ENTREGADOS POR LTK 04-09-2018</t>
  </si>
  <si>
    <t>NO SE ENCUENTRA EN LOS ANEXOS
EN LA SENTENCIA DEL TRIBUNAL ORDENA QUE LA UNP CUMPLA EL FALLO</t>
  </si>
  <si>
    <t>TRIBUNAL ADMIISTRATIVO DEL VALLE DEL CAUCA</t>
  </si>
  <si>
    <t>17-09-2018,  105201244-14-029, NO DEUDA</t>
  </si>
  <si>
    <t>GUSTAVO ADOLFO OCHOA GONGORA Y OTROS</t>
  </si>
  <si>
    <t>OSCAR DARIO VILLEGAS</t>
  </si>
  <si>
    <t>EXT15-00067824</t>
  </si>
  <si>
    <t>05 001 2331 000 1996 01308 01</t>
  </si>
  <si>
    <t>NO APARECE EN EL ANEXO
SE ALLEGA DOCUMENTOS PARA PAGO CORRESPONDE A LA AGENCIA Y POR OFI SE REMITE A ESTA.
MEDIANTE OFI16-00041351 27/09/16 SE REMITE POR COMPETENCIA A LA ANDJE G</t>
  </si>
  <si>
    <t>TRIBUNAL ADMINISTRATIVO DE ANTIOQUIA -SALA QUINTA DE DECSION</t>
  </si>
  <si>
    <t>LESIONES PERSONALES-ES DE LA AGENCIA</t>
  </si>
  <si>
    <t>JULIAN ANDRES RENTERIA GONZALEZ</t>
  </si>
  <si>
    <t xml:space="preserve">EXT15-00066943
</t>
  </si>
  <si>
    <t>EXT15-00067511</t>
  </si>
  <si>
    <t>EXT18-00080959</t>
  </si>
  <si>
    <t>REMITE SENTENCIA</t>
  </si>
  <si>
    <t xml:space="preserve"> EXT18-00095868</t>
  </si>
  <si>
    <t>SOLICITUD DE PAGO Y ANEXOS</t>
  </si>
  <si>
    <t>OFICIOS LTK
20/02/18 LTK
DEVUELTO POR LTK 26-06-2018</t>
  </si>
  <si>
    <t>76 001 2333 000 2013 00099 00</t>
  </si>
  <si>
    <t>EN EL ANEXO ES EL REGISTRO 263
MEDIANTE OFI18-00044730 SE DA RESPUESTA AL   EXT18-00095868  F.
EN 2015 LO LIQUIDARON COMO UNA SOLA INSTANCIA Y ESO NO ERA CIERTO. HUBO 2A INSTANCIA EN SEP 2018. SE DEJA VIGENTE SOLO LA LIQUIDACION 2018  W.</t>
  </si>
  <si>
    <t>TRIBUNAL CONTENCIOSO ADMINISTRATIVO DEL VALLE DEL CAUCA</t>
  </si>
  <si>
    <t>CONSEJO DE ESTADO - SECCION SEGUNDA</t>
  </si>
  <si>
    <t>JOSE JULIAN MARINEZ HURTADO</t>
  </si>
  <si>
    <t>EXT18-00023141</t>
  </si>
  <si>
    <t xml:space="preserve">EN EL ANEXO APARECE CON EL APELLIDO MARTINEZ, APARECE OTRO PROCESO YA PAGADO </t>
  </si>
  <si>
    <t>JUZGADO DIECISIETE ADMINISTRATIVO DEL CIRCUITO DE CALI</t>
  </si>
  <si>
    <t xml:space="preserve">TRIBUNAL CONTENCIOSO ADMINISTRATIVO DEL VALLE DEL CAUCA SALA DE DESCONESTION </t>
  </si>
  <si>
    <t>1510/17</t>
  </si>
  <si>
    <t>2441218</t>
  </si>
  <si>
    <t>jorge.portocarrero@hotmail.com 
01/02/18</t>
  </si>
  <si>
    <t>ALEJANDRO GONZALEZ TAMAYO
(se eliminó por solo contar con primera instancia)</t>
  </si>
  <si>
    <t xml:space="preserve">JAVIER MAURICIO GUTIERREZ
</t>
  </si>
  <si>
    <t>EXT15-00070201</t>
  </si>
  <si>
    <t>OFICIOS LTK
20/02/18 LTK
DEVUELTO POR LTK 26-06-2018
ENVIADOS A LTK 18-10-2018</t>
  </si>
  <si>
    <t>76 001 2333 000 2012 00260 01</t>
  </si>
  <si>
    <t>EN EL ANEXO ES EL REGISTRO 235</t>
  </si>
  <si>
    <t>CONSEJO DE ESTADO- SALA DE LO CONTENCIOSO ADMINISTRATIVO- SECCION SEGUNDA</t>
  </si>
  <si>
    <t>OSCAR DE JESUS OSORIO AGUDELO</t>
  </si>
  <si>
    <t>EXT15-00071867</t>
  </si>
  <si>
    <t>EXT16-00026222</t>
  </si>
  <si>
    <t>EXT16-00098575</t>
  </si>
  <si>
    <t xml:space="preserve">mar-18
</t>
  </si>
  <si>
    <t>EXT18-00026126</t>
  </si>
  <si>
    <t>05/05/2017
DEVUELVE 03/01/2018
FUERA DE CONTRATO NPA
POR ENTREGAR LTK
20/02/18 LTK</t>
  </si>
  <si>
    <t>05 001 3333 025 2013 00074 00</t>
  </si>
  <si>
    <t>NO SE ENCUENTRA EN LOS ANEXOS
JUZGADO ORDENA QUE LA UNP PAGUE
SEGUNDA INSTANCIA CONFIRMA
SE DA RESPUESTA MEDIANTE OFI18-00014338 12/04/18 E</t>
  </si>
  <si>
    <t>JUZGADO VEINTICINCO ADMINISTRATIVO ORAL DEL CIRCUITO DE MEDELLIN</t>
  </si>
  <si>
    <t>TRIBUNAL ADMINISTRATIVO DE ANTIOQUIA SALA TERDERA DE ORALIDAD DE DESCONGESTION</t>
  </si>
  <si>
    <t>FABIAN ALEXANDER DUCUARA DIAZ</t>
  </si>
  <si>
    <t>RAUL IGNACIO MOLANO FRANCO</t>
  </si>
  <si>
    <t>EXT15-00072224</t>
  </si>
  <si>
    <t>EXT16-00016049</t>
  </si>
  <si>
    <t>EXT18-00018740</t>
  </si>
  <si>
    <t>05/05/2017 
ENTREGADO Y LIQUIDAD0 29/08/2017
LIQUIDADO NPA</t>
  </si>
  <si>
    <t>11 001 3335 016 2013 00609 00</t>
  </si>
  <si>
    <t>JUZGDO DIECISES ADMIISTRATIVO DE ORALIDAD DE BOGOTA</t>
  </si>
  <si>
    <t>12-09-2018, 1-32-244-439-8328, NO DEUDA</t>
  </si>
  <si>
    <t>JESUS ROBERTO ERASO CIFUENTES</t>
  </si>
  <si>
    <t>EXT15-00069357</t>
  </si>
  <si>
    <t>EXT17-00027730</t>
  </si>
  <si>
    <t xml:space="preserve">12/02/2018 LTK
SE ENTREGARON DOCUMENTOS SOPORTE EL 15/03/2018, OFI 18-00011113 ENTREGADOS LTK                              </t>
  </si>
  <si>
    <t>76 001 3331 708 2012 00046 00</t>
  </si>
  <si>
    <t>GABRIEL JAIME ESTRADA GALLEGO</t>
  </si>
  <si>
    <t>EXT15-00073736</t>
  </si>
  <si>
    <t>EXT16-00028720</t>
  </si>
  <si>
    <t>EXT16-00074474</t>
  </si>
  <si>
    <t>EXT16-00025558</t>
  </si>
  <si>
    <t>EXT17-00067528</t>
  </si>
  <si>
    <t>22/02/2016
07/03/2016
11/05/2016
18/08/2015
28/10/2014
13/11/2014
11/11/2014</t>
  </si>
  <si>
    <t>feb-16
mar-16
may-16
ago-15
oct-14
nov-14
nov-14</t>
  </si>
  <si>
    <t>EXT16-00014230
EXT16-00017632
EXT16-00035284
EXT15-00046000
EXT14-00056822
EXT14-00059181
EXT14-00059224</t>
  </si>
  <si>
    <t>JUZGADO
JUZGADO
ABOGADA
TRIBUNAL
TRIBUNAL
TRIBUNAL
TRIBUNAL</t>
  </si>
  <si>
    <t>NOTIFICA ESTADO
NOTIFICA ESTADO
DERECHO DE PETICION
COMUNICA SENTENCIA
AUTO
COMUNICA AUTO
COMUNICA AUTO</t>
  </si>
  <si>
    <t>24/05/2017
MEDIANTE OFI17-00030597 24/08/2017 SE ENVIA IMPRESIÓN DE CONSULTA REALIZADA EN DOS FOLIOS
ENTREGADO Y LIQUIDADO 02/10/2017
LIQUIDADO NPA</t>
  </si>
  <si>
    <t>05 001 3333 007 2012 00367 00</t>
  </si>
  <si>
    <t>JUZGADO SEPTIMO ADMINISTRATIVO ORAL DE MEDELLIN</t>
  </si>
  <si>
    <t>PEDRO PABLO PINZON MURCIA</t>
  </si>
  <si>
    <t>EXT15-00073828</t>
  </si>
  <si>
    <t>EXT16-00048360</t>
  </si>
  <si>
    <t>EXT18-00100314</t>
  </si>
  <si>
    <t>11 001 3331 012 2011 00499 00</t>
  </si>
  <si>
    <t>EN EL ANEXO ES EL NUMERO 29
NEGATIVO  W.
MEDIANTE OFI18-00046500 22/10/18 SE DA RESPUESTA AL  EXT18-00100314  L.</t>
  </si>
  <si>
    <t>JUZGADO SEPTIMO ADMINISTRTIVO DE DESCONGESTION</t>
  </si>
  <si>
    <t>TRIBUNAL ADMINISTRATIVO DE DESCONGESTION DE CUNDINAMARCA</t>
  </si>
  <si>
    <t>12-09-2018, 1-32-244-439-8329, NO DEUDA</t>
  </si>
  <si>
    <t>WILMAN ERNESTO LARA BELTRAN</t>
  </si>
  <si>
    <t>NORMA CONSTANZA MONTERO</t>
  </si>
  <si>
    <t>EXT15-00073792</t>
  </si>
  <si>
    <t>EXT16-00091220</t>
  </si>
  <si>
    <t>EXT18-00004677</t>
  </si>
  <si>
    <t>12/02/2018 LTK
ENTREGADOS LTK</t>
  </si>
  <si>
    <t>11 001 3331 021 2011 00492 00</t>
  </si>
  <si>
    <t>JUZGADO DECIMO ADMINISTRATIVO DE DESCONGESTION DE BOGOTA</t>
  </si>
  <si>
    <t>TRIBUNAL ADMINISTRATIVO DE CUNDINAMARCA DE DESCONGESTION</t>
  </si>
  <si>
    <t>12-09-2018, 1-32-244-439-8327, NO DEUDA</t>
  </si>
  <si>
    <t>EMILSO MANUEL RODRIGUEZ DORADO</t>
  </si>
  <si>
    <t xml:space="preserve">EXT15-00075667
</t>
  </si>
  <si>
    <t>EXT16-00092647</t>
  </si>
  <si>
    <t>05 001 3333 012 2013 00088 00</t>
  </si>
  <si>
    <t>LLEGA POR CORREO ELECTRONICO
EL FALLO DEL TRIBUNAL HABLA QUE SE INCORPORO EL ACTOR A LA UNP</t>
  </si>
  <si>
    <t>JUZGADO DOCE ADMINISTRATIVO DE MEDELLIN DE ORALIDAD</t>
  </si>
  <si>
    <t>GUSTAVO ANDRES CASTRO PARRA</t>
  </si>
  <si>
    <t>EXT15-00076087</t>
  </si>
  <si>
    <t>11 001 3331 017 2011 00451 00</t>
  </si>
  <si>
    <t>EN EL ANEXO ES LA 12 SE ALLEGA DOCUMENTOS</t>
  </si>
  <si>
    <t>JAIME ACOSTA CHAVEZ</t>
  </si>
  <si>
    <t>EXT15-00076086</t>
  </si>
  <si>
    <t>04/05/2017
ENTREGADO  Y LIQUIDADO 25/07/2017
LIQUIDADO NPA</t>
  </si>
  <si>
    <t>68 001 3331 004 2012 00046 00</t>
  </si>
  <si>
    <t>FALLO DEL TRIBUNAL CONDENA A LA UNP
SE ALLEGA DOCUMENTOS
SEGUNDA INSTANCIA CONFIRMA</t>
  </si>
  <si>
    <t>JUZGADO PRIMERO ADMINISTRATIVO DE DESCONGESTION DE BUCARAMANGA</t>
  </si>
  <si>
    <t>0893-2017</t>
  </si>
  <si>
    <t>UBADEL FRANCISCO ORTEGA PATERNINA</t>
  </si>
  <si>
    <t>EXT15-00076085</t>
  </si>
  <si>
    <t>EN EL ANEXO ES EL 15 SE ALLEGA DOCUMENTOS
SEGUNDA INSTANCIA CONFIRMA</t>
  </si>
  <si>
    <t>JUZGADO SEXTO ADMIISTRATIVO DE DESCONGESTION DE BOGOTA</t>
  </si>
  <si>
    <t>TRIBUNAL ADMINISTRATIVO DE CUNDINAMRCA SECCION SEGUNDA SUBSECCION "E"</t>
  </si>
  <si>
    <t>PEDRO ANTONIO CARREÑO MORENO</t>
  </si>
  <si>
    <t>EXT15-00076615</t>
  </si>
  <si>
    <t>EXT16-00088346</t>
  </si>
  <si>
    <t>EXT16-00094996</t>
  </si>
  <si>
    <t>EXT17-00051537</t>
  </si>
  <si>
    <t>EXT17-00057958</t>
  </si>
  <si>
    <t>AUTO OBEDEZCASE Y CUMPLASE</t>
  </si>
  <si>
    <t>EXT18-00093493</t>
  </si>
  <si>
    <t>SUMINISTRA INFORMACION</t>
  </si>
  <si>
    <t>24/05/2017.
DEVUELVE 03/01/2018.
12/02/2018 LTK.
FUERA DE CONTRATO NPA.
ENTREGADOS LTK
RAD: LTK-002-004-2018  23/02/2018 SE ENTREGO CERTIFICADO DE CUENTA JUDICIAL OFI18-00011117 15/03/2018.</t>
  </si>
  <si>
    <t>11 001 3331 023 2009 00342 00</t>
  </si>
  <si>
    <t>JUZGDO VEINTRES ADMINISTRATIVO DE BOGOTA</t>
  </si>
  <si>
    <t>ROBERT EDUARDO LOPEZ URREA</t>
  </si>
  <si>
    <t>EXT15-00076917</t>
  </si>
  <si>
    <t>EXT17-00036365</t>
  </si>
  <si>
    <t>EXT17-00101005</t>
  </si>
  <si>
    <t>EXT18-00035947</t>
  </si>
  <si>
    <t>10-072018</t>
  </si>
  <si>
    <t>EXT18-00062972</t>
  </si>
  <si>
    <t>EXT18-00093283</t>
  </si>
  <si>
    <t>24/05/2017 
ENTREGADO Y LIQUIDADO 29/08/2017
MEDIANTE OFI17-00031424 30/08/2017 SE ENVIAN DOCUMENTOS  ORIGINALES EN  44 FOLIOS
DEVUELVE 02/10/2017
LIQUIDADO NPA</t>
  </si>
  <si>
    <t xml:space="preserve">19 001 3333 005 2012 00010 00 </t>
  </si>
  <si>
    <t>EN EL ANEXO ES EL 521 ALLEGA DOCUMENTOS FALTAN
SE DA RESPUESTA MEDIANTE OFI17-00048039 N OFI18-00012666 28/03/18 L OFI18-00018585 11/05/18 E
OFI18-00030640 26/07/18 L
CORREO ELECTRÓNICO 19/09/18  L.</t>
  </si>
  <si>
    <t>JUZGADO QUINTO ADMINISTATIVO DE DESCONGESTION DE POPAYAN</t>
  </si>
  <si>
    <t>YEISON EDUAR MAHECHA</t>
  </si>
  <si>
    <t>EXT15-00078126</t>
  </si>
  <si>
    <t>EXT16-00022840</t>
  </si>
  <si>
    <t>EXT16-00032983</t>
  </si>
  <si>
    <t>EXT17-00094938</t>
  </si>
  <si>
    <t>EXT18-00028185</t>
  </si>
  <si>
    <t>EXT18-00030228</t>
  </si>
  <si>
    <t>11 001 3131 707 2011 00161 00</t>
  </si>
  <si>
    <t>EN EL DECRETO ES EL 104 SEGUNDA INSTANCIA CONFIRMA PARCIALMENTE Y MODIFICA
CON DOCUMENTOS (PARA MIRAR DR RESPEUESTA) / (08/08/2017 NULIDAD 
(RELACION LABORAL) SE ENTREGO A WILSON PARA LIQUIDAR
SE DA RESPUESTA MEDIANTE OFI17-00047794 N</t>
  </si>
  <si>
    <t>JUZGADO SEPTIMO ADMINISTRATIVO DE DESCONGESTIO NDE BOGOTA</t>
  </si>
  <si>
    <t>TRIBUNAL ADMIISTRATIVO DE CUNDINAMARCA SUBSECCION "E"</t>
  </si>
  <si>
    <t xml:space="preserve">ANA ESTHER CERQUERA 
</t>
  </si>
  <si>
    <t>EXT15-00077590</t>
  </si>
  <si>
    <t>EXT16-00063843</t>
  </si>
  <si>
    <t>EXT16-00070404</t>
  </si>
  <si>
    <t>EXT17-00032001</t>
  </si>
  <si>
    <t>EXT18-00008729</t>
  </si>
  <si>
    <t>EXT18-00056922</t>
  </si>
  <si>
    <t>PAGO DE SENTENCIA JUDICIAL</t>
  </si>
  <si>
    <t>24/05/2017
MEDIANTE  OFI17-00031841  01/09/2017 SE ENVIAN DOCUMENTOS ORIGINALES EN 121 FOLIOS 
DEVUELVE 02/10/2017
DEVUELTOS NPA
05/06/2018 SE ENCUENTRA EL EXPENDIENTE FISICO EN UNP YL LIQUIDADO UNP
ENTREGADO POR LTK 25-07-2018</t>
  </si>
  <si>
    <t>SI-LTK</t>
  </si>
  <si>
    <t>54 001 3331 004 2012 00099 00</t>
  </si>
  <si>
    <t>JUZGADO TERCERO ADMINISTRATIVO DE DESCONGESTION DE CUCUTA</t>
  </si>
  <si>
    <t>MINTERIOR - MINDEFENSA - PONAL - DAS -UNP (SUCERORA DAS)</t>
  </si>
  <si>
    <t>PEDRO JOSE VEGA RICARDO</t>
  </si>
  <si>
    <t>RAUL SEGUNDO CUELLO BARRIOS</t>
  </si>
  <si>
    <t>EXT15-00073807</t>
  </si>
  <si>
    <t>REMITE COPIA DE LA SENTENCIA</t>
  </si>
  <si>
    <t>EXT15-00079983</t>
  </si>
  <si>
    <t>EXT16-00065672</t>
  </si>
  <si>
    <t>EXT17-00065554</t>
  </si>
  <si>
    <t>EXT17-00065728</t>
  </si>
  <si>
    <t>EXT18-00047497</t>
  </si>
  <si>
    <t>EXT18-00048506</t>
  </si>
  <si>
    <t>70 001 3331 005 2011 00539 00</t>
  </si>
  <si>
    <t>JUZGADO CUARTO ADMINISTRATIVO DE DESCONGESTION DE SINCELEJO</t>
  </si>
  <si>
    <t>271/2016</t>
  </si>
  <si>
    <t>BLANCA HELENA PARRA TRUJILLO
JESUS ABELARDO GUZMAN PARRA
LEIDY JOHANA GUZMAN PARRA
YONY ARIAS NARVAEZ
LUZ MIRYAM PENAGOS ARIAS
MARCO TULIO CUELLAR
CIELO AMPARO ARIAS
JESUS MARIA HERRERA ARIAS
EDISSON HERRERA ARIAS
DIANA CAROLINA ARIAS
ALVARO ARIAS
WENDY DAYANA ARIAS VILLALBA
HERNEY ARIAS VILLALBA
CARLA MAYERLY ARIAS VILLALBA
YASMIN CHACON PENAGOS
ANA YENCI CHACON PENAGOS
JOSE ARLEY CHACON PENAGOS
EDILMA PERDOMO
LUCENA IBARRA PERDOMO
EDILMA IBARRA PERDOMO
LUIS ERNESTO IBARRA PERDOMO
ANTONIO MARIA IBARRA PERDOMO
MARIA BERLI IBARRA PERDOMO
DORA LIA IBARRA RAMIREZ
GUILLERMO IBARRA RAMIREZ
MARIA YENITH IBARRA RAMIREZ
LUZ BEEY IBARRA RAMIREZ
ALICIA ACEVEDO SILVA
CARLOS FERNANDO AZUERO ACEVEDO
OSCAR ANIBAL AZUERO ACEVEDO
JOSE RICARDO AZUERO ACEVEDO
CLARA ROCIO AZUERO ACEVEDO
CLAUDIA MILENA AZUERO ACEVEDO
ALBERTO AZUERO PAREDES
NELLY AZUERO DE SOLANO
BEATRIZ AZUERO DE SATIZABAL
ANGELA INES DEL SOCORRO AZUERO
MARTHA ELENA AZUERO PAREDES
EDUARDO AZUERO PAREDES
IVAN EUGENIO AZUERO PAREDES
DANIEL FELIPE ORTIZ
MOISES ORTIZ
MARIA ARBELISA CABRERA DE ORTIZ
GERMAN ORTIZ CABRERA
FREDY ORTIZ CABRERA
MONICA MARIA ORTIZ CABRERA
SAUL ROJAS PENAGOS
ANGELA CHAVARRO DE CORTES
LUZ NADIA ROJAS CHAVARRO
EDEN ROJAS CHAVARRO
RAQUEL PENAGOS DE ROJAS
JOSE RODRIGO ROJAS PENAGOS
ALBA LUZ ROJAS DE GUTIERREZ
MARIA LUBER ROJAS PENAGOS</t>
  </si>
  <si>
    <t xml:space="preserve">26.559.162
</t>
  </si>
  <si>
    <t>JESUS LOPEZ FERNANDEZ</t>
  </si>
  <si>
    <t>EXT16-00000076</t>
  </si>
  <si>
    <t>EXT17-00009236</t>
  </si>
  <si>
    <t>EXT17-00013000</t>
  </si>
  <si>
    <t>EXT18-00035983</t>
  </si>
  <si>
    <t>EXT18-00034912</t>
  </si>
  <si>
    <t>DEFENSORIA DEL PUEBLO</t>
  </si>
  <si>
    <t>25/04/2018
18/04/2018
28/05/2018</t>
  </si>
  <si>
    <t>abr-18
abr-18
may-18</t>
  </si>
  <si>
    <t>EXT18-00036282
EXT18-00034285
EXT18-00047551</t>
  </si>
  <si>
    <t>ABOGADO
ABOGADO
POLICIA</t>
  </si>
  <si>
    <t>DERECHO DE PETICION
SOLICITUD DE INFORMACION
RESPUESTA OFICIO</t>
  </si>
  <si>
    <t>41 001 2331 000 2006 00540 04</t>
  </si>
  <si>
    <t>JUZGADO TERCERO ADMINISTRATIVO DEL CIRCUITO JUDICIAL DE NEIVA</t>
  </si>
  <si>
    <t>TRIBUNAL ADMINISTRATIVO DEL HUILA</t>
  </si>
  <si>
    <t>ACCION-GRUPO</t>
  </si>
  <si>
    <t>MUERTE EN VALNEARIO-MIN DEL INTERIOR</t>
  </si>
  <si>
    <t>0903-2017</t>
  </si>
  <si>
    <t>1449/17</t>
  </si>
  <si>
    <t>$ 3.294.616.798
(DEFENSORI A DEL PUEBLO)</t>
  </si>
  <si>
    <t>2345218</t>
  </si>
  <si>
    <t>CLAUDIA HERLEN MANRIQUE Y OTROS
SEBASTIAN EDUARDO MARTINEZ MANRIQUE
FELIX CAMILO MARTINEZ MANRIQUE
JULIAN ALEJANDRO MARTINEZ MANRIQUE</t>
  </si>
  <si>
    <t>63.323.889
1.110.504.549
1.110.582.630
1.006.129.367</t>
  </si>
  <si>
    <t>EXT16-00000242</t>
  </si>
  <si>
    <t>EXT16-00000651</t>
  </si>
  <si>
    <t>EXT16-00012786</t>
  </si>
  <si>
    <t>EXT17-00030075</t>
  </si>
  <si>
    <t>EXT18-00006464</t>
  </si>
  <si>
    <t>EXT18-00029456</t>
  </si>
  <si>
    <t>EXT18-00090717</t>
  </si>
  <si>
    <t>ALLEGA CERTIFICADO DE NO DEUDA</t>
  </si>
  <si>
    <t>02/02/18 LTK
05/06/2018 SE ENCUENTRA EL EXPENDIENTE FISICO EN UNP YL LIQUIDADO UNP
07/06/18 LTK
DEVUELTO POR LTK 26-06-2018 FALTAN DOCUMENTOS</t>
  </si>
  <si>
    <t>73 001 2331 000 2005 00103 00</t>
  </si>
  <si>
    <t>PROCESO DIRECTO
CONSEJO DE ESTADO CORRIGE DE OFICIO FALLO VINCULA A LA UNIDAD / (08/08/2017 RD - DECLARAN RESPONSABLE A LA UNP PATRIMONIALMENTE POR LA MUERTE DEL SEÑOR FELIZ EDUARDO MARTINEZ / BENEFICIARIO U APODERADO NO HAN ALLEGADO SOLICITUD DE PAGO CON LA DOCUMENTACION REQUERIDA) (SE DA RESPUESTA MEDIANTE EL OFI17-00016604 11/05/17)A
INFORMATIVO 18/09/18  L.</t>
  </si>
  <si>
    <t>TRIBUNAL ADMINISTRATIVO  DEL TOLIMA</t>
  </si>
  <si>
    <t>26/11/2014
22/10/2015</t>
  </si>
  <si>
    <t>MININTERIOR, MINDEFENSA</t>
  </si>
  <si>
    <t>MUERTE-MIN DEL INTERIOR</t>
  </si>
  <si>
    <t>SE PROYECTA RESOLUCION DE RECONOCIMIENTO</t>
  </si>
  <si>
    <t>OSCAR JAVIER PALOMINO VILLALBA</t>
  </si>
  <si>
    <t xml:space="preserve">EXT16-00087457
</t>
  </si>
  <si>
    <t>EXT17-00054837</t>
  </si>
  <si>
    <t>EXT17-00060777</t>
  </si>
  <si>
    <t>EXT18-00054610</t>
  </si>
  <si>
    <t>SOLICITUD DE ESTADO DE CUMPLIMIENTO</t>
  </si>
  <si>
    <t>24/05/2017
MEDIANTE  OFI17-00031841  01/09/2017 SE ENVIAN DOCUMENTOS ORIGINALES EN 41 FOLIOS 
ENTREGADO Y LIQUIDADO 22/11/2017
LIQUIDADO NPA</t>
  </si>
  <si>
    <t>20 001 3331 002 2012 00004 00</t>
  </si>
  <si>
    <t>JUZGADO QUINTO ADMINISTRATIVO DE VALLEDUPAR</t>
  </si>
  <si>
    <t>26-10-2018
121201242-2-416
NO FIGURAN DEUDAS</t>
  </si>
  <si>
    <t>JOSE MAURICIO RUIZ ROMERO</t>
  </si>
  <si>
    <t xml:space="preserve">EXT16-00002771 
</t>
  </si>
  <si>
    <t>EXT16-00076509</t>
  </si>
  <si>
    <t>05/05/2017
ENTREGADO Y LIQUIDADO 29/07/2017
LIQUIDADO NPA</t>
  </si>
  <si>
    <t>11 001 3331 718 2011 00369 00</t>
  </si>
  <si>
    <t>EN EL ANEXO ES EL NUMERO 47</t>
  </si>
  <si>
    <t>TRIBUNAL ADMINISTRATIVO DE CUNDINAMARCA SECCION SEGUNDA</t>
  </si>
  <si>
    <t>RODRIGO MENDIETA ZORRILLA</t>
  </si>
  <si>
    <t>EXT16-00022769</t>
  </si>
  <si>
    <t>EXT16-00052443</t>
  </si>
  <si>
    <t>EXT18-00015557</t>
  </si>
  <si>
    <t xml:space="preserve">ABOGADA </t>
  </si>
  <si>
    <t>EXT18-00038687</t>
  </si>
  <si>
    <t>EXT18-00039905</t>
  </si>
  <si>
    <t>EXT18-00102149</t>
  </si>
  <si>
    <t>11 001 3331 024 2012 00082 00</t>
  </si>
  <si>
    <t>EN EL ANEXO ES EL No. 107
CON DOCUMENTOS PARA DAR RESPUESTA / (08/08/2017 NULIDAD (RELACION LABORAL) COMPLETA SE ENTREGO A WILSON PARA LIQUIDAR)
MEDIANTE OFI18-00047049 24/10/18 SE DA RESPUESTA AL EXT18-00102149  L.</t>
  </si>
  <si>
    <t>JUZGADO DOCE ADMINISTRATIVO DE DESCONHESTION DE BOGOTA</t>
  </si>
  <si>
    <t>11-09-2018, 101201242-3219, NO DEUDA</t>
  </si>
  <si>
    <t>NELSON MELGAREJO SAAVEDRA</t>
  </si>
  <si>
    <t>EXT16-00016521</t>
  </si>
  <si>
    <t>68 001 2333 000 2012 00298 00</t>
  </si>
  <si>
    <t>EN EL DECRETO ES EL No. 77
OJO CON DOCUMENTOS HABLA DE LA CONSTANCIA PERO NOS E ALLEGA</t>
  </si>
  <si>
    <t>0295-18</t>
  </si>
  <si>
    <t>JOALJIPA@YAHOO.ES 
15/05/18</t>
  </si>
  <si>
    <t>JHON EDGAR ALDANA RICO</t>
  </si>
  <si>
    <t>EXT16-000133551</t>
  </si>
  <si>
    <t>EXT16-00048359</t>
  </si>
  <si>
    <t>05/05/2017
ENREGADO Y LIQUIDADO 29/08/2017
LIQUIDADO NPA</t>
  </si>
  <si>
    <t>25 000 2325 000 2011 01040 00</t>
  </si>
  <si>
    <t xml:space="preserve">EN EL DECRETO ES EL No24. SEGUNDA INSTANCIA REVOCA FALLO </t>
  </si>
  <si>
    <t xml:space="preserve">TRIBUNAL ADMINISTRATIVO DE CUNDINAMARCA </t>
  </si>
  <si>
    <t>JOSE NORVEY ZAMUDIO RENDON</t>
  </si>
  <si>
    <t>EXT16-00012476</t>
  </si>
  <si>
    <t>EXT16-00048008</t>
  </si>
  <si>
    <t>EXT17-00031233</t>
  </si>
  <si>
    <t>REMITE CERTIFICACION BANCO</t>
  </si>
  <si>
    <t>66 001 2331 000 2011 00293 00</t>
  </si>
  <si>
    <t>EN EL DECRETO ES ES EL No. 286
SE DA RESPUESTA MEDIANTE OFI18-00044182 17/05/18 E</t>
  </si>
  <si>
    <t>TRIBUNAL ADMINISTRATIVO DE RISARALDA</t>
  </si>
  <si>
    <t>0227/18</t>
  </si>
  <si>
    <t>abogados-ocampogonzalez@hotmail.com 
02/03/18</t>
  </si>
  <si>
    <t xml:space="preserve">DOUGLAS MAURICIO BAUTISTA PASTRANA 
MATILDE PASTRANA HERNANDEZ
CLAUDIA XIMENA BAUTISTA PASTRANA
LAURA MARIA BAUTISTA PASTRANA
</t>
  </si>
  <si>
    <t>1.075.223.835
26.511.639
1.030.579.562</t>
  </si>
  <si>
    <t>EXT16-00004804</t>
  </si>
  <si>
    <t>EXT16-00065070</t>
  </si>
  <si>
    <t>EXT17-00007947</t>
  </si>
  <si>
    <t>EXT17-00032490</t>
  </si>
  <si>
    <t>REVOCA PODERES</t>
  </si>
  <si>
    <t>EXT17-00070818</t>
  </si>
  <si>
    <t xml:space="preserve">DERECHO DE PETICION </t>
  </si>
  <si>
    <t>06/02/2017
21/07/2017
16/02/2018
27/04/2018
21/05/2018</t>
  </si>
  <si>
    <t>feb-17
jul-17
feb-18
abr-18
may-18</t>
  </si>
  <si>
    <t>EXT17-00007948
EXT17-00055740
EXT18-00014058
EXT18-00036668
EXT18-00045208</t>
  </si>
  <si>
    <t xml:space="preserve">ABOGADO
BENEFICIARIO
ABOGADO
JUZGADO
JUZGADO
</t>
  </si>
  <si>
    <t>CUENTA  DE COBRO
ALLEGA PODERES ORIGINALES
DERECHO DE PETICION
AUTO SUSTANCIACION
NOTIFICACION ESTADO</t>
  </si>
  <si>
    <t>19/07/2018
24/09/2018</t>
  </si>
  <si>
    <t>jul-2018
sep-2018</t>
  </si>
  <si>
    <t>EXT18-00067366
EXT18-00095746</t>
  </si>
  <si>
    <t>JUZGADO PRIMERO ADMINISTRATIVO ORAL DEL CIRCUITO JUDICIAL DE NEIVA
JUZGADO</t>
  </si>
  <si>
    <t>NOTIFICA REPROGRAMACION AUDIENCIA
AUTO CONCEDE RECURSO DE APELACION</t>
  </si>
  <si>
    <t>41 001 3331 001 2007 00004 00</t>
  </si>
  <si>
    <t>JUZGADO PRIMERO ADMINISTRATIVO DEL HUILA</t>
  </si>
  <si>
    <t>TRIBUNAL CONTENCIOSO DEL HUILA</t>
  </si>
  <si>
    <t>MININTERIOR, MINDEFENSA, POLICIA, DAS.</t>
  </si>
  <si>
    <t>MUERTE DE CONCEJAL-MIN INTERIOR</t>
  </si>
  <si>
    <t>1528/17</t>
  </si>
  <si>
    <t>MARCELA250581@GMAIL.COM
26/01/18</t>
  </si>
  <si>
    <t>WILSON PERDOMO ROJAS Y OTROS</t>
  </si>
  <si>
    <t>EXT16-00004808</t>
  </si>
  <si>
    <t>EXT16-00064871</t>
  </si>
  <si>
    <t>EXT16-00083158</t>
  </si>
  <si>
    <t>EXT16-00056108</t>
  </si>
  <si>
    <t>PETICION DE INFORMACION</t>
  </si>
  <si>
    <t xml:space="preserve">17/05/2017
02/08/2017
13/09/2017
22/12/2017
02/10/2017
</t>
  </si>
  <si>
    <t>may-17
ago-18
sep-17
dic-17
oct-17</t>
  </si>
  <si>
    <t>EXT17-00036334
EXT17-00058862
EXT17-00070822
EXT17-00100838
EXT17-00076115</t>
  </si>
  <si>
    <t>ABOGADO
MINTERIOR
ABOGADO
OFICIO
BENEFICIARIO</t>
  </si>
  <si>
    <t xml:space="preserve">CUENTA  DE COBRO
CUENTA DE COBRO
COBRO SENTENCIA JUDICIAL
MINTERIOR
LIQUIDACIÓN
</t>
  </si>
  <si>
    <t>24/05/2017
ENTREGADO 02/10/2017
LIQUIDADO NPA</t>
  </si>
  <si>
    <t>41 001 2331 000 2004 01341 00</t>
  </si>
  <si>
    <t xml:space="preserve">OJO AVERIGUAR EN EL MINISTERIO DEL INTERIOR, DENTRO  DE LOS DEMANDADOS NO ESTA LA UNP
SE REMITE LA DOCUMENTACION A MINISTERIO DEL INTERIOR PARA PAGO 10/01/2018 LV
SE DA RESPUESTA MEDIANTE OFI16-00034394 10/08/16  G  OFI16-00038684 09/09/16 G
OFI17-00008513 08/03/17 G 
OFI17-00034980 25/09/17 N
OFI17-00039214 24/10/17  N
OFI17-00039221  24/10/17 N
OFI18-00000699  10/01/18 N
</t>
  </si>
  <si>
    <t>JUZGADO TERCERO ADMINISTRATIVO DE NEIVA</t>
  </si>
  <si>
    <t>MUERTE DE CONCEJAL-MIN DEL INTERIOR</t>
  </si>
  <si>
    <t>RICARDO FERRUCHO PARDO</t>
  </si>
  <si>
    <t xml:space="preserve">EXT16-00033939
</t>
  </si>
  <si>
    <t>EXT16-00070745</t>
  </si>
  <si>
    <t>EXT17-00053194</t>
  </si>
  <si>
    <t>11 001 3335 030 2014 00261 00</t>
  </si>
  <si>
    <t>OJO  EL JUZGADO ORDENA QUE LA UNP PAGUE, EN EL ANEXO ES LA 557  PEDIR AL BENEFICIARIO LA LIQUIDACION DE LAS PRESTACIONES QUE RECLAMA
(SE DA RESPUESTA MEDIANTE OFI17-00025711 21/07/17)A</t>
  </si>
  <si>
    <t>RAMIRO EFREN LEYTON FORERO</t>
  </si>
  <si>
    <t>EXT16-00011154</t>
  </si>
  <si>
    <t>EXT17-00062866</t>
  </si>
  <si>
    <t>11 001 3335 015 2012 00187 00</t>
  </si>
  <si>
    <t>EN EL ANEXO ES LA 152 CON DOCUMENTOS
(SE DA RESPUESTA  MEDIANTE OFI17-00030563 24/08/17)A</t>
  </si>
  <si>
    <t>JUZGADO QUINCE ADMINISTRATIVO DE BOGOTA</t>
  </si>
  <si>
    <t>EDISON FABIAN GALEANO GALLEGO</t>
  </si>
  <si>
    <t>EXT16-00010064</t>
  </si>
  <si>
    <t>EXT17-00006504</t>
  </si>
  <si>
    <t>EXT17-00039752</t>
  </si>
  <si>
    <t>EXT18-00011887</t>
  </si>
  <si>
    <t>ABOGADA UNP</t>
  </si>
  <si>
    <t>AUTO MANDAMIENTO DE PAGO</t>
  </si>
  <si>
    <t>EXT18-00052196</t>
  </si>
  <si>
    <t>JUZGADO VEINTINUEVE ADMINISTRATIVO ORAL DEL CIRCUITO DE MEDELLIN</t>
  </si>
  <si>
    <t>AUTO TERMINA PROCESO POR PAGO</t>
  </si>
  <si>
    <t>05 001 3331 030 2011 00623 00</t>
  </si>
  <si>
    <t>EN EL DECRETO ES EL No. 4344 
CON DOCUMENTOS COMPLETOS SEGUNDA INSTANCIA CONFIRMA
OFI18-00013643 09/04/18 CONTESTACION DEMANDA LA
OFI18-00020936 25/05/18 LM MEMORIAL APORTA OEDEN DE PAGO Y SOLICITA APLICACIÓN ART. 461 CGP</t>
  </si>
  <si>
    <t>JUZGADO SEGUNDO ADMINISTRATIVO DE DESCONGESTION DE MEDELLIN</t>
  </si>
  <si>
    <t>TRIBUNAL ADMINSTRATIVO DE DECONGESTION  DE ANTIOQUIA</t>
  </si>
  <si>
    <t>0447-18</t>
  </si>
  <si>
    <t>05 001 3333 029 2017 00335 00</t>
  </si>
  <si>
    <t>LUIS FRANCISCO GUERRA PEREZ</t>
  </si>
  <si>
    <t>EXT16-00012627</t>
  </si>
  <si>
    <t>EXT17-00064702</t>
  </si>
  <si>
    <t>EXT17-00028488</t>
  </si>
  <si>
    <t>EXT17-00030889</t>
  </si>
  <si>
    <t>MINHACIENDA</t>
  </si>
  <si>
    <t>ENVIO RESPUESTA</t>
  </si>
  <si>
    <t>EXT17-00030885</t>
  </si>
  <si>
    <t>11 001 3331 701 2010 00236 00</t>
  </si>
  <si>
    <t>EN EL DECRETO ES EL 151 ALLEGA DOCUMENTOS /MEDIANTE  CORREO ELECTRONICO 24/08/2017, SE INFORMA A LA ABOGADA QUE SE HAN COMPLETADO LA DOCUMENTACION REQUERIDA/ SE DA RESPUESTA MEDIANTE OFI17-00015996 08/05/2017/ OFI17-00016337 09/05/17)A</t>
  </si>
  <si>
    <t>JUZGADO PRIMERO ADMINISTRATIVO DE DESCONGESTION DE BOGOTA</t>
  </si>
  <si>
    <t>TRIBUNAL ADMINSTRATIVO DE CUNDINAMARCA SECCION SEGUNDA SUBSECCION "E"</t>
  </si>
  <si>
    <t>NELSON ORLANDO QUIJANO HURTADO</t>
  </si>
  <si>
    <t>EXT16-00012624</t>
  </si>
  <si>
    <t>EXT17-00065549</t>
  </si>
  <si>
    <t>EXT17-00028491</t>
  </si>
  <si>
    <t>EXT17-00056270</t>
  </si>
  <si>
    <t>11 001 3331 021 2011 00507 00</t>
  </si>
  <si>
    <t>EN EL ANEXO ES EL 446 
ALLEGA DOCUMENTOS (SE DA RESPUESTA MEDIANTE OFI17-00031897 04/09/17 Y OFI17-00015996 08/05/17/ SE DA RESPUESTA MEDIANTE CORREO ELECTRONICO03/08/17)A</t>
  </si>
  <si>
    <t>JUZGADO SEPTIMO ADMINISTRATIVO DE DESCONGESTION DE BOGOTA</t>
  </si>
  <si>
    <t>ALEXANDER SUAREZ</t>
  </si>
  <si>
    <t>MARYORY MELEYSA MONTES MORA</t>
  </si>
  <si>
    <t>EXT16-00012620</t>
  </si>
  <si>
    <t>EXT16-00086763</t>
  </si>
  <si>
    <t>EXT16-00091126</t>
  </si>
  <si>
    <t>DEVOLUCION DE DOCUMENTOS</t>
  </si>
  <si>
    <t>EXT16-00092131</t>
  </si>
  <si>
    <t>RESPUESTRA OFICIO</t>
  </si>
  <si>
    <t>EXT16-00094593</t>
  </si>
  <si>
    <t>20/04/2017
25/07/2017
25/04/2018</t>
  </si>
  <si>
    <t>abr-17
jul-17
abr-18</t>
  </si>
  <si>
    <t>EXT17-00028493
EXT17-00056844
EXT18-00036172</t>
  </si>
  <si>
    <t>ABOGADA
ABOGADA
BENEFICIARIO</t>
  </si>
  <si>
    <t>PAGO DE SENTENCIA
SOLICITA COPIA RESOLUCION DE PAGO</t>
  </si>
  <si>
    <t>MARYORI MELEYSA MONTES MORA</t>
  </si>
  <si>
    <t>54 001 3331 003 2011 00374 00</t>
  </si>
  <si>
    <t>NO APARACE EN EL DECRETO 
TAMPOCO LO ORDENA EL JUZGADO
SE DA RESPUESTA MEDIANTE OFI18-00016382 26/04/18 L
OFI18-00024875-20/06/2018-Decreto 1303-No aparece base de datos  N.
MEDIANTE OFI18-00036796 28/08/18 SE DA RESPUESTA AL EXT18-00076122 L.</t>
  </si>
  <si>
    <t>JUZGDO TERCERO ADMINISTRATIVO DE DESCONGESTION DE CUCUTA</t>
  </si>
  <si>
    <t>0220/18</t>
  </si>
  <si>
    <t xml:space="preserve">colmenaresabogados2013@outlook.com </t>
  </si>
  <si>
    <t>NELSON JAVIER PADILLA TORRALVO</t>
  </si>
  <si>
    <t>EXT16-00012380</t>
  </si>
  <si>
    <t>EXT17-00065494</t>
  </si>
  <si>
    <t>CUMPLIMIENTO A LO SOLICITADO</t>
  </si>
  <si>
    <t>EXT17-00081575</t>
  </si>
  <si>
    <t xml:space="preserve">NOTIFICACION AUTO MANDAMIENTO EJECUTIVO </t>
  </si>
  <si>
    <t>EXT18-00038721</t>
  </si>
  <si>
    <t>28/06/2018
09-08-2018
24-08-2018</t>
  </si>
  <si>
    <t>jun-2018
ago-2018
ago-2018</t>
  </si>
  <si>
    <t>EXT18-00059101
EXT18-00076122
EXT18-00081903</t>
  </si>
  <si>
    <t>JUZGADO
ABOGADA MARYORI MELEYSA MONTES MORA
JUZGADO</t>
  </si>
  <si>
    <t>REMITE EJECUTIVO
SOLICITUD DE PAGO
AUTO TERMINA PROCESO EJECUTIVO POR PAGO DE LA OBLIGACION</t>
  </si>
  <si>
    <t>23 001 3331 005 2012 00198 00</t>
  </si>
  <si>
    <t>EN EL DECRETO ES EL 369 
SE ALLEGAN DOCUMENTOS / (08/08/2017 NULIDAD (RELACION LABORAL) COMPLETA FUE ENTREGADA A WILSON PARA LIQUIDAR) ALLEGAN CONSIGNACIÓN DE LOS APORTES/ OFI18-00003886 30/06/18 L
MEDIANTE AUTO 22-08-2018 (ESTADO NO. 67) SE DA POR TERMINADO EL PROCESO EJECUTIVO POR PAGO TOTAL DE LA OBLIGACION
MEDIANTE OFI18-00039668 DE 12-09-2018, SE SOLICITA TERMINACION DEL PROCESO EJECUTIVO POR PAGO TOTAL DE LA OBLIGACION</t>
  </si>
  <si>
    <t>JUZGADO QUINTO ADMIINISTRATIVO  DE MONTERIA</t>
  </si>
  <si>
    <t>29-11-2017
123201242-6992-006724
NO FIGURAN.
26-01-2018
123201242-0440-000255
NO FIGURAN.</t>
  </si>
  <si>
    <t>0232-18</t>
  </si>
  <si>
    <t>FASJ@HOTMAIL.COM 
15/05/18</t>
  </si>
  <si>
    <t xml:space="preserve">23 001 3333 005 2017 00444 00  </t>
  </si>
  <si>
    <t>RAFAEL MILLAN HINESTROZA</t>
  </si>
  <si>
    <t>EXT16-00011068</t>
  </si>
  <si>
    <t>EXT17-00037120</t>
  </si>
  <si>
    <t>11 001 3335 022 2014 00261 00</t>
  </si>
  <si>
    <t>NO SE ENCUENTRA EN LOS ANEXOS
FALLO ORDENA SUCESION PROCESAL
(SE DA RESPUESTA MEDIENTE OFI17-00019648 02/06/17)A</t>
  </si>
  <si>
    <t xml:space="preserve">JUZGADO VEINTIDOS ADMNIISTRATIVO DE ORALIDD DE BOGOTA </t>
  </si>
  <si>
    <t>BONIFACIO VASQUEZ OCHOA</t>
  </si>
  <si>
    <t>EXT16-00013522</t>
  </si>
  <si>
    <t>EXT16-00055069</t>
  </si>
  <si>
    <t>EXT16-00067689</t>
  </si>
  <si>
    <t>ENTREGADOS LTK
02/02/18 LTK</t>
  </si>
  <si>
    <t>11 001 3335 030 2012 00378 00</t>
  </si>
  <si>
    <t>EN EL DECRETO ES EL 48 
/(08/08/2017 
NULIDAD (RELACION LABORAL) SE ENTREGO A WILSON PARA LIQUIDAR)
SE DA RESPUESTA MEDIANTE OFI18-00008480 01/03/18 E</t>
  </si>
  <si>
    <t>JUZGADO TREINTA ADMINISTRATIVO ORAL DE BOGOTA</t>
  </si>
  <si>
    <t xml:space="preserve">TRIBUNAL ADMIISTRATIVO DE CUNDINAMARCA </t>
  </si>
  <si>
    <t>JAIME HERRERA REINA</t>
  </si>
  <si>
    <t>EXT16-00013413</t>
  </si>
  <si>
    <t>EXT16-00084481</t>
  </si>
  <si>
    <t>11 001 3335 019 2014 00280 00</t>
  </si>
  <si>
    <t>NO APARECE EN EL DECRETO EN EL FALLO SE DECRETA LA SUCESION PROCESAL</t>
  </si>
  <si>
    <t>JUZGADO QUINTO ADMINISTRATIVO DE DSECONGESTION DE BOGOTA</t>
  </si>
  <si>
    <t>WILVER CUELLAR VALENTE</t>
  </si>
  <si>
    <t>EXT16-00014705</t>
  </si>
  <si>
    <t>EXT16-00079763</t>
  </si>
  <si>
    <t>EXT16-00093722</t>
  </si>
  <si>
    <t>11 001 3333 015 2014 00207 00</t>
  </si>
  <si>
    <t>EN EL DECRETO ES EL 622
SE CONDENA EN COSTAS / (08/08/2017 NULIDAD (RELACION LABORAL) COMPLETA SE ENTREGO A WILSON PARA LIQUIDAR)</t>
  </si>
  <si>
    <t>TRIBUNAL ADMINISTRATIVO DE CUNDINAMRCA SECCION SEGUNDA SUBSECCION "D"</t>
  </si>
  <si>
    <t>ALEX DE JESUS MENDOZA DE LAS SALAS</t>
  </si>
  <si>
    <t>JOSE HUMBERTO TORRES DIAZ</t>
  </si>
  <si>
    <t>EXT16-00016816</t>
  </si>
  <si>
    <t>EXT16-00028569</t>
  </si>
  <si>
    <t>EXT16-00028577</t>
  </si>
  <si>
    <t>EXT17-00016672</t>
  </si>
  <si>
    <t>EXT17-00016584</t>
  </si>
  <si>
    <t>REMITE DOCUMENTACION</t>
  </si>
  <si>
    <t>18/05/2017
04/07/2017
04/08/2017</t>
  </si>
  <si>
    <t>may-17
jul-17
ago-17</t>
  </si>
  <si>
    <t>EXT17-00036672
EXT17-00050092
EXT17-00059677</t>
  </si>
  <si>
    <t>REITERACION DE SOLICITUD DE PAGO
ALLEGA DOCUMENTOS
ALLEGA DOCUMENTOS</t>
  </si>
  <si>
    <t>12/02/2018 LTK
RAD:LTK-002-006-2018 23/02/18 DEVUELVE
05/06/18 RESOLUCION DE PAGO</t>
  </si>
  <si>
    <t>08 001 3333 005 2013 00041 00</t>
  </si>
  <si>
    <t>NO APARECE EN EL DECRETO
EL FALLO TAMPOCO ORDENAN QUE LA UNP ASUMA PAGO /(08/08/2017 SE ASIGNO A NATALIA URBANO PARA PROYECTAR RESOLUCION)
(SE DA RESPUESTA MEDIANTE OFI16-00033207 03/08/16 Y C0RREO ELECTRONICO 23/06/17 / LIQUIDADI0 27/06/17)C</t>
  </si>
  <si>
    <t>JUZGADO QUINTO ADMIISTRATIVO ORAL DE BARRANQUILLA</t>
  </si>
  <si>
    <t>0672-18</t>
  </si>
  <si>
    <t>TORRESMARTINEZABOGADOS@YAHOO.ES
07/06/18</t>
  </si>
  <si>
    <t>CARLOS ANDRES RAMIREZ VASQUEZ</t>
  </si>
  <si>
    <t xml:space="preserve">EXT16-00016719
</t>
  </si>
  <si>
    <t>EXT16-00075561</t>
  </si>
  <si>
    <t>EXT18-00038680</t>
  </si>
  <si>
    <t>EXT18-00050450</t>
  </si>
  <si>
    <t xml:space="preserve">EXT18-00055621
</t>
  </si>
  <si>
    <t>JUZGADO VEINTIDOS ADMINISTRATIVO ORAL DE MEDELLIN</t>
  </si>
  <si>
    <t xml:space="preserve">EXT18-00054860
</t>
  </si>
  <si>
    <t>05/05/2017
ENTREGADA Y LIQUIDADA  29/08/2017
LIQUIDADO NPA</t>
  </si>
  <si>
    <t xml:space="preserve">05 001 3333 022 2013 00673 00
</t>
  </si>
  <si>
    <t>PAGADO SENTENCIA</t>
  </si>
  <si>
    <t xml:space="preserve">TRIBUNAL ADMINISTRATIVO DE ANTIOQUIA SALA TECERA DE ORALIDAD </t>
  </si>
  <si>
    <t xml:space="preserve">0887-18     OJO REVISAR AL PROYECTAR RESOLUCION DE PAGO
</t>
  </si>
  <si>
    <t>05 001 3333 022 2018 00127 00</t>
  </si>
  <si>
    <t>CESAR TULIO YARCE NAVARRO</t>
  </si>
  <si>
    <t xml:space="preserve">EXT16-00017824
</t>
  </si>
  <si>
    <t>EXT16-00028713</t>
  </si>
  <si>
    <t>05 001 3331 019 2011 00608 00</t>
  </si>
  <si>
    <t>EN EL DECRETO ES EL 432</t>
  </si>
  <si>
    <t>1080/2017</t>
  </si>
  <si>
    <t>0235-18</t>
  </si>
  <si>
    <t>SUASESORLEGAL01@YAHOO.COM 
15/05/18</t>
  </si>
  <si>
    <t>05 001 3333 033 2017 00037 00</t>
  </si>
  <si>
    <t>JUAN CARLOS DIAZ VARGAS</t>
  </si>
  <si>
    <t>EXT16-00017930</t>
  </si>
  <si>
    <t>EXT18-00024835</t>
  </si>
  <si>
    <t>08 001 2331 011 2011 00199 00</t>
  </si>
  <si>
    <t>EN EL DECRETO ES EL 453
SE DA RESPUESTA MEDIANTE OFI18-00014117 11/04/18 L</t>
  </si>
  <si>
    <t>JUZGADO SEXTO ADMIISTRATIVO DE BARRANQUILLA</t>
  </si>
  <si>
    <t>TRIBUNAL ADMIISTRATIVO DEL ATLANTICO</t>
  </si>
  <si>
    <t>0710-18</t>
  </si>
  <si>
    <t>163220618 ANULADA
174088418</t>
  </si>
  <si>
    <t>ANGELPORTOGUZMAN@HOTMAIL.COM
18-06-2018</t>
  </si>
  <si>
    <t>RAFAEL ANTONIO ARIZA MARIN</t>
  </si>
  <si>
    <t>EXT16-00017959</t>
  </si>
  <si>
    <t>EXT16-00053729</t>
  </si>
  <si>
    <t>EXT16-00058233</t>
  </si>
  <si>
    <t>EXT17-00008474</t>
  </si>
  <si>
    <t>REMITE DOCUMENTOS A FIDUPREVISORA</t>
  </si>
  <si>
    <t>12/02/2018 LTK
DEVUELTOS LTK
LTK 14/03/18 DEVUELVE 2 CARPETAS POR FALTA DE INFORMACION VITAL PARA LA LIQUIDACION</t>
  </si>
  <si>
    <t>11 001 3335 030 2013 00093 00</t>
  </si>
  <si>
    <t>OJO EL TRIBUNAL NO ACEPTA PODER DE LA ABOGADA DE LA UNP EN EL ANEXO ES EL 122
LA DEMANDA FUE POR EL PAGO DE PRIMAS (DIFERENTES) ERA UN DIRECTOR SECCIONAL / (08/08/2017 NRD PROCESO QUE HACE PARTE DEL "PIMPONEO" SE DEBE SOLICITAR DOCUMENTOS FALTANTES AL BENEFICIARIO YA QUE AL MOMENTO DE LA SOLICITUD DE PAGO SE LE RESPONDIO EN REITERADAS OCASIONES QUE LA UNP NO ERA LA ENTIDAD COMPETENTE) 
MEDIANTE EXT17-00008474 LA ANDJE MANIFIESTA QUE DEBE SER PAGADO POR LA FIDUPREVISORA 03/05/18 LW</t>
  </si>
  <si>
    <t>JUZGADO TREINTA ADMINISTRATIVO DE BOGOTA</t>
  </si>
  <si>
    <t>TRIBUNAL ADMINISTRATIVO DE  CUNDINAMARCA</t>
  </si>
  <si>
    <t>NRD-PRIMA DE ADMINISTRACION</t>
  </si>
  <si>
    <t>JUAN CARLOS COPETE JIMENEZ</t>
  </si>
  <si>
    <t>EXT16-00018286</t>
  </si>
  <si>
    <t>EXT17-00035629</t>
  </si>
  <si>
    <t>EXT18-00009723</t>
  </si>
  <si>
    <t>EXT18-00088641</t>
  </si>
  <si>
    <t>MANDAMIENTO DE PAGO</t>
  </si>
  <si>
    <t>EXT18-00090177</t>
  </si>
  <si>
    <t>76 001 3331 011 2011 00332 00</t>
  </si>
  <si>
    <t>EN EL DECRETO ES EL 319
OFI18-00007550 22/02/18 L</t>
  </si>
  <si>
    <t>JUZGADO TERCERO ADMINISTRATIVO DE CALI</t>
  </si>
  <si>
    <t>0485-18</t>
  </si>
  <si>
    <t>WILLIAMS ORDOÑEZ ENCIZO</t>
  </si>
  <si>
    <t>EXT16-00002285</t>
  </si>
  <si>
    <t>12/02/2018 LTK
DEVUELVE 14/03/2018 LTK
DEVUELTOS LTK
RAD.LTK-002-012-2018 14/03/18 DEVUELVE EXPEDIENTE PORQUE SE NIEGAN LAS PRETENCIONES EN PRIMERA Y SEGUNDA INSTANCIA</t>
  </si>
  <si>
    <t>11 001 3333 015 2014 00206 00</t>
  </si>
  <si>
    <t>EN  EL DECRETO ES EL NUMERO 623
PRIMERA INSTANCIA NIEGA PRETENSIONES DE LA DEMANDA, SIN CONDENA A COSTAS, SEGUNDA INSTANCIA CONFIRMA PRIMERA  JM
LAS DOS INSTANCIAS NEGARON</t>
  </si>
  <si>
    <t>ROBERTO CARLOS POLANIA MUNAR</t>
  </si>
  <si>
    <t>EXT16-00009533</t>
  </si>
  <si>
    <t>EXT16-00046197</t>
  </si>
  <si>
    <t>EXT16-00056319</t>
  </si>
  <si>
    <t>EXT18-00059230</t>
  </si>
  <si>
    <t xml:space="preserve">EN EL DECRETO ES EL NUMERO 545 / (08/08/2017 NRD - PRIMA DE RIESGO LA PARTE BENEFICIA O APODERADO NO HAN ALLEGADO SOLICITUD DE PAGO CON LA DOCUMENTACION REQUERIDA)
OFI18-00026468 29/06/18 L
</t>
  </si>
  <si>
    <t>JUZGADO VEINTIDOS ADMINISTRATIVO DE ORALIDAD DE BOGOTA</t>
  </si>
  <si>
    <t>OSCAR ESPINOSA CIFUENTES</t>
  </si>
  <si>
    <t>EXT16-00019986</t>
  </si>
  <si>
    <t>EXT16-00052308</t>
  </si>
  <si>
    <t>EXT16-00063931</t>
  </si>
  <si>
    <t>EXT18-00009838</t>
  </si>
  <si>
    <t>EXT18-00008858</t>
  </si>
  <si>
    <t>76 001 3331 016 2011 00178 00</t>
  </si>
  <si>
    <t>EN EL DECRETO ES EL 247
SEGUNDA INSTANCIA REVOCA FALLO
SE DA RESPUESTA MEDIANTE OFI18-00002362 19/01/18 L</t>
  </si>
  <si>
    <t>JUZGADO DIECISEIS ADMINISTRATIVO DE CALI</t>
  </si>
  <si>
    <t>TRIBUNAL ADMINISTRATIVO DEL CAUCA SALA DE DESCONGESTION</t>
  </si>
  <si>
    <t>0892-2017</t>
  </si>
  <si>
    <t>0234/18</t>
  </si>
  <si>
    <t>jorge.portocarrero@hotmail.com 
02/03/18</t>
  </si>
  <si>
    <t>HENRY ALBERTO NUÑEZ DUQUE</t>
  </si>
  <si>
    <t>EXT16-00022462</t>
  </si>
  <si>
    <t>12/02/2018 LTK
OFICIOS LTK</t>
  </si>
  <si>
    <t>08 001 2333 004 2014 00534 00</t>
  </si>
  <si>
    <t>NO ESTA EN EL DECRETO PERO LA IMPUSO EL TRIBUNAL</t>
  </si>
  <si>
    <t>JHON JAIRO SARMIENTO CASTRILLON</t>
  </si>
  <si>
    <t> 79.218.972</t>
  </si>
  <si>
    <t>GINNA CATHERINE SIERRA PEÑA</t>
  </si>
  <si>
    <t>EXT16-00011208</t>
  </si>
  <si>
    <t>EXT16-00076808</t>
  </si>
  <si>
    <t>EXT16-00077431</t>
  </si>
  <si>
    <t>EXT18-00046796</t>
  </si>
  <si>
    <t>EXT18-00077193</t>
  </si>
  <si>
    <t xml:space="preserve"> EXT18-00087411 </t>
  </si>
  <si>
    <t>24/05/2017
ENTREGADO Y LIQUIDADO  29/08/2017
12/02/2018 LTK
LIQUIDADO NPA
DEVUELTOS LTK,  RAD:LTK-004-026-2018 , 27/04/2018</t>
  </si>
  <si>
    <t>11 001 3131 703 2012 00099 00</t>
  </si>
  <si>
    <t>JUZGADO TERCERO ADMINISTRATIVO DE DESCONGESTION DE BOGOTA</t>
  </si>
  <si>
    <t>40.356.387
1.121.908.783
1.006.903.862</t>
  </si>
  <si>
    <t>BLANCA IRENE LOPEZ GARZON</t>
  </si>
  <si>
    <t>EXT16-00025497</t>
  </si>
  <si>
    <t>EXT16-00046103</t>
  </si>
  <si>
    <t>EXT16-00075255</t>
  </si>
  <si>
    <t>EXT17-00002554</t>
  </si>
  <si>
    <t>REMITE COPIA DE SENTENCIAS</t>
  </si>
  <si>
    <t>EXT17-00040158</t>
  </si>
  <si>
    <t>14/06/2017
02/10/2017
27/09/2016
06/12/2016
20/09/2014
26/09/2014
30/09/2014
22/12/2014</t>
  </si>
  <si>
    <t>jun-17
oct-17
sep-16
dic-16
sep-14
sep-14
sep-14
dic-14</t>
  </si>
  <si>
    <t>EXT17-00045023
EXT17-00076195
EXT16-00075998
EXT16-00075998
EXT14-00047247
EXT14-00048659
EXT14-00049323
EXT14-00067038</t>
  </si>
  <si>
    <t>ABOGADA
ABOGADA
ABOGADA
MINTERIOR
ANDJE
JUZGADO
ANDJE
JUZGADO</t>
  </si>
  <si>
    <t>REMITE DOCUMENTACION
REMITE DOCUMENTACION
CUENTA DE COBRO
REMITE DOCUMENTACION
REMITE SOLICITUD
SOLICITUD
REQUERIMIENTO
OFICIO</t>
  </si>
  <si>
    <t>50 001 3331 002 2007 00113 00</t>
  </si>
  <si>
    <t>EN EL FALLO SE DECLARA SUCESOR DEL DAS A LA UNP
MIN INTERIOR PAGA TERCERA PARTE E INFORMA QUE TIENE PRIMERA COPIA
MEDIANTE OFI18-00037360 DEL 31/08/2018 SE DA RESPUESTA AL EXT18-00082005  F.
MEDIANTE OFI18-00041657 SE DA RESPUESTA AL EXT18-00089901  F.</t>
  </si>
  <si>
    <t>JUZGADO PRIMERO ADMINISTRATIVO DE VILLAVICENCIO</t>
  </si>
  <si>
    <t>MUERTE-MIN DEL INTERIOR Y DEL DAS</t>
  </si>
  <si>
    <t>LEONARDO OSORIO GAMBA</t>
  </si>
  <si>
    <t>EXT16-00025839</t>
  </si>
  <si>
    <t>EXT17-00039739</t>
  </si>
  <si>
    <t>05/05/2017
ENTREGADA Y LIQUIDADA 29/08/2017
LIQUIDADO NPA</t>
  </si>
  <si>
    <t>05 001 3331 002 2011 00715 00</t>
  </si>
  <si>
    <t>EN EL DECRETO ES EL 443
SE ALLEGA DOCUMENTOS
SEGUNDA INSTANCIA CONFIRMA</t>
  </si>
  <si>
    <t>TRIBUNAL CONTENCIOSO ADMINISTRATIVO DE ANTIOQUIA</t>
  </si>
  <si>
    <t>VIRGILIO LOPEZ SUAREZ</t>
  </si>
  <si>
    <t>EXT16-00025364</t>
  </si>
  <si>
    <t>EXT17-00012015</t>
  </si>
  <si>
    <t>24/05/2017
ENTREGADO Y LIQUIDADO 22/11/2017
LIQUIDADO NPA
20/02/18 LTK</t>
  </si>
  <si>
    <t>11 001 3335 011 2014 00207 00</t>
  </si>
  <si>
    <t>NO SE ENCUENTRA EN LOS ANEXOS
DIRECTA
JUZGADO VEINTIDOS ADMINISTRATIVO DE ORALIDAD ORDENA EL PAGO</t>
  </si>
  <si>
    <t>JUZGADO ONCE ADMINISTRATIVO DE ORALIDAD DE BOGOTA</t>
  </si>
  <si>
    <t>JORGE ELIECER RODRIGUEZ MARIN</t>
  </si>
  <si>
    <t>EXT16-00027344</t>
  </si>
  <si>
    <t>EXT16-00091685</t>
  </si>
  <si>
    <t>11 001 3331 027 2011 00378 00</t>
  </si>
  <si>
    <t>EN EL ANEXO ES EL 102</t>
  </si>
  <si>
    <t>JUZGADO VEINTISIETE ADMINISTRATIVO DE DESCONGESTION DE BOGOTA</t>
  </si>
  <si>
    <t>WILSON VEGA GOMEZ</t>
  </si>
  <si>
    <t>EXT16-00027401</t>
  </si>
  <si>
    <t>EXT16-00028180</t>
  </si>
  <si>
    <t>EXT16-00041879</t>
  </si>
  <si>
    <t>EXT17-00034182</t>
  </si>
  <si>
    <t>ACTA DE ENTREGA</t>
  </si>
  <si>
    <t>EXT17-00019744</t>
  </si>
  <si>
    <t>RESPUESTA SOLICITUD DE DOCUMENTOS</t>
  </si>
  <si>
    <t>01/06/2017
27/06/2017</t>
  </si>
  <si>
    <t>EXT17-00040652
EXT17-00048733</t>
  </si>
  <si>
    <t>ABOGADA
NAVARRO PEREZ &amp; S.A.S.</t>
  </si>
  <si>
    <t>REQUERIMIENTO
INFORMATIVO</t>
  </si>
  <si>
    <t>11 001 3331 702 2011 00196 01</t>
  </si>
  <si>
    <t>EN EL DECRETO ES EL NUMERO 11 SEGUNDA INSTANCIA CONFIRMA PARCIALMENTE
(SE DA RESPUESTA MEDIANTE OFI17-00011982 03/04/17 SE REMITIO RESPUESTA POR CORREO ELECTRONICO / ODI17-00022748 27/06/17)A</t>
  </si>
  <si>
    <t>JUZGADO SEGUNDO ADMINISTRATIVO DE BOGOTA</t>
  </si>
  <si>
    <t>LUIS FERNANDO CESPEDES MENDOZA</t>
  </si>
  <si>
    <t>EXT16-00027399</t>
  </si>
  <si>
    <t>EXT16-00028185</t>
  </si>
  <si>
    <t>EXT16-00032981</t>
  </si>
  <si>
    <t xml:space="preserve">24/05/2017
ENTREGADO Y LIQUIDADO  29/08/2017
LIQUIDADO NPA
LIQUIDADO LTK  04-09-2018
</t>
  </si>
  <si>
    <t>11 001 3331 030 2012 00237 00</t>
  </si>
  <si>
    <t>EN EL ANEXO ES EL NUMERO 7
CON DOCUMENTOS PARA REVISAR</t>
  </si>
  <si>
    <t>ALIRIO YESID CASTRO LOPEZ</t>
  </si>
  <si>
    <t>EXT16-00027592</t>
  </si>
  <si>
    <t>EXT16-00093194</t>
  </si>
  <si>
    <t>EXT17-00056839</t>
  </si>
  <si>
    <t>54 001 3331 003 2011 00064 00</t>
  </si>
  <si>
    <t>EN EL ANEXO ES EL 43 
SEGUNDA INSTANCIA MODIFICA Y CONDENA A LA UNP
(SE DA RESPUESTA MEDIANTE CORREO ELECTRONICO 08/08/17, Y 06/12/17A</t>
  </si>
  <si>
    <t>JUZGADO PRIMERO ADMINISTRATIVO DE DESCONGESTION DE CUCUTA</t>
  </si>
  <si>
    <t xml:space="preserve">JOSE ERNESTO GONZALEZ MOYA </t>
  </si>
  <si>
    <t>EXT16-00028183</t>
  </si>
  <si>
    <t>EXT16-00028715</t>
  </si>
  <si>
    <t>EXT17-00082878</t>
  </si>
  <si>
    <t>SOLICITUD DE PAGO / RESPUESTA OFI17-00015075 28/04/17</t>
  </si>
  <si>
    <t>24/05/2017
NO PERTENECIERON AL CONTRATO 438/17 NPA NO TIENE INFORMACION
12/02/2018 LTK 
ENTREGADOS LTK</t>
  </si>
  <si>
    <t>11 001 3335 022 2014 00333 00</t>
  </si>
  <si>
    <t>JOSE MIGUEL GUERRA CAICEDO</t>
  </si>
  <si>
    <t xml:space="preserve">EXT16-00028184
</t>
  </si>
  <si>
    <t>EXT16-00031142</t>
  </si>
  <si>
    <t>EXT16-00041884</t>
  </si>
  <si>
    <t>EXT17-00094949</t>
  </si>
  <si>
    <t>ALCANCE A LA CUENTA DE COBRO</t>
  </si>
  <si>
    <t>24/05/2017
ENTREGADO Y LIQUIDADO  29/08/2017
LIQUIDADO NPA</t>
  </si>
  <si>
    <t>11 001 3331 001 2010 00231 00</t>
  </si>
  <si>
    <t>EN EL ANEXO ES EL 148
SE DA RESPUESTA MEDIANTE OFI17-00047800 N</t>
  </si>
  <si>
    <t>JUZGADO VEINTITRES ADMINISTRATIVO DE DESCONGESTION DE BOGOTA</t>
  </si>
  <si>
    <t>JHON MAURICIO ARDILA SANTOS</t>
  </si>
  <si>
    <t>EXT16-00028187</t>
  </si>
  <si>
    <t>EXT16-00043667</t>
  </si>
  <si>
    <t>EXT16-00052441</t>
  </si>
  <si>
    <t>EXT17-00094941</t>
  </si>
  <si>
    <t>RESPUESTA OFI17-00013094 ALLEGA PODER</t>
  </si>
  <si>
    <t>11 001 3331 701 2011 00182 00</t>
  </si>
  <si>
    <t>HERNANDO DELGADO CARDENAS</t>
  </si>
  <si>
    <t>EXT16-00043672</t>
  </si>
  <si>
    <t>EXT16-00052438</t>
  </si>
  <si>
    <t>EXT17-00094944</t>
  </si>
  <si>
    <t>REMISION DE PODER</t>
  </si>
  <si>
    <t>11 001 3331 013 2010 00460 00</t>
  </si>
  <si>
    <t>EN EL DECRETO ES EL 121
SEGUNDA INSTANCIA CONFIRMA PARCIALMENTE
SE DA RESPUESTA MEDIANTE OFI17-00047797 N</t>
  </si>
  <si>
    <t>JUZGADO PRIMERO ADMIISTRATIVO DE BOGOTA</t>
  </si>
  <si>
    <t>TRIBUNAL ADMISTRATIVO DE CUNDINAMARCA</t>
  </si>
  <si>
    <t xml:space="preserve">FELIPE ALFREDO MARTINEZ MESA </t>
  </si>
  <si>
    <t>EXT18-00083076</t>
  </si>
  <si>
    <t>EXT18-00097602</t>
  </si>
  <si>
    <t>REMITE SENTENCIA DE SEGUNDA INSTANCIA</t>
  </si>
  <si>
    <t>24/05/2017
DEVUELVE 03/01/2018
12/02/2018 LTK
OFICIOS LTK
FUERA DE CONTRATO NPA
ENTREGADO POR LTK 25-07-2018</t>
  </si>
  <si>
    <t>25 000 2342 000 2013 02297 01</t>
  </si>
  <si>
    <t>EN EL DECRETO ES EL NUMERO 583</t>
  </si>
  <si>
    <t xml:space="preserve">TRIBUNAL ADMINISTRATIVO DE CUNDINAMARCA SECCION SEGUNDA SUBSECCION B </t>
  </si>
  <si>
    <t>CONSEJO DE ESTADO - SALA DE LO CONTENCIOSO ADMINISTRATIVO SECCION SEGUNDA - SUB SECCION B</t>
  </si>
  <si>
    <t>MARCO ANDRES PEÑA SIERRA</t>
  </si>
  <si>
    <t>EXT17-00053974</t>
  </si>
  <si>
    <t>EXT17-00017965</t>
  </si>
  <si>
    <t>EXT17-00040825</t>
  </si>
  <si>
    <t>EXT16-00020993</t>
  </si>
  <si>
    <t>18/03/2016
29/04/2016
09/03/2015
06/11/2014
24/10/2017</t>
  </si>
  <si>
    <t>mar-16
abr-16
mar-15
nov-14
oct-17</t>
  </si>
  <si>
    <t>EXT16-00020826
EXT16-00035250
EXT15-00012327
EXT14-00057326
EXT17-00082867</t>
  </si>
  <si>
    <t>TRIBUNAL
ANDJE
TRIBUNAL
AGN
ABOGADA</t>
  </si>
  <si>
    <t>NOTIFICA SENTENCIA
REMITE COPIA AUTO
TELEGRAMA
OFICIO
SOLICITUD DE PAGO / RESPUESTA OFI17-00027507 02/08/17</t>
  </si>
  <si>
    <t>24/05/2017
MEDIANTE OFI17-00031424 30/08/2017 SE ENVIAN DOCUMENTOS  ORIGINALES EN  108 FOLIOS
ENTREGADO Y LIQUIDADO 02/10/2017
LIQUIDADO NPA
ENTREGADO POR LTK 25-07-2018</t>
  </si>
  <si>
    <t xml:space="preserve">25 000 2342 000 2012 01072 00
</t>
  </si>
  <si>
    <t>EN EL DECRETO ES EL NUMERO 128
(NATALIA) SOLICITUD INCOMPLETA/ SE 
REQUIERE MEDIANTE OFI17-00027507/ ALLEGA SALUD Y PENSION</t>
  </si>
  <si>
    <t>11/02/2016 Y  AUTO 19/05/2016</t>
  </si>
  <si>
    <t xml:space="preserve">MANUEL SALVADOR RONCALLO
</t>
  </si>
  <si>
    <t>EXT16-00029720</t>
  </si>
  <si>
    <t>EXT16-00038893</t>
  </si>
  <si>
    <t>EXT17-00006796</t>
  </si>
  <si>
    <t>EXT17-00032756</t>
  </si>
  <si>
    <t>REMITE DOCUMENTOS PARA PAGO DE SENTENCIA</t>
  </si>
  <si>
    <t>EXT17-00042164</t>
  </si>
  <si>
    <t>FABIAN ENRIQUE COTES MOZO</t>
  </si>
  <si>
    <t>24/07/2017
01/09/2014</t>
  </si>
  <si>
    <t>jul-17
sep-17</t>
  </si>
  <si>
    <t>EXT17-00056042
EXT14-00042840</t>
  </si>
  <si>
    <t>GLADIS YOLANDA COTES LAURENS
CONSEJO DE ESTADO</t>
  </si>
  <si>
    <t>DERECHO DE PETICION
NOTIFICA RENUNCIA DE APODERADA</t>
  </si>
  <si>
    <t>EXT18-00050891</t>
  </si>
  <si>
    <t>24/05/2017
ENTREGADO Y LIQUIDADO  02/10/2017
LIQUIDADO NPA</t>
  </si>
  <si>
    <t>47 001 2331 000 2003 00157 00</t>
  </si>
  <si>
    <t xml:space="preserve">EN EL DECRETO ES EL NUMERO 147
SEGUNDA INSTANCIA MODIFICA Y CONFIRMA
CORREO ELECTRONICO 19/06/18
</t>
  </si>
  <si>
    <t>TRIBUNAL ADMIINSTRATIVO DEL MAGDALENA</t>
  </si>
  <si>
    <t>MUERTE DE JUEZ</t>
  </si>
  <si>
    <t xml:space="preserve"> </t>
  </si>
  <si>
    <t>FREDY ANDRES MANCERA GUERRERO</t>
  </si>
  <si>
    <t>EXT16-00031123</t>
  </si>
  <si>
    <t>EXT17-00070964</t>
  </si>
  <si>
    <t>24/05/2017
DEVUELVE 02/10/2017
12/02/2018 LTK
DEVUELTOS NPA
ENTREGADOS LTK</t>
  </si>
  <si>
    <t>11 001 3331 026 2012 00104 00</t>
  </si>
  <si>
    <t>EN EL DECRETO ES EL NUMERO 145
SE DA RESPUESTA MEDIANTE OFI17-00034471 21/09/17</t>
  </si>
  <si>
    <t>JUZGADO SEXTO ADMISTRATIVO DE DESCONGESTION DE BOGOTA</t>
  </si>
  <si>
    <t>TRIBUNAL ADMIISTRATIVO DE CUNDINAMARCA</t>
  </si>
  <si>
    <t>ANDRES FERNEY VALENCIA GAVIRIA</t>
  </si>
  <si>
    <t>EXT16-00031225</t>
  </si>
  <si>
    <t>EXT17-00078073</t>
  </si>
  <si>
    <t>TRASLADO DERECHO DE PETICION</t>
  </si>
  <si>
    <t>EXT17-00077526</t>
  </si>
  <si>
    <t>CAMBIO NUMERO DE CUENTA</t>
  </si>
  <si>
    <t>EXT18-000011021</t>
  </si>
  <si>
    <t>EXT17-00076762</t>
  </si>
  <si>
    <t>CAMBIO DE CUENTA</t>
  </si>
  <si>
    <t>09/01/2018
15/02/2018</t>
  </si>
  <si>
    <t>ene-18
feb-18
abr-18</t>
  </si>
  <si>
    <t>EXT18-00001454 - 1426
EXT18-00013787
EXT18-00036037</t>
  </si>
  <si>
    <t>BENEFICIARIO
MINHACIENDA
BENEFICIARIO</t>
  </si>
  <si>
    <t>DERECHO DE PETICION
TRASLADO POR COMPETENCIA DERECHO DE PETICION
SOLICITUD DE INFORMACION</t>
  </si>
  <si>
    <t>05 001 3331 019 2011 00303 00</t>
  </si>
  <si>
    <t>EN EL DECRETO ES EL NUMERO 468 
ALLEGAN DOCUMENTOS
SEGUNDA INSTANCIA CONFIRMA
SE DA RESPUESTA MEDIANTE OFI18-00040135 31/10/18 A OFI18-00000728 10/01/18 N  OFI18-00008987 05/03/18 L</t>
  </si>
  <si>
    <t>JUZGADO DIECINUEVE ADMINISTRATIVO DE MEDELLIN</t>
  </si>
  <si>
    <t>1150/2017</t>
  </si>
  <si>
    <t>0482-18</t>
  </si>
  <si>
    <t>alejandro0522@hotmail.com 
15/05/18</t>
  </si>
  <si>
    <t>JUAN BAUTISTA SANCHEZ BRIÑEZ</t>
  </si>
  <si>
    <t>EXT16-00031151</t>
  </si>
  <si>
    <t>EXT16-00048361</t>
  </si>
  <si>
    <t>11 001 3331 023 2009 00453 00</t>
  </si>
  <si>
    <t>EN EL DECRETO ES EL 153</t>
  </si>
  <si>
    <t>JUZGADO PRIMERO ADMINISTRATIVO DE BOGOTA</t>
  </si>
  <si>
    <t>TRIBUNAL ADMIINSTRATIVO DE CUNDINAMARCA</t>
  </si>
  <si>
    <t>JULIO CESAR ARDILA MORA</t>
  </si>
  <si>
    <t xml:space="preserve">EXT16-00033787
</t>
  </si>
  <si>
    <t>EXT16-00062113</t>
  </si>
  <si>
    <t>25 000 2342 000 2013 01047 00</t>
  </si>
  <si>
    <t>EN EL ANEXO ES EL 154</t>
  </si>
  <si>
    <t>0480-18</t>
  </si>
  <si>
    <t>HERNANDO VANEGAS OSORIO</t>
  </si>
  <si>
    <t xml:space="preserve">EXT16-00036096
</t>
  </si>
  <si>
    <t>EXT16-00069563</t>
  </si>
  <si>
    <t>05 001 3333 024 2013 00089 00</t>
  </si>
  <si>
    <t>NO SE ENCUENTRA EN LOS ANEXOS
EL FALLO ORDENA QUE LA UNP PAGUE</t>
  </si>
  <si>
    <t>JUZGADO VEINTICUATRO ADMINISTRATIVO DEL CIRCUITO DE MEDELLIN</t>
  </si>
  <si>
    <t>TRIBUNAL ADMINISTRATIVO DE ANTIOQUIA-SALA DE ORALIDAD</t>
  </si>
  <si>
    <t>AUGUSTO ANDRADE TORRES</t>
  </si>
  <si>
    <t xml:space="preserve">EXT16-00036607
</t>
  </si>
  <si>
    <t>EXT16-00089262</t>
  </si>
  <si>
    <t>EXT17-00052618</t>
  </si>
  <si>
    <t>EXT18-00010043</t>
  </si>
  <si>
    <t>JUZGADO DOCE ADMINISTRATIVO SECCIONAL IBAGUE</t>
  </si>
  <si>
    <t>NOTIFICACION ACCION EJECUTIVA</t>
  </si>
  <si>
    <t>EXT18-00075559</t>
  </si>
  <si>
    <t>LIBRA MANDAMIENTO EJECUTIVO DE PAGO</t>
  </si>
  <si>
    <t>73 001 3331 002 2012 00018 00</t>
  </si>
  <si>
    <t>0910/2017</t>
  </si>
  <si>
    <t xml:space="preserve">DR. JORGE IVAN JARRO DIAZ
jorgeijarro@gmail.com     </t>
  </si>
  <si>
    <t>RAFAEL ARTURO GARZON RINCON</t>
  </si>
  <si>
    <t xml:space="preserve">EXT16-00037169
</t>
  </si>
  <si>
    <t>EXT16-00076807</t>
  </si>
  <si>
    <t>EXT17-00059414</t>
  </si>
  <si>
    <t>INFORMACION SOLICITUD DE PAGO- ALLEGA CERTIFICACION DE APORTES</t>
  </si>
  <si>
    <t xml:space="preserve">24/05/2017
MEDIANTE OFI17-00030580 24/08/2017  SE ENVIAN DOCUMENTOS ORIGINALES (22 FOLIOS EN GENERAL)
ENTREGADO Y LIQUIDADO 22/11/2017
LIQUIDADO NPA
20/02/18 LTK
</t>
  </si>
  <si>
    <t>11 001 3331 702 2011 00212 00</t>
  </si>
  <si>
    <t xml:space="preserve">EN EL DECRETO ES EL NUMERO 25
OFI18-00023508-12/06/2018 Decreto 1303-No- 25
MEDIANTE OFI18-00040696 SE DA RESPUESTA AL  EXT18-00087411  F. </t>
  </si>
  <si>
    <t>JUZGADO DOCE ADMINISTRATIVO DE DESCONGESTION DE BOGOTA</t>
  </si>
  <si>
    <t xml:space="preserve">EXT16-00037092
</t>
  </si>
  <si>
    <t>EXT16-00083716</t>
  </si>
  <si>
    <t>EXT17-00059416</t>
  </si>
  <si>
    <t>INFORMACION SOLICITUD PAGO</t>
  </si>
  <si>
    <t>EXT18-00087411</t>
  </si>
  <si>
    <t>24/05/2017
ENTREGADO Y LIQUIDADO 29/08/2017
MEDIANTE  OFI17-00032224  05/09/2017 SE ENVIAN DOCUMENTOS ORIGINALES (TOTAL 31 FOLIOS EN GENERAL)
DEVUELVE 02/10/2017
LIQUIDADO NPA</t>
  </si>
  <si>
    <t>11 001 3331 030 2012 00028 00</t>
  </si>
  <si>
    <t xml:space="preserve">EN EL ANEXO ES EL NUMERO 28
OFI18-00023508-12/06/2018 Decreto 1303-No- 28
MEDIANTE OFI18-00040696 SE DA RESPUESTA AL  EXT18-00087411  F. </t>
  </si>
  <si>
    <t>SANDINO ERNESTO BAUTISTA BEJARANO</t>
  </si>
  <si>
    <t xml:space="preserve">EXT16-00037141
</t>
  </si>
  <si>
    <t>EXT16-00062114</t>
  </si>
  <si>
    <t>11 001 3331 024 2012 00094 00</t>
  </si>
  <si>
    <t>EN EL ANEXO ES EL NUMERO 26
SEGUNDA INSTANCIA CONFIRMA Y MODIFICA</t>
  </si>
  <si>
    <t>LEONEL LIZARAZO OROZCO</t>
  </si>
  <si>
    <t xml:space="preserve">EXT16-00037132
</t>
  </si>
  <si>
    <t>EXT16-00082541</t>
  </si>
  <si>
    <t>11 001 3331 009 2011 00410 00</t>
  </si>
  <si>
    <t>EN EL ANEXO ES EL NUMERO 46
SEGUNDA INSTANCIA CONFIRMA Y MODIFICA</t>
  </si>
  <si>
    <t>OSCAR ALEXANDER FORERO PEÑA</t>
  </si>
  <si>
    <t xml:space="preserve">EXT16-00037155
</t>
  </si>
  <si>
    <t>EXT16-00043673</t>
  </si>
  <si>
    <t>EXT16-00076511</t>
  </si>
  <si>
    <t>04/05/2017
ENTREGADO Y LIQUIDADO 29/08/2017
LIQUIDADO NPA
20/02/18 LTK</t>
  </si>
  <si>
    <t>11 001 3331 028 2012 00076 00</t>
  </si>
  <si>
    <t xml:space="preserve">EN EL ANEXO ES EL 116
TRIBUNAL SOLICITA NO TENER EN CUENTA LA PRIMERA COMUNICACIÓN (17 DE MAYO DE 2016)
SEGUNDA INSTANCIA CONFIRMA
</t>
  </si>
  <si>
    <t>JUZGADO CUARTO ADMINISTRATIVO DE DESCONGESTION DE BOGOTA</t>
  </si>
  <si>
    <t>JULIO CESAR GUTIERREZ PARRA</t>
  </si>
  <si>
    <t>EXT16-00037148</t>
  </si>
  <si>
    <t>EXT16-00083690</t>
  </si>
  <si>
    <t>11 001 3331 016 2011 00614 00</t>
  </si>
  <si>
    <t>EN EL ANEXO ES EL NUMERO 170
SEGUNDA INSTANCIA CONFIRMA</t>
  </si>
  <si>
    <t>JUZGADO DIECISEIS ADMINISTRATIVO DE DESCONGESTION DE BOGOTA</t>
  </si>
  <si>
    <t>NESTOR LOPEZ CORREA</t>
  </si>
  <si>
    <t>EXT16-00038344</t>
  </si>
  <si>
    <t>EXT16-00053554</t>
  </si>
  <si>
    <r>
      <rPr>
        <sz val="9"/>
        <color theme="1"/>
        <rFont val="Arial Narrow"/>
        <family val="2"/>
      </rPr>
      <t>05/05/2017
ENTREGADO Y</t>
    </r>
    <r>
      <rPr>
        <sz val="9"/>
        <rFont val="Arial Narrow"/>
        <family val="2"/>
      </rPr>
      <t xml:space="preserve"> LIQUIDADO 29/08/2017
LIQUIDADO NPA</t>
    </r>
  </si>
  <si>
    <t>66 001 3331 004 2010 00116 00</t>
  </si>
  <si>
    <t>EN EL ANEXO ES EL 281 
CONSEJO DE ESTADO MODIFICA FALLO
SE DA RESPUESTA MEDIANTE OFI18-00022220 01/06/18 E</t>
  </si>
  <si>
    <t>1440/17</t>
  </si>
  <si>
    <t>JHON FREDDY TABARES LOPEZ</t>
  </si>
  <si>
    <t>EXT16-00039334</t>
  </si>
  <si>
    <t>EXT17-00075049</t>
  </si>
  <si>
    <t>CORREO ELECTRONICO/ OFICIO</t>
  </si>
  <si>
    <t>EXT17-00075249</t>
  </si>
  <si>
    <t>76 001 2331 000 2012 00406 00</t>
  </si>
  <si>
    <t>EN EL ANEXO ES EL 298
TRIBUNAL ORDENA A LA UNP AL PAGO COMO SUCESOR PROCESAL</t>
  </si>
  <si>
    <t>1014/2017</t>
  </si>
  <si>
    <t>1457/17</t>
  </si>
  <si>
    <t>2366018</t>
  </si>
  <si>
    <t>DR. CARLOS HERNAN RIAÑO ORDOÑEZ chro_50@hotmail.com jhony8211@hotmail.com
29/01/18</t>
  </si>
  <si>
    <t>DIDIER IVAN GARCIA SERNA</t>
  </si>
  <si>
    <t>EXT16-00039335</t>
  </si>
  <si>
    <r>
      <rPr>
        <sz val="9"/>
        <color theme="1"/>
        <rFont val="Arial Narrow"/>
        <family val="2"/>
      </rPr>
      <t xml:space="preserve">24/05/2017
</t>
    </r>
    <r>
      <rPr>
        <sz val="9"/>
        <color rgb="FFFF0000"/>
        <rFont val="Arial Narrow"/>
        <family val="2"/>
      </rPr>
      <t xml:space="preserve">
</t>
    </r>
    <r>
      <rPr>
        <sz val="9"/>
        <rFont val="Arial Narrow"/>
        <family val="2"/>
      </rPr>
      <t>ENTREGADO Y LIQUIDADO 02/10/2017
LIQUIDADO NPA</t>
    </r>
  </si>
  <si>
    <t>76 001 3331 016 2013 00008 00</t>
  </si>
  <si>
    <t>EN EL ANEXO ES EL 273
TRIBUNAL MODIFICA</t>
  </si>
  <si>
    <t>JUZGADO DECIMO ADMINISTATIVO DE DESCONGESTION DE CALI</t>
  </si>
  <si>
    <t>0913/2017</t>
  </si>
  <si>
    <t>1456/17</t>
  </si>
  <si>
    <t>2518318</t>
  </si>
  <si>
    <t>DR. CARLOS HERNAN RIAÑO ORDOÑEZ chro_50@hotmail.com digarse@hotmail.com
29/01/18</t>
  </si>
  <si>
    <t>JULIAN ANTONIO SILVA GASCA</t>
  </si>
  <si>
    <t>EXT16-00039336</t>
  </si>
  <si>
    <t>EXT17-00070112</t>
  </si>
  <si>
    <t>APORTES</t>
  </si>
  <si>
    <r>
      <rPr>
        <sz val="9"/>
        <color theme="1"/>
        <rFont val="Arial Narrow"/>
        <family val="2"/>
      </rPr>
      <t>24/05/2017
ENTREG</t>
    </r>
    <r>
      <rPr>
        <sz val="9"/>
        <rFont val="Arial Narrow"/>
        <family val="2"/>
      </rPr>
      <t>ADO Y LIQUIDADO 29/08/2017
LIQUIDADO NPA</t>
    </r>
  </si>
  <si>
    <t>76 001 3331 000 2012 00337 00</t>
  </si>
  <si>
    <t>EN EL ANEXO ES EL 236</t>
  </si>
  <si>
    <t>TRIBUNAL ADMINISTRATIVO DE ANTIOQUIA -SALA PRIMERA DE DESCONGESTION</t>
  </si>
  <si>
    <t>21-11-2017
15242448-2238
NO FIGURAN.
07-12-2017
115242448
NO FIGURAN.</t>
  </si>
  <si>
    <t>1017/2017</t>
  </si>
  <si>
    <t>1511/2017</t>
  </si>
  <si>
    <t>2505618</t>
  </si>
  <si>
    <t>DR. CARLOS HERNAN RIAÑO ORDOÑEZ chro_50@hotmail.com  juliansilvagasca@yahoo.com.co
01/02/18</t>
  </si>
  <si>
    <t xml:space="preserve">ROSAURA CORDOBA CACERES Y OTROS
CAMILA CORDOBA ARIAS
SOLANDY RODRIGUEZ CUESTA
JONNATHAN ANDRES SOTO RODRIGUEZ
MISAEL SOTO RODRIGUEZ
CAMILA SOTO RODRIGUEZ
CAMILO ANDRES SOTO CORDOBA
ROSA CAMILA SOTO VILLAREAL
JOSE MISAEL SOTO VILLAREAL
MARTHA CAMILA SOTO ZUÑIGA
ADELA SULLY SOTO ZUÑIGA
JAIME ARTURO SOTO RICO
CAMILA CORDOBA ARIAS
MARIA JOSEFA SOTO CORDOBA
ANA ROSALBA MURILLO CORDOBA
ADELA MURILLO CORDOBA
LUIS ELIECER RENGIFO MOSQUERA
CENAIDA CORDOBA MURILLO
IRIS SANCHEZ VALENCIA
FRANCISCO JAVIER RENGIFO SANCHEZ
MERCY RENGIFO SANCHEZ
DANIELA RENGIFO SANCHEZ
DIANA PATRICIA RENGIFO SANCHEZ
MARIA CENAIDA RENGIFO CORDOBA
MARIA SUSANA RENGIFO CORDOBA
LUIS EMILIANO RENGIFO CORDOBA
</t>
  </si>
  <si>
    <t xml:space="preserve">26.331.315
26.263.119
54.254.871
1.077.457.681
12.012.411
1.077.422.439
1.037.622.078
1.043.607.744
1.043.611.690
1.077.460.924
1.077.476.440
1.045.736.978
26.263.119
26.259.086
29.223.240
31.137.942
1.598.287
26.303.541
26.309.245
1.077.456.722
1.143.941.743
1.077.453.396
1.077.476.286
26.296.009
54.253.953
</t>
  </si>
  <si>
    <t>VICTOR ALONSO PEREZ GOMEZ</t>
  </si>
  <si>
    <t xml:space="preserve">EXT16-00041069
</t>
  </si>
  <si>
    <t xml:space="preserve">27/09/2016
</t>
  </si>
  <si>
    <t>EXT16-00075267</t>
  </si>
  <si>
    <t>EXT16-00081904</t>
  </si>
  <si>
    <t>EXT16-00097536</t>
  </si>
  <si>
    <t>EXT17-00011021</t>
  </si>
  <si>
    <t>28/03/2017
28/07/2017
11/08/2017
14/08/2017
28/05/18</t>
  </si>
  <si>
    <t>mar-17
jul-17
ago-17
ago-17
may-18</t>
  </si>
  <si>
    <t>EXT17-00021796
EXT17-00057952
EXT17-00061874
EXT17-00061973
EXT18-00047144</t>
  </si>
  <si>
    <t>BENEFICIARIO
ABOGADO
FRANCISCO JAVIER RENGIFO SANCHEZ (BENEFICIARIO)
FRANCISCO JAVIER RENGIFO SANCHEZ (BENEFICIARIO)
FRANCISCO JAVIER RENGIFO SANCHEZ (BENEFICIARIO)</t>
  </si>
  <si>
    <t>PETICION
CAMBIO DE DOMICILIO PROFESIONAL
DERECHO DE PETICION
DERECHO DE PETICION
SOLICITUD DE INFORMACION</t>
  </si>
  <si>
    <t xml:space="preserve">27 001 2331 000 2000 00926 03 (ACUMULADO)
</t>
  </si>
  <si>
    <t>TRIBUNAL ADMINISTRATIVO DEL CHOCO</t>
  </si>
  <si>
    <t>CONSEJO DE ESTADO, SECCION TERCERA, SUBSECCION C.</t>
  </si>
  <si>
    <t>DAS,NACION, MINDEFENSA, EJERCITO, POLICIA, MININTERIOR, DPTO DEL CHOCÓ.</t>
  </si>
  <si>
    <t>MUERTE DE AUTORIDAD PUBLICA-DAS</t>
  </si>
  <si>
    <t>JOSE NELSON VELASQUEZ GUZMAN</t>
  </si>
  <si>
    <t>EXT16-00041505</t>
  </si>
  <si>
    <t>EXT17-00057765</t>
  </si>
  <si>
    <t>EXT17-00039216</t>
  </si>
  <si>
    <t>COMUNICADO</t>
  </si>
  <si>
    <t>66 001 2333 003 2014 00013 00</t>
  </si>
  <si>
    <t>OJO EN EL ANEXO EN EL NUMERO 541 APARECE JOSE NELSON VELASQUEZ BERNAL CON LA MISMA C.C. PERO CON OTRO No. DE PROCESO Y EN BOGOTA QUE EN LA ACTUALIDAD ESTA EN EL TRIBUNAL
CONDENAN COSTAS
(SE D A RESPUESTA MEDIANTE OFI17-00028577 09/08/17)A</t>
  </si>
  <si>
    <t>MILTON RAFAEL DE LA HOZ SOLANO</t>
  </si>
  <si>
    <t xml:space="preserve">JORGE ENRIQUE ALFARO VASQUEZ </t>
  </si>
  <si>
    <t>EXT16-00043134</t>
  </si>
  <si>
    <t>EXT17-00093919</t>
  </si>
  <si>
    <t>24/05/2017
DEVUELVE 03/01/2018
12/02/2018 LTK
FUERA DE CONTRATO NPA
ENTREGADOS LTK</t>
  </si>
  <si>
    <t>08 001 3331 008 2011 00313 00</t>
  </si>
  <si>
    <t>EN EL ANEXO ES EL 395
SE ACUSA EL RECIBIDO POR CORREO ELECTRONICO 14/12/17 A</t>
  </si>
  <si>
    <t>JUZGADO SEXTO ADMNISTRATIVO DE DESCONGESTION DE BARRANQUILLA</t>
  </si>
  <si>
    <t>TRIBUNAL ADMISTRATIVO DEL ATALANTICO SUBSECCION DE DESCONGESTION</t>
  </si>
  <si>
    <t>10-09-2018,  102244439-00094, NO DEUDAS</t>
  </si>
  <si>
    <t>GEOVANNY DE LOS MILAGROS DE LA HOZ GONZALEZ</t>
  </si>
  <si>
    <t>EXT16-00043136</t>
  </si>
  <si>
    <t>08 001 3331 007 2012 00058 00</t>
  </si>
  <si>
    <t xml:space="preserve">EN EL ANEXO ES EL 458
SEGUDA INSTANCIA REVOCA </t>
  </si>
  <si>
    <t>JUZGDO SEPTIMO ADMINISTRATIVO DE BARRANQUILLA</t>
  </si>
  <si>
    <t>COMPAÑÍA DE SEGUROS LA PREVISORA S.A.</t>
  </si>
  <si>
    <t>860002400-2</t>
  </si>
  <si>
    <t>LUIS FERNANDO URIBE DE URBINA</t>
  </si>
  <si>
    <t xml:space="preserve">EXT16-00042024
</t>
  </si>
  <si>
    <t>EXT16-00049233</t>
  </si>
  <si>
    <t>11 001 3336 036 2012 00031 00</t>
  </si>
  <si>
    <t>PAGADA CON COMPENSACION
CONCILIACION JUDICIAL</t>
  </si>
  <si>
    <t>JUZGADO ADMINSTRATIVO TREINTA Y SEIS DE BOGOTA</t>
  </si>
  <si>
    <t>10-08-2016,  OFICIO 1-31-201-244-01218, RESOLUCION 112412012000045</t>
  </si>
  <si>
    <t>LEOPOLDO HILARION PALACIOS</t>
  </si>
  <si>
    <t>EXT16-00043228</t>
  </si>
  <si>
    <t>COMUNICA FALLO</t>
  </si>
  <si>
    <t>EXT16-00042191</t>
  </si>
  <si>
    <t>EXT16-00043432</t>
  </si>
  <si>
    <t>EXT17-00002983</t>
  </si>
  <si>
    <t>EXT17-00005948</t>
  </si>
  <si>
    <t>ALLEGADA PODER</t>
  </si>
  <si>
    <t>EXT17-00082877</t>
  </si>
  <si>
    <t>SOLICITUD DE PAGO / RESPUESTA OFI17-00012002 03/04/17</t>
  </si>
  <si>
    <t>11 001 3335 015 2013 00184 00</t>
  </si>
  <si>
    <t>EN EL ANEXO ES EL NUMERO 123
PAGAR COSTAS (SE DA RESPUESTA MEDIANTE 0FI17-00001978 20/01/2017 y OFI17-00007631 28/02/17 )A</t>
  </si>
  <si>
    <t>LUIS ENRIQUE LASSO GUARIN</t>
  </si>
  <si>
    <t xml:space="preserve">EXT16-00043670
</t>
  </si>
  <si>
    <t>EXT16-00083683</t>
  </si>
  <si>
    <t>EXT17-00056264</t>
  </si>
  <si>
    <t>ANBOGADA</t>
  </si>
  <si>
    <t>EXT17-00093252</t>
  </si>
  <si>
    <t>ICBF</t>
  </si>
  <si>
    <t>EXT18-00068523</t>
  </si>
  <si>
    <t>JUZGADO DE FAMILIA</t>
  </si>
  <si>
    <t>EJECUTIVO DE ALIMENTOS</t>
  </si>
  <si>
    <t>24/05/2017
ENTREGADO Y LIQUIDADO 25/07/2017
LIQUIDADO NPA</t>
  </si>
  <si>
    <t>11 001 3331 705 2010 00224 00</t>
  </si>
  <si>
    <t>EN EL ANEXO ES EL NUMERO 117
(SE DA RESPUESTA MEDIANTE CORREO ELECTRONICO 03/08/17, OFI17-00046160 13/12/17 A
EJECUTIVO DE ALIMENTOS RADICADO No. 11001310021 2018 000566 00 EXT18-00068523 23/07/18
OFI18-00033907 14/08/18 L.</t>
  </si>
  <si>
    <t>JUZGADO QUINTO ADMINISTRATIVO DE DESCONGESTION DE BOGOTA</t>
  </si>
  <si>
    <t>JORGE ABAD ESCALANTE HERNANDEZ</t>
  </si>
  <si>
    <t>YULIETH PEREZ GOMEZ</t>
  </si>
  <si>
    <t>EXT16-00044843</t>
  </si>
  <si>
    <t>EXT18-00034033</t>
  </si>
  <si>
    <t>47 001 3333 003 2012 00167 00</t>
  </si>
  <si>
    <t>FERNANDO PECHA CASTIBLANCO</t>
  </si>
  <si>
    <t xml:space="preserve">EXT16-00045600
</t>
  </si>
  <si>
    <t>EXT16-00093733</t>
  </si>
  <si>
    <t>11 001 3335 008 2014 00373 00</t>
  </si>
  <si>
    <t>NO SE ENCUENTRA EN LOS ANEXOS
FALLO IMPUESTO POR EL JUZGADO 18 ADMINISTRATIVO DE DESCONGESTION DE BOGOTA, TRIBUNAL CONFIRMA</t>
  </si>
  <si>
    <t>TRIBUNAL CONTENCIOSO ADMIISTRATIVO DE CUNDINAMARCA</t>
  </si>
  <si>
    <t>GERMAN EDUARDO LOZANO VILLAREAL</t>
  </si>
  <si>
    <t>DIEGO ANDRES SOTOMAYOR SEGRERA</t>
  </si>
  <si>
    <t xml:space="preserve">EXT16-00045643
</t>
  </si>
  <si>
    <t>EXT16-00046293</t>
  </si>
  <si>
    <t>EXT16-00079550</t>
  </si>
  <si>
    <t>24/05/2017
ENTREGADO Y LIQUIDADO 25/07/2017
LIQUIDADO NPA
20/02/18 LTK
DEVUELTOS LTK RAD.LTK-005-035-2018 17/05/18
ENVIADOS A LTK 18-10-2018</t>
  </si>
  <si>
    <t>73 001 3331 703 2012 00065 00</t>
  </si>
  <si>
    <t>EN EL DECRETO EL NUMERO 205</t>
  </si>
  <si>
    <t>JUZGADO TERCERO ADMINISTRATIVO DE IBAGUE</t>
  </si>
  <si>
    <t>MANUEL AUGUSTO BERMUDEZ MORENO</t>
  </si>
  <si>
    <t>EXT16-00047525</t>
  </si>
  <si>
    <t>EXT16-00093727</t>
  </si>
  <si>
    <t>11 001 3333 005 2014 00204 00</t>
  </si>
  <si>
    <t>EN EL ANEXO ES EL 621</t>
  </si>
  <si>
    <t>TRIBUNAL ADMIISTRATIVO DE CUDINAMARCA</t>
  </si>
  <si>
    <t>EXT16-00048145</t>
  </si>
  <si>
    <t>24/05/2017
DEVUELVE 03/01/2018
FUERA DE CONTRATO NPA
02/02/18 LTK
05/06/2018 SE ENCUENTRA EL EXPENDIENTE FISICO EN UNP YL LIQUIDADO UNP</t>
  </si>
  <si>
    <t>54 001 3331 004 2006 00560 00</t>
  </si>
  <si>
    <t>NO APARECE EN EL DECRETO PERO ESTÁ IMPUESTA POR EL TRIBUNAL</t>
  </si>
  <si>
    <t>MUERTE DE LIDER POLITICO-DAS</t>
  </si>
  <si>
    <t>GABRIEL MAURICIO GARCIA SANCHEZ</t>
  </si>
  <si>
    <t>EXT16-00056955</t>
  </si>
  <si>
    <t>EXT16-00091688</t>
  </si>
  <si>
    <t>EXT18-00091331</t>
  </si>
  <si>
    <t xml:space="preserve">05/05/2017
ENTREGADO Y LIQUIDADO 29/08/2017
LIQUIDADO NPA
</t>
  </si>
  <si>
    <t>11 001 3335 025 2012 00036 00</t>
  </si>
  <si>
    <t>EN EL ANEXO ES LA No. 17
OFI18-00042500 27/09/18  L.</t>
  </si>
  <si>
    <t>JAIME ECHEVERRY</t>
  </si>
  <si>
    <t>EXT16-00051393</t>
  </si>
  <si>
    <t>EXT17-00063445</t>
  </si>
  <si>
    <t>EXT16-00036091</t>
  </si>
  <si>
    <t>REMIISON POR COMPETENCIA</t>
  </si>
  <si>
    <t>EXT16-00091209</t>
  </si>
  <si>
    <t>EXT17-00092939</t>
  </si>
  <si>
    <t>PRESIDENCIA</t>
  </si>
  <si>
    <t>SOLICITA PAGO</t>
  </si>
  <si>
    <t>14/03/2017
17/08/2017
13/06/2017
24/01/2018
25/01/2018
22/02/2018</t>
  </si>
  <si>
    <t>mar-17
ago-17
jun-17
ene-18
ene-18
feb-18</t>
  </si>
  <si>
    <t>EXT17-00018376
EXT17-00063445
EXT17-00044147
EXT18-00003077
EXT18-00006241
EXT18-00009652</t>
  </si>
  <si>
    <t>ABOGADO
ABOGADO
ABOGADO
BENEFICIARIO
PROCURADURIA
BENEFICIARIO</t>
  </si>
  <si>
    <t>PAGO DE SENTENCIA
PAGO DE SENTENCIA
PAGO DE SENTENCIA
DERECHO DE PETICION
SOLICITUD DE INFORMACION
DERECHO DE PETICION</t>
  </si>
  <si>
    <t>24/05/2017
ENTREGADO Y LIQUIDADO 22/11/2017
LIQUIDADO NPA
07/06/18 LTK</t>
  </si>
  <si>
    <t>50 001 3331 001 2011 00487 00</t>
  </si>
  <si>
    <t>JUZGADO SEGUNDO ADMINISTRATIVO DE DESCONGESTION DE VILLAVICENCIO</t>
  </si>
  <si>
    <t>CARLOS HUMBERTO GOYENECHE REYES</t>
  </si>
  <si>
    <t>EXT16-00051447</t>
  </si>
  <si>
    <t>EXT17-00039359</t>
  </si>
  <si>
    <t>EXT18-00032719</t>
  </si>
  <si>
    <t>24/05/2017
MEDIANTE OFI17-00031864 01/09/2017 SE ENVIAN 43 FOLIOS DEL EXPEDIANTE ORIGINAL
ENTREGADO Y LIQUIDADO 22/11/2017
LIQUIDADO NPA
20/02/18 LTK</t>
  </si>
  <si>
    <t>11 001 3331 025 2011 00509 00</t>
  </si>
  <si>
    <t>HEBER ALBEIRO SILVA AGUILAR</t>
  </si>
  <si>
    <t>EXT16-00051731</t>
  </si>
  <si>
    <t>EXT17-00037130</t>
  </si>
  <si>
    <t>ALLEGA APORTES</t>
  </si>
  <si>
    <t>SOLICITUD INFORMACION ESTADO DE PAGO</t>
  </si>
  <si>
    <t>24/05/2017
NO PERTENECIERON AL CONTRATO 438/17 NPA NO TIENE INFORMACION
12/02/2018 LTK 
DEVUELTOS LTK RAD: LTK-003-019-2018  28/03/18
ENVIADOS A LTK 18-10-2018</t>
  </si>
  <si>
    <t>11 001 3331 020 2012 00158 00</t>
  </si>
  <si>
    <t>EN EL DECRETO ES EL 142 MIRAR  DOCUMENTOS
(SE DA RESPUESTA MEDIANTE OFI17-00020854 12/06/17)A
OFI18-00023508-12/06/2018 Decreto 1303-No- 142  N.
MEDIANTE OFI18-00040696 SE DA RESPUESTA AL  EXT18-00087411  F.</t>
  </si>
  <si>
    <t>JUZGDO QUINTO ADMINISTRATIVO DE DESCONGESTION DE BOGOTA</t>
  </si>
  <si>
    <t>EXT16-00054603</t>
  </si>
  <si>
    <t>EXT16-00057913</t>
  </si>
  <si>
    <t>EXT16-00061261</t>
  </si>
  <si>
    <t>EXT17-00037133</t>
  </si>
  <si>
    <t>CUMPLIMIENTO SENTENCIA</t>
  </si>
  <si>
    <t>24/05/2017
DEVUELVE 03/01/2018
23/02/18 LTK
FUERA DE CONTRATO NPA
ENTREGADOS LTK</t>
  </si>
  <si>
    <t>11 001 3335 022 2014 00256 00</t>
  </si>
  <si>
    <t>ES EL 668 EN EL ANEXO
(SE DA RESPUESTA MEDIANTE OFI17-00019657 02/06/17)A
TRIBUNAL CONDENA A LA UNP</t>
  </si>
  <si>
    <t xml:space="preserve">JUZGADO VEINTIDOS 
ADMINISTRATIVO DE ORALIDAD DEL CIRCUITO JUDICIAL  DE BOGOTA </t>
  </si>
  <si>
    <t>TRIBUNAL 
ADMINISTRATIVO DE 
CUNDINAMARCA SECCION SEGUNDA SUBSECCION D</t>
  </si>
  <si>
    <t>FERNANDO GARZON ARAMBULO</t>
  </si>
  <si>
    <t>EXT16-00052159</t>
  </si>
  <si>
    <t>EXT16-00054619</t>
  </si>
  <si>
    <t>EXT16-00087049</t>
  </si>
  <si>
    <t>EXT17-00005499</t>
  </si>
  <si>
    <t>05/05/2017
MEDIANTE OFI17-00031426 30/08/2017 SE ENVIAN DOCUMENTOS ORIGINALES EN 50 FOLIOS
ENTREGADO Y LIQUIDADO 22/11/2017
LIQUIDADO NPA</t>
  </si>
  <si>
    <t>11 001 3335 007 2014 00380 00</t>
  </si>
  <si>
    <t>NO SE ENCUENTRA EN EL ANEXO
JUZGADO CONDENA A LA UNP</t>
  </si>
  <si>
    <t>JUZGADO SEPTIMO ADMIISTRATIVO DE ORALIDAD</t>
  </si>
  <si>
    <t>0512-18</t>
  </si>
  <si>
    <t>INSTITICIONAL 15/05/18</t>
  </si>
  <si>
    <t>JAVIER DARIO JIMENEZ BETANCUR</t>
  </si>
  <si>
    <t>EXT16-00052272</t>
  </si>
  <si>
    <t>EXT16-00054591</t>
  </si>
  <si>
    <t>EXT17-00020787</t>
  </si>
  <si>
    <t>EXT17-00002900</t>
  </si>
  <si>
    <t>11 001 3335 022 2014 00215 00</t>
  </si>
  <si>
    <t>EN EL ANEXO ES EL 629
TRIBUNAL CONDENA A LA UNP
(SE DA RESPUESTA MEDIANTE CORREO ELECTROBICO 15/05/17)A</t>
  </si>
  <si>
    <t>TIBERIO ESNEYER CARDENAS BUITRAGO</t>
  </si>
  <si>
    <t xml:space="preserve">EXT16-00052513
</t>
  </si>
  <si>
    <t>EXT16-00055475</t>
  </si>
  <si>
    <t>EXT16-00070145</t>
  </si>
  <si>
    <t>EXT16-00059662</t>
  </si>
  <si>
    <t>EXT17-00025669</t>
  </si>
  <si>
    <t>EXT18-00028517</t>
  </si>
  <si>
    <t xml:space="preserve">SOLICITUD DE CUMPLIMIENTO </t>
  </si>
  <si>
    <t>05/05/2017
MEDIANTE OFI17-00031426 30/08/2017 SE ENVIAN DOCUMENTOS ORIGINALES EN 46 FOLIOS
ENTREGADO Y LIQUIDADO 22/11/2017
LIQUIDADO NPA
20/02/18 LTK</t>
  </si>
  <si>
    <t>10 001 3335 009 2012 00290 00</t>
  </si>
  <si>
    <t>EN EL ANEXO ES LA 132 Y ADEMAS HUBO ACTUACION DIRECTA
(SE DA RESPUESTA MEDIANTE OFI17-00014700 26/04/17)A OFI18-000155560 20/04/18 E
OFI18-00015560 20-04-2018, SE COMUNICA AL CORREO sneider-0805@hotmail.com</t>
  </si>
  <si>
    <t>JUZGADO NOVENO ADMINSTRATIVO DE BOGOTA</t>
  </si>
  <si>
    <t>OSCAR MORENO CAICEDO</t>
  </si>
  <si>
    <t>EXT16-00052416</t>
  </si>
  <si>
    <t>EXT16-00067829</t>
  </si>
  <si>
    <t>EXT16-00093125</t>
  </si>
  <si>
    <t>68 001 3331 013 2010 00090 00</t>
  </si>
  <si>
    <t>EN EL ANEXO ES LA NUMERO 65</t>
  </si>
  <si>
    <t>TRIBUNAL ADMINSTRATIVO DE SANTANDER</t>
  </si>
  <si>
    <t>EXT16-00054469</t>
  </si>
  <si>
    <t>EXT16-00056758</t>
  </si>
  <si>
    <t>EXT16-00059491</t>
  </si>
  <si>
    <t>EXT16-00086687</t>
  </si>
  <si>
    <t>EXT17-00091714</t>
  </si>
  <si>
    <t>COMUNICACIÓN SENTENCIA</t>
  </si>
  <si>
    <t>EXT18-00006803</t>
  </si>
  <si>
    <t>11 001 3335 016 2014 00208 00</t>
  </si>
  <si>
    <t>NO APARECE IMPUESTA 
SE ALLEGA SENTENCIA DONDE SE ORDENA EL PAGO POR LA UNP
(NO ESTA EN EL DECRETO, NO SE ALLEGA FALLO SOLO SE COMUNICA / REPETIDO)
SE DA RESPUESTA MEDIANTE OFI18-00006803 02/02/18 L</t>
  </si>
  <si>
    <t>JUZGADO DIECISEIS ADMINSTRTIVO DE ORALIDAD DE BOGOTA</t>
  </si>
  <si>
    <t>JOSE BERCELY MELO HUERTAS</t>
  </si>
  <si>
    <t>EXT16-00061013</t>
  </si>
  <si>
    <t>EXT17-00052151</t>
  </si>
  <si>
    <t>24/05/2017
DEVUELVE 03/01/2018
FUERA DE CONTRATO NPA
POR ENTREGAR LTK
02/02/18 LTK
20/02/18 LTK</t>
  </si>
  <si>
    <t>11 001 3335 030 2014 00214 00</t>
  </si>
  <si>
    <t>EN EL ANEXO ES LA 536</t>
  </si>
  <si>
    <t>JUZGADO TREINTA ADMISTRATIVO DE ORAL DEL CIRCITO DE BOGOTA SECCION SEGUNDA</t>
  </si>
  <si>
    <t>TRIBUNAL ADMISITRATIVO DE CUNDINAMARCA SECCION SEGUNDA SUBSECCION "C"</t>
  </si>
  <si>
    <t>LUIS EDUARDO RINCON</t>
  </si>
  <si>
    <t>EXT16-00044802</t>
  </si>
  <si>
    <t>EXT16-00055080</t>
  </si>
  <si>
    <t>EXT16-00093731</t>
  </si>
  <si>
    <t>11 001 3335 021 2014 00220 11</t>
  </si>
  <si>
    <t xml:space="preserve">EN EL ANEXO ES EL No.618, NO SE ME HABÍA COMUNICADO QUE ESTABA ESTE PROCESO EN CONTRA (HABÍA LLEGADO EL 18 DE JULIO DE 2016 OFICIO DEL JUZGADO)  </t>
  </si>
  <si>
    <t>JUZGADO VEINTIUNO ADMINISTRATIVO DE ORALIDAD DE BOGOTA</t>
  </si>
  <si>
    <t xml:space="preserve">TRIBUNAL ADMISITRATIVO DE CUNDINAMARCA </t>
  </si>
  <si>
    <t>HARVY ANDRES GONZALEZ OSORIO</t>
  </si>
  <si>
    <t>EXT16-00053555</t>
  </si>
  <si>
    <t>EXT18-00034553</t>
  </si>
  <si>
    <t>EXT18-00039315</t>
  </si>
  <si>
    <t>DERECHO DE  PETICION</t>
  </si>
  <si>
    <t>66 001 2331 001 2011 00124 00</t>
  </si>
  <si>
    <t>HORACIO ARIAS HERNANDEZ</t>
  </si>
  <si>
    <t>EXT16-00056957</t>
  </si>
  <si>
    <t>EXT16-00080163</t>
  </si>
  <si>
    <t>11 001 3331 706 2011 00121 00</t>
  </si>
  <si>
    <t xml:space="preserve">EN EL ANEXO ES LA No. 53 </t>
  </si>
  <si>
    <t>JAVIER LEONARDO GALEANO MENDEZ</t>
  </si>
  <si>
    <t>EXT16-00056940</t>
  </si>
  <si>
    <t>EXT16-00069507</t>
  </si>
  <si>
    <t>EXT16-00093800</t>
  </si>
  <si>
    <t>EXT17-00054655</t>
  </si>
  <si>
    <t>ENVIO DOCUMENTOS</t>
  </si>
  <si>
    <t>EXT17-00078699</t>
  </si>
  <si>
    <t>SOLICITA INFORMACION DEL ESTADO DE PAGO ALLEGA APORTES</t>
  </si>
  <si>
    <t>EXT18-00010555</t>
  </si>
  <si>
    <t xml:space="preserve">24/05/2017
ENTREGADO Y LIQUIDADO 25/07/2017
MEDIANTE OFI17-00030580 24/08/2017  SE ENVIAN DOCUMENTOS ORIGINALES (22 FOLIOS EN GENERAL)
DEVUELVE 02/10/2017
LIQUIDADO NPA
</t>
  </si>
  <si>
    <t>25 000 2325 000 2011 00557 01</t>
  </si>
  <si>
    <t>ANGELO BERNEY MORALES BARRERO</t>
  </si>
  <si>
    <t>EXT16-00057829</t>
  </si>
  <si>
    <t>EXT16-00094273</t>
  </si>
  <si>
    <t>EXT17-00097785</t>
  </si>
  <si>
    <t>EXT15-00009234</t>
  </si>
  <si>
    <t>AUTO ADMISORIO</t>
  </si>
  <si>
    <t>EXT15-00011184</t>
  </si>
  <si>
    <t>25/04/2017
13/12/2017
08/02/2018</t>
  </si>
  <si>
    <t>abr-17
dic-17
feb-18</t>
  </si>
  <si>
    <t>EXT17-00029937
EXT17-00097785
EXT18-00011094</t>
  </si>
  <si>
    <t>BENEFICIARIO
BENEFICIARIO
ABOGADO</t>
  </si>
  <si>
    <t>SENTENCIA
PAGO DE SENTENCIA
PAGO DE SENTENCIA</t>
  </si>
  <si>
    <t>11 001 3335 718 2014 00012 00</t>
  </si>
  <si>
    <t>NO SE ENCUENTRA EN LOS ANEXOS
LA AGENCIA DICE QUE ESTA INCORPORADO EN LA UNP, NO ALLEGAN FALLO
SE DA RESPUESTA MEDIANTE OFI17-00047877 27/12/17 L  OFI16-00036436 25/08/16 G
CONTIENE DOS CD¨S</t>
  </si>
  <si>
    <t xml:space="preserve">JUZGADO DIECIOCHO ADMINISTRATIVO DE DESCONGESTION DEL CIRCUITO JUDICIAL DE BOGOTA </t>
  </si>
  <si>
    <t>JUAN DARIO GONZALEZ GARZON</t>
  </si>
  <si>
    <t>JOSE ROBERTO BABATIVA VELASQUEZ</t>
  </si>
  <si>
    <t>EXT16-00057026</t>
  </si>
  <si>
    <t>EXT16-00060373</t>
  </si>
  <si>
    <t>EXT16-00084484</t>
  </si>
  <si>
    <t>EXT17-00097239</t>
  </si>
  <si>
    <t>EXT18-00013636</t>
  </si>
  <si>
    <t>BENEFICIARIO
BENEFICIARIO
BENEFICIARIO</t>
  </si>
  <si>
    <t>DERECHO DE PETICION
ALLEGA CERTIFICADOS DE SEGURIDAD SOCIAL
ACUSA RECIBO RESPUESTA ENVIADA EN OFI1800041656</t>
  </si>
  <si>
    <t>11 001 3335 008 2014 00323 00</t>
  </si>
  <si>
    <t>EN EL DECRETO ES EL 611
SE DA RESPUESTA MEDIANTE OFI17-00046500 14/12/17 L
OFI18-00030638 26/07/18
RESPUESTA MEDIANTE OFI1800041656 F.</t>
  </si>
  <si>
    <t>JUZGADO OCTAVO ADMINISTRATIVO DE BOGOTA</t>
  </si>
  <si>
    <t>JOSE MAURCIO LOAIZA RODRIGUEZ</t>
  </si>
  <si>
    <t>EXT16-00062159</t>
  </si>
  <si>
    <t>EXT17-00022373</t>
  </si>
  <si>
    <t>EXT17-00082885</t>
  </si>
  <si>
    <t>11 001 3331 701 2010 00127 00</t>
  </si>
  <si>
    <t>EN EL DECRETO ES LA No.124 
(SE DA RESPUESTA MEDIANTE OFI17-00001978 20/01/2017)A</t>
  </si>
  <si>
    <t>OSCAR COLORADO GONZALEZ</t>
  </si>
  <si>
    <t xml:space="preserve">EXT16-00062165
</t>
  </si>
  <si>
    <t>EXT16-00076512</t>
  </si>
  <si>
    <t>11 001 3331 030 2012 00208 00</t>
  </si>
  <si>
    <t>EN EL DECRETO ES LA No.18</t>
  </si>
  <si>
    <t>30-10-2018
122242448-223741
NO FIGURAN DEUDAS</t>
  </si>
  <si>
    <t>WALTER JAVIER TORRES VARGAS</t>
  </si>
  <si>
    <t>EXT16-00062441</t>
  </si>
  <si>
    <t>EXT17-00008004</t>
  </si>
  <si>
    <t>REMITE PATE DE FALLO</t>
  </si>
  <si>
    <t>EXT17-00065968</t>
  </si>
  <si>
    <t>CUMPLIMIENTO DE 
SENTENCIA</t>
  </si>
  <si>
    <t>EXT15-00013291</t>
  </si>
  <si>
    <t>AUTO ADMIISORIO</t>
  </si>
  <si>
    <t>EXT18-00023251</t>
  </si>
  <si>
    <t>11 001 3335 007 2014 00260 00</t>
  </si>
  <si>
    <t>NO SE ENCUENTRA EN LOS ANEXOS
DIRECTA HUBO INTERVENCION DE LA UNP EN LA PARTE INICIAL DEL FALLO DEL TRIBUNAL SE NOMBRA A LA UNP
SE DA RESPUESTA MEDIANTE OFI18-00012042 22/03/18 L</t>
  </si>
  <si>
    <t>JUZGADO SEPTIMO ADMINISTRATIVO DE ORALIDAD DE BOGOTA</t>
  </si>
  <si>
    <t>UNION TEMPORAL ESQUEMAS DE PROTECCION SIGLO XXI</t>
  </si>
  <si>
    <t>900587620-0</t>
  </si>
  <si>
    <t>2015-3043-00</t>
  </si>
  <si>
    <t>EJECUTIVO</t>
  </si>
  <si>
    <t>0736/2016</t>
  </si>
  <si>
    <t>304956816</t>
  </si>
  <si>
    <t>ROBINSON PEÑA DOMINGUEZ (ROBINSON PEÑA RODRIGUEZ)</t>
  </si>
  <si>
    <t>EXT16-00064682</t>
  </si>
  <si>
    <t>EXT16-00066315</t>
  </si>
  <si>
    <t>EXT16-00082542</t>
  </si>
  <si>
    <t>EXT17-00006613</t>
  </si>
  <si>
    <t>68 001 2333 000 2013 00313 00</t>
  </si>
  <si>
    <t>EN EL ANEXO ESTA EN EL REGISTRO 61</t>
  </si>
  <si>
    <t>EXT16-00064198</t>
  </si>
  <si>
    <t>EXT17-00025217</t>
  </si>
  <si>
    <t>EXT17-00032873</t>
  </si>
  <si>
    <t>EXT17-00094755</t>
  </si>
  <si>
    <t>BENEFICIARIA</t>
  </si>
  <si>
    <t>EXT18-00090526</t>
  </si>
  <si>
    <t>SOLICITA LIQUIDACION</t>
  </si>
  <si>
    <t>11 001 3335 016 2014 00206 00</t>
  </si>
  <si>
    <t>NO APARECE EN EL DECRETO, IMPUESTA POR EL JUZGADO, LA BENEFICIARIA ESTA INCORPORADA
(SE DA RESPUESTA MEDIANTE OFI17-00014306 24/04/17/ SE DA RESPUESTA MEDIANTE CORREO ELECTRONICO 16/05/17 Y 14/12/17)A
CORREO ELECTRÓNICO 24/09/18  L.</t>
  </si>
  <si>
    <t>JUZGADO DIECISEIS ADMINISTRATIVO DE ORALIDAD DE BOGOTA</t>
  </si>
  <si>
    <t>PASTOR GERARDO SANABRIA MERCHAN</t>
  </si>
  <si>
    <t>RUTH ANGELA SALAZAR ARIAS</t>
  </si>
  <si>
    <t>EXT16-00066027</t>
  </si>
  <si>
    <t>EXT16-00072793</t>
  </si>
  <si>
    <t>EXT16-00083484</t>
  </si>
  <si>
    <t>EXT18-00030612</t>
  </si>
  <si>
    <t>11 001 3331 701 2013 00060 00</t>
  </si>
  <si>
    <t>MARIA LUZ CEDEÑO DE ESCOBAR Y OTROS
NESTOR ESCOBAR JARAMILLO
JOVITA ESCOBAR DE PAEZ
YINA JOSEFA ESCOBAR CEDEÑO
JULIA MARITZA ESCOBAR CEDEÑO
NELSON ENRIQUE ESCOBAR CEDEÑO
LUIS FERNANDO ESCOBAR CEDEÑO
YONN FREDY ESCOBAR CEDEÑO
ISIDRO ESCOVAR JARAMILLO</t>
  </si>
  <si>
    <t>26.558.474
12.102.160
26.423.177
26.551.702
26.552.010
7.695.566
83.229.401
94.425.179
12.340.007</t>
  </si>
  <si>
    <t>JOSE WILLIAM SANCHEZ PLAZAS</t>
  </si>
  <si>
    <t>EXT16-00066805</t>
  </si>
  <si>
    <t>EXT16-00076555</t>
  </si>
  <si>
    <t>EXT16-00079084</t>
  </si>
  <si>
    <t>EXT18-00072638</t>
  </si>
  <si>
    <t>YINA JOSEFA ESCOBAR CEDEÑO</t>
  </si>
  <si>
    <t>24/05/2017
NO PERTENECIERON AL CONTRATO 438/17 NPA NO TIENE INFORMACION 
12/02/2018 LTK
ENTREGADOS LTK</t>
  </si>
  <si>
    <t>41 001 3331 004 2007 00133 00</t>
  </si>
  <si>
    <t>TRIBUNAL DECRETA SUCESION PROCESAL DEL MIN INTERIOR A LA UNP
OFI18-00035664 22/08/18  L.</t>
  </si>
  <si>
    <t>MININTERIOR, DAS, POLICIA, EJERCITO, MINDEFENSA</t>
  </si>
  <si>
    <t>ASESINATO DE CONCEJAL</t>
  </si>
  <si>
    <t>MIGUEL ANGEL SARMIENTO SANDOVAL</t>
  </si>
  <si>
    <t>EXT16-00068440</t>
  </si>
  <si>
    <t>EXT17-00025222</t>
  </si>
  <si>
    <t>11 001 3335 006 2014 00104 00</t>
  </si>
  <si>
    <t>NO SE ENCUENTRA EN LOS ANEXOS
JUZGADO ORDENA QUE EL PAGO SEA A CARGO DE LA UNP</t>
  </si>
  <si>
    <t>NELSON ALBERTO DIAZ RODRIGUEZ</t>
  </si>
  <si>
    <t>EXT16-00068653</t>
  </si>
  <si>
    <t>EXT16-00083185</t>
  </si>
  <si>
    <t>EXT16-00092576</t>
  </si>
  <si>
    <t>EXT18-00011092</t>
  </si>
  <si>
    <t>EXT18-00023870</t>
  </si>
  <si>
    <t>12/03/2018
21/03/2018</t>
  </si>
  <si>
    <t>mar-18
mar-18</t>
  </si>
  <si>
    <t>EXT18-00022086
EXT18-00023870</t>
  </si>
  <si>
    <t>BENEFICIARIO
BENEFICIARIO</t>
  </si>
  <si>
    <t>SOLICITUD DE INFORMACION
INFORMACION LIQUIDACION</t>
  </si>
  <si>
    <t>24/05/2017
MEDIANTE OFI17-00031424 30/08/2017 SE ENVIAN DOCUMENTOS  ORIGINALES EN  24 FOLIOS
ENTREGADO Y LIQUIDADO 22/11/2017
LIQUIDADO NPA</t>
  </si>
  <si>
    <t>11 001 3335 020 2014 00307 00</t>
  </si>
  <si>
    <t>NO SE ENCUENTRA EN LOS ANEXOS
JUZGADO ORDENA QUE EL PAGO SEA A CARGO DE LA UNP
OJO DICE QUE SE ENTREGARON PRIMERAS COPIAS CON EXT16-00083185
SE DA RESPUESTA MEDIANTE OFI18-00007152 20/02/18  L OFI18-00012148 09/03/18 E OFI18-00012148 09/03/18 E OFI18-00014763 16/04/18 L</t>
  </si>
  <si>
    <t>1174/2017</t>
  </si>
  <si>
    <t>0231/18</t>
  </si>
  <si>
    <t xml:space="preserve">nelsondiaz3971@hotmail.com 
</t>
  </si>
  <si>
    <t>CARLOS ALBERTO SALAZAR RIOS</t>
  </si>
  <si>
    <t xml:space="preserve">EXT16-00070561
</t>
  </si>
  <si>
    <t>EXT16-00077449</t>
  </si>
  <si>
    <t>EXT17-00015171</t>
  </si>
  <si>
    <t>EXT18-00038466</t>
  </si>
  <si>
    <t>EXT18-00057827</t>
  </si>
  <si>
    <t>EXT18-00096521</t>
  </si>
  <si>
    <t>11 001 3335 021 2012 00099 00</t>
  </si>
  <si>
    <t>EN EL ANEXO ES EL 136 
CASO PARECIDO AL DE FRACY HOYOS
SE DA RESPUESTA MEDIANTE OFI18-00020396 22/05/18 E
OFI18-00027628-09/07/2018-Decreto 1303-No. 136.  N.
MEDIANTE OFI18-00045678 17/10/18 SE DIO RESPUESTA AL EXT18-00096521. L.</t>
  </si>
  <si>
    <t>WILSON LOPEZ HERNANDEZ</t>
  </si>
  <si>
    <t>EXT16-00070949</t>
  </si>
  <si>
    <t>EXT16-00075545</t>
  </si>
  <si>
    <t>EXT16-00080214</t>
  </si>
  <si>
    <t>EXT17-00053182</t>
  </si>
  <si>
    <t>24/05/2017
MEDIANTE OFI17-00031424 30/08/2017 SE ENVIAN DOCUMENTOS  ORIGINALES EN  24 FOLIOS
ENTREGADO Y LIQUIDADO 22/11/2017
LIQUIDADO NPA
20/02/18 LTK</t>
  </si>
  <si>
    <t>11 001 3335 023 2014 00144 00</t>
  </si>
  <si>
    <t>TRIBUNAL ADMINISTRATIVO DE CUNDINAMARCA - SECCION SEGUNDA -SUDSECCION "D"</t>
  </si>
  <si>
    <t>ANTONIO CARLOS DE LA OSSA ESPITIA</t>
  </si>
  <si>
    <t xml:space="preserve">EXT16-00071845
</t>
  </si>
  <si>
    <t>EXT16-00088349</t>
  </si>
  <si>
    <t>PETCION</t>
  </si>
  <si>
    <t>24/05/2017
MEDIANTE OFI17-00027886 DEL 03/08/2017 SE ENVIAN DOCUMENTOS EN 822 FOLIOS ORIGINALES (4 CARPETAS)
ENTREGADO Y LIQUIDADO 22/11/2017
LIQUIDADO NPA
20/02/18 LTK</t>
  </si>
  <si>
    <t>23 001 3331 002 2011 00219 00</t>
  </si>
  <si>
    <t>EN EL ANEXO ES EL No. 367</t>
  </si>
  <si>
    <t>JUZGADO TERCERO ADMINISTRATIVO DE DESCONGESTION DE MONTERIA</t>
  </si>
  <si>
    <t>HECTOR ODUVER MORENO ROJAS</t>
  </si>
  <si>
    <t>EXT16-00072181</t>
  </si>
  <si>
    <t>EXT16-00085126</t>
  </si>
  <si>
    <t>EXT16-00089550</t>
  </si>
  <si>
    <t>EXT17-00012013</t>
  </si>
  <si>
    <t>EXT17-00099556</t>
  </si>
  <si>
    <t>ANEXA DOCUMENTACION A CUENTA DE COBRO</t>
  </si>
  <si>
    <t>11 001 3335 029 2014 00223 00</t>
  </si>
  <si>
    <t>NO SE ENCUENTRA EN LOS ANEXOS
SEGÚN REPORTE DE LA RAMA HAY VINCULACION DE LA UNP COMO LISTISCONSORTES
EN EL ULTIMO AUTO SE RECONOCE PERSONERIA JURIDICA AL ABOGAD DE LA FIDUPREVISORA
(SE DA RESPUESTA MEDIANTE OFI17-00008015 03/03/17 Y CORREO ELECTRONICO 03/03/17)A</t>
  </si>
  <si>
    <t>JUZGADO CINCUENTA ADMINISTRATIVO DE ORALIDAD DE BOGOTA</t>
  </si>
  <si>
    <t>clinicajuridica@une.net.co</t>
  </si>
  <si>
    <t>JHON FREDY IMBACHI</t>
  </si>
  <si>
    <t>EXT16-00072111</t>
  </si>
  <si>
    <t>EXT16-00085132</t>
  </si>
  <si>
    <t>EXT17-00024524</t>
  </si>
  <si>
    <t>05 001 3333 029 2013 00087 00</t>
  </si>
  <si>
    <t>TRIBUNAL ORDENA QUE EL PAGO LO HAGA LA UNP</t>
  </si>
  <si>
    <t>EDWIN ENRIQUE ELLES MARIMON</t>
  </si>
  <si>
    <t>EXT16-00072098</t>
  </si>
  <si>
    <t>EXT16-00079832</t>
  </si>
  <si>
    <t>EXT16-00084093</t>
  </si>
  <si>
    <t>05 001 3333 008 2013 00192 00</t>
  </si>
  <si>
    <t>NO SE ENCUENTRA EN LOS ANEXOS
FALLO DECRETA SUCESION PROCESAL COMUNICAN JUZGADO A UNP Y MIGRACION / (08/08/2017 NO SE ENCONTRO EN EL ARCHIVO)</t>
  </si>
  <si>
    <t>JUZGADO OCTAVO ADMINISTRATIVO ORAL DE MEDELLIN</t>
  </si>
  <si>
    <t>60.278.865
37.748.689
91.521.114
37.395.285
1.098.737.549</t>
  </si>
  <si>
    <t>FERNANDO MARCONI QUINTERO</t>
  </si>
  <si>
    <t>EXT16-00072916</t>
  </si>
  <si>
    <t>EXT17-00065169</t>
  </si>
  <si>
    <t>EXT17-00066544</t>
  </si>
  <si>
    <t>EXT17-00069945</t>
  </si>
  <si>
    <t>EXT18-00041373</t>
  </si>
  <si>
    <t>EXT18-00060753</t>
  </si>
  <si>
    <t xml:space="preserve">ABOGADO 
</t>
  </si>
  <si>
    <t>24/05/2017
DEVUELVE 02/10/2017
DEVUELTOS NPA
05/06/2018 SE ENCUENTRA EL EXPENDIENTE FISICO EN UNP YL LIQUIDADO UNP
07/06/18 LTK
ENTREGADO POR LTK 25-07-2018</t>
  </si>
  <si>
    <t>54 001 2331 000 2005 01308 00</t>
  </si>
  <si>
    <t>MININTERIOR, DAS</t>
  </si>
  <si>
    <t>RESPONSABILIDAD PATRIMONIAL Y EXTRACONTRACTUAL DEL ESTADO POR LA MUERTE DE PEDRO DURAN FRANCO</t>
  </si>
  <si>
    <t>ERNEY RAMIREZ GORDO</t>
  </si>
  <si>
    <t>MELANNIE VIDAL ZAMORA</t>
  </si>
  <si>
    <t>EXT16-00071861</t>
  </si>
  <si>
    <t>EXT18-00034141</t>
  </si>
  <si>
    <t>ABOGADDA</t>
  </si>
  <si>
    <t>EXT18-00052605</t>
  </si>
  <si>
    <t>EXT18-00063120</t>
  </si>
  <si>
    <t>41 001 3331 001 2011 00103 00</t>
  </si>
  <si>
    <t xml:space="preserve">EN EL ANEXO ES EL REGISTRO 179
SE DA RESPUESTA MEDIANTE OFI18-00016496 26/04/18 L
CORREO ELECTRONICO 25/06/18 L
CORREO ELCTRÓNICO 11/07/18 L
</t>
  </si>
  <si>
    <t>JUZGADO QUINTO ADMINISTRATIVO DE DESCONGESTION DE NEIVA</t>
  </si>
  <si>
    <t>PRESIDENCIA DE LA REPUBLICA - MINTERIOR Y JUSTICIA - DAS / UNP COMO SUCESOR PROCESAL DEL DAS</t>
  </si>
  <si>
    <t>WILSON DE JESUS HERNANDEZ ROJANO</t>
  </si>
  <si>
    <t>EXT16-00074316</t>
  </si>
  <si>
    <t>EXT17-00100381</t>
  </si>
  <si>
    <t>DERECHO DE PETICION CUMPLIMIENTO DE PAGO</t>
  </si>
  <si>
    <t>EXT18-00038469</t>
  </si>
  <si>
    <t>24/05/2017
FIRMA DEVUELVE 25/07/2017
POR ENTREGAR LTK
20/02/18 LTK
ENTREGADO POR LTK 26-06-2018</t>
  </si>
  <si>
    <t>11 001 3331 012 2012 00249 00</t>
  </si>
  <si>
    <t>EN EL ANEXO ES LA No. 118
SE DA RESPUESTA MEDIANTE OFI17-00048231 28/12/17 L OFI18-00001938 17/01/18 L  OFI18-0008480 01/03/18 E OFI18-00020796 24/05/18 E</t>
  </si>
  <si>
    <t>JUZGADO DECIMO ADMINISTRATIVO DE BOGOTA</t>
  </si>
  <si>
    <t>30-01-2018
102244439-00011
NO FIGURAN.</t>
  </si>
  <si>
    <t>CARLOS WILLIAM MENDOZA TAMARA</t>
  </si>
  <si>
    <t>EXT15-00048175</t>
  </si>
  <si>
    <t>EXT16-00012612</t>
  </si>
  <si>
    <t>EXT18-00017763</t>
  </si>
  <si>
    <t>INFORMA PAGO</t>
  </si>
  <si>
    <t>EXT18-00047856</t>
  </si>
  <si>
    <t>23/02/18 LTK
ENTREGADOS LTK</t>
  </si>
  <si>
    <t>54 001 3331 702 2011 00081 00</t>
  </si>
  <si>
    <t>NO APARECE EN EL DECRETO ESTA IMPUESTA A LA AGENCIA EN EL REGISTRO 165
SE REMITE POR COMPETENCIA A LA AGENCIA  MEDIANTE OFI16-00031324 25/07/16 G
SE SOLICITA ESTADO DEL PROCESO A LA AGENCIA MEDIANTE OFI18-00004721  L
EXT18-00017763 27/02/18 LA ANDJE INFORMA EL PAGO EFECTUADO POR LA FIDUPREVISORA EL 25/11/16 POR VALOR DE $ 63.751.409,59
"MEDIANTE EL EXT18-00047856 28/05/18 LA FIDUPREVISORA INFORMA QUE EL VALOR PAGADO FUE $97.927.180
EXT8-00017763 27/02/18 LA ANDJE INFORMA QUE LA FIDUPREVISORA PAGÓ $97.927.180
(POR FAVOR TENER CAMBIAR LA OTRA CIFRA TODA VEZ QUE SE TUVO EN CUENTA EL VALOR PAGADO AL BENEFICIARIO Y NO A SU APODERADA)"
LO PAGó LA FIDUPREVISORA. PASó COMUNICADO</t>
  </si>
  <si>
    <t>JUZGADO SEGUNDO ADMINISTRATIVO DE DESCONGESTION DEL CIRCUITO DE CUCUTA</t>
  </si>
  <si>
    <t>PARA HABLAR CON ANDREA</t>
  </si>
  <si>
    <t>OMAR CASTRO MUÑOZ</t>
  </si>
  <si>
    <t>MILTON HERNAN SANCHEZ CORTES</t>
  </si>
  <si>
    <t>EXT16-00075896</t>
  </si>
  <si>
    <t>EXT16-00083866</t>
  </si>
  <si>
    <t>EXT16-00100147</t>
  </si>
  <si>
    <t>EXT16-00100184</t>
  </si>
  <si>
    <t>EXT17-00013947</t>
  </si>
  <si>
    <t>EXT18-00017550</t>
  </si>
  <si>
    <t>RESPUESTA OFI18-00002620</t>
  </si>
  <si>
    <t>41 001 3331 702 2011 00083 00</t>
  </si>
  <si>
    <t>EN EL ANEXO ES EL 582
SOLICITA DOCUMENTACION MEDIANTE OFI18-00002620 22/01/18 L</t>
  </si>
  <si>
    <t>JUZGADO SEGUNDO ADMINISTRATIVO DE DESCONGESTION DE NEIVA</t>
  </si>
  <si>
    <t>TRIBUNAL CONTENCIOSO ADMINISTRATIVO DEL HUILA</t>
  </si>
  <si>
    <t>milsanco65@hotmail.com</t>
  </si>
  <si>
    <t>ARLEY DE JESUS BORJA PINO</t>
  </si>
  <si>
    <t>EXT16-00071573</t>
  </si>
  <si>
    <t>EXT14-00047912</t>
  </si>
  <si>
    <t>EXT14-00057340</t>
  </si>
  <si>
    <t>EXT14-00059883</t>
  </si>
  <si>
    <t>NOTIFICACION ACLARACION SENTENCIA</t>
  </si>
  <si>
    <t>EXT18-00098811</t>
  </si>
  <si>
    <t>24/05/2017
DEVUELVE 03/01/2018
OFICIOS LTK
FUERA DE CONTRATO NPA
20/02/18 LTK
ENTREGADO POR LTK 25-07-2018</t>
  </si>
  <si>
    <t>05 001 3333 011 2013 00648 01</t>
  </si>
  <si>
    <t>NO APARECE EN  EL DECRETO, TRIBUNAL DECRETA SUCESION  AGENCIA REMITE CORREO ELECTRONICO DONDE SE RELACIONA A LA UNP COMO SUCESRO PROCESAL, NO REMITEN FALLO
TRIBUNAL ACLARA SENTENCIA
MEDIANTE OFI18-00046149 19/10/18 SE DIO RESPUESTA AL EXT18-00098811  L.</t>
  </si>
  <si>
    <t>JUZGADO ONCE ADMINISTRATIVO ORAL DE MEDELLIN</t>
  </si>
  <si>
    <t>TRIBUNAL ADMIINSTRATIVO DE  ANTIOQUIA</t>
  </si>
  <si>
    <t>ROBERTO ALFREDO VARGAS GONZALEZ</t>
  </si>
  <si>
    <t>EXT16-00077800</t>
  </si>
  <si>
    <t xml:space="preserve"> EXT18-00095983</t>
  </si>
  <si>
    <t>11 001 3331 021 2011 00565 00</t>
  </si>
  <si>
    <t>EN EL ANEXO ES EL No. 134
MEDIANTE OFI18-00044731 SE DA RESPUESTA AL   EXT18-00095983  F.</t>
  </si>
  <si>
    <t>ANIBAL SANDOVAL TRUJILLO</t>
  </si>
  <si>
    <t xml:space="preserve"> EXT16-00085480</t>
  </si>
  <si>
    <t>EXT16-00091499</t>
  </si>
  <si>
    <t>EXT16-00083593</t>
  </si>
  <si>
    <t>REMITE COPIA AUTENTICADA</t>
  </si>
  <si>
    <t>EXT16-00084456</t>
  </si>
  <si>
    <t>REMITE COPIA DE SENTENCIA</t>
  </si>
  <si>
    <t>EXT17-00070113</t>
  </si>
  <si>
    <t>76 001 2333 000 2012 00288 00</t>
  </si>
  <si>
    <t>EN EL ANEXO ES EL No. 277 OJO PARECIDA A LA DE JOSE EUTIMIO ORTIZ VELEZ</t>
  </si>
  <si>
    <t>1039/2017</t>
  </si>
  <si>
    <t>1454/17</t>
  </si>
  <si>
    <t>2366918</t>
  </si>
  <si>
    <t>DR. CARLOS HERNAN RIAÑO ORDOÑEZ chro_50@hotmail.com
ansatru@hotmail.com.co 
29/01/18</t>
  </si>
  <si>
    <t>LUIS ANTONIO FLOREZ ZULETA</t>
  </si>
  <si>
    <t>EXT16-00079083</t>
  </si>
  <si>
    <t>EXT17-00009296</t>
  </si>
  <si>
    <t>EXT16-00033400</t>
  </si>
  <si>
    <t>EXT15-00035504</t>
  </si>
  <si>
    <t>EXT14-00051366</t>
  </si>
  <si>
    <t>EXT18-00007081</t>
  </si>
  <si>
    <t>04/05/2017
MEDIANTE OFI17-00031426 30/08/2017 SE ENVIAN DOCUMENTOS  EN FOTOCOPIAS EN 39 FOLIOS
ENTREGADO Y LIQUIDADO 02/10/2017
LIQUIDADO NPA</t>
  </si>
  <si>
    <t>11 001 3335 015 2012 00152 00</t>
  </si>
  <si>
    <t>EN EL ANEXO ES EL No. 112
(SE DA RESPUESTA 
MEDIANTE OFI17-00006445 22/02/2017)A OFI17-00002273 19/01/18 L OFI18-00004024 31/01/18 L</t>
  </si>
  <si>
    <t>30-01-2018
1-32-244-439-370
NO FIGURAN.</t>
  </si>
  <si>
    <t>0484-18</t>
  </si>
  <si>
    <t>LUZ BELEN RICARDO HERNANDEZ
(se eliminó por solo contar con primera instancia)</t>
  </si>
  <si>
    <t>MAURICIO RUBIANO JIMENEZ</t>
  </si>
  <si>
    <t>05 001 3333 008 2013 00187 00</t>
  </si>
  <si>
    <t>NO SE ENCUENTRA EN LOS ANEXOS
NO APARECE IMPUESTO</t>
  </si>
  <si>
    <t>JUZGADO OCTAVO ADMINISTRATIVO DE MEDELLIN</t>
  </si>
  <si>
    <t>NRD-</t>
  </si>
  <si>
    <t>DAS, sucesor procesal MIGRACION COLOMBIA</t>
  </si>
  <si>
    <t>JEISSON HERNANDO HERNANDEZ CARVAJAL</t>
  </si>
  <si>
    <t>RONAL ALEXIS JIMENEZ SANCHEZ</t>
  </si>
  <si>
    <t>EXT16-00079758</t>
  </si>
  <si>
    <t>EXT18-00014474</t>
  </si>
  <si>
    <r>
      <rPr>
        <sz val="9"/>
        <rFont val="Arial Narrow"/>
        <family val="2"/>
      </rPr>
      <t xml:space="preserve">24/05/2017
</t>
    </r>
    <r>
      <rPr>
        <sz val="9"/>
        <color rgb="FFFF0000"/>
        <rFont val="Arial Narrow"/>
        <family val="2"/>
      </rPr>
      <t xml:space="preserve">
</t>
    </r>
    <r>
      <rPr>
        <sz val="9"/>
        <rFont val="Arial Narrow"/>
        <family val="2"/>
      </rPr>
      <t>DEVUELVE 02/10/2017
23/02/18 LTK
DEVUELTOS NPA
ENTREGADOS LTK</t>
    </r>
  </si>
  <si>
    <t>23 001 3331 005 2012 00049 00</t>
  </si>
  <si>
    <t>27/112013</t>
  </si>
  <si>
    <t>LUIS FRANCISCO MUÑOZ VARGAS</t>
  </si>
  <si>
    <t>EXT16-00080365</t>
  </si>
  <si>
    <t>EXT17-00001788</t>
  </si>
  <si>
    <t>EXT17-00005809</t>
  </si>
  <si>
    <t>EXT|8-00024856</t>
  </si>
  <si>
    <t>EXT18-00037886</t>
  </si>
  <si>
    <t>20/05/2018
29/05/2018</t>
  </si>
  <si>
    <t>may-18
may-18</t>
  </si>
  <si>
    <t>EXT18-00048157 
EXT18-00028157</t>
  </si>
  <si>
    <t>SOLICITUD DE INFORMACION
SOLICITUD DE INFORMACION</t>
  </si>
  <si>
    <t>41 001 3331 001 2008 00100 01</t>
  </si>
  <si>
    <t>EN EL DECRETO ES LA No.03
SE DA RESPUESTA MEDIANTE OFI18-00020391 22/05/18 E 
CORREO ELECTRÓNICO 12/09/18
CORREO ELECTRÓNICO 12/09/18</t>
  </si>
  <si>
    <t>JUZGADP PRIMERO ADMINISTRATIVO DE NEIVA</t>
  </si>
  <si>
    <t>DAS, UNP sucesor procesal, y MININTERIOR</t>
  </si>
  <si>
    <t xml:space="preserve">framuvarabogado@yahoo.es </t>
  </si>
  <si>
    <t>ANDRES DAVID PADILLA ESCOBAR</t>
  </si>
  <si>
    <t>EXT16-00081139</t>
  </si>
  <si>
    <t>EXT16-00097514</t>
  </si>
  <si>
    <t>EXT15-00039620</t>
  </si>
  <si>
    <t xml:space="preserve">COMUNICACIÓN </t>
  </si>
  <si>
    <t>EXT14-00066207</t>
  </si>
  <si>
    <t>EXT16-00022119</t>
  </si>
  <si>
    <t xml:space="preserve">COMUNICACION </t>
  </si>
  <si>
    <t>EXT18-00059657</t>
  </si>
  <si>
    <t>JUZGADO QUINTO ADMINISTRATIVO MIXTO DEL CIRCUITO JUDICIAL DE MONTERIA</t>
  </si>
  <si>
    <t xml:space="preserve">REMITE PROCESO EJECUTIVO </t>
  </si>
  <si>
    <t>EXT18-00065322</t>
  </si>
  <si>
    <t>23 001 3331 001 2012 00240 00</t>
  </si>
  <si>
    <t>EN EL DECRETO ES LA No. 363
SE SOLICITA DOCUMENTACION MEDIANTE OFI18-00003245 25/01/18 L</t>
  </si>
  <si>
    <t>JUZGADO SEGUNDO ADMIISTRATIVO DE DESCONGESTION DE MONTERIA</t>
  </si>
  <si>
    <t>09-02-2018
100224333-284
NO SE ENCONTRO REGISTRO</t>
  </si>
  <si>
    <t>23 001 3333 005 2018 00356 00</t>
  </si>
  <si>
    <t>ROBERTO SOPO CARRILLO</t>
  </si>
  <si>
    <t>TRBUNAL</t>
  </si>
  <si>
    <t>EXT17-00011143</t>
  </si>
  <si>
    <t>SOLICITUD DE PAGO OFICIOSO</t>
  </si>
  <si>
    <t>EXT17-00030010</t>
  </si>
  <si>
    <t>EXT17-00101974</t>
  </si>
  <si>
    <t>EXT14-00057019</t>
  </si>
  <si>
    <t>SOLICITUD DE CORRECCION</t>
  </si>
  <si>
    <t>23/11/2016
26/04/2017
29/01/2018
17/04/2018</t>
  </si>
  <si>
    <t>nov-16
abr-17
ene-18
abr-18</t>
  </si>
  <si>
    <t>EXT16-00090791
EXT17-00030430
EXT18-00007037
EXT18-00033622</t>
  </si>
  <si>
    <t>TRIBUNAL
ABOGADA
ABOGADA
ABOGADA</t>
  </si>
  <si>
    <t>COMUNICACIÓN SENTENCIA
COMUNICADO PARA INICIAR TRAMITE DE PAGO
ALLEGA CERTIFICACION BANCARIA ACTUALIZADA
ALLEGA PODER</t>
  </si>
  <si>
    <t>11 001 3331 708 2010 00286 00</t>
  </si>
  <si>
    <t>EN EL ANEXO ES EL No.49 LA SENTENCIA DEL TRIBUNAL ORDENA LIQUIDAR SEGÚN LO DEVENGADO POR EL ESCOLTA DE PLANTA OJO
(SE DA RESPUESTA MEDIANTE OFI17-00007814 03/03/17/ OFI17-00016489 10/05/17)A OFI17-00048300 28/12/17 N</t>
  </si>
  <si>
    <t>JUZGADO OCTAVO ADMINISTRATIVO DE DESCONGESTION DE BOGOTA</t>
  </si>
  <si>
    <t>RAMIRO SEGUNDO BENITEZ DIAZ</t>
  </si>
  <si>
    <t>EXT16-00080922</t>
  </si>
  <si>
    <t>EXT16-00095569</t>
  </si>
  <si>
    <t>EXT16-00098849</t>
  </si>
  <si>
    <t>EXT18-00005160</t>
  </si>
  <si>
    <t>23 001 3331 003 2011 00235 00</t>
  </si>
  <si>
    <t>EN EL DECRETO ES LA No. 372
(SE DA RESPUESTA MEDIANTE OFI17-00001327 17/01/17)A OFI18-00001992 17/01/18 L</t>
  </si>
  <si>
    <t>JUZGADO PRIMERO ADMIISTRATIVO DE DESCONGESTION DE MONTERIA</t>
  </si>
  <si>
    <t>YONY JAIRO MARQUEZ BELTRAN</t>
  </si>
  <si>
    <t>EXT16-00082465</t>
  </si>
  <si>
    <r>
      <rPr>
        <sz val="9"/>
        <rFont val="Arial Narrow"/>
        <family val="2"/>
      </rPr>
      <t>24/05/2017</t>
    </r>
    <r>
      <rPr>
        <sz val="9"/>
        <color rgb="FFFF0000"/>
        <rFont val="Arial Narrow"/>
        <family val="2"/>
      </rPr>
      <t xml:space="preserve">
</t>
    </r>
    <r>
      <rPr>
        <sz val="9"/>
        <rFont val="Arial Narrow"/>
        <family val="2"/>
      </rPr>
      <t>MEDIANTE OFI17-00031864 01/09/2017 SE ENVIAN 12 FOLIOS DEL EXPEDIANTE EN FOTOCOPIAS
DEVUELVE 02/10/2017
23/02/18 LTK
DEVUELTOS NPA
POR ENTREGAR LTK</t>
    </r>
  </si>
  <si>
    <t>11 001 3335 011 2015 00252 00</t>
  </si>
  <si>
    <t>EN EL DECRERO ES LA No. 37 DEL ACAPITE DE CONCILIACIONES PREJUDICALES</t>
  </si>
  <si>
    <t>JUZGADO ONCE ADMINISTRATIVO DE BOGOTA</t>
  </si>
  <si>
    <t>OBER HERNEY ROJAS MORALES</t>
  </si>
  <si>
    <t>EXT16-00082787</t>
  </si>
  <si>
    <t>EXT17-00039766</t>
  </si>
  <si>
    <t>EXT16-00087919</t>
  </si>
  <si>
    <t>05/05/2017
ENTREGADO Y LIQUIDADO 29/08/2017
23/02/18 LTK
LIQUIDADO NPA
DEVUELTOS LTK,  RAD:LTK-004-026-2018 , 27/04/2018</t>
  </si>
  <si>
    <t>05 001 3331 002 2012 00179 00</t>
  </si>
  <si>
    <t>EN EL DECRETO ES EL No.580  Y 632 APARECE COMO REINTEGRO
SE DA RESPUESTA MEDIANTE OFI16-00050077 25/11/16 G OFI16-00050813 30/11/16 G OFI18-00002301 19/01/18 L</t>
  </si>
  <si>
    <t>22-02-2018
000457
NO FIGURAN.</t>
  </si>
  <si>
    <t>MARCO FABIAN CLAVIJO AMAYA</t>
  </si>
  <si>
    <t>SANDRA MARISOL VASQUEZ MORALES</t>
  </si>
  <si>
    <t>EXT15-00064129</t>
  </si>
  <si>
    <t>18/05/18 LTK
20/02/18 LTK
ENTREGADO POR LTK 26-06-2018
ENTREGADO POR LTK 04-09-2018</t>
  </si>
  <si>
    <t>76 001 2333 000 2013 00409 01</t>
  </si>
  <si>
    <t xml:space="preserve">EN EL ANEXO ES EL REGISTRO 271 (249) OJO APARECE CON OTRO RADICADO PROBABLEMENTE DEL JUZGADO DE DESCONGESTION QUE APARECE </t>
  </si>
  <si>
    <t>TRIBUNAL ADMIISTRATIVO DE VALLE DEL CAUCA</t>
  </si>
  <si>
    <t>CONSEJO DE ESTADO, SALA DE LO CONTENCIOSO ADMINISTRATIVO, SECCION SEGUNDA SUBSECCION A</t>
  </si>
  <si>
    <t>DAS, UNP sucesor procesal</t>
  </si>
  <si>
    <t>JUAN GUILLERMO GONZALEZ VILLA</t>
  </si>
  <si>
    <t>VIATICOS 2015</t>
  </si>
  <si>
    <t>JUZGADO CUARENTA Y OCHO ADMINISTRATIVO DE BOGOTA</t>
  </si>
  <si>
    <t>CONCILIACION VIATICOS</t>
  </si>
  <si>
    <t>0776/2016</t>
  </si>
  <si>
    <t>MEM16-00019282 28/10/2016</t>
  </si>
  <si>
    <t>0777/2016</t>
  </si>
  <si>
    <t>HERNAN EDUARDO MENESES RODRIGUEZ</t>
  </si>
  <si>
    <t>EXT16-00083864</t>
  </si>
  <si>
    <t>EXT16-00100329</t>
  </si>
  <si>
    <t>EXT17-00021214</t>
  </si>
  <si>
    <t>EXT15-00001666</t>
  </si>
  <si>
    <t>EXT17-00005995</t>
  </si>
  <si>
    <t>EXT18-00017563</t>
  </si>
  <si>
    <t>EXT18-00068444</t>
  </si>
  <si>
    <t>24/05/2017
ENTREGADO Y LIQUIDADO 29/08/2017
23/02/18 LTK
LIQUIDADO NPA
DEVUELTOS LTK,  RAD:LTK-004-026-2018 , 27/04/2018</t>
  </si>
  <si>
    <t>41 001 3331 003 2011 00291 00</t>
  </si>
  <si>
    <t>JUZGADO PRIMERO ADMINISTRATIVO DE DESCONGESTION DE NEIVA</t>
  </si>
  <si>
    <t>CESAR AUGUSTO CASTILLO DOMINGUEZ</t>
  </si>
  <si>
    <t>EXT16-00084786</t>
  </si>
  <si>
    <t>EXT16-00086760</t>
  </si>
  <si>
    <t>EXT14-00056294</t>
  </si>
  <si>
    <t>EXT15-00000056</t>
  </si>
  <si>
    <t>OFICIO REMISION</t>
  </si>
  <si>
    <t>76 001 3331 701 2011 00061 00</t>
  </si>
  <si>
    <t>EN EL DECRETO ES EL No. 228
EN EL EXPEDIENTE  APARECE 1L 18/03/14 COMO FECHA DE EJECUTORIA, PERO SE DEDUCE QUE ES EL 18/03/15 DESPUES DE LA SNETENCIA DE PRIMERA INSTANCIA
SE SOLICITAN DOCUMENTOS MEDIANTE OFI18-00002519  22/01/18 L</t>
  </si>
  <si>
    <t>JUZGADO PRIMERO ADMINISTRATIVO DE DESCONGESTION DE CALI</t>
  </si>
  <si>
    <t>30-01-2018
115242448-117-JJDR
NO FIGURAN.</t>
  </si>
  <si>
    <t>0479-18</t>
  </si>
  <si>
    <t>CONSULTINGRISK@CR-ABOGADOS.COM
28/05/18</t>
  </si>
  <si>
    <t>LAURA PAOLA JIMENEZ PEÑA Y OTROS
VIVIANA GOMEZ PEDRAZA
CAMILO ALEJANDRO JIMENEZ GOMEZ
INGRID STELLA JIMENEZ PEÑA
KAREN JHOANA JIMENEZ PEÑA
SHAIRA ALEJANDRA JIMENEZ PEÑA
DIANA IVONNE JIMENEZ PEÑA
LAURA PAOLA JIMENEZ PEÑA
CARLOS HUMBERTO JIMENEZ ARENAS
ELVIA LUCIA JIMENEZ ARENAS</t>
  </si>
  <si>
    <t xml:space="preserve">1.012.335.503
68.297.653
1.024.475.796
1.012.335.507
80.261.773
39.637.382
</t>
  </si>
  <si>
    <t>MIGUEL ANGEL GONZALEZ REYES</t>
  </si>
  <si>
    <t>EXT16-00084936</t>
  </si>
  <si>
    <t>EXT16-00093400</t>
  </si>
  <si>
    <t>EXT17-00003065</t>
  </si>
  <si>
    <t>EXT17-00016986</t>
  </si>
  <si>
    <t>EXT17-00041787</t>
  </si>
  <si>
    <t>EJECUCION DE SENTENCIA</t>
  </si>
  <si>
    <t>08/08/2017
17/08/2017
18/08/2017
26/01/2018</t>
  </si>
  <si>
    <t>ago-17
ago-17
ago-17
ene-18</t>
  </si>
  <si>
    <t>EXT17-00060303
EXT17-00063392
EXT17-00064030
EXT18-00006889</t>
  </si>
  <si>
    <t>BENEFICIARIA
BENEFICIARIO
BENEFICIARIO
ABOGAD</t>
  </si>
  <si>
    <t xml:space="preserve">DERECHO DE PETICON
DERECHO DE PETICION
DERECHO DE PETICION
ALLEGA CERTIFICACION BANCARIA ACTUALIZADA  </t>
  </si>
  <si>
    <t>54 001 3331 000 2006 01109 00</t>
  </si>
  <si>
    <t>TRIBUNAL ADMIISTRATIVO DE NORTE DE SANTANDER</t>
  </si>
  <si>
    <t>MINDEFENSA, EJERCITO, POLICIA, DAS.</t>
  </si>
  <si>
    <t xml:space="preserve">30-01-2018
1-32-244-439-371
NO FIGURAN.
13-02-2018
1-32-244-439-939
NO FIGURAN.
13-02-2018
1-32-244-439-938
NO FIGURAN. (CARLOS HUMBERTO JIMENEZ ARENAS)
13-02-2018
1-32-244-439-932
NO FIGURAN. (INGRID STELLA JIMENEZ PEÑA)
13-02-2018
1-32-244-439-940
NO FIGURAN. (DIANA IVONNE JIMENEZ PEÑA)
</t>
  </si>
  <si>
    <t>FAIVER ALEXANDER ACERO MARTINEZ</t>
  </si>
  <si>
    <t>EXT16-00087421</t>
  </si>
  <si>
    <t>EXT17-00009294</t>
  </si>
  <si>
    <t>EXT15-00029647</t>
  </si>
  <si>
    <t>04/05/2017
MEDIANTE OFI17-00028621 DEL 09/08/2017 SE ENTREGAN DOCUMENTOS EN 84 FOLIOS
ENTREGADO Y LIQUIDADO 29/08/2017
23/02/18 LTK
LIQUIDADO NPA
POR ENTREGAR LTK</t>
  </si>
  <si>
    <t>11 001 3331 716 2012 00037 00</t>
  </si>
  <si>
    <t>EN EL DECRETO ES LA 144
SE SOLICITAN DOCUMENTOS OFI18-00003071 24/01/18 L</t>
  </si>
  <si>
    <t>13-02-2018
1-32-244-439-937
NO FIGURAN.</t>
  </si>
  <si>
    <t>EXT16-00086533</t>
  </si>
  <si>
    <t>EXT15-00041867</t>
  </si>
  <si>
    <t>DIRECCION NACIONAL DE INTELIGENCIA - DNI</t>
  </si>
  <si>
    <t>EXT18-00059653</t>
  </si>
  <si>
    <t>REMITE PROCESO EJECUTIVO</t>
  </si>
  <si>
    <t>EXT18-00065895</t>
  </si>
  <si>
    <t>JUZGADO QUINTO ADMINISTRATIVO MIXTO DEL CIRCUITO DE MONTERIA</t>
  </si>
  <si>
    <t>REMITE AUTO QUE LIBRA MANDAMIENTO DE PAGO</t>
  </si>
  <si>
    <t>23 001 3331 005 2011 00219 00</t>
  </si>
  <si>
    <t>23 001 3333 005 2018 00362 00</t>
  </si>
  <si>
    <t>CARLOS ALBERTO PIRACON TORRES</t>
  </si>
  <si>
    <t>EXT16-00088567</t>
  </si>
  <si>
    <t>EXT15-00024673</t>
  </si>
  <si>
    <t>NOTIFICACION  ESTADO</t>
  </si>
  <si>
    <t>EXT15-00027862</t>
  </si>
  <si>
    <t>EXT18-00008071</t>
  </si>
  <si>
    <t>11 001 3335 008 2014 00221 00</t>
  </si>
  <si>
    <t>NO SE ENCUENTRA EN LOS ANEXOS
EL JUZGADO ORDENA QUE LA UNP PAGUE
OFI18-00002007 17-01-18 L OFI18-00005654 12/02/18 L</t>
  </si>
  <si>
    <t>JUZGADO OCTAVO ADMINISTRATIVO ORAL DE BOGOTA</t>
  </si>
  <si>
    <t>MIGUEL ANGEL MUÑOZ NAVIA</t>
  </si>
  <si>
    <t>EXT16-00088352</t>
  </si>
  <si>
    <t>24/05/2017
NO PERTENECIERON AL CONTRATO 438/17 NPA NO TIENE INFORMACION
23/02/18 LTK 
ENTREGADOS LTK</t>
  </si>
  <si>
    <t>05 001 3333 028 2013 00087 00</t>
  </si>
  <si>
    <r>
      <rPr>
        <sz val="9"/>
        <rFont val="Arial Narrow"/>
        <family val="2"/>
      </rPr>
      <t xml:space="preserve">NO SE ENCUENTRA EN EL DECRETO EL FALLO DICE QUE SE INCORPORO A MIGRACION COLOMBIA
</t>
    </r>
    <r>
      <rPr>
        <sz val="9"/>
        <color rgb="FFFF0000"/>
        <rFont val="Arial Narrow"/>
        <family val="2"/>
      </rPr>
      <t xml:space="preserve">
</t>
    </r>
    <r>
      <rPr>
        <sz val="9"/>
        <rFont val="Arial Narrow"/>
        <family val="2"/>
      </rPr>
      <t>SE REMITEN A MIGRACION MEDIANTE OFI17-00020395 07/06/17 G SE DEJA COPIA COPIA DE LOS DOCUMENTOS Y SE ENVIAN LOS ORIGINALES 
MEDIANTE OFI18-00004707 L SE SOLICITA EL ESTADO DEL PROCESO A MIGRACION</t>
    </r>
  </si>
  <si>
    <t>JUZGADO VEINTIOCHO ADMISTRATIVO ORAL DE MEDELLIN</t>
  </si>
  <si>
    <t>MILTON CESAR RINCON GARCIA</t>
  </si>
  <si>
    <t xml:space="preserve">EXT16-00088700
</t>
  </si>
  <si>
    <t>EXT17-00001346</t>
  </si>
  <si>
    <t>EXT18-00033625</t>
  </si>
  <si>
    <t>SOLICITUD DE PAGO- ALLEGA DOCUMENTOS</t>
  </si>
  <si>
    <t>24/05/2017
ENTREGADO Y LIQUIDADO 02/10/2017
23/02/18 LTK
LIQUIDADO NPA
DEVUELTOS LTK,  RAD:LTK-004-026-2018 , 27/04/2018</t>
  </si>
  <si>
    <t>11 001 3331 011 2011 00153 00</t>
  </si>
  <si>
    <t>EN EL ANEXO ES EL 55 PEDIR CD
SE SOLICITAN DCUMENTOS MEDIANTE OFI18-00003216 25/01/18 L</t>
  </si>
  <si>
    <t>JUZGADO PRIMERO ADMINISTRATIVO DE DESCONGESTION DEBOGOTA</t>
  </si>
  <si>
    <t>EDGAR ALBERTO RONCANCIO VILLA</t>
  </si>
  <si>
    <t xml:space="preserve">EXT16-00088964 
</t>
  </si>
  <si>
    <t>EXT16-00090846</t>
  </si>
  <si>
    <t>EXT16-00082482</t>
  </si>
  <si>
    <t>EXT17-00002540</t>
  </si>
  <si>
    <t>EXT17-00002330</t>
  </si>
  <si>
    <t>17/01/2017
24/10/2017
30/10/2014
08/05/2015
16/01/2017
28/03/2017</t>
  </si>
  <si>
    <t>ene-17
oct-17
oct-14
may-15
ene-16
mar-17</t>
  </si>
  <si>
    <t>EXT17-00002983
EXT17-00082881
EXT14-00056115
EXT15-00020165
EXT17-00002540
EXT17-00022323</t>
  </si>
  <si>
    <t xml:space="preserve">ABOGADA
ABOGADA
JUZGADO
JUZGADO
ABOGADA
ABOGADA
</t>
  </si>
  <si>
    <t>SOLICITUD DE PAGO
SOLICITUD DE PAGO / RESPUESTA OFI17-00012002 03/04/17
COMUNICACIÓN
SOLICITUD
COMUNICADO INICIAR TRAMITE OFICIOSO
SOLICITUD DE PAGO</t>
  </si>
  <si>
    <r>
      <rPr>
        <sz val="9"/>
        <rFont val="Arial Narrow"/>
        <family val="2"/>
      </rPr>
      <t>24/05/2017</t>
    </r>
    <r>
      <rPr>
        <sz val="9"/>
        <color rgb="FFFF0000"/>
        <rFont val="Arial Narrow"/>
        <family val="2"/>
      </rPr>
      <t xml:space="preserve">
</t>
    </r>
    <r>
      <rPr>
        <sz val="9"/>
        <rFont val="Arial Narrow"/>
        <family val="2"/>
      </rPr>
      <t>MEDIANTE  OFI17-00031878  04/09/2017 SE ENVIAN DOCUMENTOS EN FOTOCOPIAS EN 3 FOLIOS
ENTREGADO Y LIQUIDADO 02/10/2017
23/02/18 LTK
LIQUIDADO NPA
DEVUELTOS LTK,  RAD:LTK-004-026-2018 , 27/04/2018</t>
    </r>
  </si>
  <si>
    <t>11 001 3335 025 2012 00325 00</t>
  </si>
  <si>
    <t>EN EL ANEXO ES EL 159 PERO EL NUMERO DEL PROCESO NO COINCIDE
(SE DA RESPUESTA MEDIANTE OFI17-00001978 20/01/2017)A</t>
  </si>
  <si>
    <t>JUZGADO VEINTICINCO ADMINISTRATIVO ORAL DE BOGOTA</t>
  </si>
  <si>
    <t>13-02-2018
1-32-244-439-941
NO FIGURAN.</t>
  </si>
  <si>
    <t>HERNAN MIRANDA BARRIOS Y OTRO (ANGEL ANTONIO)</t>
  </si>
  <si>
    <t>ALBA LIDIA ARIAS VARGAS</t>
  </si>
  <si>
    <t>EXT16-00089150</t>
  </si>
  <si>
    <t xml:space="preserve">EXT16-00096874
</t>
  </si>
  <si>
    <t>EXT17-00049348</t>
  </si>
  <si>
    <t>ENVÍA CERTIFICACIONES BANCARIAS ACTUALIZADAS DE TODOS</t>
  </si>
  <si>
    <t>EXT18-00020597</t>
  </si>
  <si>
    <t xml:space="preserve">SOLICITUD DE INFORMACION </t>
  </si>
  <si>
    <t>23/03/2018
03/04/2018
10/04/2018</t>
  </si>
  <si>
    <t>mar-18
abr-18
abr-18</t>
  </si>
  <si>
    <t>EXT18-00026092
EXT18-00028001
EXT18-00030990</t>
  </si>
  <si>
    <t>ABOGADA
ABOGADA
ABOGADA</t>
  </si>
  <si>
    <t>SOLICITUD SOPORTES DE PAGO
RECURSO DE REPOSICION
RECURSO DE REPOSICION</t>
  </si>
  <si>
    <t>41 001 3331 006 2007 00036 00</t>
  </si>
  <si>
    <t>EL TRIBUNAL ORDENA EN SU NUMERAL PRIMERO PAGO A CARGO DE LA UNP POR SER SUCERO PROCESAL EN LA PAGINA 15 DEL FALLO DEL TRIBUNAL SE HABLA SOBRE LA SUCESION PROCESAL A FAVOR DE LA UNP, LA CUAL SE HIZO POR AUTO EN PRIMERA INSTANCIA
TRIBNAL ADICIONA SENTENCIA EN EL SENTIDO DE CONDENAR A LA UNP
(SE DA RESPUESTA MEDIANTE CORREO ELECTRONICO 04/07/17)A OFI18-00026092 12/04/18 L OFI18-00012960 22/03/18 E OFI18-00015923 24/04/18 L OFI18-00015926 24/04/18 L
DECIDIMOS PAGAR SOLO LA MITAD QUE NOS CORRESPONDIA  W.</t>
  </si>
  <si>
    <t>TRIBUNAL ADMINISTATIVO CONTENCIOSO DEL HUILA</t>
  </si>
  <si>
    <t>0261/18</t>
  </si>
  <si>
    <t>$ 43.666.740
(ANGEL ANTONIO MIRANDA AVILES)
$ 43.666.740
(HERNAN MIRANDA BARRIOS)</t>
  </si>
  <si>
    <t>55600218
(ANGEL ANTONIO MIRANDA AVILES)
55579518
(HERNAN MIRANDA BARRIOS)</t>
  </si>
  <si>
    <t>06/03/2018
(ANGEL ANTONIO MIRANDA AVILES)
06/03/2018
(HERNAN MIRANDA BARRIOS)</t>
  </si>
  <si>
    <t>ABOGADA.ALBALIDIA@HOTMAIL.COM
08/03/18</t>
  </si>
  <si>
    <t>JHON GERARDO GIRALDO RUBIO</t>
  </si>
  <si>
    <t>EXT16-00087039</t>
  </si>
  <si>
    <t>EXT16-00089592</t>
  </si>
  <si>
    <t>EXT17-00001925</t>
  </si>
  <si>
    <t>DOCUMENTOS FALTANTES</t>
  </si>
  <si>
    <t>EXT17-00006028</t>
  </si>
  <si>
    <t>EXT17-00012134</t>
  </si>
  <si>
    <t>68 001 2331 000 2009 00146 00</t>
  </si>
  <si>
    <t>26-10-2018
1-32-244-439-9880
NO PRESENTA DEUDA</t>
  </si>
  <si>
    <t>EDGAR RUIDIAZ VILLAREAL</t>
  </si>
  <si>
    <t>EXT16-00089761</t>
  </si>
  <si>
    <t>EXT17-00011913</t>
  </si>
  <si>
    <t>11 001 3335 011 2014 00251 00</t>
  </si>
  <si>
    <t xml:space="preserve">NO SE ENCUENTRA EN LOS ANEXOS
TRIBUNAL DECRETA SUCESION PROCESAL </t>
  </si>
  <si>
    <t>JUZGADO ONCE ADMINISTRATIVO ORAL DE BOGOTA</t>
  </si>
  <si>
    <t>CARLOS HERNANDO SARMIENTO GARZON</t>
  </si>
  <si>
    <t>EXT16-00090155</t>
  </si>
  <si>
    <t>EXT16-00096760</t>
  </si>
  <si>
    <t>EXT16-00069858</t>
  </si>
  <si>
    <t>EXT16-00066128</t>
  </si>
  <si>
    <t>EXT16-000978901</t>
  </si>
  <si>
    <t>REMISION DE SENTENCIA</t>
  </si>
  <si>
    <t>24/05/2017
NO PERTENECIERON AL CONTRATO 438/17 NPA NO TIENE INFORMACION 
23/02/18 LTK
ENTREGADOS LTK</t>
  </si>
  <si>
    <t>11 001 3335 013 2013 00592 00</t>
  </si>
  <si>
    <t>JUZGADO TRECE ADMINISTRATIVO DE BOGOTA</t>
  </si>
  <si>
    <t>ALEJANDRO CAMERO MARTINEZ</t>
  </si>
  <si>
    <t>EXT16-00090799</t>
  </si>
  <si>
    <t>EXT17-00011140</t>
  </si>
  <si>
    <t>EXT17-00040656</t>
  </si>
  <si>
    <t>EXT17-00101976</t>
  </si>
  <si>
    <t>ALCANCE A LA SOLICITUD DE PAGO</t>
  </si>
  <si>
    <t>11 001 3331 708 2011 00143 00</t>
  </si>
  <si>
    <t>EN EL ANEXO ES LA 54
SE DA RESPUESTA MEDIANTE OFI17-00048304 N OFI17-00006208 21/02/17 G</t>
  </si>
  <si>
    <t>08-03-2018
1-32-244-439-1654
NO FIGURAN.</t>
  </si>
  <si>
    <t>DIANA ZORAYA CARABAÑO PLAZAS</t>
  </si>
  <si>
    <t>CESAR AUGUSTO TORRES ESPINEL</t>
  </si>
  <si>
    <t>EXT16-00090822</t>
  </si>
  <si>
    <t>23/02/18 LTK
DEVUELVE 27/03/18
DEVUELTOS LTK</t>
  </si>
  <si>
    <t>11 001 3335 019 2014 00169 00</t>
  </si>
  <si>
    <t>EN EL ANEXO ES LA 19
DIRECTA
JUZGADO VEINTIDOS ADMINISTRATIVO DE ORALIDAD ORDENA EL PAGO
MEDIANTE SENTENCIA DE SEGUNDA INSTANCIA PROFERIDA POR EL TRIBUNAL ADMINISTRATIVO DE CUNDINAMARCA SECCION SEGUNDA SUBSECCION A DEL 03/11/16 REVOCA LA SENTENCIA PROFERIDA POR EL JUZGADO DIECINUEVE ADMINISTRATIVO DE ORALIDAD DEL CIRCUITO JUDICIAL DE BOGOTA DEL 14/06/16. NEGANDOSE LAS PRETENSIONES DEL ACCIONANTE.
HOY OCT 18/18, VEO QUE EN 2A INSTANCIA LE NEGARON TODO  W.</t>
  </si>
  <si>
    <t>JUZGADO DIECINUEVE ADMINISTRATIVODE ORALIDAD DEL CIRCUITO JUDIACIAL DE BOGOTA</t>
  </si>
  <si>
    <t>TRIBUNAL ADMINISTRATIVO DE CUNDINAMARCA SECCION SEGUNDA SUBSECCION A</t>
  </si>
  <si>
    <t>OSCAR VACA SALGUERO</t>
  </si>
  <si>
    <t>EXT16-00090804</t>
  </si>
  <si>
    <t>EXT16-00098353</t>
  </si>
  <si>
    <t>11 001 3331 028 2011 00529 00</t>
  </si>
  <si>
    <t xml:space="preserve">26-10-2018
1-32-244-439-9881
NO PRESENTA DEUDA
</t>
  </si>
  <si>
    <t>DANNY SILVA VALENCIA</t>
  </si>
  <si>
    <t>EXT16-00091497</t>
  </si>
  <si>
    <t>EXT15-00015171</t>
  </si>
  <si>
    <t>CITACION AUDIENCIA CONCILIATORIA</t>
  </si>
  <si>
    <t>EXT16-00094774</t>
  </si>
  <si>
    <t>76 001 2331 000 2012 00338 00</t>
  </si>
  <si>
    <t xml:space="preserve">EN EL ANEXO  ES LA 303
OJO EL TRIBUNAL ORDENA QUE SELIQUIDE CON EL PROMEDIO MENSUAL DE TODA LA REMUNERACION
OFI17-00000262 05/01/17 SE RESPONDE  EXT16-00091497 Y OFI17-00000272 05/01/17 SE RESPONDE EXT16-00094774/G
</t>
  </si>
  <si>
    <t>TRIBUNAL ADMINISTRATIVO DEL VALLE</t>
  </si>
  <si>
    <t>0914/2017</t>
  </si>
  <si>
    <t>1513/17</t>
  </si>
  <si>
    <t>DR. CARLOS HERNAN RIAÑO ORDOÑEZ chro_50@hotmail.com dannysilvavalencia@hotmail.com 
01/02/18</t>
  </si>
  <si>
    <t>GUILLERMO BENEDETTI CHARRY</t>
  </si>
  <si>
    <t>JORGE LUIS PARRA RAMOS</t>
  </si>
  <si>
    <t>EXT16-00090811</t>
  </si>
  <si>
    <t>EXT17-00014424</t>
  </si>
  <si>
    <t>EXT17-00031124</t>
  </si>
  <si>
    <t>ALLEGA DOCUEMNTOS</t>
  </si>
  <si>
    <t>EXT17-00070919</t>
  </si>
  <si>
    <t>EXT17-00004049</t>
  </si>
  <si>
    <t>MEDIO DE CONTROL</t>
  </si>
  <si>
    <t>29/03/2017
30/04/18</t>
  </si>
  <si>
    <t>mar-17
abr-18</t>
  </si>
  <si>
    <t>EXT17-00022803
EXT18-00037539</t>
  </si>
  <si>
    <t>ABOGADO
BENEFICIARIO</t>
  </si>
  <si>
    <t>MEDIO DE CONTROL
DERECHO DE PETICION</t>
  </si>
  <si>
    <t>EXT18-00058944</t>
  </si>
  <si>
    <t>11 001 3331 010 2011 00447 00</t>
  </si>
  <si>
    <t>29-10-2018
100224333-1978
NO SE ENCONTRO REGISTRO</t>
  </si>
  <si>
    <t>JORGE GREGORIO CORZO GOMEZ</t>
  </si>
  <si>
    <t>EXT16-00092560</t>
  </si>
  <si>
    <t>EXT17-00005374</t>
  </si>
  <si>
    <t>EXT17-00094396</t>
  </si>
  <si>
    <t>EXT14-00066490</t>
  </si>
  <si>
    <t>ADNJE</t>
  </si>
  <si>
    <t>ADMISION DEMANDA</t>
  </si>
  <si>
    <t>25/02/2015
22/06/2015</t>
  </si>
  <si>
    <t>feb-15
jun-15</t>
  </si>
  <si>
    <t>EXT15-00007999
EXT15-00031202</t>
  </si>
  <si>
    <t>ANDJE
JUZGADO</t>
  </si>
  <si>
    <t>VINCULACIÓN PROCESAL
COPIA DE LA DEMANDA</t>
  </si>
  <si>
    <t>11 001 3335 013 2014 00252 00</t>
  </si>
  <si>
    <t>NO SE ENCUENTRA EN LOS ANEXOS
CONDENAN A LA ENTIDAD EN EL FALLO (MIRAR LAS COSTAS PARA RECURRIR ESTAR PENDIENTE)
SE DA RESPUESTA MEDIANTE OFI17-00046459 14/12/17 A</t>
  </si>
  <si>
    <t>JUZGADO CINCUENTA ADMINISTRATIVO DEL CIRCUITO DE BOGOTA</t>
  </si>
  <si>
    <t>TRIBUNAL ADMINISTRATIVO DE CUNDINAMARCA SECCION SEGUNDA SUBSECCION D</t>
  </si>
  <si>
    <t>RICARDO GUERRERO RODRIGUEZ</t>
  </si>
  <si>
    <t>ARNULFO GARCIA</t>
  </si>
  <si>
    <t>EXT16-00094401</t>
  </si>
  <si>
    <t>EXT17-00056728</t>
  </si>
  <si>
    <t>EXT17-00057185</t>
  </si>
  <si>
    <t>EXT17-00097778</t>
  </si>
  <si>
    <t>ALLEGA  PODER</t>
  </si>
  <si>
    <t>EXT17-00088773</t>
  </si>
  <si>
    <t>EXT18-00048407</t>
  </si>
  <si>
    <t>24/05/2017
DEVUELVE 02/10/2017
23/02/18 LTK
DEVUELTOS NPA
ENTREGADOS LTK</t>
  </si>
  <si>
    <t xml:space="preserve">EN EL ANEXO ES LA No.150 
OJO EN EL DECRETO APARACE CON RADICADO EN EL AÑO 2010
SE DA  RESPUIESTA MEDIANTE OFI18-00000691  N OFI17-00044788 01/12/17 N
OFI18-00024402-18/06/2018 Decreto 1303-No. 150  N
</t>
  </si>
  <si>
    <t>JUZGADO SEGUNDO ADMINISTRATIVO 
DE DESCONGESTION DEL CIRCUITO JUDICIAL DE BOGOTA</t>
  </si>
  <si>
    <t>TRIBUNAL ADMINISTRATIVO 
DE CUNDINAMARCA
SUBSECCION SEGUNDA - 
SUBSDECCION "F"</t>
  </si>
  <si>
    <t xml:space="preserve">
EXT16-00095428</t>
  </si>
  <si>
    <t>EXT16-00094269</t>
  </si>
  <si>
    <t>EXT16-00097528</t>
  </si>
  <si>
    <t>EXT16-00098513</t>
  </si>
  <si>
    <t>EXT17-00011359</t>
  </si>
  <si>
    <t>ADRIANA ROMERO</t>
  </si>
  <si>
    <t>16/02/2017
17/03/2017
24/10/2017</t>
  </si>
  <si>
    <t>feb-17
mar-17
oct-17</t>
  </si>
  <si>
    <t>EXT17-00011359
EXT17-00019741
EXT17-00082893</t>
  </si>
  <si>
    <t>SOLICITUD DE PAGO
SOLICITUD DE PAGO</t>
  </si>
  <si>
    <t>EN EL ANEXO ES LA No. 530
(SE DA RESPUESTA MEDIANTE OFI17-00012382 05/04/17)A</t>
  </si>
  <si>
    <t>LEY 1437 DE 2011
(SE DA RESPUESTA MEDIANTE OFI17-00007859 03/03/17)A</t>
  </si>
  <si>
    <t>26-10-2018
1-32-244-439-9874
NO PRESENTA DEUDA</t>
  </si>
  <si>
    <t>LUIS ADOLFO CARDENAS BARRERA (EN AUTO DICE LUIS ALFONSO CARDENAS BARRERA)</t>
  </si>
  <si>
    <t>EXT16-00096860</t>
  </si>
  <si>
    <t>EXT17-00018158</t>
  </si>
  <si>
    <t>EXT15-00007161</t>
  </si>
  <si>
    <t>VINCULACION PROCESAL</t>
  </si>
  <si>
    <t>03/09/2014
01/12/2015
26/05/2016
11/03/2016
29/01/2016
09/06/2016</t>
  </si>
  <si>
    <t>mar-14
dic-15
may.16
mar-16
ene-16
jun-16</t>
  </si>
  <si>
    <t>EXT14-00044284
EXT15-00073983
EXT16-00040778
EXT16-00018980
EXT16-00006446
EXT16-00045483</t>
  </si>
  <si>
    <t>JUZGADO
TRIBUNAL
TRIBUNAL
JUZGADO
JUZGADO
TRIBUNAL</t>
  </si>
  <si>
    <t>CUMPLIMIENTO
AVISO Y ESTADO
NOTIFICACION POR ESTADO
NOTIFICA ESTADO
NOTIFICA ESTADO
NOTIFICA ION POR ESTADO</t>
  </si>
  <si>
    <t>24/05/2017
DEVUELVE 03/01/2018
FUERA DE CONTRATO NPA
20/02/18 LTK
05/06/2018 SE ENCUENTRA EL EXPENDIENTE FISICO EN UNP YL
ENVIADOS A LTK 18-10-2018</t>
  </si>
  <si>
    <t>11 001 3335 011 2014 00253 00</t>
  </si>
  <si>
    <t>NO ESTÁ EN EL DECRETO, PERO EL TRIBUNAL CONFIRMA FALLO DE PRIMERA INSTANCIA DONDE CONDENA A LA UNP,  CONDENA EN COSTAS
11/04/18 SONIA ESPERANZA GARCIA RUEDA  MANIFIESTA SER VIUDA DE LUIS ADOLFO CARDENAS  BARRERA QUIEN FUE ASESINADO EL 05/10/17 L</t>
  </si>
  <si>
    <t>JOSE MARIO SANCHEZ BERMUDEZ</t>
  </si>
  <si>
    <t>EXT16-00096623</t>
  </si>
  <si>
    <t xml:space="preserve"> EXT17-00014870</t>
  </si>
  <si>
    <t>EXT17-00017054</t>
  </si>
  <si>
    <t>EXT17-00082888</t>
  </si>
  <si>
    <t>SOLICITUD DE PAGO /RESPUESTA OFI17-00012002 03/04/17</t>
  </si>
  <si>
    <t>11 001 3335 008 2013 00032 00</t>
  </si>
  <si>
    <t xml:space="preserve">EN EL DECRETO ES LA No.537 </t>
  </si>
  <si>
    <t>JUZGADO OCTAVO ADMIISTRATIVO DE DE BOGOTA</t>
  </si>
  <si>
    <t>26-10-2018
1-32-244-439-9875
NO PRESENTA DEUDA</t>
  </si>
  <si>
    <t>DANILO OBANDO</t>
  </si>
  <si>
    <t>POR SOLICITUD</t>
  </si>
  <si>
    <t>JUZGADO VEINTICUATRO ADMINISTRATIVO ORAL DE BOGOTA</t>
  </si>
  <si>
    <t>0890/2016</t>
  </si>
  <si>
    <t>YOLANDA AMADOR MENDOZA</t>
  </si>
  <si>
    <t>0891/2016</t>
  </si>
  <si>
    <t>FABIO VELASQUEZ ARDILA</t>
  </si>
  <si>
    <t>0892/2016</t>
  </si>
  <si>
    <t>NEMECIO MORENO BARRERA</t>
  </si>
  <si>
    <t>0893/2016</t>
  </si>
  <si>
    <t>MISAEL ANDRES PINEDA ROJAS</t>
  </si>
  <si>
    <t>0894/2016</t>
  </si>
  <si>
    <t>DIEGO FERNANDO MORA ARANGO</t>
  </si>
  <si>
    <t>JUZGADO DIECISIETE ADMINISTRATIVO DE BOGOTA</t>
  </si>
  <si>
    <t>0940/2016</t>
  </si>
  <si>
    <t>diego.mora@unp.gov.co
24-01-2017</t>
  </si>
  <si>
    <t>WILSON RAUL PLAZAS HERNANDEZ</t>
  </si>
  <si>
    <t>0939/2016</t>
  </si>
  <si>
    <t>wilson.plazas@unp.gov.co
24-01-2017</t>
  </si>
  <si>
    <t>EXT16-00097510</t>
  </si>
  <si>
    <t>APROBACION CONCILIACION</t>
  </si>
  <si>
    <t>EXT16-00097862</t>
  </si>
  <si>
    <t>JUZGADO VEINTIDOS ADMINISTRATIVO DE ORALIDAD DE BOGOTA - SECCION SEGUNDA</t>
  </si>
  <si>
    <t>0938/2016</t>
  </si>
  <si>
    <t>adolfo.cardenas@unp.gov.co
24-01-2017</t>
  </si>
  <si>
    <t>RAUL BONILLA GONZALEZ</t>
  </si>
  <si>
    <t>2016-00428-00</t>
  </si>
  <si>
    <t>0943/2016</t>
  </si>
  <si>
    <t>raul.bonilla@unp.gov.co
24-01-2017</t>
  </si>
  <si>
    <t>EDWIN GEOVANNY DIAZ CASTRO</t>
  </si>
  <si>
    <t>0942/2016</t>
  </si>
  <si>
    <t>NELSON DE JESUS CARO DURANGO</t>
  </si>
  <si>
    <t>0941/2016</t>
  </si>
  <si>
    <t>OBERMAN CABEZAS QUIÑONEZ</t>
  </si>
  <si>
    <t>0944/2016</t>
  </si>
  <si>
    <t>JHONY MARCEL DIAZ ORTEGA</t>
  </si>
  <si>
    <t>0947/2016</t>
  </si>
  <si>
    <t>JORGE ANDRES PALACIO GALVIS</t>
  </si>
  <si>
    <t>0946/2016</t>
  </si>
  <si>
    <t>LUIS HERMES NINCO AGUIRRE</t>
  </si>
  <si>
    <t>JUZGADO CINCUENTA Y OCHO ADMINISTRATIVO DE  BOGOTA</t>
  </si>
  <si>
    <t>0945/2016</t>
  </si>
  <si>
    <t xml:space="preserve">MANUEL GARZON AVILA </t>
  </si>
  <si>
    <t>0948/2016</t>
  </si>
  <si>
    <t>EDGAR CIFUENTES BELTRAN</t>
  </si>
  <si>
    <t>0949/2016</t>
  </si>
  <si>
    <t>edgar.cifuentes@unp.gov.co
24-01-2017</t>
  </si>
  <si>
    <t>CARLOS GUILLERMO RESTREPO BUSTAMANTE</t>
  </si>
  <si>
    <t>0950/2016 y 0972/2016 (MODIFICA)</t>
  </si>
  <si>
    <t>MEM16-00022439 23/12/2016
MEM16-00022499
27/12/2016</t>
  </si>
  <si>
    <t>JOSE ALEXANDER NARANJO MORALES</t>
  </si>
  <si>
    <t>0951/2016</t>
  </si>
  <si>
    <t>jose.naranjo@unp.gov.co
24-01-2017</t>
  </si>
  <si>
    <t>0952/2016</t>
  </si>
  <si>
    <t>julio.nuztez@unp.gov.co
24-01-2017</t>
  </si>
  <si>
    <t>WALTER PEREZ RODRIGUEZ</t>
  </si>
  <si>
    <t>0955/2016</t>
  </si>
  <si>
    <t>LUIS EDUARDO ALFARO LEIVA</t>
  </si>
  <si>
    <t>0954/2016</t>
  </si>
  <si>
    <t>luis.alfaro@unp.gov.co
24-01-2017</t>
  </si>
  <si>
    <t>ADOLFO LEON ACEVEDO ANGEL</t>
  </si>
  <si>
    <t>0953/2016</t>
  </si>
  <si>
    <t>HERNAN ALONSO RUIZ PADILLA</t>
  </si>
  <si>
    <t>EXT16-00097511</t>
  </si>
  <si>
    <t xml:space="preserve">23 001 3332 003 2011 00136 00 </t>
  </si>
  <si>
    <t xml:space="preserve">EN EL ANEXO ES LA No. 364 </t>
  </si>
  <si>
    <t>JUZGADO PRIMERO ADMINISTRATIVO DE DESCONGESTION DE MONTERIA</t>
  </si>
  <si>
    <t>MIGUEL ANGEL BERMUDEZ MONSALVE</t>
  </si>
  <si>
    <t>EXT16-00099645</t>
  </si>
  <si>
    <t>EXT17-00013551</t>
  </si>
  <si>
    <t>EXT17-00084543</t>
  </si>
  <si>
    <t>76 001 3331 007 2012 00092 00</t>
  </si>
  <si>
    <t>EN EL DECRETO ES LA No. 227</t>
  </si>
  <si>
    <t>0911/2017</t>
  </si>
  <si>
    <t>1522/17</t>
  </si>
  <si>
    <t>7836918</t>
  </si>
  <si>
    <t>DR. CARLOS HERNAN RIAÑO ORDOÑEZ chro_50@hotmail.com transformacion2880@hotmail.com 
29/01/18</t>
  </si>
  <si>
    <t>PEDRO ALEXANDER RIVERA GUERRERO</t>
  </si>
  <si>
    <t xml:space="preserve">EXT17-00002155 </t>
  </si>
  <si>
    <t>EXT17-00002531</t>
  </si>
  <si>
    <t>EXT17-00082884</t>
  </si>
  <si>
    <t>24/05/2017
MEDIANTE OFI17-00031864 01/09/2017  SE ENVIAN  50 FOLIOS DEL EXPEDIENTE ORIGINAL
ENTREGADO Y LIQUIDADO 22/11/2017
LIQUIDADO NPA
20/02/18 LTK</t>
  </si>
  <si>
    <t>11 001 3335 018 2013 00144 00</t>
  </si>
  <si>
    <t>EN EL ANEXO ES LA No. 517 
(SE DA RESPUESTA MEDIANTE 0FI17-00001978 20/01/2017)A</t>
  </si>
  <si>
    <t xml:space="preserve">LEY 1437 DE 2011
</t>
  </si>
  <si>
    <t>JUZGADO DIECIOCHO ADMINISTRATIVO DE ORALIDAD DE BOGOTA</t>
  </si>
  <si>
    <t>DANIEL FERNANDO GOMEZ RIOS</t>
  </si>
  <si>
    <t>EXT17-00012831</t>
  </si>
  <si>
    <t>11 001 3335 021 2014 00265 00</t>
  </si>
  <si>
    <t>EN EL ANEXO ES LA No.619
(SE DA RESPUESTA MEDIANTE OFI17-00008400 17/04/17 Y OFI17-00013423 07/04/17)A</t>
  </si>
  <si>
    <t>JUZGADO VEINTIUNO ADMIISTRATIVO RAL DE BOGOTA</t>
  </si>
  <si>
    <t>JOSE FLORENTINO ZOLAQUE URREGO</t>
  </si>
  <si>
    <t>EXT17-00053186</t>
  </si>
  <si>
    <t>EXT14-00045123</t>
  </si>
  <si>
    <t>CUMPLIIMIENTO AUTO</t>
  </si>
  <si>
    <t>EXT17-00008009</t>
  </si>
  <si>
    <t>REMISION SENTENCIA</t>
  </si>
  <si>
    <t>11 001 3335 008 2014 00267 00</t>
  </si>
  <si>
    <t>NO SE ENCUENTRA EN EL ANEXO 
EL TRIBUNAL CONFIRMA FALLO DE PRIMERA INSTANCIA EN DONDE ORDENA QUE EL PAGO LO REALICE LA UNP
(SE DA RESPUESTA MEDIANTE OFI17-00025729 21/07/17)A</t>
  </si>
  <si>
    <t>JUZGADO OCTAVO ADMINISTRATIVO DE ORALIDAD DE BOGOTA</t>
  </si>
  <si>
    <t>08-03-2018
1-32-244-439-1652
NO FIGURAN.</t>
  </si>
  <si>
    <t>FREDY RAMIREZ MONTOYA</t>
  </si>
  <si>
    <t>CORREOL ELECTRONICO</t>
  </si>
  <si>
    <t>0153/2017</t>
  </si>
  <si>
    <t>MEM-17-00002251 20/02/2017</t>
  </si>
  <si>
    <t>0228/2017</t>
  </si>
  <si>
    <t>MEM17-00003061 06/03/2017</t>
  </si>
  <si>
    <t>dario_juanda@hotmail.com
29-03-2017</t>
  </si>
  <si>
    <t>JOSE FIDERNANDO HUERTAS PATIÑO</t>
  </si>
  <si>
    <t>ANDREA MARGARITA LASSO</t>
  </si>
  <si>
    <t>EXT17-00002565</t>
  </si>
  <si>
    <t xml:space="preserve">EXT17-00057522 </t>
  </si>
  <si>
    <t>EXT17-00058681</t>
  </si>
  <si>
    <t>SOLICITUD 
INFORMACION</t>
  </si>
  <si>
    <t>EXT17-00057522</t>
  </si>
  <si>
    <t>ESTADO CUENTA 
DE COBRO</t>
  </si>
  <si>
    <t>SOLICITUD
 INFORRMACION
 CUENTA DE COBRO</t>
  </si>
  <si>
    <t>EXT18-00011437</t>
  </si>
  <si>
    <t>EXT18-00098372</t>
  </si>
  <si>
    <t>24/05/2017
MEDIANTE OFI17-00030580 24/08/2017  SE ENVIAN DOCUMENTOS ORIGINALES (IMPRESOS LOS DE ÉL) (22 FOLIOS EN GENERAL)
ENTREGADO Y LIQUIDADO 02/10/2017
LIQUIDADO NPA</t>
  </si>
  <si>
    <t>52 001 3331 002 2011 00231 00</t>
  </si>
  <si>
    <t>JUZGADO SEGUNDO ADMINISTRATIVO DE PASTO</t>
  </si>
  <si>
    <t>TRIBUNAL ADMINISTRATIVO DE NARIÑO</t>
  </si>
  <si>
    <t>JESUS ANTONIO ENCISO GARCIA</t>
  </si>
  <si>
    <t>EXT17-00004512</t>
  </si>
  <si>
    <t>EXT17-00025209</t>
  </si>
  <si>
    <t>EXT15-00048888</t>
  </si>
  <si>
    <t>ADMITE DEMANDA</t>
  </si>
  <si>
    <t>EXT15-00007101</t>
  </si>
  <si>
    <t>11 001 3335 023 2014 00261 00</t>
  </si>
  <si>
    <t xml:space="preserve">NO ESTA EN EL ANEXO 4
 (EN LA PARTE RESOLUTIVA CONDENAN A LA UNP / (08/08/2017 NO SE ENCONTRO EN EL ARCHIVO)
SE DA RESPUESTA MEDIANTE OFI17-00038156 17/10/17 A
</t>
  </si>
  <si>
    <t>JUZGADO VEINTITRES ADMINISTRATIVO DEL CIRCUITO DE BOGOTA</t>
  </si>
  <si>
    <t>08-03-2018
1-32-244-439-1651
NO FIGURAN.</t>
  </si>
  <si>
    <t>WILLIAM GARZON ARAMBULO</t>
  </si>
  <si>
    <t>EXT17-00007073</t>
  </si>
  <si>
    <t>11 001 3335 009 2014 00319 00</t>
  </si>
  <si>
    <t xml:space="preserve">NO ESTA EN EL ANEXO 4, PERO EN LA PARTE RESOLUTIVA CONDENAN A LA UNP
</t>
  </si>
  <si>
    <t>JUZGADO 9 ADMINISTRATIVO DEL CIRCUITO DE BOGOTA</t>
  </si>
  <si>
    <t>RUDY ALEJANDRO CUBILLOS ESPEJO</t>
  </si>
  <si>
    <t>EXT17-00004123</t>
  </si>
  <si>
    <t>EXT17-00011139</t>
  </si>
  <si>
    <t>EXT17-00053979</t>
  </si>
  <si>
    <t>EXT17-00082894</t>
  </si>
  <si>
    <t>SOLICITUD DE PAGO / RESPUESTA OFI17-00027498 02/08/17</t>
  </si>
  <si>
    <t>EXT15-00049185</t>
  </si>
  <si>
    <t>TELEGRAMA</t>
  </si>
  <si>
    <t>24/05/2017
NO PERTENECIERON AL CONTRATO 438/17 NPA NO TIENE INFORMACION 
05/06/2018 SE ENCUENTRA EL EXPENDIENTE FISICO EN UNP YL LIQUIDADO UNP
ENTREGADO POR LTK 25-07-2018</t>
  </si>
  <si>
    <t>11 001 3331 015 2010 00206 02</t>
  </si>
  <si>
    <t>EN EL ANEXO ES LA 168 Y EL TRIBUNAL DECRETA SUCESION PROCESAL/ SE REQUIEREN DOCUMENTOS MEDIANTE OFI17-00027498 / ALLEGAN SALUD Y PENSION
SE DA RESPUESTA MEDIANTE OFI17-00006208 21/02/17 G  OFI17-00027498 02/08/17 N OFI17-00040243 31/10/17 N</t>
  </si>
  <si>
    <t>08-03-2018
1-32-244-439-1659
NO FIGURAN.</t>
  </si>
  <si>
    <t>GUILLERMO ORLANDO VELASCO DEL VALLE</t>
  </si>
  <si>
    <t>EXT17-00005650</t>
  </si>
  <si>
    <t>EXT18-00037669</t>
  </si>
  <si>
    <t>11 001 3331 022 2011 00490 00</t>
  </si>
  <si>
    <t>JUZGADO ONCE ADMINISTRATIVO DE DESCONGESTION DE BOGOTA</t>
  </si>
  <si>
    <t>OSWALDO PATIÑO RODRIGUEZ</t>
  </si>
  <si>
    <t>EXT17-00007094</t>
  </si>
  <si>
    <t>EXT17-00077559</t>
  </si>
  <si>
    <t>EXT17-00099507</t>
  </si>
  <si>
    <t>EXT15-00048881</t>
  </si>
  <si>
    <t>EXT17-00002385</t>
  </si>
  <si>
    <t>NOTIFICACION SENTENCIA</t>
  </si>
  <si>
    <t>POR ENTREGAR LTK
20/02/18 LTK</t>
  </si>
  <si>
    <t>11 001 3335 023 2014 00263 00</t>
  </si>
  <si>
    <t>NO SE ENCUENTRA EN LOS ANEXOS
JUZGADO DECRETA SUCESION PROCESAL</t>
  </si>
  <si>
    <t>JUZGADO VEINTITRES ADMINISTRATIVO DE BOGOTA</t>
  </si>
  <si>
    <t>JOSE APOLINAR ZULETA QUERUBIN</t>
  </si>
  <si>
    <t xml:space="preserve">ALEJANDRO HORTUA INSUASTI </t>
  </si>
  <si>
    <t>EXT17-00007075</t>
  </si>
  <si>
    <t>05/05/2017
MEDIANTE OFI17-00024232
10/07/2017 SE ENVIAN DOCUMENTOS EN 115 FOLIOS
ENTREGADO Y LIQUIDADO 29/08/2017
LIQUIDADO NPA</t>
  </si>
  <si>
    <t>05 001 3333 030 2013 00240 00</t>
  </si>
  <si>
    <t>NO APARECE EN EL ANEXO  SE DECRETA SUCESION PROCESAL EN SEGUNDA INST. PAG 21
(SE DA RESPUESTA MEDIANTE OFI17-00005766)A</t>
  </si>
  <si>
    <t>JUZGADO TREINTA ADMINISTRATIVO DE MEDELLIN</t>
  </si>
  <si>
    <t>FABIO ALFREDO GUATAQUIRA SANTANA</t>
  </si>
  <si>
    <t>EXT17-00010763</t>
  </si>
  <si>
    <t>EXT17-00007068</t>
  </si>
  <si>
    <t>EXT17-00082852</t>
  </si>
  <si>
    <t>EXT14-00045110</t>
  </si>
  <si>
    <t>EXT16-00055564</t>
  </si>
  <si>
    <t>06/10/2016
02/02/2017</t>
  </si>
  <si>
    <t>oct-16
feb-17</t>
  </si>
  <si>
    <t>EXT16-00078876
EXT17-00007068</t>
  </si>
  <si>
    <t>TRIBUNAL
TRIBUNAL</t>
  </si>
  <si>
    <t>NOTIFICA AUTO
COMUNICACIÓN SENTENCIA</t>
  </si>
  <si>
    <t>JUZGADO NOVENO ADMINISTRATIVO DE BOGOTA</t>
  </si>
  <si>
    <t>08-03-2018
1-32-244-439-1663
NO FIGURAN.</t>
  </si>
  <si>
    <t>JUAN FERNANDO MUÑOZ PIMIENTO</t>
  </si>
  <si>
    <t>EXT17-00006039</t>
  </si>
  <si>
    <t>EXT17-00014705</t>
  </si>
  <si>
    <t>EXT17-00025674</t>
  </si>
  <si>
    <t>EXT18-00016962</t>
  </si>
  <si>
    <t>05/05/2017
SE ENVIARON DOCUMENTOS MEDIANTE OFI17-00029258
14/08/2017
CON 66 FOLIOS ORIGINALES
ENTREGADO Y LIQUIDADO 29/08/2017
MEDIANTE OFI17-00030187 22/08/2017 SE ENVIAN  SE ENVIAN FOTOCOPIAS DE DOCUMENTOS EN 62 FOLIOS
ENTREGADO 26/09/17
LIQUIDADO NPA</t>
  </si>
  <si>
    <t>68 001 2333 000 2012 00399 00</t>
  </si>
  <si>
    <t>22-10-2018
100224333-1878
NO SE ENCONTRO REGISTRO</t>
  </si>
  <si>
    <t>YOVANY ACERO BAREÑO</t>
  </si>
  <si>
    <t>EXT17-00003077</t>
  </si>
  <si>
    <t>EXT17-00009355</t>
  </si>
  <si>
    <t>EXT17-00037186</t>
  </si>
  <si>
    <t>EXT14-00065301</t>
  </si>
  <si>
    <t>RESPUESTA OFICIO</t>
  </si>
  <si>
    <t>EXT15-00007993</t>
  </si>
  <si>
    <t>22/06/2015
24/02/2017</t>
  </si>
  <si>
    <t>jun-15
feb-17</t>
  </si>
  <si>
    <t>EXT15-00031200
EXT17-00013561</t>
  </si>
  <si>
    <t xml:space="preserve">COPIA DE AUTO
REMISION DE ESTADO
</t>
  </si>
  <si>
    <t>24/05/2017
NO PERTENECIERON AL CONTRATO 438/17 NPA NO TIENE INFORMACION
POR ENTREGAR LTK 
20/02/18 LTK</t>
  </si>
  <si>
    <t>JUZGADO CONDENA A LA UNP
(SE DA RESPUESTA MEDIANTE OFI17-00020587 08/06/17)A</t>
  </si>
  <si>
    <t>08-03-2018
1-32-244-439-1657
NO FIGURAN.</t>
  </si>
  <si>
    <t>LUIS ALBERTO PAEZ OLARTE</t>
  </si>
  <si>
    <t>EXT17-00005043</t>
  </si>
  <si>
    <t>EXT17-00019569</t>
  </si>
  <si>
    <t>EXT17-00025670</t>
  </si>
  <si>
    <t>EXT16-00010592</t>
  </si>
  <si>
    <t>EXT16-00026132</t>
  </si>
  <si>
    <t>22/07/2016
02/08/2016
20/03/2015
16/04/2015</t>
  </si>
  <si>
    <t>jul-16
ago-16
mar-15
abr-15</t>
  </si>
  <si>
    <t>EXT16-00056677
EXT16-00059942
EXT15-00012809
EXT15-00016101</t>
  </si>
  <si>
    <t>TRIBUNAL
TRIBUNAL
JUZGADO
JUZGADO</t>
  </si>
  <si>
    <t>NOTIFICA ESTADO
NOTIFICA ESTADO
REMITE DOCUMENTOS
ENVIA COPIA DEMANDA</t>
  </si>
  <si>
    <t>05/05/2017
MEDIANTE OFI17-00031027 28/08/2017 SE ENVIAN DOCUMENTOS EN FOTOCOPIAS EN 64 FOLIOS
ENTREGADO Y LIQUIDADO 02/10/2017
LIQUIDADO NPA</t>
  </si>
  <si>
    <t>11 001 3335 016 2014 00250 00</t>
  </si>
  <si>
    <t>NO SE ENCUENTRA EN LOS ANEXOS
FALLO CONDENA A LA UNP</t>
  </si>
  <si>
    <t>JUZGADO CUARENTA Y NUEVE ADMINISTRATIVO DE BOGOTA</t>
  </si>
  <si>
    <t>26-10-2018
1-32-244-439-9878
NO PRESENTA DEUDA</t>
  </si>
  <si>
    <t>JUAN CARLOS GALINDO DIAZ</t>
  </si>
  <si>
    <t>EXT17-00008001</t>
  </si>
  <si>
    <t>0671/2017</t>
  </si>
  <si>
    <t>MEM17-00009075
06/07/2017</t>
  </si>
  <si>
    <t>CARLOS ALBERTO VESCANCE CISNEROS</t>
  </si>
  <si>
    <t>IVAN DANILO LEON LIZCANO</t>
  </si>
  <si>
    <t>EXT17-00007674</t>
  </si>
  <si>
    <t>EXT17-00018291</t>
  </si>
  <si>
    <t>REMITE FALLO AUTENTICO</t>
  </si>
  <si>
    <t>EXT17-00018658</t>
  </si>
  <si>
    <t>EXT17-00038518</t>
  </si>
  <si>
    <t>ALLEGA CONSTANCIA</t>
  </si>
  <si>
    <t>EXT17-00066972</t>
  </si>
  <si>
    <t>COMUNICACION AUTO</t>
  </si>
  <si>
    <t>05/06/2018 SE ENCUENTRA EL EXPENDIENTE FISICO EN UNP YL LIQUIDADO UNP
07/06/18 LTK
ENTREGADO POR LTK 25-07-2018</t>
  </si>
  <si>
    <t>81 001 2333 000 2013 00073 00</t>
  </si>
  <si>
    <t>0838/2017</t>
  </si>
  <si>
    <t>ELEUCARIO MORENO TORRES</t>
  </si>
  <si>
    <t>EXT17-00006830</t>
  </si>
  <si>
    <t>EXT18-00059384</t>
  </si>
  <si>
    <t>SOLICITA DOCUMENTOS</t>
  </si>
  <si>
    <t xml:space="preserve">VIATICOS 2015
OFI18-00027476 06/07/18
</t>
  </si>
  <si>
    <t>0161/2017</t>
  </si>
  <si>
    <t>OSCAR DE JESUS TABORDA RESTREPO</t>
  </si>
  <si>
    <t>0151/2017</t>
  </si>
  <si>
    <t>GERMAN ENRIQUE CAÑAVERAL VELEZ</t>
  </si>
  <si>
    <t>0178/2017</t>
  </si>
  <si>
    <t>MEM17-00006724 23/02/2017</t>
  </si>
  <si>
    <t>JENRRY ARCOS PEREZ</t>
  </si>
  <si>
    <t>JUZGADO SESENTA Y CUATRO ADMINISTRATIVO DE BOGOTA</t>
  </si>
  <si>
    <t>0152/2017</t>
  </si>
  <si>
    <t>EDGARDO MOLANO PRIETO</t>
  </si>
  <si>
    <t>0154/2017</t>
  </si>
  <si>
    <t>DONIS ELENA GUTIERREZ MACHADO</t>
  </si>
  <si>
    <t>0155/2017</t>
  </si>
  <si>
    <t>EDILBERTO IZQUIERDO MONTES</t>
  </si>
  <si>
    <t>0163/2017</t>
  </si>
  <si>
    <t>RAUL ANDRES GUCHUVO TORRES</t>
  </si>
  <si>
    <t>0156/2017</t>
  </si>
  <si>
    <t>MAYA MILENA MORENO NIÑO</t>
  </si>
  <si>
    <t>0157/2017</t>
  </si>
  <si>
    <t>08-03-2018
1-32-244-439-1658
NO FIGURAN.</t>
  </si>
  <si>
    <t>0158/2017</t>
  </si>
  <si>
    <t>OSCAR JAVIER PEÑA ALFONSO</t>
  </si>
  <si>
    <t>0229/2017</t>
  </si>
  <si>
    <t>WILLIAM HERNAN ARDILA CASTELLANOS</t>
  </si>
  <si>
    <t>0294/2017</t>
  </si>
  <si>
    <t>william.ardila@unp.gov.co
07-04-2017.   el mensaje no se pudo entrega a estos destinatarios.</t>
  </si>
  <si>
    <t>CIRO IGNACIO AMAYA CRUZ</t>
  </si>
  <si>
    <t>0146/2017</t>
  </si>
  <si>
    <t>ANGELO IVAN GALINDO</t>
  </si>
  <si>
    <t>0289/2017</t>
  </si>
  <si>
    <t>MEM17-00004231 28/03/2017</t>
  </si>
  <si>
    <t>artificero_83@hotmail.com
07-04-2017</t>
  </si>
  <si>
    <t>GERMAN SANCHEZ DIAZ</t>
  </si>
  <si>
    <t>0145/2017</t>
  </si>
  <si>
    <t>MEM17-00002251 20/02/2017</t>
  </si>
  <si>
    <t>ANDREA AVILA GARZON</t>
  </si>
  <si>
    <t>0144/2017</t>
  </si>
  <si>
    <t>OSCAR SIERRA PEREZ</t>
  </si>
  <si>
    <t>0142/2017</t>
  </si>
  <si>
    <t>JULIO ALBERTO ROCHA GONZALEZ</t>
  </si>
  <si>
    <t>0134/2017</t>
  </si>
  <si>
    <t>MEM17-00002039 15/02/2017</t>
  </si>
  <si>
    <t>DARGUIN CARLOS CORDOBA</t>
  </si>
  <si>
    <t>0136/2017</t>
  </si>
  <si>
    <t>LUIS EDUARDO SUAREZ ALVAREZ</t>
  </si>
  <si>
    <t>0135/2017</t>
  </si>
  <si>
    <t>CARLOS AUGUSTO CRUZ CORTES</t>
  </si>
  <si>
    <t>0133/2017</t>
  </si>
  <si>
    <t>EXT17-00008725</t>
  </si>
  <si>
    <t>TRIBUNAL ADMINISTRATIVO DE CUNDINAMRACA</t>
  </si>
  <si>
    <t>EXT17-00100385</t>
  </si>
  <si>
    <t>EXT18-00015162</t>
  </si>
  <si>
    <t>EXT18-00038468</t>
  </si>
  <si>
    <t>EXT18-00098065</t>
  </si>
  <si>
    <t>11 001 3331 014 2012 00096 01</t>
  </si>
  <si>
    <t>EN EL ANEXO ES LA 13
SE DA RESPUESTA MEDIANTE OFI17-00048241 28/12/17 OFI18-00008480 01/03/18 E OFI18-00009158 05/03/18 L OFI18-00020418 22/05/18 L
MEDIANTE OFI18-00046149 19/10/18 SE DIO RESPUESTA AL EXT18-00098065  L.</t>
  </si>
  <si>
    <t>08-03-2018
1-32-244-439-1662
NO FIGURAN.</t>
  </si>
  <si>
    <t>IVAN DARIO SANCHEZ SIERRA</t>
  </si>
  <si>
    <t>0147/2017</t>
  </si>
  <si>
    <t>JAMIGTON RUIZ CAICEDO</t>
  </si>
  <si>
    <t>0148/2017</t>
  </si>
  <si>
    <t>DAVID LEONARDO GAMBOA DIAZ</t>
  </si>
  <si>
    <t>0143/2017</t>
  </si>
  <si>
    <t>JOSE MANUEL MUTIS GARCIA</t>
  </si>
  <si>
    <t>0179/2017</t>
  </si>
  <si>
    <t>MARTIN ALBEIRO QUICENO ACEVEDO</t>
  </si>
  <si>
    <t>0164/2017</t>
  </si>
  <si>
    <t>JOSE FELIX PALACIO TORRES</t>
  </si>
  <si>
    <t>0162/2017</t>
  </si>
  <si>
    <t>SANDRA JANETH HOMEZ ROJAS</t>
  </si>
  <si>
    <t>0159/2017</t>
  </si>
  <si>
    <t>JINETH NATALIA CORDOBA RODRIGUEZ</t>
  </si>
  <si>
    <t>0166/2017</t>
  </si>
  <si>
    <t>wilson.correa@unp.gov.co
02-02-2018</t>
  </si>
  <si>
    <t>FELIX ENRIQUE DEVIA GONZALEZ</t>
  </si>
  <si>
    <t>0160/2017</t>
  </si>
  <si>
    <t>NILSON ESCALANTE RODRIGUEZ</t>
  </si>
  <si>
    <t>0165/2017</t>
  </si>
  <si>
    <t>NATHALIA PATRICIA VARGAS VALERO</t>
  </si>
  <si>
    <t>0149/2017</t>
  </si>
  <si>
    <t>ROLANDO SANCHEZ AMU</t>
  </si>
  <si>
    <t>0177/2017</t>
  </si>
  <si>
    <t>MANUEL ALFONSO PINEDA TAVERA</t>
  </si>
  <si>
    <t>0150/2017</t>
  </si>
  <si>
    <t>HECTOR CERVANDO SANCHEZ ORTIZ</t>
  </si>
  <si>
    <t>EXT17-00010162</t>
  </si>
  <si>
    <t>EXT17-00012444</t>
  </si>
  <si>
    <t>EXT15-00030458</t>
  </si>
  <si>
    <t>EXT15-00044272</t>
  </si>
  <si>
    <t>CUNMPLIMIENTO</t>
  </si>
  <si>
    <t>EXT15-00057851</t>
  </si>
  <si>
    <t xml:space="preserve">CUMPLIMIENTO </t>
  </si>
  <si>
    <t>EXT17-00035978</t>
  </si>
  <si>
    <t>EXT17-00040648</t>
  </si>
  <si>
    <t>11 001 3335 049 2014 00094 00</t>
  </si>
  <si>
    <t>NO SE ENCUENTRA EN EL ANEXO
TRIBUNAL ADMINISTRTIVO CONFIRMA FALLO CONDENA A LA UNP</t>
  </si>
  <si>
    <t>0839-2017</t>
  </si>
  <si>
    <t>JAIRO DOVALES VILLAMIZAR</t>
  </si>
  <si>
    <t>EXT17-00009816</t>
  </si>
  <si>
    <t xml:space="preserve">CONSEJO </t>
  </si>
  <si>
    <t>EXT17-00014271</t>
  </si>
  <si>
    <t>EXT17-00014635</t>
  </si>
  <si>
    <t>EXT15-00009090</t>
  </si>
  <si>
    <t>EXT15-00017382</t>
  </si>
  <si>
    <t>17/07/2015
22/09/2017
01/03/2017</t>
  </si>
  <si>
    <t>jul-15
sep-17
mar-17</t>
  </si>
  <si>
    <t>EXT15-00038027
EXT17-00073616
EXT17-00014635</t>
  </si>
  <si>
    <t>CONSEJO DE ESTADO
ABOGADO
CONSEJO DE ESTADO</t>
  </si>
  <si>
    <t>SOLICITUD
SOLICITUD DE PAGO
REMISION DE PROVIDENCIA</t>
  </si>
  <si>
    <t>68 001 2333 000 2013 00021 00</t>
  </si>
  <si>
    <t>EN EL ANEXO ES LA 218 / (08/08/2017 
NULIDAD (RELACION LABORAL) LA 
PARTE BENEFICIARIA O APODERADO NO HAN ALLEGADO SOLICITUD DE PAGO CON LOS DOCUMENTOS REQUERIDOS)</t>
  </si>
  <si>
    <t>13-03-2018
129201242-01-645-001308
NO FIGURAN.</t>
  </si>
  <si>
    <t>EXT17-00009958</t>
  </si>
  <si>
    <t>EXT17-00014182</t>
  </si>
  <si>
    <t>EXT17-00031112</t>
  </si>
  <si>
    <t>EXT17-00063890</t>
  </si>
  <si>
    <t>11 001 3335 027 2014 00256 00</t>
  </si>
  <si>
    <t>NO SE ENCUENTRA EN LOS ANEXOS
TRIBUNAL ADMINISTRATIVO CONDENA A LA UNP / (08/08/2017 ASIGNADA A NATALIA URBANO SE REITERA SOLICITUD DE DOCUMENTOS MEDIENTE OFI17-00028176/ 18/08/2017 ALLEGA DOCUMENTACION Y CD (2014-256 LUIS EDUARDO SUAREZ VS DAS)</t>
  </si>
  <si>
    <t>JUZGADO QUINTO ADMINISTRATIVO DE DESCONGESTION DEL CIRCULO JUDICIAL DE BOGOTA SECCION SEGUNDA ORALIDAD</t>
  </si>
  <si>
    <t>TRIBUNAL ADMINISTRATIVO DE CUNDINAMARCA SECCION SEGUNDA SUBSECCION "C"</t>
  </si>
  <si>
    <t>JOSE IGNACIO SILVA RAMIREZ
Se eliminó por solo tener primera instancia</t>
  </si>
  <si>
    <t>OMAR BAUTISTA DIAZ</t>
  </si>
  <si>
    <t>EXT17-00008718</t>
  </si>
  <si>
    <t>EXT17-00025673</t>
  </si>
  <si>
    <t>11 001 3331 023 2012 00080 00</t>
  </si>
  <si>
    <t>EN EL ANEXO ES LA 22</t>
  </si>
  <si>
    <t>08-03-2018
1-32-244-439-1660
NO FIGURAN.</t>
  </si>
  <si>
    <t>HECTOR ALONSO CARRILLO DIAZ</t>
  </si>
  <si>
    <t>JUZGADO CINCUENTA Y OCHO ADMINISTRATIVO DE BOGOTA</t>
  </si>
  <si>
    <t>0232/2017</t>
  </si>
  <si>
    <t>alfonso.carrillo@unp.gov.co
29-03-2017</t>
  </si>
  <si>
    <t>RICARDO SILVA GARCIA</t>
  </si>
  <si>
    <t>EXT17-00010777</t>
  </si>
  <si>
    <t xml:space="preserve"> EXT17-00020084</t>
  </si>
  <si>
    <t>EXT17-00079231</t>
  </si>
  <si>
    <t>EXT18-00092885</t>
  </si>
  <si>
    <t>11 001 3335 013 2014 00086 00</t>
  </si>
  <si>
    <t>NO SE ENCUENTRA EN LOS ANEXOS
TRIBUNAL CONDENA A LA UNP
OFI18-00043454 02/10/18   L.</t>
  </si>
  <si>
    <t>JUZGADO TRECEADMINISTRATIVO ORAL DE BOGOTA</t>
  </si>
  <si>
    <t>UNP como sucesor procesal del DAS</t>
  </si>
  <si>
    <t xml:space="preserve">CORREO ELECTRONICO
</t>
  </si>
  <si>
    <t>11 001 3335 025 2014 00209 00</t>
  </si>
  <si>
    <t>NO SE ENCUENTRA EN LOS ANEXOS
TRIBUNAL CONDENA A LA UNP</t>
  </si>
  <si>
    <t>JUZGADO VEINTICINCO ADMINISTRATIVO DE ORALIDAD DE BOGOTA</t>
  </si>
  <si>
    <t>JOSE LORENZO DIAZ CASTAÑEDA</t>
  </si>
  <si>
    <t>EXT17-00011272</t>
  </si>
  <si>
    <t>EXT17-00037108</t>
  </si>
  <si>
    <t>07/06/18 LTK
ENTREGADO POR LTK 26-06-2018</t>
  </si>
  <si>
    <t>11 001 3335 008 2014 00127 00</t>
  </si>
  <si>
    <t>EN EL ANEXO ES LA 607</t>
  </si>
  <si>
    <t>JUZGADO OCTAVO ADMINISTRTIVO ORAL DE BOGOTA</t>
  </si>
  <si>
    <t>26-10-2018
1-32-244-439-9877
NO PRESENTA DEUDA</t>
  </si>
  <si>
    <t>JOSE ARNOLDO GOMEZ GARZON</t>
  </si>
  <si>
    <t>EXT17-00010751</t>
  </si>
  <si>
    <t>COMUNICAION SENTENCIA</t>
  </si>
  <si>
    <t>EXT17-00013955</t>
  </si>
  <si>
    <t>TRIBUNAL ADMINISTRATIVO DE CUNDINAMRCA</t>
  </si>
  <si>
    <t>NOTIFICACION 
SENTENCIA</t>
  </si>
  <si>
    <t>23/02/18 LTK
DEVUELTOS LTK RAD: LTK-004-020-2018
ENVIADOS A LTK 18-10-2018</t>
  </si>
  <si>
    <t>11 001 3335 029 2014 00181 01</t>
  </si>
  <si>
    <t>NO SE ENCUENTRA EN LOS ANEXOS</t>
  </si>
  <si>
    <t>JUZGADO CINCUENTA ADMINISTRATIVO DE BOGOTA</t>
  </si>
  <si>
    <t>RAFAEL ROJAS TOVAR</t>
  </si>
  <si>
    <t>EXT17-00010556</t>
  </si>
  <si>
    <t>EXT17-00020418</t>
  </si>
  <si>
    <t>ALLEGA
 DOCUMENTACION COMPLETA</t>
  </si>
  <si>
    <t>EXT17-00060671</t>
  </si>
  <si>
    <t>COMUNICACIÓN 
DE SENTENCIA</t>
  </si>
  <si>
    <t>41 001 3331 002 2011 00280 00</t>
  </si>
  <si>
    <t>JUZGADO NOVENO ADMINISTRATIVO DEL CIRCUITO DE HUILA</t>
  </si>
  <si>
    <t>NEYLA DE JESUS BOLIVAR COBA 
(obrando en nombre propio y de su hija 
DANIELA ISABEL OROZCO BOLIVAR)</t>
  </si>
  <si>
    <t>EXT17-00011028</t>
  </si>
  <si>
    <t>EXT17-00036673</t>
  </si>
  <si>
    <t>EXT17-00049383</t>
  </si>
  <si>
    <t>88 001 2331 000 2001 00993 01</t>
  </si>
  <si>
    <t>NO APARECE LA UNP COMO QUE DEBE HACER EL PAGO, CONDENAN AL DAS ESPERANDO ACLARACION CONCEPTO DE LA AGENCIA / PAGADA
(SE DA RESPUESTA MEDIANTE OFI17-00010419 22/03/17 / OFI17-00036673 08/06/17 SE DA RESPUESTA MEDIANTE CORREO ELECTRONICO 10/07/17)A</t>
  </si>
  <si>
    <t>10/12/2015</t>
  </si>
  <si>
    <t>MININTERIOR, DAS, POLICIA</t>
  </si>
  <si>
    <t>0783/2017</t>
  </si>
  <si>
    <t>MEM17-00010515
02/08/2017</t>
  </si>
  <si>
    <t>HELMUT ORLANDO GARZON</t>
  </si>
  <si>
    <t>0230/2017</t>
  </si>
  <si>
    <t>helmut.garzon@unp.gov.co
29-03-2017</t>
  </si>
  <si>
    <t>HECTOR LEOVIGILDO PULGARIN TRUJILLO</t>
  </si>
  <si>
    <t>79,424,158</t>
  </si>
  <si>
    <t>0203/2017</t>
  </si>
  <si>
    <t>CARLOS FERNANDO BAUTISTA BAQUERO</t>
  </si>
  <si>
    <t>0231/2017</t>
  </si>
  <si>
    <t>carlos2812bautista@hotmail.com
29-03-2017</t>
  </si>
  <si>
    <t>NAIRO FORERO LACHE</t>
  </si>
  <si>
    <t>0200/2017</t>
  </si>
  <si>
    <t>formair10@gmail.com
29-03-2017</t>
  </si>
  <si>
    <t>ERIBERTO PEREZ PEREZ</t>
  </si>
  <si>
    <t>0201/2017</t>
  </si>
  <si>
    <t>WILSON MOLINA LAGOS</t>
  </si>
  <si>
    <t>0197/2017</t>
  </si>
  <si>
    <t>RODRIGO DUARTE CRUZ</t>
  </si>
  <si>
    <t>0198/2017</t>
  </si>
  <si>
    <t>CARLOS ALBERTO AGUIRRE CASTAÑO</t>
  </si>
  <si>
    <t>0227/2017</t>
  </si>
  <si>
    <t>carlos.aguirre@unp.gov.co
29-03-2017</t>
  </si>
  <si>
    <t>RUBEN DARIO VELASQUEZ SANCHEZ</t>
  </si>
  <si>
    <t>0406/2017</t>
  </si>
  <si>
    <t>MEM17-00006002 08/05/2017</t>
  </si>
  <si>
    <t>REINELIO SALAZAR PEREIRA</t>
  </si>
  <si>
    <t>EXT17-00010799</t>
  </si>
  <si>
    <t>EXT17-00031786</t>
  </si>
  <si>
    <t>REMITE SENTENCIAS</t>
  </si>
  <si>
    <t>EXT17-00032256</t>
  </si>
  <si>
    <t>COMUNICACIÓN DE
 SENTENCIA</t>
  </si>
  <si>
    <t>EXT17-00049578</t>
  </si>
  <si>
    <t>AUTO CUMPLASE</t>
  </si>
  <si>
    <t>EXT18-00033560</t>
  </si>
  <si>
    <t>20/02/18 LTK
05/06/2018 SE ENCUENTRA EN EXPENDIENTE FISICO EN UNP
07/06/18 LTK
ENTREGADO POR LTK 25-07-2018</t>
  </si>
  <si>
    <t>11 001 3335 008 2014 00268 00</t>
  </si>
  <si>
    <t>NO SE ENCUENTRA EN LOS ANEXOS
TRIBUNAL EN LA PARTE CONSIDERATIVA DECRETA SUCESION PROCESAL A FAVOR DE LA UNP
SE DA RESPUESTA MEDIANTE OFI18-00015544 20/04/18 E</t>
  </si>
  <si>
    <t>JORGE ENRIQUE PEDRAZA</t>
  </si>
  <si>
    <t>EXT17-00013953</t>
  </si>
  <si>
    <t>EXT17-00018603</t>
  </si>
  <si>
    <t>LUIS FERNANDO</t>
  </si>
  <si>
    <t>EXT17-00010772</t>
  </si>
  <si>
    <t>11 001 3335 027 2014 00214 00</t>
  </si>
  <si>
    <t>NO SE ENCUENTRA EN LOS ANEXOS 
TRIBUNAL ORDENA QUE EL PAGO LO HAGA LA UNP / (08/08/2017 PRIMA DE RIESGO LA PARTE SOLICITANTE NO HA ALLEGADO SOLICITUD DE PAGO CON LOS DOCUMENTOS REQUERIDOS)</t>
  </si>
  <si>
    <t>JUUZGADO VEINTISIETE ADMINISTRATIVO ORAL DE BOGOTA</t>
  </si>
  <si>
    <t>AIRALDE TRUJILLO BARRERO</t>
  </si>
  <si>
    <t>EXT17-00012047</t>
  </si>
  <si>
    <t>EXT18-00022824</t>
  </si>
  <si>
    <t>41 001 3331 001 2011 00128 00</t>
  </si>
  <si>
    <t>EN EL ANEXO ES LA 09
SE DA RSEPUESTA MEDANTE OFI18-00011979 22/03/18 E</t>
  </si>
  <si>
    <t>JUZGADO PRIMERO ADMINISTRATIVO DE DESCONGESTIONDE NEIVA</t>
  </si>
  <si>
    <t>LUIS ALEJANDRO MONTENEGRO PUENTES</t>
  </si>
  <si>
    <t>0199/2017</t>
  </si>
  <si>
    <t>JUZGADO VEINTINUEVE ADMINISTRATIVO ORAL DE BOGOTA</t>
  </si>
  <si>
    <t>0202/2017</t>
  </si>
  <si>
    <t>oscar.oso.1967@hotmail.com
29-03-2017</t>
  </si>
  <si>
    <t>ANDRES ORLANDO CARDENAS SIERRA</t>
  </si>
  <si>
    <t>EXT17-00013952</t>
  </si>
  <si>
    <t>EXT17-00056349</t>
  </si>
  <si>
    <t>EXT17-00082890</t>
  </si>
  <si>
    <t>SOLICITUD DE PAGO / RESPUESTA OFI17-00027611 02/08/17</t>
  </si>
  <si>
    <t>11 001 3331 023 2012 00051 01</t>
  </si>
  <si>
    <t>EN EL ANEXO ES LA 30 
ALLEGAN SALUD Y 
PENSION</t>
  </si>
  <si>
    <t>TRIBUNAL ADMINISTRATIVO DE CUNDINAMARCA SECCION SEGUNDA - SUBSECCION "F"</t>
  </si>
  <si>
    <t>26-10-2018
1-32-244-439-9876
NO PRESENTA DEUDA</t>
  </si>
  <si>
    <t>MIRTHA CRISTINA PERDOMO DEVIA</t>
  </si>
  <si>
    <t>EXT17-00013958</t>
  </si>
  <si>
    <t>23/02/18 LTK
DEVUELTOS LTK</t>
  </si>
  <si>
    <t>11 001 3335 019 2014 00084 01</t>
  </si>
  <si>
    <t>NO SE ENCUENTRA EN LOS ANEXOS
HOY OCT 18/18, VEO QUE FUE CONDENADA LA POLICIA NACIONAL  W.</t>
  </si>
  <si>
    <t>HUGO RAMIRO CAÑON CANDELA</t>
  </si>
  <si>
    <t>EXT17-00013990</t>
  </si>
  <si>
    <t>COMUNICACCION SENTENCIA</t>
  </si>
  <si>
    <t>EXT17-00026735</t>
  </si>
  <si>
    <t>SOLICITUD PAGO 
OFICIOSO</t>
  </si>
  <si>
    <t>EXT17-00059048</t>
  </si>
  <si>
    <t>EXT17-00101973</t>
  </si>
  <si>
    <t>11 001 3331 020 2010 00477 01</t>
  </si>
  <si>
    <t>EN EL ANEXO ES LA 97
(SE DA RESPUESTA MEDIANTE OFI17-00015408 02/05/17 / OFI17-00028595 09/08/17)A</t>
  </si>
  <si>
    <t>26-10-2018
1-32-244-439-9882
NO PRESENTA DEUDA</t>
  </si>
  <si>
    <t>EXT17-00014460</t>
  </si>
  <si>
    <t>EXT18-00076884</t>
  </si>
  <si>
    <t>OFICIOS LTK
20/02/18 LTK
05/06/2018 SE ENCUENTRA EL EXPENDIENTE FISICO EN UNP YL</t>
  </si>
  <si>
    <t>11 001 3335 026 2014 00200 01</t>
  </si>
  <si>
    <t>NO APARECE EN EL ANEXO
FALLO DEL TRIBUNAL CONDENA A LA UNP
MEDIANTE OFI18-00037022 29/08/18, SE DA RESPUESTA A EXT18-00076884</t>
  </si>
  <si>
    <t>JUZGADO CINCUENTA Y CINCO ADMINISTRATIVO DE BOGOTA</t>
  </si>
  <si>
    <t>DAS en supresion, UNP sucesor procesal</t>
  </si>
  <si>
    <t>DIEGO ALEXANDER OCHOA BULLA</t>
  </si>
  <si>
    <t>EXT17-00014242</t>
  </si>
  <si>
    <t>EXT18-00013530</t>
  </si>
  <si>
    <t>11 001 3335 017 2014 00253 00</t>
  </si>
  <si>
    <t>HERMES ALVEIRO ORDOÑEZ EMBUS</t>
  </si>
  <si>
    <t xml:space="preserve">JUZGADO SESENTA Y CINCO ADMINISTRATIVO ORAL DE BOGOTA </t>
  </si>
  <si>
    <t>0292/2017</t>
  </si>
  <si>
    <t>hermes.ordones@unp.gov.co
07-04-2017</t>
  </si>
  <si>
    <t>JAIRO ARTURO PARRA CUADRADO</t>
  </si>
  <si>
    <t>0263/20017</t>
  </si>
  <si>
    <t>MEM17-00003693 16/03/2017</t>
  </si>
  <si>
    <t>jairo.parra@unp.gov.co
10-04-2017</t>
  </si>
  <si>
    <t>JOSE IGNACIO FRANCO SALAZAR</t>
  </si>
  <si>
    <t>0262/2017</t>
  </si>
  <si>
    <t>jose.franco@unp.gov.co
29-03-2017</t>
  </si>
  <si>
    <t>GIOVANNY ERNESTO MORENO SANCHEZ</t>
  </si>
  <si>
    <t>EXT17-00013951</t>
  </si>
  <si>
    <t>EXT17-00056351</t>
  </si>
  <si>
    <t>EXT17-00082892</t>
  </si>
  <si>
    <t>SOLICITUD DE PAGO / RESPUESTA OFI17-00027576 02/08/17</t>
  </si>
  <si>
    <t>11 001 3331 009 2011 00571 00</t>
  </si>
  <si>
    <t>EN EL ANEXO ES LA 297 / ALLEGA SALUD 
Y PENSION</t>
  </si>
  <si>
    <t xml:space="preserve">JUZGADO SEPTIMO ADMINISTRATIVO DE DESCONGESTION DEL CIRCUITO JUDICIAL DE BOGOTA </t>
  </si>
  <si>
    <t>22-10-2018
100224333-1872
NO SE ENCONTRO REGISTRO</t>
  </si>
  <si>
    <t>EDWAR DANILO RODRIGUEZ HERREÑO</t>
  </si>
  <si>
    <t>EXT17-00015985</t>
  </si>
  <si>
    <t>EXT18-00034143</t>
  </si>
  <si>
    <t>EXT18-00052609</t>
  </si>
  <si>
    <t>41 001 3331 004 2011 00074 00</t>
  </si>
  <si>
    <t xml:space="preserve">NO APARECE EN EL ANEXO PERO EN LA SENTENCIA DE SEGUNDA INSTACIA SE CONDE A LA UNP
SE DA RESPUESTA MEDIANTE OFI18-00016498 26/04/18 L
OFI18-00025570-25/06/2018-Decreto 1303 No. 196.  N.
</t>
  </si>
  <si>
    <t>JORGE ANDRES PALACIOS MANRIQUE</t>
  </si>
  <si>
    <t>EXT17-00031102</t>
  </si>
  <si>
    <t>11 001 3331 023 2014 00260 00</t>
  </si>
  <si>
    <t>LUIS FERNANDO SOTELO ROJAS</t>
  </si>
  <si>
    <t>EXT17-00011134</t>
  </si>
  <si>
    <t>EXT17-00004600</t>
  </si>
  <si>
    <t>66 001 3333 003 2013 00555 00</t>
  </si>
  <si>
    <t>EN EL ANEXO ES LA 599
(SE DA RESPUESTA MEDIANTE EL OFI17-00005077 14/02/17)A</t>
  </si>
  <si>
    <t xml:space="preserve">JUZGADO TERCERO ADMINISTRATIVO DE PEREIRA </t>
  </si>
  <si>
    <t>TRIBUNAL DE LO 
CONTENCIOSO ADMINISTRATIVO DE RISARALDA SALA CUARTA DE DECISION</t>
  </si>
  <si>
    <t>26-10-2018
116242201-232
NO PRESENTA DEUDA</t>
  </si>
  <si>
    <t>JHON ALBEIRO PRIETO HURTADO</t>
  </si>
  <si>
    <t>ELSA MILENA LEYTON ARISTIZABAL</t>
  </si>
  <si>
    <t>EXT17-00027742</t>
  </si>
  <si>
    <t>EXT17-00032268</t>
  </si>
  <si>
    <t>23/02/18 LTK
ENTREGADOS LTK RAD.LTK-005-036-2018 17/05/18</t>
  </si>
  <si>
    <t>63 001 2333 000 2012 00095 00</t>
  </si>
  <si>
    <t xml:space="preserve">EN EL ANEXO ES LA 282 /(08/08/2017
MEDIANTE OFI17-00014649 DE FECHA 
28/04/2017 SE REQUIRIO ALLEGAR 
DOCUMENTOS SIN TENER RESPUESTA 
DE LO REQUERIDO A LA FECHA </t>
  </si>
  <si>
    <t>TRIBUNAL ADMINISTRATIVO DE QUINDIO</t>
  </si>
  <si>
    <t>OSCAR FERNANDO ORDOÑEZ SILVA</t>
  </si>
  <si>
    <t>EXT17-00018308</t>
  </si>
  <si>
    <t>EXT17-00074625</t>
  </si>
  <si>
    <t>REMITE AUTO COSTAS</t>
  </si>
  <si>
    <t>EXT17-00028551</t>
  </si>
  <si>
    <t>EXT17-00029249</t>
  </si>
  <si>
    <t>AUTO 
OBEDEZCASE Y CUMPLASE</t>
  </si>
  <si>
    <t>EXT15-00019936</t>
  </si>
  <si>
    <t>REQUERIMIENTO</t>
  </si>
  <si>
    <t>76 001 2333 000 2012 00167 00</t>
  </si>
  <si>
    <t>EN EL ANEXO ES LA 234
(OFI17-00010544 23/03/17 SE RESPONDE EXT17-00018308)A</t>
  </si>
  <si>
    <t>TRIBUNAL ADMINISTRATIVO DEL VALLE DEL CAUCA</t>
  </si>
  <si>
    <t>1016/2017</t>
  </si>
  <si>
    <t>1453/17</t>
  </si>
  <si>
    <t>2515918</t>
  </si>
  <si>
    <t>DR. CARLOS HERNAN RIAÑO ORDOÑEZ chro_50@hotmail.com ordonezsilva32@hotmail.com
29/01/18</t>
  </si>
  <si>
    <t>ALEXANDER BENAVIDES MONROY</t>
  </si>
  <si>
    <t>0291/2017</t>
  </si>
  <si>
    <t>alexander.benavides@unp.gov.co
07-04-2017</t>
  </si>
  <si>
    <t>LUIS ARTURO SERRANO NAVAS</t>
  </si>
  <si>
    <t>0290/2017</t>
  </si>
  <si>
    <t>arturoserrano29@hotmail.com
07-04-2017</t>
  </si>
  <si>
    <t>HARISON REYES BASTO</t>
  </si>
  <si>
    <t>0288/2017</t>
  </si>
  <si>
    <t>hreyesbasto@hotmail.com
07-04-2017</t>
  </si>
  <si>
    <t>DAGOBERTO ANTONIO PADILLA</t>
  </si>
  <si>
    <t>19/01/2018
APROX.</t>
  </si>
  <si>
    <t>0708/18</t>
  </si>
  <si>
    <t>INSTITUCIONAL 15/06/18</t>
  </si>
  <si>
    <t>HUGO ALBERTO SOLER SANCHEZ
(se elimino por solo contar con primera instancia)</t>
  </si>
  <si>
    <t>JOSE HERIBERTO MORENO RODRIGUEZ</t>
  </si>
  <si>
    <t>EXT17-00018657</t>
  </si>
  <si>
    <t>EXT17-00022374</t>
  </si>
  <si>
    <t>RESPUESTA 
SOLICITUD DE DOCUMENTOS</t>
  </si>
  <si>
    <t>EXT17-00039347</t>
  </si>
  <si>
    <t>EXT17-00044876</t>
  </si>
  <si>
    <t>ENVIADOS A LTK 18-10-2018</t>
  </si>
  <si>
    <t>81 001 2339 000 2014 00011 00</t>
  </si>
  <si>
    <t>TRIBUNAL CONTENSIOSO ADMINISTRATIVO DE ARAUCA</t>
  </si>
  <si>
    <t>HAROLD HERNANDO AVILA ROJAS</t>
  </si>
  <si>
    <t>0287/2017</t>
  </si>
  <si>
    <t>satelap@hotmail.com
07-04-2017</t>
  </si>
  <si>
    <t>NEDER MACHACON RIVERA</t>
  </si>
  <si>
    <t>0295/2017</t>
  </si>
  <si>
    <t>nederes@hotmail.com
07-04-2017</t>
  </si>
  <si>
    <t>ROLANDO DIAZ RESTREPO</t>
  </si>
  <si>
    <t>EXT17-00018309</t>
  </si>
  <si>
    <t>EXT17-00019030</t>
  </si>
  <si>
    <t>05/06/2018 SE ENCUENTRA EL EXPENDIENTE FISICO EN UNP YL LIQUIDADO UNP
07/06/18 LTK
DEVUELTO POR LTK 26-06-2018 FALTAN DOCUMENTOS</t>
  </si>
  <si>
    <t>11 001 3335 007 2014 00080 00</t>
  </si>
  <si>
    <t>NO SE ENCUENTRA EN LOS ANEXOS
JUZGADO ORDENA QUE LA UNP 
PAGUE
(SE RESPONDE MEDIANTE OFI17-00009728 16/03/17)A</t>
  </si>
  <si>
    <t xml:space="preserve">JUZGADO SEPTIMO ADMINISTRATIVO DE BOGOTA </t>
  </si>
  <si>
    <t>0912/2017</t>
  </si>
  <si>
    <t xml:space="preserve">DR. CARLOS HERNAN RIAÑO ORDOÑEZ chro_50@hotmail.com rolo.diaz@hotmail.com </t>
  </si>
  <si>
    <t>LUIS ANTONIO BERNAL MOLINA</t>
  </si>
  <si>
    <t>EXT17-00012052</t>
  </si>
  <si>
    <t>11 001 3335 007 2014 00212 00</t>
  </si>
  <si>
    <t>NO SE ENCUENTRA EN LOS ANEXOS 
JUZGADO ORDENA QUE LA UNP PAGUE
(SE DA RESPUESTA MEDIANTE OFI17-00008386 Y OFI17-00013450 )A</t>
  </si>
  <si>
    <t>YEZID RICARDO CANCELADO POVEDA</t>
  </si>
  <si>
    <t>0304/2017</t>
  </si>
  <si>
    <t>MEM17-00004475 31/03/2017</t>
  </si>
  <si>
    <t>yezid.cancelado@unp.gov.co
07-04-2017</t>
  </si>
  <si>
    <t>WILLIAM TRIANA PINZON</t>
  </si>
  <si>
    <t>0303/2017</t>
  </si>
  <si>
    <t>trianawil69@yahoo.es
07-04-2017</t>
  </si>
  <si>
    <t>LUIS OSWALDO PEÑA OLIVEROS</t>
  </si>
  <si>
    <t>EXT17-00072100</t>
  </si>
  <si>
    <t>ALLEGA SENTENCIA Y EJECUTORIA</t>
  </si>
  <si>
    <t>EXT17-00044879</t>
  </si>
  <si>
    <t>EXT17-00050817</t>
  </si>
  <si>
    <t>VICTOR HUGO HERRERA PEREZ</t>
  </si>
  <si>
    <t>EXT16-00062849</t>
  </si>
  <si>
    <t>EXT17-00021313</t>
  </si>
  <si>
    <t>12/02/2018 LTK
DEVUELVE 27/03/18
DEVUELTOS LTK RAD: LTK-003-018-2018 27/03/2018</t>
  </si>
  <si>
    <t>11 001 3335 011 2014 00257 00</t>
  </si>
  <si>
    <t>EL TRIBUNAL ADMINISTRATIVO DE CUNDINAMARCA MEDIANTE SENTENCIA DEL 28/07/2016 RESUELVE REVOCAR LA SENTENCIA PROFERIDA EN AUDIENCIA INICIAL 28/08/2015 
MEDIANTE EXT16-00062849 12/08/16 EL TRIBUNAL ADMINISTRATIVO DE CUNDINAMARCA SECCION SEGUNDA SUBSECCION A, MEDIANTE SENTENCIA DE SEGUNDA INSTANCIA FECHADA 28/07/16 REVOCA LA SENTENCIA  DEL JUZGADO ONCE ADMINISTRATIVO DE ORALIDAD DEL CIRCUITO DE BOGOTA SECCION SEGUNDA DEL 28/08/15  
ERA REALMENTE VIATICOS W.</t>
  </si>
  <si>
    <t>JUZGADO ONCE ADMINISTRATIVO DE ORALIDAD DEL CIRCUITO DE BOGOTA SECCION SEGUNDA</t>
  </si>
  <si>
    <t>TRIBUNAL ADMINISTRATIVO DE CUNDINAMARCA SECCION SEGUNDA - SUBSECCION "A"</t>
  </si>
  <si>
    <t xml:space="preserve">PENDIENTE </t>
  </si>
  <si>
    <t>DONALDO ALFREDO CORTES HERMOSO</t>
  </si>
  <si>
    <t>EXT17-00013954</t>
  </si>
  <si>
    <t>11 001 3335 023 2014 00147 00</t>
  </si>
  <si>
    <t>REVISAR FALLO
HOY, OCT 17 DE 2018, SE EXAMINó UN EXT DE FEB DE 2017 Y SALIO EN CONTRA DE LA FIDUPREVISORA, NO LA UNP  W.</t>
  </si>
  <si>
    <t xml:space="preserve">JUZGADO VEINTITRES ADMINISTRATIVO DE BOGOTA </t>
  </si>
  <si>
    <t>DIEGO FERNANDO TREJOS CARDENAS</t>
  </si>
  <si>
    <t>EXT17-00021171</t>
  </si>
  <si>
    <t>EXT17-00041398</t>
  </si>
  <si>
    <t>EXT17-00062606</t>
  </si>
  <si>
    <t>RESPUESTA 
OFI17-00062606</t>
  </si>
  <si>
    <t>EXT14-00054312</t>
  </si>
  <si>
    <t>REMITE TELEGRAMA</t>
  </si>
  <si>
    <t>EXT14-00056288</t>
  </si>
  <si>
    <t>05/05/2017
MEDIANTE OFI17-00031027 28/08/2017 SE ENVIAN DOCUMENTOS EN FOTOCOPIAS EN 138 FOLIOS
ENTREGADO Y LIQUIDADO 02/10/2017
LIQUIDADO NPA</t>
  </si>
  <si>
    <t>76 001 3331 003 2010 00012 00</t>
  </si>
  <si>
    <t xml:space="preserve">EN EL ANEXO ES LA 318
ALLEGA CERTIFICACION DE APORTES
CORREO ELECTRÓNICO 26/07/18
</t>
  </si>
  <si>
    <t>JUZGADO TERCERO ADMINISTRATIVO ADMINISTRATIVO DE CALI</t>
  </si>
  <si>
    <t>TRIBUNAL ADMINISTRATIVO DE VALLE DEL CAUCA</t>
  </si>
  <si>
    <t>07-12-2017
115242448
NO FIGURAN.</t>
  </si>
  <si>
    <t>1507/17</t>
  </si>
  <si>
    <t>3012218</t>
  </si>
  <si>
    <t xml:space="preserve">jorge.portocarrero@hotmail.com
01/02/18 </t>
  </si>
  <si>
    <t>JORGE HERNANDO ROJAS JIMENEZ</t>
  </si>
  <si>
    <t>EXT17-00023325</t>
  </si>
  <si>
    <t>11 001 3331 027 2011 00398 01</t>
  </si>
  <si>
    <t>31/1272004</t>
  </si>
  <si>
    <t>EN EL ANEXO ES LA 19</t>
  </si>
  <si>
    <t>JUZGADO 27 ADMINISTRATIVO DE BOGOTA</t>
  </si>
  <si>
    <t>DANIEL ANDRES SIERRA OSPINA</t>
  </si>
  <si>
    <t>EXT17-00023320</t>
  </si>
  <si>
    <t>EXT17-00015735</t>
  </si>
  <si>
    <t>tribunal administrativo de cundinamarca</t>
  </si>
  <si>
    <t>EXT17-00032247</t>
  </si>
  <si>
    <t>AUTO
OBEDEZCASE Y CUMPLASE</t>
  </si>
  <si>
    <t>EXT17-00048149</t>
  </si>
  <si>
    <t>11 001 3335 019 2013 00647 01</t>
  </si>
  <si>
    <t>EN EL ANEXO ES LA 540
(SE DA RESPUESTA MEDIANTE OFI17-00023667 04/07/2017)A</t>
  </si>
  <si>
    <t>JUZGADO DIECINUEVE ADMINISTRATIVO DE BOGOTA</t>
  </si>
  <si>
    <t>FIDEL ANTONIO MENDOZA ARRIETA</t>
  </si>
  <si>
    <t>EXT17-00023315</t>
  </si>
  <si>
    <t>EXT17-00051535</t>
  </si>
  <si>
    <t>EXT17-00066793</t>
  </si>
  <si>
    <t>05/05/2017
14/08/2017 MEDIANTE 
OFI17-00029283
14/08/2017
CON 85 FOLIOS ORIGINALES
ENTREGADO Y LIQUIDADO 29/08/2017
LIQUIDADO NPA</t>
  </si>
  <si>
    <t>11 001 3331 008 2011 00505 00</t>
  </si>
  <si>
    <t xml:space="preserve">EN EL ANEXO ES EL 31
 /ALLEGAN SALUD 
Y PENSION /EL 14/08/2017 MEDIANTE 
OFI17-00028621 DEL 09/08/2017, SE DA RESPUESTA MEDIANTE OFI17-00032120 05/09/2017)A </t>
  </si>
  <si>
    <t>JUZGDO DIECISES ADMIISTRATIVO DE DESCONGESTION CIRCUITO JUDICIAL DE BOGOTA SECCION SEGUNDA</t>
  </si>
  <si>
    <t>TRIBUNAL ADMINISTRATIVO DE CUNDINAMARCA SECCION SEUNDA - SUBSECCION "F"</t>
  </si>
  <si>
    <t>26-10-2018
1-32-244-439-9879
NO PRESENTA DEUDA</t>
  </si>
  <si>
    <t>DIMAS OVIDIO SUAREZ AYALA</t>
  </si>
  <si>
    <t>JUZGADO CUARENTA Y SIETE ADMINISTRATIVO DE BOGOTA</t>
  </si>
  <si>
    <t>0670/2017</t>
  </si>
  <si>
    <t>dimas.suarez@unp.gov.co
02-11-2017</t>
  </si>
  <si>
    <t>DAGOBERTO ROJAS PUENTES</t>
  </si>
  <si>
    <t>0526/2017</t>
  </si>
  <si>
    <t>dagorojas123@hotmail.com
07-06-2017</t>
  </si>
  <si>
    <t>ELKIN FRANCISCO VELASQUEZ BAQUERO</t>
  </si>
  <si>
    <t>0357/2017</t>
  </si>
  <si>
    <t>MEM17-0005409 25/04/2017</t>
  </si>
  <si>
    <t>NELSON FIDEL PARRADO BARRETO</t>
  </si>
  <si>
    <t>0371/2017</t>
  </si>
  <si>
    <t>MEM,17-00005563 27/04/2017</t>
  </si>
  <si>
    <t>ALIRIO LIZARAZO SALAZAR</t>
  </si>
  <si>
    <t>0359/2017</t>
  </si>
  <si>
    <t>CAMILO TORRES DURAN</t>
  </si>
  <si>
    <t>MEM18-00010834</t>
  </si>
  <si>
    <t>CONTROL DISCIPLINARIO INTERNO</t>
  </si>
  <si>
    <t>VIATICOS 2015
SE DA RESPUESTA MEDIANTE MEM18-00011057 12/06/18 L</t>
  </si>
  <si>
    <t>0417/2017</t>
  </si>
  <si>
    <t>0416/2017</t>
  </si>
  <si>
    <t>JOSE LUIS MORENO RAMON</t>
  </si>
  <si>
    <t>1419/17</t>
  </si>
  <si>
    <t>YURY LEIDY GAITAN CASTRO</t>
  </si>
  <si>
    <t>0414/2017</t>
  </si>
  <si>
    <t>LUIS RAMON LOPEZ MARTINEZ</t>
  </si>
  <si>
    <t>0331/2017</t>
  </si>
  <si>
    <t>DIEGO FERNAN URDANETA CAICEDO</t>
  </si>
  <si>
    <t>0358/2017</t>
  </si>
  <si>
    <t>JOSE JAMID SUAREZ GONZALEZ</t>
  </si>
  <si>
    <t>0370/2017</t>
  </si>
  <si>
    <t>MEM17-00005563 27/04/2017</t>
  </si>
  <si>
    <t>FABIO DIDIER CASTIBLANCO SUAREZ</t>
  </si>
  <si>
    <t>0464/2017</t>
  </si>
  <si>
    <t>HUGO HERNAN GONZALEZ JIMENEZ</t>
  </si>
  <si>
    <t>0415/2017</t>
  </si>
  <si>
    <t>JOSE EVER GUEVARA LOZANO</t>
  </si>
  <si>
    <t>0365/2017</t>
  </si>
  <si>
    <t>YAMBER ANTONIO ARIZA DELGADO</t>
  </si>
  <si>
    <t>11 001 3335 013 2014 00171 00</t>
  </si>
  <si>
    <t>COMUNICAN POR ESTADO 
MEDIENTE EXT17-00013996 27/02/17 LA ENTIDAD DEMANDADA ES LA FIDUPREVISORA Y ESTA ES LA CONDENADA A PAGAR L</t>
  </si>
  <si>
    <t>JUZGADO CINCUENTA ADMINISTRATIVO DEL CIRCUITO JUDICIAL DE  BOGOTA</t>
  </si>
  <si>
    <t>TRIBUNAL ADMINISTRATIVO DE CUNDINAMARCA - SECCION SEGUNDA- SEBSECCION F</t>
  </si>
  <si>
    <t>WILSON ALBEIRO CARDONA SEPULVEDA</t>
  </si>
  <si>
    <t>EXT17-00024522</t>
  </si>
  <si>
    <t>EXT17-00032874</t>
  </si>
  <si>
    <t>23/02/18 LTK
POR ENTREGAR LTK</t>
  </si>
  <si>
    <t>NO APARECE EN EL DECRETO PERO CONDENA A LA UNP
(SE DA RESPUESTA MEDIANTE EL OFI17-00014322 24/04/17 / SE DA RESPUESTA MEDIANTE CORREO ELECTRONICO 22/05/17)A</t>
  </si>
  <si>
    <t>JUZGADO 29 ADMINISTRATIVO DE MEDELLIN</t>
  </si>
  <si>
    <t>LEANDRO MARCELO CHICAIZA</t>
  </si>
  <si>
    <t>PEDRO LEON TORRES BURBANO</t>
  </si>
  <si>
    <t>EXT17-00024780</t>
  </si>
  <si>
    <t>EXT18-00065342</t>
  </si>
  <si>
    <t>EXT18-00084646</t>
  </si>
  <si>
    <t>52 001 3331 002 2012 00074 00</t>
  </si>
  <si>
    <t>EN EL ANEXO ES LA 293
OFI18-00031441 31/07/18
OFI18-00040247 14/09/18  L.</t>
  </si>
  <si>
    <t>115242448-2379
24-10-2018
NO REGISTRA DEUDA</t>
  </si>
  <si>
    <t>JORGE ELIECER AGUDELO ARROYAVE</t>
  </si>
  <si>
    <t>EXT17-00048203</t>
  </si>
  <si>
    <t>EXT17-00051136</t>
  </si>
  <si>
    <t>CUENTA DE COBRO 
(falta la constancia de ejecutoria)</t>
  </si>
  <si>
    <t>EXT17-00094953</t>
  </si>
  <si>
    <t>ALCANCE CUENTA DE COBRO</t>
  </si>
  <si>
    <t>ENVIADO A LTK EL 23-10-2018</t>
  </si>
  <si>
    <t>11 001 3335 007 2013 00303 00</t>
  </si>
  <si>
    <t>EN EL ANEXO ES EL 169 / (08/08/2017
ASIGNADA A NATALIA URBANO, SE  SOLICITAN DOCUMENTOS FALTANTES MEDIANTE OFI17-00024585/ OFI17-00047807 N</t>
  </si>
  <si>
    <t>JULIAN SUAREZ RAMIREZ</t>
  </si>
  <si>
    <t>EXT17-00026385</t>
  </si>
  <si>
    <t>EXT17-00064880</t>
  </si>
  <si>
    <t>INICIO TRAMITE DE 
PAGO</t>
  </si>
  <si>
    <t>EXT17-00082857</t>
  </si>
  <si>
    <t>11 001 3331 018 2011 00449 00</t>
  </si>
  <si>
    <t>EN EL ANEXO ES LA 98
EXISTE UN PERIODO QUE NO TRABAJO; SE REMITE A MI SIGOB EL 09 DE MAYO DE 2017</t>
  </si>
  <si>
    <t>JUZGDO SEXTO ADMINISTRATIVO DE DESCONGESTION DE BOGOTA</t>
  </si>
  <si>
    <t>QUEST</t>
  </si>
  <si>
    <t>805022296-8</t>
  </si>
  <si>
    <t>2016-00705-00</t>
  </si>
  <si>
    <t>PAGO CONCILIACION</t>
  </si>
  <si>
    <t>JUZGADO SESENTA Y TRES ADMINISTRATIVO DE BOGOTA</t>
  </si>
  <si>
    <t>0429/2017</t>
  </si>
  <si>
    <t>MEM17-00006175 10/05/2017</t>
  </si>
  <si>
    <t>ESTOOFER CALDAS PEREZ</t>
  </si>
  <si>
    <t>EXT17-00075727</t>
  </si>
  <si>
    <t>NO SE ENCUENTRA EN LOS ANEXOS 
ABOGADO DE LA UNP (DAVID) INFORMA FALLO CONTRA UNP/ (ALLEGA SALUD Y PENSION)</t>
  </si>
  <si>
    <t>NRD-PRESTACIONES SOCIALES</t>
  </si>
  <si>
    <t>22/08/2018, 1-32-244-439-7389, NO DEUDA</t>
  </si>
  <si>
    <t>EXT17-00032690</t>
  </si>
  <si>
    <t>08 001 3331 008 2011 00211 00</t>
  </si>
  <si>
    <t>JUZGADO QUINTO ADMINISTRATIVO DE BARRANQUILLA</t>
  </si>
  <si>
    <t>OLGA LUCIA SIERRA RAMIREZ</t>
  </si>
  <si>
    <t>SOLICITUD DE  PAGO</t>
  </si>
  <si>
    <t>11 001 3335 021 2014 00264 00</t>
  </si>
  <si>
    <t>NO SEN ENCUENTRA EN LOS ESTADOS
COMUNICAN POR ESTADO 
HOY, OCT 17 DE 2018, SE EXAMINó UN EXT DE FEB DE 2017 Y SALIO EN CONTRA DE LA FIDUPREVISORA, NO LA UNP  W.</t>
  </si>
  <si>
    <t>JUZGADO CINCUENTA ADMINISTRATIVO DEL CIRCUITO JUDICIAL DE BOGOTA</t>
  </si>
  <si>
    <t>TRIBUNAL ADIMINISTRATIVO DE CUNDINAMARCA - SECCION SEGUNDA</t>
  </si>
  <si>
    <t>FRANCISCO TORRES LUNA</t>
  </si>
  <si>
    <t>0495/2017</t>
  </si>
  <si>
    <t>MEM17-00007000 25/05/2017</t>
  </si>
  <si>
    <t>elalquimistamix@hotmail.com
07-06-2017</t>
  </si>
  <si>
    <t>FREDY JAVIER RAYO NAGLES</t>
  </si>
  <si>
    <t>0225/18</t>
  </si>
  <si>
    <t>fredy.rayo@correo.policia.gov.co
02-03-2018</t>
  </si>
  <si>
    <t>OSCAR LEON DIAZ MONTIEL</t>
  </si>
  <si>
    <t>0551/2017</t>
  </si>
  <si>
    <t>leo122424@gmail.com
07-06-2017</t>
  </si>
  <si>
    <t>EDWIN CORREAL LOPEZ</t>
  </si>
  <si>
    <t>0497/2017</t>
  </si>
  <si>
    <t>JADER ADRIANO PLAZA GARCIA</t>
  </si>
  <si>
    <t>08/05/2017
APROX.</t>
  </si>
  <si>
    <t>1501/17</t>
  </si>
  <si>
    <t>UNION TEMPORAL SERVIACTIVA EFICIENTE</t>
  </si>
  <si>
    <t>900789832-2</t>
  </si>
  <si>
    <t>ROBINSON FRANCO CASTRO</t>
  </si>
  <si>
    <t>EXT17-00039560</t>
  </si>
  <si>
    <t>REPRESENTANTE LEGAL</t>
  </si>
  <si>
    <t>20/02/18 LTK</t>
  </si>
  <si>
    <t>13 001 3333 013 2016 00572 00</t>
  </si>
  <si>
    <t>CONCILIACION EXTRAJUDICIAL
SE DA RESPUESTA MEDIANTE OFI17-00023099 28/06/17 G</t>
  </si>
  <si>
    <t>ISVI LIMITADA</t>
  </si>
  <si>
    <t>860401191-1</t>
  </si>
  <si>
    <t>EXT17-00035066</t>
  </si>
  <si>
    <t>2017-00318-00</t>
  </si>
  <si>
    <t>CONCILIACION EXTRAJUDICIAL</t>
  </si>
  <si>
    <t>TRIBUNAL ADMIMISTRATIVO DE CUNDINAMARCA</t>
  </si>
  <si>
    <t>0554/2017</t>
  </si>
  <si>
    <t>TITO DE JESUS ZAPATA ZAPATA</t>
  </si>
  <si>
    <t>JUZGADO VEINTISEIS ADMINISTRATIVO ORAL DE BOGOTA</t>
  </si>
  <si>
    <t>0496/2017</t>
  </si>
  <si>
    <t>tito-zapata@hotmail.com
07-06-2017</t>
  </si>
  <si>
    <t>CESAR HUMBERTO GOMEZ CORTES</t>
  </si>
  <si>
    <t>JUZGADO DIECISIETE ADMINISTRATIVO ORAL DE BOGOTA</t>
  </si>
  <si>
    <t>0592/2017</t>
  </si>
  <si>
    <t xml:space="preserve">EMMANUEL RICARDO LUNA AYALA </t>
  </si>
  <si>
    <t>0552/2017</t>
  </si>
  <si>
    <t>EXT17-00064132</t>
  </si>
  <si>
    <t>AUTO CORRIGE SENTENCIA</t>
  </si>
  <si>
    <t>EXT17-00068797</t>
  </si>
  <si>
    <t>COMUNICACIÓN 
SENTENCIA</t>
  </si>
  <si>
    <t>EXT17-00071242</t>
  </si>
  <si>
    <t>REMISION POR
COMPETENCIA</t>
  </si>
  <si>
    <t>EXT17-00072890</t>
  </si>
  <si>
    <t>11 001 3335 705 2014 00132 00</t>
  </si>
  <si>
    <t>NO SE ENCUENTRA EN LOS ANEXOS 
TRIBUNAL ORDENA QUE EL PAGO LO HAGA LA UNP</t>
  </si>
  <si>
    <t>JUZGADO CUARENTA Y  NUEVE ADMINISTRATIVO DE BOGOTA</t>
  </si>
  <si>
    <t>JULIAN ALBERTO RINCON BAQUERO</t>
  </si>
  <si>
    <t>EXT17-00067532</t>
  </si>
  <si>
    <t>SOLICITUD DE 
PAGO-ALLEGA 
CERTIFICACION 
DE APORTES</t>
  </si>
  <si>
    <t>EXT17-00069093</t>
  </si>
  <si>
    <t>11 001 3335 026 2013 00553 00</t>
  </si>
  <si>
    <t>NO SE ENCUENTRA EN LOS ANEXOS
TRIBUNAL ORDENA QUE EL PAGO LO HAGA LA UNP</t>
  </si>
  <si>
    <t>22/08/2018, 1-32-244-439-7385, NO DEUDA</t>
  </si>
  <si>
    <t>NO SE ENCONTRO REGISTRO 28-02-2018
100224333-414</t>
  </si>
  <si>
    <t>0742/2017</t>
  </si>
  <si>
    <t>MEM17-00010347
31/07/2017</t>
  </si>
  <si>
    <t>jorge.corzo@unp.gov.co
02-11-2017</t>
  </si>
  <si>
    <t>SILVIO ANTONIO MORALES MARIN</t>
  </si>
  <si>
    <t>0816/2017</t>
  </si>
  <si>
    <t>MEM17-00011103
14/08/2017</t>
  </si>
  <si>
    <t>silvio.morales@unp.gov.co
03-11-2017</t>
  </si>
  <si>
    <t>DANIEL SALAZAR MOLINA</t>
  </si>
  <si>
    <t>0689/2017</t>
  </si>
  <si>
    <t>MEM17-00010231 
28/07/2017</t>
  </si>
  <si>
    <t>daniel.salazar@unp.gov.co
02-11-2018</t>
  </si>
  <si>
    <t>ANGEL ALBERTO RODRIGUEZ GUEVARA</t>
  </si>
  <si>
    <t>0656-17</t>
  </si>
  <si>
    <t>MEM17-00009019 
06/07/2017</t>
  </si>
  <si>
    <t>ALEXANDER LEAL ALVARADO</t>
  </si>
  <si>
    <t>0758/17</t>
  </si>
  <si>
    <t>MEM17-00010762
08/08/2017</t>
  </si>
  <si>
    <t>alexander.leal@unp.gov.co
02-11-2017</t>
  </si>
  <si>
    <t xml:space="preserve">JULIAN FELIPE VILLARREAL </t>
  </si>
  <si>
    <t>0688/2017</t>
  </si>
  <si>
    <t>MEM17-00010231
28/07/2017</t>
  </si>
  <si>
    <t>julian.villareal@unp.gov.co
02-11-2017</t>
  </si>
  <si>
    <t>SERGIO ANDRES CALDERON GARZON</t>
  </si>
  <si>
    <t>EXT17-00040694</t>
  </si>
  <si>
    <t>EXT17-00066329</t>
  </si>
  <si>
    <t>NOTIFICACION 
OFICIO</t>
  </si>
  <si>
    <t>EXT18-00014134</t>
  </si>
  <si>
    <t>11 001 3335 008 2012 00346 00</t>
  </si>
  <si>
    <t>EN EL ANEXO ES EL 135 
TRIBUNAL ORDENA QUE EL PAGO LO HAGA LA UNP</t>
  </si>
  <si>
    <t>22/08/2018, 1-32-244-439-7388, NO DEUDA</t>
  </si>
  <si>
    <t>CARLOS EDUARDO DE LAS SALAS MIER</t>
  </si>
  <si>
    <t>EXT17-00039220</t>
  </si>
  <si>
    <t>EXT18-00016435</t>
  </si>
  <si>
    <t>EXT18-00038471</t>
  </si>
  <si>
    <t>EXT18-00098063</t>
  </si>
  <si>
    <t>SOLICITUD DE PAGO -ALLEGA DOCUMENTOS</t>
  </si>
  <si>
    <t>11 001 3331 707 2011 00231 00</t>
  </si>
  <si>
    <t>EN EL ANEXO ES EL 164
SE DA RESPUESTA MEDIANTE OFI18-00009336 06/03/18 L OFI18-00038471  23/05/18 L
MEDIANTE OFI18-00044989 SE DA RESPUESTA A EXT18-00098063  F.</t>
  </si>
  <si>
    <t>JUZGADO SEPTIMO ADMINSTRATIVO DE DESCONGESTION DE BOOGTA</t>
  </si>
  <si>
    <t>22/08/2018, 
102244439-00088, 
NO DEUDA</t>
  </si>
  <si>
    <t>DIEGO FERNANDO PEREZ PINZON</t>
  </si>
  <si>
    <t>EXT17-00063803</t>
  </si>
  <si>
    <t>EXT18-00016993</t>
  </si>
  <si>
    <t>23/02/2018 LTK
ENTREGADOS LTK</t>
  </si>
  <si>
    <t>11 001 3335 030 2012 00192 00</t>
  </si>
  <si>
    <t>16/06/211</t>
  </si>
  <si>
    <t>EN EL ANEXO ES LA 606
ALLEGA APORTES SALUD Y PENSION
SALIO A FAVOR, LUEGO DE LIQUIDAR  W.</t>
  </si>
  <si>
    <t>JUZGADO TREINTA ADMINISTRATIVO 
ORAL DEL CIRCUITO DE BOGOTA D.C.
SECCION SEGUNDA</t>
  </si>
  <si>
    <t>TRIBUNAL ADMIMISTRATIVO DE CUNDINAMARCA SECCION SEGUNDA SUBSECCION "A"</t>
  </si>
  <si>
    <t>LUIS MIGUEL GUEVARA BUSTOS</t>
  </si>
  <si>
    <t>DEIFILIA DE JESUS LOPEZ</t>
  </si>
  <si>
    <t>EXT17-00039642</t>
  </si>
  <si>
    <t>EXT17-00065266</t>
  </si>
  <si>
    <t>EXT18-00022452</t>
  </si>
  <si>
    <t>EXT18-00021469</t>
  </si>
  <si>
    <t>EXT18-00031669</t>
  </si>
  <si>
    <t>86 001 3331 701 2012 00076 00</t>
  </si>
  <si>
    <t>EN EL ANEXO ES 296
SE DA RESPUESTA MEDIANTE OFI18-00011965 22/03/18 E</t>
  </si>
  <si>
    <t>JUZGADO ADMINISTRATIVO DE DESCONGESTION DE MOCOA</t>
  </si>
  <si>
    <t>LUIS EDUARDO RIVEROS PEREZ</t>
  </si>
  <si>
    <t>EXT17-00040680</t>
  </si>
  <si>
    <t>47 001 3333 006 2014 00010 00</t>
  </si>
  <si>
    <t>EN EL ANEXO ES 533</t>
  </si>
  <si>
    <t xml:space="preserve">JUZGADO SEXTO ADMINISTRATIVO DE SANTA MARTA </t>
  </si>
  <si>
    <t>JAVIER PAEZ</t>
  </si>
  <si>
    <t>1412/17</t>
  </si>
  <si>
    <t>JHON SANCHEZ ORJUELA</t>
  </si>
  <si>
    <t>0655/17
0761/17 NO</t>
  </si>
  <si>
    <t>john.sanchez@unp.gov.co 
03-11-2017</t>
  </si>
  <si>
    <t>FRANKLIN LOAIZA GONZALEZ</t>
  </si>
  <si>
    <t>0672/2017</t>
  </si>
  <si>
    <t>MEM17-00009075 
06/07/2017</t>
  </si>
  <si>
    <t>SERGIN ALEXANDER GIRALDO ORTIZ</t>
  </si>
  <si>
    <t>EXT17-00096738</t>
  </si>
  <si>
    <t>05 001 2331 000 2011 01141 00</t>
  </si>
  <si>
    <t>15/08/2018, 1-11-244-439-1960, NO DEUDA</t>
  </si>
  <si>
    <t>EXT17-00071873</t>
  </si>
  <si>
    <t>11 001 3335 030 2014 00213 01</t>
  </si>
  <si>
    <t>0744/2017</t>
  </si>
  <si>
    <t>INSTITUCIONAL</t>
  </si>
  <si>
    <t>LUIS CARLOS ALONSO RODRIGUEZ</t>
  </si>
  <si>
    <t>2016-00498-00</t>
  </si>
  <si>
    <t>0690/2017</t>
  </si>
  <si>
    <t>MEM17-00009339
11/07/2017</t>
  </si>
  <si>
    <t>luis.alonso@unp.gov.co
02-11-2017</t>
  </si>
  <si>
    <t>0738/2017</t>
  </si>
  <si>
    <t>MEM17-00010222
27/07/2017</t>
  </si>
  <si>
    <t>daniel.gomez@unp.gov.co
02-11-2017</t>
  </si>
  <si>
    <t>EDGARDO ENRIQUE MARTINEZ VILLADIEGO</t>
  </si>
  <si>
    <t>1416/17</t>
  </si>
  <si>
    <t>edgardo.martinez@unp.gov.co
01-02-2018</t>
  </si>
  <si>
    <t>0737/2017</t>
  </si>
  <si>
    <t>fabio.guataquira@unp.gov.co
02-11-2017</t>
  </si>
  <si>
    <t>0739/2017</t>
  </si>
  <si>
    <t>fredy.imbachi@unp.gov.co
02-11-2017</t>
  </si>
  <si>
    <t>PAULO YIMMY YEPEZ ORTIZ</t>
  </si>
  <si>
    <t>1402/17</t>
  </si>
  <si>
    <t>LUCIA BALLESTEROS GOMEZ</t>
  </si>
  <si>
    <t>21/06/2017
APROX.</t>
  </si>
  <si>
    <t>0229/18</t>
  </si>
  <si>
    <t>JORGE LUIS ESCALANTE SIERRA</t>
  </si>
  <si>
    <t>1417/17</t>
  </si>
  <si>
    <t>jorge.escalante@unp.gov.co
01-02-2018</t>
  </si>
  <si>
    <t>LUIS ENRIQUE MARIN JUANIAS</t>
  </si>
  <si>
    <t>0743/2017</t>
  </si>
  <si>
    <t>luis.marin@unp.gov.co
02-11-2017</t>
  </si>
  <si>
    <t xml:space="preserve">OSCAR RAMON VERA </t>
  </si>
  <si>
    <t>EXT17-00050658</t>
  </si>
  <si>
    <t>ALLEGA DOCUMENTOS
 PAGO DE SENTENCIA</t>
  </si>
  <si>
    <t>EXT18-00023158</t>
  </si>
  <si>
    <t>EXT18-00023769</t>
  </si>
  <si>
    <t>EXT18-00036663</t>
  </si>
  <si>
    <t>EXT18-00052534</t>
  </si>
  <si>
    <t>SOLICITA SOPORTES DE PAGO CREDITO JUDICIAL</t>
  </si>
  <si>
    <t>54 518 3331 001 2012 00007 00</t>
  </si>
  <si>
    <t xml:space="preserve">EN EL ANEXO ES LA 40
SE DA RESPUESTA MEDIANTE OFI18-00012064 22/03/18 E OFI18-00018521 10/05/18 L
OFI18-00025518-25/06/2018-Decreto 1303-No. 40.  N.
</t>
  </si>
  <si>
    <t>JUZGADO PRIMERO ADMIISTRATIVO ORAL DE PAMPLONA</t>
  </si>
  <si>
    <t>0738-18</t>
  </si>
  <si>
    <t>arturogotru@gmail.com
27-07-2018</t>
  </si>
  <si>
    <t>DAGOBERTO RICARDO GARZON GARZON</t>
  </si>
  <si>
    <t>EXT17-00046256</t>
  </si>
  <si>
    <t>EXT17-00067490</t>
  </si>
  <si>
    <t>23/02/18 LTK
ENTREGADOS LTK
RAD.LTK-002-009-2018 05/03/18 INDICA QUE SE ENTREGARON 2 CARPETAS Y FUERON 3</t>
  </si>
  <si>
    <t>11 001 3331 018 2011 00025 01</t>
  </si>
  <si>
    <t>EN EL ANEXO ES LA 51</t>
  </si>
  <si>
    <t>22/08/2018, 1-32-244-439-7378, NO DEUDA</t>
  </si>
  <si>
    <t>ISRAEL POTES YAYA</t>
  </si>
  <si>
    <t>EXT17-00039356</t>
  </si>
  <si>
    <t>ALLEGA CEDULA</t>
  </si>
  <si>
    <t>2007 00541 00</t>
  </si>
  <si>
    <t>EN EL ANEXO ES EL 673
(SE DA RESPUESTA MEDIANTE CORREO ELECTRONICO 08/06/17)A OFI18-00008480 01/03/18 E</t>
  </si>
  <si>
    <t>JUZGADO DECIMO ADMINISTRATIVO DE DESCONGESTION DEL CIRCUITO DE BOGOTA D.C. - SECCION SEGUNDA</t>
  </si>
  <si>
    <t>TRIBUNAL ADMINISTRATIVO DE CUNDINAMARCA - SECCION SEGUNDA -SUDSECCION "F"</t>
  </si>
  <si>
    <t>0684/2018</t>
  </si>
  <si>
    <t xml:space="preserve">correapinedaclaudia@hotmail.com
15/06/2018 L.
correapinedaclaudia@hotmail.com 
19-06-2018 lm.
</t>
  </si>
  <si>
    <t>EXT17-00046275</t>
  </si>
  <si>
    <t>EXT17-00064705</t>
  </si>
  <si>
    <t>COBRO DE SENTENCIA</t>
  </si>
  <si>
    <t>EXT18-00018210</t>
  </si>
  <si>
    <t>11 001 3331 025 2011 00575 00</t>
  </si>
  <si>
    <t>EN EL ANEXO ES LA 125
SE DA RESPUESTA MEDIANTE OFI18-00009887 09/03/18 L OFI18-00016495 26/04/18 L</t>
  </si>
  <si>
    <t>JUZGADO CUARTO ADMINISTRATIVO DE DESCONGESTION DEL CIRCUITO JUDICIAL DE BOGOTA</t>
  </si>
  <si>
    <t>22/08/2018, 1-32-244-439-7393, NO DEUDA
22/08/2018, 1-32-244-439-7387, NO DEUDA
22/08/2018, 1-32-244-439-7386, NO DEUDA</t>
  </si>
  <si>
    <t>(WILSON) LIQUIDADA 19/07/2017</t>
  </si>
  <si>
    <t>DIEGO ALEXANDER OSSA NOREÑA</t>
  </si>
  <si>
    <t>0735/2017</t>
  </si>
  <si>
    <t>diego.ossa@unp.gov.co
02-11-2017</t>
  </si>
  <si>
    <t>JOSE IGNACIO BONILLA MENDEZ</t>
  </si>
  <si>
    <t>EXT17-00060631</t>
  </si>
  <si>
    <t>41 001 3331 004 2011 00121 00</t>
  </si>
  <si>
    <t>EN EL ANEXO ES EL 171
SE ALLEGA UN 
FOLIO Y UN CD (le negaron sus pretensiones por completo W)
SEGUNDA INSTANCIA REVOCA LA SENTENCIA DE PRIMERA INSTANCIA Y DECLARA PROBADA DE OFICIO EXCEPCION INDEBIDA ESCOGENCIA DE LA ACCION Y ACUMULACION DE PRETENCIONES</t>
  </si>
  <si>
    <t>JUZGADO QUINTO ADMINISTRATIVO
DE DEDSCONGESTION DEL CIRCUITO
JUDICIAL DE NEIVA</t>
  </si>
  <si>
    <t xml:space="preserve">TRIBUNAL ADMINISTRATIVA DEL 
HUILA SALA QUINTA DE 
DECISION ESCRITURAL
</t>
  </si>
  <si>
    <t>CONTROVERSIA CONTRACTUAL</t>
  </si>
  <si>
    <t>EXT14-00066498</t>
  </si>
  <si>
    <t>EXT15-00031234</t>
  </si>
  <si>
    <t>NOTIFICACION FALLO</t>
  </si>
  <si>
    <t>EXT17-00035118</t>
  </si>
  <si>
    <t>EXT17-00053191</t>
  </si>
  <si>
    <t xml:space="preserve">EXT15-00018081 </t>
  </si>
  <si>
    <t>25/02/2015
28/04/2015
18/09/2015
17/09/2015
27/01/2016
31/03/2016
20/04/2017
23/05/2017</t>
  </si>
  <si>
    <t>feb-15
abr-15
sep-15
sep-15
ene-16
mar-16
abr-17
may-17</t>
  </si>
  <si>
    <t>EXT15-00007995
EXT15-00018081
EXT15-00054337
EXT15-00054113
EXT16-00005499
EXT16-00023312
EXT17-00028755
EXT17-00037841</t>
  </si>
  <si>
    <t>ANDJE
JUZGADO
JUZGADO
JUZGADO
JUZGADO
JUZGADO
TRIBUNAL
JUZGADO</t>
  </si>
  <si>
    <t>OFICIO
NOTIFICACION ESTADO
NOTIFICACION ESTADO
OFICIO
COMUNICACIÓN SENTENCIA
NOTIFICA ESTADO
COMUNICACIÓN SENTENCIA</t>
  </si>
  <si>
    <t>12/02/2018 LTK
DEVUELTO LTK RAD:LTK-002-006-2018 23/02/18
05/06/2018 SE ENCUENTRA EL EXPENDIENTE FISICO EN UNP YL LIQUIDADO UNP</t>
  </si>
  <si>
    <t>11 001 3335 026 2014 00202 00</t>
  </si>
  <si>
    <t>NO SE ENCUENTRA  EN LOS ANEXOS 
CUMPLIMIENTO DE SENTENCIA
SE DA RESPUESTA MEDIANTE OFI17-00027437 01/08/17 N</t>
  </si>
  <si>
    <t>JUZGADO CINCUENTA ADMINISTERATIVO DEL CIRCUITO DE BOGOTA</t>
  </si>
  <si>
    <t>TRIBUNAL ADMINISTRATIVO 
DE CUNDINAMARCA SECCION 
SEGUNDA-SUBDIRECCION "C"</t>
  </si>
  <si>
    <t>ALEXANDER RUIZ GONZALEZ</t>
  </si>
  <si>
    <t>NOTIFICACION AUTO 
ADMISORIO</t>
  </si>
  <si>
    <t>EXT17-00052149</t>
  </si>
  <si>
    <t>EXT17-00083199</t>
  </si>
  <si>
    <t>DEVUELTOS LTK RAD.LTK-005-035-2018 17/05/18
20/02/18 LTK
ENVIADOS A LTK 18-10-2018</t>
  </si>
  <si>
    <t>11 001 3335 014 2014 00095 00</t>
  </si>
  <si>
    <t>NO APARECE EN EL ANEXO</t>
  </si>
  <si>
    <t>JUZGADO CATORCE 
ADMINISTRATIVO ORAL DE 
BOGOTA SECCION SEGUNDA</t>
  </si>
  <si>
    <t>29/02/2017</t>
  </si>
  <si>
    <t>JORGE ARIEL SALCEDO NARVAEZ</t>
  </si>
  <si>
    <t>EXT17-00053688</t>
  </si>
  <si>
    <t>EN EL ANEXO ES EL 301
SE ALLEGA SALUD Y PENSION</t>
  </si>
  <si>
    <t>TRIBUNAL CONTENCIOSO 
ADMINISTRATIVO DEL VALLE DEL CAUCA SALA DE DESCONESTION</t>
  </si>
  <si>
    <t>CONSEJO DE ESTADO SALA DE 
LO CONTENSIOSO ADMINISTRATIVO SECCION SEGUNDA SUBSECCION B</t>
  </si>
  <si>
    <t>0915/2017</t>
  </si>
  <si>
    <t>1491/17</t>
  </si>
  <si>
    <t>3007118</t>
  </si>
  <si>
    <t>DR. CARLOS HERNAN RIAÑO ORDOÑEZ chro_50@hotmail.com jorge_ariels@hotmail.com
29/01/18</t>
  </si>
  <si>
    <t>CARLOS ANDRES CHAVEZ GONZALEZ</t>
  </si>
  <si>
    <t>29/07/2017
APROX.</t>
  </si>
  <si>
    <t>0745/2017</t>
  </si>
  <si>
    <t>MEM17-00010347 
31/07/2017</t>
  </si>
  <si>
    <t>carlos.chaves@unp.gov.co
02/11/2017</t>
  </si>
  <si>
    <t>WILFRAN HURTADO</t>
  </si>
  <si>
    <t>14/06/2017
APROX.</t>
  </si>
  <si>
    <t>0746/2017</t>
  </si>
  <si>
    <t>wilfran.hurtado@unp.gov.co
02-11-2017</t>
  </si>
  <si>
    <t>CESAR AUGUSTO GARAY LADINO</t>
  </si>
  <si>
    <t>JUZGADO CINCUENTA Y UNO 
ADMINISTRATIVO DEL CIRCUITO
JUDICIAL DE BOGOTA</t>
  </si>
  <si>
    <t>05/07/2017
APROX.</t>
  </si>
  <si>
    <t>0747/2017</t>
  </si>
  <si>
    <t>cesar.garay@unp.gov.co
02-11-2017</t>
  </si>
  <si>
    <t>EDGAR ALBERTO LEON GARCIA</t>
  </si>
  <si>
    <t>29/06/2017
APROX.</t>
  </si>
  <si>
    <t>0748/2017</t>
  </si>
  <si>
    <t>edgar.leon@unp.gov.co
02-11-2017</t>
  </si>
  <si>
    <t>CARLOS ERNESTO GUEVARA APRAEZ</t>
  </si>
  <si>
    <t>JUZGADO TREINTA Y OCHO 
ADMINISTRATIVO ORAL CIRCUITO JUDICIAL BOGOTA SECCION  TERCERA</t>
  </si>
  <si>
    <t>15/06/2017
APROX.</t>
  </si>
  <si>
    <t>0749/2017</t>
  </si>
  <si>
    <t>carlos.guevara@unp.gov.co
02-11-2017</t>
  </si>
  <si>
    <t>CHRISTIAN JOSE MACTOREL TABORDA</t>
  </si>
  <si>
    <t>JUZGADO SESENTA Y CUATRO
ADMINISTRATIVO DE ORALIDAD 
DEL CIRCUITO DE BOGOTA 
SECCION TERCERA</t>
  </si>
  <si>
    <t>29-06-2017
APROX.</t>
  </si>
  <si>
    <t>0750/2017</t>
  </si>
  <si>
    <t>christian.mactorel@unp.gov.co
02-11-2017</t>
  </si>
  <si>
    <t>SEGUNDO ALFONSO ENRIQUEZ HERAZO</t>
  </si>
  <si>
    <t>30/06/2017
APROX.</t>
  </si>
  <si>
    <t>0759/2017</t>
  </si>
  <si>
    <t>segundo.enriquez@unp.gov.co
02-11-2017</t>
  </si>
  <si>
    <t>MANUEL ALFONSO POVEDA RODRIGUEZ</t>
  </si>
  <si>
    <t>JUZGADO VEINTE ADMINISTRATIVO DE ORALIDAD DEL CIRCUITO DE BOGOTA</t>
  </si>
  <si>
    <t>0760/2017</t>
  </si>
  <si>
    <t>JHON WILDER MADURO LOPEZ</t>
  </si>
  <si>
    <t>0762/2017</t>
  </si>
  <si>
    <t>jhon.maduro@unp.gov.co
02-11-2017</t>
  </si>
  <si>
    <t>JAVIER EDUARDO GUTIERREZ MOJICA</t>
  </si>
  <si>
    <t>0763/2017</t>
  </si>
  <si>
    <t>JAIRO ALBERTO REYES CLAVIJO</t>
  </si>
  <si>
    <t>0764/2017</t>
  </si>
  <si>
    <t>jairo.reyes@unp.gov.co
02-11-2017</t>
  </si>
  <si>
    <t>JORGE YONATAN PARRA DURAN</t>
  </si>
  <si>
    <t>EXT17-00032320</t>
  </si>
  <si>
    <t>EXT17-00053693</t>
  </si>
  <si>
    <t>76 001 2331 000 2012 00250 01</t>
  </si>
  <si>
    <t>EN EL ANEXO ES EL 302
SE DA RESPUESTA MEDIANTE OFI17-00027905 04/08/17)A</t>
  </si>
  <si>
    <t>TRIBUNAL CONTENCIOSO 
ADMINISTRATIVO DEL VALLE DEL CAUCA SALA LABORAL</t>
  </si>
  <si>
    <t>CONSEJO DE ESTADO SALA DE LO CONTENSIOSO ADMINISTRATIVO SECCION SEGUNDA SUBSECCION B</t>
  </si>
  <si>
    <t>CARLOS ALBERTO ROMERO HERNANDEZ</t>
  </si>
  <si>
    <t>27/09/2017
APROX.</t>
  </si>
  <si>
    <t>1409/17</t>
  </si>
  <si>
    <t>JESUS HERNANDO CELIS ALVAREZ</t>
  </si>
  <si>
    <t>HUMBERTO PACHECO ALVAREZ</t>
  </si>
  <si>
    <t>EXT17-00063456</t>
  </si>
  <si>
    <t>EXT18-00073299</t>
  </si>
  <si>
    <t>18 001 3331 001 2011 00193 01</t>
  </si>
  <si>
    <t>EN EL ANEXO ES EL 158
OFI18-00035973 24/08/18  L.</t>
  </si>
  <si>
    <t>JUZADO PRIMERO ADMINISTRATIVO 
DE DESCONGESTION JUDICIAL DE  FLORENCIA</t>
  </si>
  <si>
    <t>TRIBUNAL CONTENCIOSO 
ADMINISTRATIVO DEL 
CAQUETA SECCION TERCERA DE DECISION</t>
  </si>
  <si>
    <t xml:space="preserve">OCE &amp; ARRENDAMIENTO DE VEHICULOS 
BLINDADOS LTDA. FOCS RENTAL CAR
</t>
  </si>
  <si>
    <t>EXT18-00019137</t>
  </si>
  <si>
    <t>608-8385       22-12-2017,     COMPENSACION</t>
  </si>
  <si>
    <t>0907-2017</t>
  </si>
  <si>
    <t>0260/18</t>
  </si>
  <si>
    <t>$ 176.804.320
(COMPENSACION)</t>
  </si>
  <si>
    <t>marcela.torres@tytconsultores.com.co
28/02/18</t>
  </si>
  <si>
    <t xml:space="preserve">MODERLINE SAS
</t>
  </si>
  <si>
    <t>830036940-5</t>
  </si>
  <si>
    <t>EXT17-00063384</t>
  </si>
  <si>
    <t>EXT17-00093678</t>
  </si>
  <si>
    <t>MODERLINE</t>
  </si>
  <si>
    <t>EXT17-00092633</t>
  </si>
  <si>
    <t>SOLICITUD COPIA OFI17-00021016 13/06/17</t>
  </si>
  <si>
    <t>25 000 2336 000 2017 01279 00</t>
  </si>
  <si>
    <t>SE DA RESPUESTA 
MEDIANTE OFI17-00031102 29/08/17,  Y CORREO ELECTRONICO 07/12/17, 11/12/17 A</t>
  </si>
  <si>
    <t>TRIBUNAL ADMINISTRATIVO 
DE CUNDINAMARCA SECCION TERCERA SUBSECCION C</t>
  </si>
  <si>
    <t>02/082/2017</t>
  </si>
  <si>
    <t>0909-2017</t>
  </si>
  <si>
    <t>1445/17</t>
  </si>
  <si>
    <t>$ 920.247.223.43</t>
  </si>
  <si>
    <t>CHERRON@MODERLINE.COM 
29/01/18</t>
  </si>
  <si>
    <t>JOHANA MILENA HERNANDEZ PARRA</t>
  </si>
  <si>
    <t>EXT17-00066755</t>
  </si>
  <si>
    <t>23/02/18 LTK
DEVUELVE 23/04/18
DEVUELTOS LTK</t>
  </si>
  <si>
    <t>11 001 3335 016 2014 00259 01</t>
  </si>
  <si>
    <t>NO APARECE EN EL ANEXO
LA UNIDAD ADMINISTRATIVA ESPECIAL MIGRACION COLOMBIA ES LA DEMANDADA EXT17-00066755 30/08/17 EN FALLO DE PRIMERA INSTANCIA SE CONDENA A MIGRACION Y EN SEGUDA INSTANCIA LA CONFIRMA
SE REMITE A MIGRACION MEDIANTE OFI18-00017755 07/05/18 L
HOY OCT 18/18, VEO QUE FUE CONDENADA MIGRACION COLOMBIA  W.</t>
  </si>
  <si>
    <t>JUZGADO CINCUENTA Y SIETE 
ADMINISTRATIVO DE BOGOTA
SECCION SEGUNDA</t>
  </si>
  <si>
    <t xml:space="preserve">TRIBUNAL ADMINISTRATIVO DE CUNDINAMARCA SECCION SEGUNDA SUBSECCION "F" </t>
  </si>
  <si>
    <t>CAMILO ERNESTO TORRES LAVERDE</t>
  </si>
  <si>
    <t>EXT17-00066849</t>
  </si>
  <si>
    <t>DERECHO DE 
PETICION</t>
  </si>
  <si>
    <t>EXT17-00084958</t>
  </si>
  <si>
    <t>SOLICITUD DE PAGO /DERECHO DE PETICION</t>
  </si>
  <si>
    <t>EXT18-00006802</t>
  </si>
  <si>
    <t>76 001 3331 014 2012 00047 00</t>
  </si>
  <si>
    <t>EN EL ANEXO ES EL 317
SE DA RESPUESTA MEDIANTE OFI18-00004861 06/02/18 A</t>
  </si>
  <si>
    <t xml:space="preserve">JUZGADO SEXTO 
ADMINISTRATIVO DE 
DESCONGESTION DE CALI </t>
  </si>
  <si>
    <t>HAROLD JHONSON SIERRA RAMIREZ</t>
  </si>
  <si>
    <t>EXT17-00068794</t>
  </si>
  <si>
    <t>EXT17-00068836</t>
  </si>
  <si>
    <t>EXT17-00072887</t>
  </si>
  <si>
    <t>11 001 3335 010 2014 00215 00</t>
  </si>
  <si>
    <t>JUZGADO CINCUENTA Y CINCO 
ADMINISTRATIVO DEL 
CIRCUITO JUDICIAL DE 
BOGOTA D.C. SECCION SEGUNDA</t>
  </si>
  <si>
    <t>TRIBUNAL ADMINISTRATIVO DE CUNDINAMARCA SECCION SEGUNDA SUBSECCION F</t>
  </si>
  <si>
    <t>JUAN DE JESUS DAZA RINCON</t>
  </si>
  <si>
    <t>EXT17-00068814</t>
  </si>
  <si>
    <t>EXT17-00071368</t>
  </si>
  <si>
    <t>EXT18-00084905</t>
  </si>
  <si>
    <t>18/05/18 LTK
20/02/18 LTK
ENTREGADO POR LTK 26-06-2018</t>
  </si>
  <si>
    <t>11 001 3335 010 2014 00319 01</t>
  </si>
  <si>
    <t>EN EL ANEXO ES EL 21
OFI18-00040612 17/09/18  L.</t>
  </si>
  <si>
    <t>TRIBUNAL 
ADMINISTRATIVO DE
CUNDINAMARCA 
SECCION SEGUNDA SUBSECCION F</t>
  </si>
  <si>
    <t>DIANA RUIZ HERRERA</t>
  </si>
  <si>
    <t>EXT17-00068801</t>
  </si>
  <si>
    <t>11 001 3335 029 2014 00219 01</t>
  </si>
  <si>
    <t>NO APARECE EN EL ANEXO
LA UNIDAD ADMINISTRATIVA ESPECIAL MIGRACION COLOMBIA ES LA DEMANDADA EXT17-00068801 06/09/17 EN FALLO DE PRIMERA INSTANCIA SE CONDENA A MIGRACION Y EN SEGUDA INSTANCIA LA CONFIRMA
SE REMITE A MIGRACION MEDIANTE OFI18-00017755 07/05/18 L.
HOY OCT 18/18, VEO QUE FUE MIGRACION COLOMBIA W.</t>
  </si>
  <si>
    <t>TRIBUNAL 
ADMINISTRATIVO DE
CUNDINAMARCA 
SECCION SEGUNDA 
SUBSECCION F</t>
  </si>
  <si>
    <t>RUTH MARCELA GAMBOA LONDOÑO</t>
  </si>
  <si>
    <t>EXT17-00070386</t>
  </si>
  <si>
    <t>11 001 3335 012 2014 00290 01</t>
  </si>
  <si>
    <t>NO APARECE EN EL ANEXO
SE REMITE A LA FIDUPREVISORA MEDIANTE OFI18-00007586 23/02/17 L CON EL EXT17-00070386
SEGUNDA INSTANCIA CONDENA A LA FIDUPREVISORA</t>
  </si>
  <si>
    <t>JUZGADO CINCUENTA
ADMINISTRATIVO DEL
CIRCUITO DE BOGOTA</t>
  </si>
  <si>
    <t>TRIBUNAL 
ADMINISTRATIVO DE
CUNDINAMARCA
SECCION SEGUNDA 
SUBSECCION F</t>
  </si>
  <si>
    <t>ALBENIS ENRIQUE ATENCIO GALLARDO</t>
  </si>
  <si>
    <t>EXT17-00073882</t>
  </si>
  <si>
    <t>EXT17-00090947</t>
  </si>
  <si>
    <t>07/06/18 LTK
ENTREGADO POR LTK 25-07-2018</t>
  </si>
  <si>
    <t>47 001 3333 006 2013 00280 01</t>
  </si>
  <si>
    <t>EN EL ANEXO ES EL 522
SE DA RESPUESTA MEDIANTE CORREO ELECTRONICO 07/12/17 A</t>
  </si>
  <si>
    <t>JUZGADO SEXTO 
ADMINISTRATIVO DE SANTA
MARTA</t>
  </si>
  <si>
    <t>TRIBUNAL 
ADMINISTRATIVO DEL 
MAGDALENA DESPACHO
 01 - SALA ORALIDAD</t>
  </si>
  <si>
    <t>EXT17-00068804</t>
  </si>
  <si>
    <t>EXT18-00006804</t>
  </si>
  <si>
    <t>11 001 3335 017 2014 00222 01</t>
  </si>
  <si>
    <t>NO APARECE EN EL ANEXO
SE DA RESPUESTA MEDIANTE OFI18-00004109 01/02/18 A</t>
  </si>
  <si>
    <t>JUZGADO CINCUENTA Y SIETE 
ADMINISTRATIVO DEL CIRCUITO JUDICIAL DE BOGOTA
SECCION SEGUNDA SUBSECCION F</t>
  </si>
  <si>
    <t>ODALINDA CASTAÑEDA MONTAÑA</t>
  </si>
  <si>
    <t>EXT17-00066776</t>
  </si>
  <si>
    <t>EXT18-00020440</t>
  </si>
  <si>
    <t>EXT18-00033525</t>
  </si>
  <si>
    <t>11 001 3335 017 2014 00175 01</t>
  </si>
  <si>
    <t>NO APARECE EN EL ANEXO
SE DA RESPUESTA MEDIANTE OFI18-00011269 16/03/18 E</t>
  </si>
  <si>
    <t>TRIBUNAL
ADMINISTRATIVO DE 
CUNDINAMARCA SECCION 
2 SUBSECCION F</t>
  </si>
  <si>
    <t>OSCAR JAVIER ARIZA ARIAS</t>
  </si>
  <si>
    <t>EXT17-00066771</t>
  </si>
  <si>
    <t>EXT17-00101648</t>
  </si>
  <si>
    <t>11 001 3331 716 2011 00495 01</t>
  </si>
  <si>
    <t xml:space="preserve">ES EL 96 EN EL ANEXO
SE DA RESPUESTA MEDIANTE OFI17-00048279 28/12/17 L
OFI18-00023508-12/06/2018 Decreto 1303-No- 96  N.
MEDIANTE OFI18-00040696 SE DA RESPUESTA  EXT18-00087411  F. </t>
  </si>
  <si>
    <t>JUZGADO DIECISEIS 
ADMINISTRATIVO 
DE DESCONGESTION 
DEL CIRCUITO JUDICIAL  
DE BOGOTA SECCION SEGUNDA</t>
  </si>
  <si>
    <t>TRIBUNAL 
ADMINISTRATIVO DE 
CUNDINAMARCA SECCION SEGUNDA SUBSECCION F</t>
  </si>
  <si>
    <t>22/08/2018, 1-32-244-439-7384, NO DEUDA</t>
  </si>
  <si>
    <t>SAMIR ANTONIO RICARDO HOYOS</t>
  </si>
  <si>
    <t>EXT17-00066763</t>
  </si>
  <si>
    <t>EXT18-00022817</t>
  </si>
  <si>
    <t>EXT18-00057828</t>
  </si>
  <si>
    <t>EXT18-00093735</t>
  </si>
  <si>
    <t>23/02/18 LTK
POR ENTREGAR LTK
RAD.LTK-002-009-2018 05/03/18 INDICA QUE SE ENTREGARON 3 CARPETAS Y FUERON 1</t>
  </si>
  <si>
    <t>11 001 3331 010 2012 00073 01</t>
  </si>
  <si>
    <t>ES EL 514 EN EL ANEXO
SE DA RESPUESTA MEDIANTE OFI18-00011261 16/03/18 L
OFI18-00026142 28/06/18 L
MEDIANTE OFI18-00044299 SE DA RESPUESTA AL EXT18-00093735  F.</t>
  </si>
  <si>
    <t xml:space="preserve">JUZGADO ONCE 
ADMINISTRATIVO DE 
DESCONGESTION DEL CIRCUITO JUDICIAL DE BOGOTA </t>
  </si>
  <si>
    <t>TRIBUNAL 
ADMINISTRATIVO DE CUNDINAMARCA SECCION SEGUNDA SUBSECCION F</t>
  </si>
  <si>
    <t>23/08/2018, 
105201244-14-025, 
NO DEUDA</t>
  </si>
  <si>
    <t>JUAN CARLOS ROMERO NUÑEZ</t>
  </si>
  <si>
    <t>EXT17-00090944</t>
  </si>
  <si>
    <t>23/02/18 LTK
ENTREGADOS LTK
ENTREGADO POR LTK 25-07-2018</t>
  </si>
  <si>
    <t>47 001 3333 007 2013 00303 01</t>
  </si>
  <si>
    <t>SE RELACIONA EN EL 600 Y
 657 DEL ANEXO
ALLEGA CERTIFICACION PENSION</t>
  </si>
  <si>
    <t>JUZGADO SEPTIMO 
ADMINISTRATIVO DE SANTA MARTA</t>
  </si>
  <si>
    <t>TRIBUNAL
ADMINISTRATIVO DEL MAGDALENA DESPACHO 01 - SALA ORALIDAD</t>
  </si>
  <si>
    <t>21/08/2018, 124201242-1225, NO DEUDA</t>
  </si>
  <si>
    <t>PEDRO JOSE SAAVEDRA</t>
  </si>
  <si>
    <t>EXT17-00072590</t>
  </si>
  <si>
    <t>EXT18-00076880</t>
  </si>
  <si>
    <t>11 001 3335 017 2014 00223 01</t>
  </si>
  <si>
    <t>JUZGADO DIECISEIS 
ADMINISTRATIVO 
 CIRCUITO JUDICIAL  
DE BOGOTA DE DESCONGESTION EN ORALIDAD SECCION SEGUNDA</t>
  </si>
  <si>
    <t>TRIBUNAL
ADMINISTRATIVO DE CUNDINAMARCA SECCION SEGUNDA SUBSECCION B</t>
  </si>
  <si>
    <t>ANNELINE ESPITIA PEREZ</t>
  </si>
  <si>
    <t>2017-00088</t>
  </si>
  <si>
    <t>1000/2017</t>
  </si>
  <si>
    <t>MEM17-00013798
04/10/2017</t>
  </si>
  <si>
    <t>anneline.espitia@unp.gov.co
08-11-2017</t>
  </si>
  <si>
    <t>JORGE ALEJANDRO RODRIGUEZ RUIZ</t>
  </si>
  <si>
    <t>1001/2017</t>
  </si>
  <si>
    <t>jorge.rodriguez@unp.gov.co
08-11-2017</t>
  </si>
  <si>
    <t>17/05/2017
APROX.</t>
  </si>
  <si>
    <t>1002/2017</t>
  </si>
  <si>
    <t>hernando.vanegas@unp.gov.co
08-11-2017</t>
  </si>
  <si>
    <t>ROSA ANDREA ORTEGA CAVIEDES</t>
  </si>
  <si>
    <t>0264/2018</t>
  </si>
  <si>
    <t>JOSE MARIA MOYA LOPEZ</t>
  </si>
  <si>
    <t>CARLOS RAMIRO BORJA AVILA</t>
  </si>
  <si>
    <t>EXT17-00073399</t>
  </si>
  <si>
    <t>EXT17-00079802</t>
  </si>
  <si>
    <t>RESPUESTA A SOLICITUD</t>
  </si>
  <si>
    <t>EXT18-00067123</t>
  </si>
  <si>
    <t>47 001 2333 000 2014 00050 00</t>
  </si>
  <si>
    <t>TRIBUNAL ADMINISTRATIVO 
DEL MAGDALENA</t>
  </si>
  <si>
    <t>14-08-2018, 100224333-1420, NO DEUDA</t>
  </si>
  <si>
    <t>LUIS ALEJANDRO RIVERA SEVILLANO</t>
  </si>
  <si>
    <t>EXT17-00065265</t>
  </si>
  <si>
    <t>EXT17-00039651</t>
  </si>
  <si>
    <t>86 001 3331 901 2012 00075 00</t>
  </si>
  <si>
    <t>JUZGADO ADMINISTRATIVO DE 
DESCONGESTION DEL CIRCUITO DE MOCOA SISTEMA ESCRITURAL.
JUZGADO SEGUNDO ADMNISTRATIVO DE MOCOA DEL 16-01-2017, DISPUSO CORREGIR EL NUMERAL TERCERO DE LA SENTECIA DEL 30-10-2015.</t>
  </si>
  <si>
    <t>ORLANDO CONTRERAS AYALA
(se eliminó por solo contar con primera instancia)</t>
  </si>
  <si>
    <t>HAIR ALBERTO PINZON CRUZ</t>
  </si>
  <si>
    <t>SANDRA MILENA OSPINA GIRALDO</t>
  </si>
  <si>
    <t>EXT18-00025576</t>
  </si>
  <si>
    <t>EXT18-00059673</t>
  </si>
  <si>
    <t>EXT18-00100912</t>
  </si>
  <si>
    <t>ALLEGA PAZ Y SALVO</t>
  </si>
  <si>
    <t>OFICIOS LTK
20/02/18 LTK
ENTREGADO POR LTK 25-07-2018</t>
  </si>
  <si>
    <t>11 001 3342 056 2016 00291 00</t>
  </si>
  <si>
    <t>NO APARECE EN EL ANEXO
SE DA RESPUESTA MEDIANTE OFI18-00013673 12/04/18 E
OFI18-00027222 06/07/18
MEDIANTE OFI18-00046830 23/10/18 SE DA RESPUESTA AL  EXT18-00100912   L.</t>
  </si>
  <si>
    <t>JUZGADO CINCUENTA Y SEIS 
ADMINISTRATIVO DE BOGOTA SECCION SEGUNDA</t>
  </si>
  <si>
    <t>FREDY RAUL GALVIS MOJICA</t>
  </si>
  <si>
    <t>EXT17-00068820</t>
  </si>
  <si>
    <t>ENTREGADOS LTK
23/02/18 LTK</t>
  </si>
  <si>
    <t>11 001 3335 706 2014 00070 01</t>
  </si>
  <si>
    <t>EN EL ANEXO ES EL 20 
DE LA FISCALIA</t>
  </si>
  <si>
    <t>JUZGADO CINCUENTA
 ADMINISTRATIVO DEL CIRCUITO JUDICIAL DE BOGOTA</t>
  </si>
  <si>
    <t>EXT17-00068788</t>
  </si>
  <si>
    <t>EXT17-00072889</t>
  </si>
  <si>
    <t>ALLEGA SENTENCIA</t>
  </si>
  <si>
    <t>EXT18-00013800</t>
  </si>
  <si>
    <t>11 001 3335 026 2014 00108 01</t>
  </si>
  <si>
    <t>NO APARECE EN EL ANEXO
SE DA RESPUESTA MEDIANTE OFI18-00008443 28/02/18 L</t>
  </si>
  <si>
    <t>JUZGADO CINCUENTA Y SIETE
ADMINISTRATIVO DE BOGOTA SECCION SEGUNDA</t>
  </si>
  <si>
    <t>TRIBUNAL ADMINISTRATIVO 
DE CUNDINAMARCA SECCION SEGUNDA SUBSECCION F</t>
  </si>
  <si>
    <t>EDUARDO PIAMBA PAZ
(Se eliminó porque no tiene instancias, solo fue una sollicitud de informacion por parte de la fiduprevisora)</t>
  </si>
  <si>
    <t>76 001 3331 002 2006 00425 01</t>
  </si>
  <si>
    <t>JUZGADO SEGUNDO
 ADMINISTRATIVO ORAL DEL CIRCUITO DE SANTIAGO DE CALI</t>
  </si>
  <si>
    <t>TRIBUNAL CONTENCIOSO
ADMINISTRATIVO DEL VALLE DEL CAUCA</t>
  </si>
  <si>
    <t>JAIRO AUGUSTO CELIS</t>
  </si>
  <si>
    <t>EXT17-00077554</t>
  </si>
  <si>
    <t>23/11/1016</t>
  </si>
  <si>
    <t>11 001 3335 019 2014 00176 00</t>
  </si>
  <si>
    <t>JUZGADO DIECINUEVE 
ADMINISTRATIVO DE BOGOTA SECCION SEGUNDA</t>
  </si>
  <si>
    <t>WILSON ANDRES COBO PINTO</t>
  </si>
  <si>
    <t>EXT17-00101020</t>
  </si>
  <si>
    <t>19 001 3331 002 2011 00152 00</t>
  </si>
  <si>
    <t xml:space="preserve">EN EL ANEXO SON LOS 586 Y 
643
(SE DA RESPUESTA MEDIANTE OFI17-00033891 18/09/2017
OFI17-00048309 OFI18-00012666 28/03/18 L OFI18-00018585 11/05/18 E
OFI18-00030640 26/07/18 L
</t>
  </si>
  <si>
    <t>JUZGADO SEGUNDO 
ADMINISTRATIVO DEL CIRCUITO POPAYAN</t>
  </si>
  <si>
    <t xml:space="preserve">TRIBUNAL ADMINISTRATIVO DEL CAUCA  SALA DE DECISION SEGUNDA SISTEMA ESCRITURAL </t>
  </si>
  <si>
    <t>21/08/2018, 117242448-946, NO DEUDA</t>
  </si>
  <si>
    <t>DIEGO ANDRES NAVARRETE RODRIGUEZ</t>
  </si>
  <si>
    <t>EXT17-00003090</t>
  </si>
  <si>
    <t>11 001 3335 013 2014 00085 01</t>
  </si>
  <si>
    <t>HOY OCT 23/18, VEO QUE FUE CONDENADA MIGRACION COLOMBIA  W.</t>
  </si>
  <si>
    <t>JUZGADO TRECE ADMINISTRATIVO DEL CIRCUITO JUDICIAL DE BOGOTA</t>
  </si>
  <si>
    <t>TRIBUNAL ADMINISTRATIVO DE CUNDINAMARCA - SECCION SEGUNDA</t>
  </si>
  <si>
    <t>ARMANDO DE JESUS RUIZ VELEZ
(se eliminó por solo contar con primera instancia)</t>
  </si>
  <si>
    <t>VICENTE JAVIER SABINO PINEDO</t>
  </si>
  <si>
    <t>EXT17-00039360</t>
  </si>
  <si>
    <t>EXT17-00033021</t>
  </si>
  <si>
    <t>EXT17-00100382</t>
  </si>
  <si>
    <t>DERECHO DE PETICION CUMPLIMIENTO DE SENTENCIA</t>
  </si>
  <si>
    <t>08 001 3331 006 2012 00034 00</t>
  </si>
  <si>
    <t xml:space="preserve">EN EL ANEXO ES EL 163 Y 
CORRESPONDE A LA AGENCIA
(SE DA RESPUESTA MEDIANTE OFI17-00019710 02/06/17 /OFI17-00018943 30/05/17)A OFI17-00048059 N OFI18-00008480 01/03/18 E OFI18-00011265 16/03/18 L
</t>
  </si>
  <si>
    <t>JUZGADO QUINCE 
ADMINISTRATIVO DEL CIRCUITO DE BARRANQUILLA</t>
  </si>
  <si>
    <t>TRIBUNAL 
ADMINISTRATIVO DEL ATLANTICO SALA ITINERANTE DE DESCONGESTION</t>
  </si>
  <si>
    <t xml:space="preserve">EDWIN JOSE GONZALEZ GUZMAN </t>
  </si>
  <si>
    <t>EXT17-00039358</t>
  </si>
  <si>
    <t>EXT17-00048081</t>
  </si>
  <si>
    <t>EXT18-000014459</t>
  </si>
  <si>
    <t>EXT18-00042098</t>
  </si>
  <si>
    <t>NO SE ENCUENTRA EN EL ANEXO
(SE DA RESPUESTA MEDIANTE OFI17-00020669 09/06/17)A OFI17-00048081 N OFI18-00008480 01/03/18 E OFI18-00011265 16/03/18 L</t>
  </si>
  <si>
    <t>JUZGADO SEXTO 
ADMINISTRATIVO DE DESCONGESTION DE BARRANQUILLA</t>
  </si>
  <si>
    <t>12-04-2018
102244439-00037
NO FIGURAN.</t>
  </si>
  <si>
    <t>0499-18</t>
  </si>
  <si>
    <t>CORREAPINEDACLAUDIA@HOTMAIL.COM 
15/05/18</t>
  </si>
  <si>
    <t>GIOVANNY DE JESUS PATERNINA REVOLLO</t>
  </si>
  <si>
    <t>EXT17-00038129</t>
  </si>
  <si>
    <t>70 001 3333 008 2014 00153 00</t>
  </si>
  <si>
    <t>NO SE ENCUENTRA EN EL ANEXO
(SE DA RESPUESTA MEDIANTE OFI17-00020449 08/06/17)A</t>
  </si>
  <si>
    <t>JUZGADO OCTAVO
 ADMINISTRATIVO ORAL DE SINCELEJO</t>
  </si>
  <si>
    <t>MARTHA ALZATE GOMEZ Y OTROS
MARTHA OLIVA GOMEZ ZULUAGA
YULIETH CRISTINA ALZATE GOMEZ
WILMAR ALEXANDER ALZATE GOMEZ
WILLIAM DAVID ALZATE BERMUDEZ
ANTONIO JOSE ALZATE ZULUAGA
GABRIEL ALZATE GOMEZ
HELDA ALZATE GOMEZ
BERTA FABIOLA ALZATE GOMEZ
MARTA ALZATE GOMEZ
LUCIA ZULUAGA ALZATE</t>
  </si>
  <si>
    <t>GLORIA LILYAN PEREZ RIOS</t>
  </si>
  <si>
    <t>EXT17-00039757</t>
  </si>
  <si>
    <t>05 001 2331 000 1997 01048 01</t>
  </si>
  <si>
    <t>(INFORMATIVO)  A</t>
  </si>
  <si>
    <t>SALA DE DESCONGESTION DE
LOS TRIBUNALES ADMINISTRATIVOS DE ANTIOQUIA, RISARALDA, CALDAS Y CHOCO</t>
  </si>
  <si>
    <t>CONSEJO DE ESTADO
SALA DE LO CONTENCIOSO ADMINISTRATIVO SECCION TERCERA SUBSECCION C</t>
  </si>
  <si>
    <t xml:space="preserve">MUERTE DEL 
SEÑOR LUIS ENRIQUE ALZATE GOMEZ PRODUCUDA POR EL DETECTIVE RICARDO ANTONIO USUGA USUGA QUIEN SE ENCONTRABA DE DESCANZO </t>
  </si>
  <si>
    <t>CIRO GALINDO Y OTROS
(se eliminó por solo contar con primera instancia)</t>
  </si>
  <si>
    <t>PRUDENCIO SANCHEZ CAMAYO Y OTROS
(se eliminó por solo contar con primera instancia)</t>
  </si>
  <si>
    <t>GABRIEL TAMAYO ABADIA</t>
  </si>
  <si>
    <t>EXT17-00053685</t>
  </si>
  <si>
    <t>76 001 2331 000 2011 01580 01</t>
  </si>
  <si>
    <t>SE DA RESPUESTA MEDIANTE 
OFI17-00026610 27/07/17  A</t>
  </si>
  <si>
    <t>TRIBUNAL CONTENCIOSO
 ADMINISTRATIVO DEL VALLE DEL CAUCA SALA DE DESCONGESTION</t>
  </si>
  <si>
    <t>13/107/2017</t>
  </si>
  <si>
    <t>CONSEJO DE ESTADO
SALA DE LO CONTENCIOSO ADMINISTRATIVO SECCION SEGUNDA SUBSECCION B</t>
  </si>
  <si>
    <t>1492/17</t>
  </si>
  <si>
    <t>3008818</t>
  </si>
  <si>
    <t>chro_50@hotmail.com 
29/01/18</t>
  </si>
  <si>
    <t>WILMAR RODRIGUEZ PINILLO</t>
  </si>
  <si>
    <t>EXT17-00062648</t>
  </si>
  <si>
    <t>COMUNICACIÓN DE SENTENCIA</t>
  </si>
  <si>
    <t>EXT18-00050250</t>
  </si>
  <si>
    <t>11 001 3335 010 2014 00184 00</t>
  </si>
  <si>
    <t>TRIBUNAL
 ADMINISTRATIVO DE CUNDINAMARCA SECCION SEGUNDA</t>
  </si>
  <si>
    <t>SEBASTIAN CASTAÑO PALACIO</t>
  </si>
  <si>
    <t>2017-00156</t>
  </si>
  <si>
    <t>04/10/2017
APROX.</t>
  </si>
  <si>
    <t>1065/2017</t>
  </si>
  <si>
    <t>MEM17-00014375
13/10/2017</t>
  </si>
  <si>
    <t>sebastian.castano@unp.gov.co
08/11/2017</t>
  </si>
  <si>
    <t>CESAR AUGUSTO CAICEDO MUÑOZ</t>
  </si>
  <si>
    <t>EXT17-00063591</t>
  </si>
  <si>
    <t>76 001 2331 000 2012 00256 00</t>
  </si>
  <si>
    <t>EN EL ANEXO ES EL 241
(SE DA RESPUESTA MEDIANTE OFI17-00030292 23/08/17)A OFI18-00022220 01/06/18 E</t>
  </si>
  <si>
    <t xml:space="preserve">TRIBUNAL 
ADMINISTRATIVO DE DESCONESTION CON SEDE EN BOGOTA </t>
  </si>
  <si>
    <t>1437/17</t>
  </si>
  <si>
    <t>2894118</t>
  </si>
  <si>
    <t>chro_50@hotmail.com 
26/01/18</t>
  </si>
  <si>
    <t>HECTOR JAIRO BELTRAN LANCHEROS</t>
  </si>
  <si>
    <t>EXT17-00081436</t>
  </si>
  <si>
    <t>EXT15-00021226</t>
  </si>
  <si>
    <t>EXT15-00007997</t>
  </si>
  <si>
    <t>EXT18-00040906</t>
  </si>
  <si>
    <t>23/02/18 LTK
ENTREGADOS LTK
RAD.LTK-002-009-2018 05/03/18 INDICA QUE SE ENTREGARON 1 CARPETAS Y FUERON 2
05/06/2018 SE ENCUENTRA EL EXPENDIENTE FISICO EN UNP YL</t>
  </si>
  <si>
    <t>11 001 3335 025 2014 00272 01</t>
  </si>
  <si>
    <t>NO SE ENCUENTRA EN LOS ANEXOS
SE DA RESPUESTA MEDIANTE OFI18-00021646 29/05/18 L</t>
  </si>
  <si>
    <t>JUZGADO CINCUENTA 
ADMINISTRATIVO DEL CIRCUITO DE BOGOTA</t>
  </si>
  <si>
    <t>EXT17-00062643</t>
  </si>
  <si>
    <t>NOTIFICA FALLO</t>
  </si>
  <si>
    <t>EXT17-00049570</t>
  </si>
  <si>
    <t>EXT18-00025577</t>
  </si>
  <si>
    <t>CUMPLIMIENTO FALLO SENTENCIA</t>
  </si>
  <si>
    <t>11 001 3335 020 2014 00424 00</t>
  </si>
  <si>
    <t>JUZGADO CUINCUENTA Y CINCO ADMINISTRATIVO DEL CIRCUITO JUDICIAL DE BOGOTA</t>
  </si>
  <si>
    <t xml:space="preserve">JAVIER ARANGO DUQUE </t>
  </si>
  <si>
    <t>EXT17-00094403</t>
  </si>
  <si>
    <t>11 001 3335 027 2014 00333 00</t>
  </si>
  <si>
    <t xml:space="preserve">JUZGADO CINCUENTA Y CINCO ADMINISTRATIVO DEL CIRCUITO JUDICIAL DE BOGOTA  SECCION SEGUNDA </t>
  </si>
  <si>
    <t>EXT17-00077427</t>
  </si>
  <si>
    <t>EXT17-00082855</t>
  </si>
  <si>
    <t>EXT17-00083099</t>
  </si>
  <si>
    <t>11 001 3335 028 2014 00295 01</t>
  </si>
  <si>
    <t>JUZGADO SEXTO 
ADMINISTRATIVO DE DESCONGESTION DEL CIRCUITO JUDICIAL DE BOGOTA</t>
  </si>
  <si>
    <t>JUAN CARLOS CARO CABANZO</t>
  </si>
  <si>
    <t>EXT17-00079086</t>
  </si>
  <si>
    <t>EXT18-00048187</t>
  </si>
  <si>
    <t>11 001 3331 710 2013 00012 01</t>
  </si>
  <si>
    <t>EN EL ANEXO ES EL 523
SE DA RESPUESTA MEDIANTE OFI18-00016495 26/04/18 L
OFI18-00024183-15/06/2018 Decreto 1303-No. 523  N</t>
  </si>
  <si>
    <t>JUZGADO DECIMO 
ADMINISTRATIVO DE CUNDINAMARCA SECCION SEGUNDA SUBSECCION E</t>
  </si>
  <si>
    <t>TRIBUNAL
ADMINISTRATIVO DE CUNDINAMARCA SECCION SEGUNDA SUBSECCION E</t>
  </si>
  <si>
    <t>22/08/2018, 1-32-244-439-7390, NO DEUDA</t>
  </si>
  <si>
    <t>JOSE DE JESUS NIÑO AYALA</t>
  </si>
  <si>
    <t>EXT17-00079017</t>
  </si>
  <si>
    <t>EXT17-00086750</t>
  </si>
  <si>
    <t>EXT17-00093818</t>
  </si>
  <si>
    <t>EXT18-00040887</t>
  </si>
  <si>
    <t>EXT18-00050248</t>
  </si>
  <si>
    <t>11 001 3335 013 2014 00259 01</t>
  </si>
  <si>
    <t xml:space="preserve">NO SE ENCUENTRA EN LOS ANEXOS
OFI18-00024786 20/06/18
</t>
  </si>
  <si>
    <t>JUZGADO CINCUENTA Y CINCO 
ADMINISTRATIVO ORAL DEL CIRCUITO DE BOGOTA SECCION SEGUNDA</t>
  </si>
  <si>
    <t>TRIBUNAL 
ADMINISTRATIVO DE CUNDINAMARCA SECCION SEGUNDA SUBSECCION E</t>
  </si>
  <si>
    <t>PABLO ENRIQUE AHUMADA GAMBA</t>
  </si>
  <si>
    <t>EXT17-00079025</t>
  </si>
  <si>
    <t>EXT17-00086738</t>
  </si>
  <si>
    <t>EXT18-00050258</t>
  </si>
  <si>
    <t xml:space="preserve">NO SE ENCUENTRA EN LOS ANEXOS
OFI18-00024784 20/06/18
</t>
  </si>
  <si>
    <t>TRIBUNAL 
ADMINISTRATIVO DE CUNDINAMARCASECCION SEGUNDA SUBSECCION E</t>
  </si>
  <si>
    <t>HUGO CARDOZO RODRIGUEZ</t>
  </si>
  <si>
    <t>EXT17-00078405</t>
  </si>
  <si>
    <t>11 001 3335 009 2013 00340 01</t>
  </si>
  <si>
    <t>EN EL ANEXO ES EL 462</t>
  </si>
  <si>
    <t xml:space="preserve">JUZGADO NOVENO 
ADMINISTRATIVO DEL CIRCUITO JUDICIAL DE BOGOTA
</t>
  </si>
  <si>
    <t>JUAN ANDRES MANJARRES CONRADO
(se eliminó por solo contar con primera instancia)</t>
  </si>
  <si>
    <t>JAVIER MAURICIO HOLGUIN GOMEZ</t>
  </si>
  <si>
    <t>EXT17-00079031</t>
  </si>
  <si>
    <t>EXT17-00007227</t>
  </si>
  <si>
    <t>EXT16-00026852</t>
  </si>
  <si>
    <t>EXT16-00040434</t>
  </si>
  <si>
    <t>NOTIFICACION DE ESTADO</t>
  </si>
  <si>
    <t>EXT16-00067678</t>
  </si>
  <si>
    <t xml:space="preserve">30/08/2016
22/11/2016
26/01/2015
12/02/2015
18/02/2015
13/08/2015
14/08/2015
07/11/2017
30/11/2017
</t>
  </si>
  <si>
    <t xml:space="preserve">ago-16
nov-16
ene-15
feb-15
feb-15
ago-15
ago-15
nov-17
nov-17
</t>
  </si>
  <si>
    <t xml:space="preserve">EXT16-00066776
EXT16-00090730
EXT15-00003092
EXT15-00005972
EXT15-00006948
EXT15-00044525
EXT15-00056358
EXT17-00086732
EXT17-00093819
</t>
  </si>
  <si>
    <t xml:space="preserve">JUZGADO
TRIBUNAL
ANDJE
JUZGADO 
ANDJE
JUZGADO
JUZGADO
TRIBUNAL
ANDJE
</t>
  </si>
  <si>
    <t>NOTIFICACION ESTADO
NOTIFICACION ESTADO
TRASLADO AUTO
AUTO ADMITE VDEMANDA
REMITE OFICIO
AUTO ADMISORIO
AUTO VINCULATORIO
COMUNICACIÓN SENTENCIA
REMISION SENTENCIA</t>
  </si>
  <si>
    <t>11 001 33 35 023 2014 00429 01</t>
  </si>
  <si>
    <t>JUZGADO CINCUENTA Y CINCO
ADMINISTRATIVO ORAL DEL CIRCUITO DE BOGOTA SECCION SEGUNDA</t>
  </si>
  <si>
    <t>ANDJE - UNP</t>
  </si>
  <si>
    <t>OTONIEL CELY GOMEZ</t>
  </si>
  <si>
    <t>EXT17-00081560</t>
  </si>
  <si>
    <t>EXT17-00086757</t>
  </si>
  <si>
    <t>EXT18-00076840</t>
  </si>
  <si>
    <t>23/02/28 LTK
POR ENTREGAR LTK</t>
  </si>
  <si>
    <t>11 001 3335 009 2014 00191 01</t>
  </si>
  <si>
    <t xml:space="preserve">JUZGADO NOVENO 
ADMINISTRATIVO DE ORALIDAD DEL CIRCUITO JUDICIAL DE BOGOTA
</t>
  </si>
  <si>
    <t>EXT17-00081139</t>
  </si>
  <si>
    <t>EXT17-00095573</t>
  </si>
  <si>
    <t>EXT18-00033575</t>
  </si>
  <si>
    <t>11 001 3335 023 2014 00325 00</t>
  </si>
  <si>
    <t>NO SE ENCUENTRA EN LOS ANEXOS
SE DA RESPUESTA MEDIANTE OFI18-00015558 20/04/18 E</t>
  </si>
  <si>
    <t>TRIBUNAL
ADMINISTRATIVO DE CUNDINAMARCA SECCION SEGUNDA SUBSECCION D</t>
  </si>
  <si>
    <t>JOSE JEREMIAS BARRETO MENDOZA</t>
  </si>
  <si>
    <t>EXT17-00081556</t>
  </si>
  <si>
    <t>EXT17-00086755</t>
  </si>
  <si>
    <t>EXT17-00093820</t>
  </si>
  <si>
    <t>JUZGADO VEINTIOCHO ADMINISTRATIVODE ORALIDAD DEL CIRCUITO JUDICIAL DE BOGOTA</t>
  </si>
  <si>
    <t>EXT17-000709038</t>
  </si>
  <si>
    <t>EXT17-00086751</t>
  </si>
  <si>
    <t>EXT17-00091984</t>
  </si>
  <si>
    <t>REMISION POR COMPETENCIA - SENTENCIA</t>
  </si>
  <si>
    <t>EXT18-00050269</t>
  </si>
  <si>
    <t>2X/07/2018</t>
  </si>
  <si>
    <t>JUZGADO CINCUENTA Y SIETE CONTENCIOSO ADMINISTRATIVO DEL CIRCUITO DE BOGOTA - SECCION SEGUNDA</t>
  </si>
  <si>
    <t>AUTO QUE APRUEBA LIQUIDACION DE COSTAS</t>
  </si>
  <si>
    <t>11 001 3335 020 2014 00216 01</t>
  </si>
  <si>
    <t>JUZGADO CINCUENTA  Y SIETE 
ADMINISTRATIVO ORAL DEL CIRCUITO DE BOGOTA SECCION SEGUNDA</t>
  </si>
  <si>
    <t>TRIBUNAL ADMINISTRATIVO DE CUNDINAMARCA SECCION SEGUNDA SUBSECCION E</t>
  </si>
  <si>
    <t>EXT17-00081008</t>
  </si>
  <si>
    <t>REMITE PROVIDENCIA</t>
  </si>
  <si>
    <t>76 001 2333 000 2013 01194 01</t>
  </si>
  <si>
    <t>EN EL ANEXO ES EL 516</t>
  </si>
  <si>
    <t>CONSEJO DE ESTADO SALA DE LO CONTENCIOSO ADMINISTRATIVO SECCION SEGUNDA SUBSECCION B</t>
  </si>
  <si>
    <t>JOSE DAVID CASTILLO</t>
  </si>
  <si>
    <t>EXT17-00081348</t>
  </si>
  <si>
    <t>JUZGADO VEINTIUNO ADMINISTRATIVO ORAL DEL CIRCUITO DE BOGOTA SECCION SEGUNDA</t>
  </si>
  <si>
    <t>RICARDO MORALES TAMAYO</t>
  </si>
  <si>
    <t>EXT17-00080517</t>
  </si>
  <si>
    <t>EXT14-00051670</t>
  </si>
  <si>
    <t>EXT14-00053455</t>
  </si>
  <si>
    <t>EXT18-00006801</t>
  </si>
  <si>
    <t>76 001 3331 001 2012 00036 01</t>
  </si>
  <si>
    <t>EN EL ANEXO ES EL 306
SE DA RESPUESTA MEDIANTE OFI18-00005678 12/02/18 OFI17-00039185 24/10/17 N</t>
  </si>
  <si>
    <t>JUZGADO CUARTO 
ADMINISTRATIVO EN DESCONGESTION DEL CIRCUITO JUDICIAL DE CALI</t>
  </si>
  <si>
    <t>TRIBUNAL 
ADMINISTRATIVO SALA DE DESCONGESTION SEDE BOGOTA</t>
  </si>
  <si>
    <t>JOSE RICARDO PAEZ PACHON</t>
  </si>
  <si>
    <t>EXT17-00081474</t>
  </si>
  <si>
    <t xml:space="preserve">EXT18-00036745 </t>
  </si>
  <si>
    <t>11 001 3335 030 2014 00220 01</t>
  </si>
  <si>
    <t>EN EL ANEXO ES EL 591
SE DA RESPUESTA MEDIANTE OFI18-00020042 21/05/18 E</t>
  </si>
  <si>
    <t>JUZGADO TREINTA
ADMINISTRATIVO ORAL DEL CIRCUITO DE BOGOTA SECCION SEGUNDA</t>
  </si>
  <si>
    <t>TRIBUNAL
ADMINISTRATIVO DE CUNDINAMARCA SECCION SEGUNDA SUBSECCION C</t>
  </si>
  <si>
    <t>22/08/2018, 1-32-244-439-7391, NO DEUDA</t>
  </si>
  <si>
    <t>GONZALO CUBIDES MOLANO</t>
  </si>
  <si>
    <t>EXT17-00083527</t>
  </si>
  <si>
    <t>EXT17-00086190</t>
  </si>
  <si>
    <t>EXT17-00093821</t>
  </si>
  <si>
    <t>EXT18-00050281</t>
  </si>
  <si>
    <t>11 001 3335 015 2014 00375 01</t>
  </si>
  <si>
    <t xml:space="preserve">NO SE ENCUENTRA EN LOS ANEXOS
OFI18-00024785 20/06/18
</t>
  </si>
  <si>
    <t>JUZADO CINCUENTA Y CINCO 
ADMINISTRATIVO DEL CIRCUITO JUDICIAL DE BOGOTA</t>
  </si>
  <si>
    <t>TRIBUNAL ADMINISTRATIVO DE CUNDINAMARCA SECCION SEGUNDA SUBSECCION E SISTEMA ORAL</t>
  </si>
  <si>
    <t>DIEGO ISMAEL PINZON BELTRAN</t>
  </si>
  <si>
    <t>EXT17-00081419</t>
  </si>
  <si>
    <t>11 001 3335 029 2014 00183 01</t>
  </si>
  <si>
    <t>JUZGADO CINCUENTA Y CINCO ADMINISTRATIVO DEL CIRCUITO DE BOGOTA</t>
  </si>
  <si>
    <t>TRIBUNAL CONTENCIOSO ADMINISTRATIVO DE CUNDINAMARCA SECCION SEGUNDA SUBSECCION C</t>
  </si>
  <si>
    <t>YOJHAN NELSON MORALES AMAYA</t>
  </si>
  <si>
    <t>EXT17-00078036</t>
  </si>
  <si>
    <t>EXT17-00086193</t>
  </si>
  <si>
    <t>EXT17-00093822</t>
  </si>
  <si>
    <t>2X-07-2018</t>
  </si>
  <si>
    <t>JUZGADO CINCUENTA Y SIETE CONTENCIOSO ADMINISTRATIVO DEL CIRCUITO  DE BOGOTA - SECCION SEGUNDA</t>
  </si>
  <si>
    <t>AUTO QUE APRUEBA LA LIQUIDACION DE COSTAS</t>
  </si>
  <si>
    <t>EXT18-00084900</t>
  </si>
  <si>
    <t>11 001 3335 023 2014 00333 01</t>
  </si>
  <si>
    <t>JUZADO CINCUENTA Y SIETE ADMINISTRATIVO DEL CIRCUITO JUDICIAL DE BOGOTA</t>
  </si>
  <si>
    <t>EXT17-00083294</t>
  </si>
  <si>
    <t>EXT17-00093130</t>
  </si>
  <si>
    <t>EXT17-00093268</t>
  </si>
  <si>
    <t>EXT17-00096238</t>
  </si>
  <si>
    <t>EXT18-00076847</t>
  </si>
  <si>
    <t>11 001 3335 017 2014 00185 01</t>
  </si>
  <si>
    <t>NO SE ENCUENTRA EN LOS ANEXOS
MEDIANTE OFI18-00037021 29/08/18 SE DA RESPUESTA A EXT18-00076847  L.</t>
  </si>
  <si>
    <t>JUZGADO CINCUENTA Y CINCO ADMINISTRATIVO DE ORALIDAD DEL CIRCUITO JUDICIAL DE BOGOTA</t>
  </si>
  <si>
    <t xml:space="preserve">TRIBUNAL ADMINISTRATIVO DE CUNDINAMARCA SECCION SEGUNDA SUBSECCION E </t>
  </si>
  <si>
    <t>SAMUEL EDUARDO HERNANDEZ FERNANDEZ</t>
  </si>
  <si>
    <t>EXT17-00084427</t>
  </si>
  <si>
    <t>EXT17-00088860</t>
  </si>
  <si>
    <t>EXT18-00034329</t>
  </si>
  <si>
    <t>EXT18-00040468</t>
  </si>
  <si>
    <t>EXT18-00051760</t>
  </si>
  <si>
    <t>68 001 2333 000 2012 00116 01</t>
  </si>
  <si>
    <t xml:space="preserve">EN EL ANEXO ES EL 36
SE DA RESPUESTA MEDIANTE OFI18-00016512 26/04/18 E OFI18-00020412 22/05/18 L
CORREO ELECTRÓNICO 20/06/18
</t>
  </si>
  <si>
    <t xml:space="preserve">TRIBUNAL ADMINISTRATIVO DE SANTANDER </t>
  </si>
  <si>
    <t>JOSE RODRIGO ESPINOSA TORRES</t>
  </si>
  <si>
    <t>EXT15-00011967</t>
  </si>
  <si>
    <t>CONSEJO SECCIONAL DE LA JUDICATURA</t>
  </si>
  <si>
    <t>EXT17-00083521</t>
  </si>
  <si>
    <t>05 001 3333 008 2013 00190 01</t>
  </si>
  <si>
    <t>NO SE ENCUENTRA EN  LOS ANEXOS</t>
  </si>
  <si>
    <t>JUZGADO OCTAVO ADMINISTRATIVO ORAL DEL CIRCUITO</t>
  </si>
  <si>
    <t xml:space="preserve">clinicajuridica@une.net.co </t>
  </si>
  <si>
    <t xml:space="preserve">YOLANDA RUIZ CEBALLOS Y OTROS.
(se eliminó por solo contar con primera instancia)
BERNARDO RUIZ CEBALLOS
MARIELA RUIZ CEBALLOS
LUZ MERY RUIZ DE GARCIA
HUMBERTO RUIZ CEBALLOS
NELSON RUIZ CEBALLOS
RUBIEL RUIZ CEBALLOS
NORFI RUIZ CEBALLOS
</t>
  </si>
  <si>
    <t>EDWIN FERNANDO PEÑA NAVARRO</t>
  </si>
  <si>
    <t>ALFREDO ARANDA NUÑEZ</t>
  </si>
  <si>
    <t>EXT14-00063441</t>
  </si>
  <si>
    <t>EXT17-00081215</t>
  </si>
  <si>
    <t>EXT17-00081420</t>
  </si>
  <si>
    <t>EXT18-00000729</t>
  </si>
  <si>
    <t>CARLOS ANTONIO FLOR IDROBO</t>
  </si>
  <si>
    <t>EXT18-00019432</t>
  </si>
  <si>
    <t>24/11/2017
26/02/2018
08/03/2018
09/03/2018
12/03/2018
14/03/2018
17/05/2018</t>
  </si>
  <si>
    <t>nov-17
feb-18
mar-18
mar-18
mar-18
mar-18
may-18</t>
  </si>
  <si>
    <t>EXT17-00092372
EXT18-00017361
EXT18-00021188
EXT18-00021513
EXT18-00022175
EXT18-00022866
EXT18-00044493</t>
  </si>
  <si>
    <t>BENEFICIARIO
BENEFICIARIO
BENEFICIARIO
ABOGADO
BENEFICIARIO
BENEFICIARIO
BENEFICIARIO</t>
  </si>
  <si>
    <t>ALLEGA DOCUMENTOS
DERECHO DE PETICION
DERECHO DE PETICION
DERECHO DE PETICION
DERECHO DE PETICION
DERECHO DE PETICION
REMITE DOCUMENTOS</t>
  </si>
  <si>
    <t>EXT18-00098642</t>
  </si>
  <si>
    <t>19 001 3331 008 2012 00063 00</t>
  </si>
  <si>
    <t>14/04/2005
(COMO GUARDA)
01/07/2005</t>
  </si>
  <si>
    <t>EN EL ANEXO ES EL 587
SE DA RESPUESTA MEDIANTE OFI17-00040227 31/10/17 A, OFI18-00001696 16/01/18 SE ENVIA POR CORREO ELECTRONICO L OFI18-00009886 09/03/18 L OFI18-000225998 05/06/18 E
MEDIANTE OFI18-00046222 19/10/18 SE DIO RESPUESTA AL  L.</t>
  </si>
  <si>
    <t>JUZGADO OCTAVO ADMINISTRATIVO DE DESCONGESTION DEL CIRCUITO DE POPAYAN</t>
  </si>
  <si>
    <t>TRIBUNAL CONTENCIOSO ADMINISTRATIVO DEL CAUCA</t>
  </si>
  <si>
    <t>0718-18</t>
  </si>
  <si>
    <t>caidrobo72@yahoo.es
27-07-2018</t>
  </si>
  <si>
    <t>MARTHA FORERO CORREDOR</t>
  </si>
  <si>
    <t>EXT17-00089613</t>
  </si>
  <si>
    <t>EXT17-00093119</t>
  </si>
  <si>
    <t>EXT17-00096234</t>
  </si>
  <si>
    <t>EXT18-00054069</t>
  </si>
  <si>
    <t>11 001 3335 019 2014 00217 01</t>
  </si>
  <si>
    <t xml:space="preserve">NO SE ENCUENTRA EN LOS ANEXOS
OFI18-00026048-27/06/2018-Decreto 1303-No aparece base de datos. N.
</t>
  </si>
  <si>
    <t>JUZGADO CINCUENTA Y SIETE ADMINISTRATIVO DEL CIRCUITO JUDICIAL DE BOOTA</t>
  </si>
  <si>
    <t>MISAEL AGUILERA PARRA</t>
  </si>
  <si>
    <t>EXT17-00089597</t>
  </si>
  <si>
    <t>EXT17-00089786</t>
  </si>
  <si>
    <t>EXT17-00093072</t>
  </si>
  <si>
    <t>EXT17-00096233</t>
  </si>
  <si>
    <t>11 001 3335 023 2014 00330 01</t>
  </si>
  <si>
    <t>JUZGADO CINCUENTA Y SIETE ADMINISTRATIVO DEL CIRCUITO JUDICIAL DE BOGOTA</t>
  </si>
  <si>
    <t>JHON CARLOS WILCHES NAVARRO</t>
  </si>
  <si>
    <t>EXT17-00074885</t>
  </si>
  <si>
    <t>SOLICITUD DE CUMPLIMIENTO DE SENTENCIA</t>
  </si>
  <si>
    <t>EXT17-00089362</t>
  </si>
  <si>
    <t>ENTREGA DE DOCUMENTOS</t>
  </si>
  <si>
    <t>EXT18-00024932</t>
  </si>
  <si>
    <t>EXT18-00080238</t>
  </si>
  <si>
    <t>POR ENTREGAR LTK
23/02/18 LTK</t>
  </si>
  <si>
    <t>13 001 3331 007 2012 00105 00</t>
  </si>
  <si>
    <t>JUZGADO NOVENO ADMINISTRATIVO DEL CIRCUITO DE CARTAENA</t>
  </si>
  <si>
    <t>LEONARDO JAIMES MARIN</t>
  </si>
  <si>
    <t>EXT17-00077036</t>
  </si>
  <si>
    <t>SOLICITUD  DE PAGO</t>
  </si>
  <si>
    <t>EXT17-00089010</t>
  </si>
  <si>
    <t>RESPUESTA A OFI17-00037882</t>
  </si>
  <si>
    <t>EXT18-00007854</t>
  </si>
  <si>
    <t>APORTA INFORMACION</t>
  </si>
  <si>
    <t>EXT18-00033661</t>
  </si>
  <si>
    <t>EXT18-00072253</t>
  </si>
  <si>
    <t xml:space="preserve">68 081 3331 701 2006 02110 01
</t>
  </si>
  <si>
    <t>JUZGADO ADMINISTRATIVO DE DESCONGESTION DEL CIRCUITO JUDICIAL DE BARRANCABERMEJA, SANTANDER</t>
  </si>
  <si>
    <t>MUERTE DEL SEÑOR RIGOBERTO CARDENAS CARDENAS EN ACCIDENTE DE TRANSITO DEBIDO A COLISION ENTRE VEHICULO DEL DAS Y EL DEL SEÑOR RIGOBERTO CARDENAS CARDENAS</t>
  </si>
  <si>
    <t>PEDRO ANTONIO GIL MARTINEZ</t>
  </si>
  <si>
    <t>EXT17-00077143</t>
  </si>
  <si>
    <t>EXT17-00088733</t>
  </si>
  <si>
    <t>76 001 3333 009 2012 00122 00</t>
  </si>
  <si>
    <t>JUZGADO ADMINISTRATIVO ORAL DEL CIRCUITO DE CALI</t>
  </si>
  <si>
    <t xml:space="preserve">04-09-2018,
110242448-2027
NO DEUDA
</t>
  </si>
  <si>
    <t>ALFONSO ISAAC ECKER MARTINEZ</t>
  </si>
  <si>
    <t>EXT17-00040673</t>
  </si>
  <si>
    <t>EXT17-00090943</t>
  </si>
  <si>
    <t>APORTE DE DOCUMENTOS</t>
  </si>
  <si>
    <r>
      <t>47 001 3333 00</t>
    </r>
    <r>
      <rPr>
        <sz val="9"/>
        <color rgb="FFFF0000"/>
        <rFont val="Arial Narrow"/>
        <family val="2"/>
      </rPr>
      <t>3</t>
    </r>
    <r>
      <rPr>
        <sz val="9"/>
        <rFont val="Arial Narrow"/>
        <family val="2"/>
      </rPr>
      <t xml:space="preserve"> 2013 00278 01</t>
    </r>
  </si>
  <si>
    <r>
      <t>EN EL ANEXO ES EL 461  APARECEN CON EL RADICADO 
47 001 3333 00</t>
    </r>
    <r>
      <rPr>
        <sz val="9"/>
        <color rgb="FFFF0000"/>
        <rFont val="Arial Narrow"/>
        <family val="2"/>
      </rPr>
      <t>5</t>
    </r>
    <r>
      <rPr>
        <sz val="9"/>
        <rFont val="Arial Narrow"/>
        <family val="2"/>
      </rPr>
      <t xml:space="preserve"> 2013 00278 01
MEDIANTE OFI17-00022207 21/07/17 SE DA RESPUESTA AL EXT17-00040673/A</t>
    </r>
  </si>
  <si>
    <t>CARLOS JAIME POSADA ALVAREZ</t>
  </si>
  <si>
    <t>EXT17-00095576</t>
  </si>
  <si>
    <t>SOLICITUD CUMPLIMIENTO SENTENCIA</t>
  </si>
  <si>
    <t>EXT18-00061622</t>
  </si>
  <si>
    <t>EXT18-00066731</t>
  </si>
  <si>
    <t>17 001 3333 003 2013 00166 00</t>
  </si>
  <si>
    <t>JUZGADO OCTAVO ADMINISTRATIVO DEL CIRCUITO DE MANIZALES</t>
  </si>
  <si>
    <t>DAS en supresion- UNP sucesor procesal</t>
  </si>
  <si>
    <t>JORGE ABDELI CUARTAS LOPEZ</t>
  </si>
  <si>
    <t>EXT17-00062890</t>
  </si>
  <si>
    <t>NOTIFICA SENTENCIAS</t>
  </si>
  <si>
    <t>EXT17-00094788</t>
  </si>
  <si>
    <t>76 001 2331 000 2012 00334 01</t>
  </si>
  <si>
    <t>EN EL ANEXO ES EL 336
SE DA RESPUESTA MEDIANTE OFI17-00046477 14/12/17  A</t>
  </si>
  <si>
    <t>TRUBUNAL ADMINISTRATIVO DEL VALLE DEL CAUCA</t>
  </si>
  <si>
    <t>OMAR ENRIQUE GONZALEZ NIÑO</t>
  </si>
  <si>
    <t>EXT17-00094419</t>
  </si>
  <si>
    <t>11 001 3335 020 2014 00219 00</t>
  </si>
  <si>
    <t xml:space="preserve">NO SE ENCUENTERA EN EL ANEXO
SE DA RESPUESTA MEDIANTE OFI17-00046357 14/12/17
</t>
  </si>
  <si>
    <t xml:space="preserve">JUZGADO CINCUENTA Y SIETE ADMINISTRATIVO DE BOGOTA SECCION SEGUNDA </t>
  </si>
  <si>
    <t>TRIBUNAL ADMNISTRATIVO DE CUNDINAMARCA SECCION SEGUNDA SUBSECCION D</t>
  </si>
  <si>
    <t>ARTURO ENRIQUE LOPEZ GONZALEZ</t>
  </si>
  <si>
    <t>EXT17-00100384</t>
  </si>
  <si>
    <t>07/06/18 LTK
ENTREGADO POR LTK 25-07-2018</t>
  </si>
  <si>
    <t>08 001 3331 002 2012 00086 00</t>
  </si>
  <si>
    <t>NO SE ENCUENTRA EN LOS ANEXOS
SE DA RESPUESTA MEDIANTE OFI17-00048204 28/12/17 OFI18-00008480 01/03/18 E OFI18-00011265 16/03/18 L</t>
  </si>
  <si>
    <t>JUZGADO QUINTO ADMINISTRATIVO EN DESCONGESTION DEL CIRCUITO DE BARRANQUILLA</t>
  </si>
  <si>
    <t>CONRADO DE JESUS ESPINOSA VILLADA</t>
  </si>
  <si>
    <t>EXT17-00094428</t>
  </si>
  <si>
    <t>05 001 3333 027 2013 00088 00</t>
  </si>
  <si>
    <t>NO SE ENCUENTRA EN LOS ANEXOS
SE DA RESPUESTA MEDIANTE OFI17-00047784</t>
  </si>
  <si>
    <t>JUZGADO VEINTISIETE ADMINISTRATIVO ORAL DE MEDELLIN</t>
  </si>
  <si>
    <t>TRIBUNAL ADMINISTRATIVO DE ANTIOQUIA SALA TERCERA DE ORALIDAD</t>
  </si>
  <si>
    <t>EXT17-00094411</t>
  </si>
  <si>
    <t>11 001 3335 022 2014 00208 00</t>
  </si>
  <si>
    <t>EN EL ANEXO ES EL 662
SE3 DAS RESPUESTA MEDIANTE OFI17-00047788</t>
  </si>
  <si>
    <t>JUZGADO VEINTIDOS 
ADMINISTRATIVO DE ORALIDAD DEL CIRCUITO JUDICIAL  DE BOGOTA SECCION SEGUNDA</t>
  </si>
  <si>
    <t>TRIBUNAL ADMINISTRATIVO DE CUNDINAMARCA SECCION SEGUNDA SUBSECCION C</t>
  </si>
  <si>
    <t>SNEITHER ALEXANDER RATIVA RIVERA</t>
  </si>
  <si>
    <t>EXT17-00099570</t>
  </si>
  <si>
    <t>11 001 3335 028 2012 00374 00</t>
  </si>
  <si>
    <t>(PRIMERA VINCULACION)
01/06/2003-30/06/2009</t>
  </si>
  <si>
    <t>(SEGUNDA VINCULACION)
28/12/2010-15/11/2011</t>
  </si>
  <si>
    <t>TRIBUNAL ADMINISTRATIVO DE CUNDINAMARCA SECCION SEGUNDA SUBSECCION B</t>
  </si>
  <si>
    <t>22/08/2018, 1-32-244-439-7392, NO DEUDA</t>
  </si>
  <si>
    <t>JOHNNY JAVIER GUERRERO MONTILLA</t>
  </si>
  <si>
    <t>EXT17-00098323</t>
  </si>
  <si>
    <t>76 001 3331 015 2011 00327 00</t>
  </si>
  <si>
    <t>EN EL ANEXO ES EL 254
SE CONDENA A ANDJE.</t>
  </si>
  <si>
    <t>TRIBUNAL ADMINISTRATIVO DE DESCONGESTION CON SEDE EN BOGOTA</t>
  </si>
  <si>
    <t>UNION TEMPORAL SEGURIDAD AVANZADA 1 - 15</t>
  </si>
  <si>
    <t>NIT. 900848432</t>
  </si>
  <si>
    <t>2017 00258</t>
  </si>
  <si>
    <t>ACUERDO DE PAGO</t>
  </si>
  <si>
    <t>JUZGADO SESENTA Y DOS ADMINISTRATIVO DEL CIRCUITO JUDICIAL DE BOGOTA</t>
  </si>
  <si>
    <t>1518/17</t>
  </si>
  <si>
    <t>UNION TEMPORAL SEGURIDAD TOTAL</t>
  </si>
  <si>
    <t>NIT. 900848883</t>
  </si>
  <si>
    <t>11 001 3343 061 2017 00123 00</t>
  </si>
  <si>
    <t>JUZGADO SESENTA Y UNO ADMINISTRATIVO DEL CIRCUITO JUDICIAL DE BOGOTA</t>
  </si>
  <si>
    <t>05/11/1017</t>
  </si>
  <si>
    <t>1517/17</t>
  </si>
  <si>
    <t>JUAN CARLOS RIVERA ACOSTA</t>
  </si>
  <si>
    <t>EXT18-00000777</t>
  </si>
  <si>
    <t>SOLICITUD DE CUMPLIMIENTO SENTENCIA</t>
  </si>
  <si>
    <t>EXT18-00020054</t>
  </si>
  <si>
    <t xml:space="preserve">ALLEGA DOCUMENTOS </t>
  </si>
  <si>
    <t>EXT17-00081005</t>
  </si>
  <si>
    <t>76 001 2331 000 2012 00254 00</t>
  </si>
  <si>
    <t xml:space="preserve">EN EL ANEXO ES EL 339
SE DA RESPUESTA MEDIANTE OFI18-00001715 16/01/18 L DOCUMENTOS COMPLETOS </t>
  </si>
  <si>
    <t>LEONARDO ANDRES GARCIA ORTIZ</t>
  </si>
  <si>
    <t> 80.730.593</t>
  </si>
  <si>
    <t>EXT17-00092468</t>
  </si>
  <si>
    <t>EXT18-00059345</t>
  </si>
  <si>
    <t>11 001 3335 009 2012 00008 00</t>
  </si>
  <si>
    <t xml:space="preserve">EN EL ANEXO ES EL 109
OFI18-00027195 05/07/18
</t>
  </si>
  <si>
    <t>JUZGADO NOVENO ADMINISTRATIVO DEL CIRCUITO JUDICIAL DE BOGOTA</t>
  </si>
  <si>
    <t>TRIBUNAL ADMINISTRATIVO DE CUNDINAMARCA SECCIONAL SEGUNDA SUBSECCION E</t>
  </si>
  <si>
    <t>EDWIN FERNANDO GUETTE DOSMAN</t>
  </si>
  <si>
    <t>EXT17-00089771</t>
  </si>
  <si>
    <t>EXT18-00036071</t>
  </si>
  <si>
    <t>05/06/2018 SE ENCUENTRA EL EXPENDIENTE FISICO EN UNP YL LIQUIDADO UNP
ENTREGADO POR LTK 04-09-2018</t>
  </si>
  <si>
    <t>76 001 2331 000 2012 00078 01</t>
  </si>
  <si>
    <t>ES EL 253 EN EL ANEXO
OFI18-00018591  11/05/18 E</t>
  </si>
  <si>
    <t>ARMANDO DE JESUS RUIZ VELEZ</t>
  </si>
  <si>
    <t>EXT17-00086727</t>
  </si>
  <si>
    <t>EXT14-00052789</t>
  </si>
  <si>
    <t>ADMISION</t>
  </si>
  <si>
    <t>EXT16-00065919</t>
  </si>
  <si>
    <t>EXT16-00072836</t>
  </si>
  <si>
    <t>EXT16-00080190</t>
  </si>
  <si>
    <t>NOTIFICACION POR ESTADO</t>
  </si>
  <si>
    <t>30/11/2017
11/10/2017
07/12/2017</t>
  </si>
  <si>
    <t>nov-17
oct-17
dic-17</t>
  </si>
  <si>
    <t>EXT17-00093824
EXT17-00079035
EXT17-00096148</t>
  </si>
  <si>
    <t>ANDJE
TRIBUNAL
JUZGADO</t>
  </si>
  <si>
    <t>REMISION SENTENCIA
NOTIFICACION SENTENCIA
NOTIFICA ESTADO</t>
  </si>
  <si>
    <t>11 001 3335 009 2014 00237 01</t>
  </si>
  <si>
    <t>JUZGADO NOVENO ADMINISTRATIVO DEL CIRCITO JUDICIAL DE BOGOTA SECCION SEGUNDA</t>
  </si>
  <si>
    <t>JUAN AMADEO RODRIGUEZ MURCIA</t>
  </si>
  <si>
    <t>EXT17-00086747</t>
  </si>
  <si>
    <t>EXT18-00016502</t>
  </si>
  <si>
    <t>11 001 3335 011 2014 00356 01</t>
  </si>
  <si>
    <t>JUZGADO ONCE ADMINISTRATIVO DE ORALIDAD DEL CIRCUITO DE BOGOTA</t>
  </si>
  <si>
    <t>ALEX FERNEY HINCAPIE NUÑEZ</t>
  </si>
  <si>
    <t>EXT17-00082541</t>
  </si>
  <si>
    <t>NOTFICACION ESTADO</t>
  </si>
  <si>
    <t>JUZGADO ONCE ADMNISTRATIVO DE DESCONGESTION DE BOGOTA</t>
  </si>
  <si>
    <t>FRANCISCO JAVIER GARCIA VALENZUELA</t>
  </si>
  <si>
    <t>200700307 01</t>
  </si>
  <si>
    <t>NO SE ENCUENTRA EN LOS ANEXOS
FALLO EN VIGENCIA DEL DAS LM 06/06/18</t>
  </si>
  <si>
    <t>JUZGADO VEINTIOCHO ADMINISTRATIVO DEL CIRCUITO JUDICIAL DE BOGOTA</t>
  </si>
  <si>
    <t>SAID EFRAIN LEWIS CASTILLO</t>
  </si>
  <si>
    <t>08 001 2331 000 2003 00011 01</t>
  </si>
  <si>
    <t>NO SE ENCUENTRA EN LOS ANEXOS
ENVIAR OFICIO A AGN.PARA AVERIGUAR CUANDO FUE PAGADO</t>
  </si>
  <si>
    <t>TRIBUNAL ADMINISTRATIVO DE ATLANTICO</t>
  </si>
  <si>
    <t>CONSEJO DE ESTADO SALA DE LO NCONTENCIOSO ADMINISTRATIVO SECCION SEGUNDA SUBSECCION A</t>
  </si>
  <si>
    <t>DIEGO ANDRES RAIGOSA PALACIO</t>
  </si>
  <si>
    <t>EXT17-00095558</t>
  </si>
  <si>
    <t>EXT18-00004003</t>
  </si>
  <si>
    <t>EXT18-00076249</t>
  </si>
  <si>
    <t>18/05/18 LTK
ENTREGADO POR LTK 26-06-2018</t>
  </si>
  <si>
    <t>66 001 3333 003 2014 00390 00</t>
  </si>
  <si>
    <t>NO SE ENCUENTRA EN LOS ANEXOS
SE DA RESPUESTA MEDIANTE OFI18-00044182 01/06/18 E
OFI18-00030639 26/07/18
CORREO ELECTRÓNICO 27/08/18</t>
  </si>
  <si>
    <t>JUZGADO TERCERO ADMINISTRATIVO DEL CIRCUITO PEREIRA-RISARALDA</t>
  </si>
  <si>
    <t>TRIBUNAL DE LO CONTENCIOSO ADMINISTRATIVO DE RISARALDA SALA CUARTA DE DECISION</t>
  </si>
  <si>
    <t>SERGIO TORRES LUNA</t>
  </si>
  <si>
    <t>DARLIN LENIS ESPITIA</t>
  </si>
  <si>
    <t>EXT18-00003911</t>
  </si>
  <si>
    <t>EXT18-00007820</t>
  </si>
  <si>
    <t>ANDJ</t>
  </si>
  <si>
    <t>EXT18-00012782</t>
  </si>
  <si>
    <t>EXT18-00041988</t>
  </si>
  <si>
    <t>EXT18-00084956</t>
  </si>
  <si>
    <t>ALLEGA DOCUMENTOS Y ANEXOS A LA SOLICITUD</t>
  </si>
  <si>
    <t xml:space="preserve">EXT18-00085761 </t>
  </si>
  <si>
    <t>CESION DERECHOS DE SENTENCIA</t>
  </si>
  <si>
    <t>11 001 3331 011 2014 00247 00</t>
  </si>
  <si>
    <t xml:space="preserve">EN EL ANEXO ES EL 696
SE DA RESPUESTA MEDIANTE OFI18-00022624 05/06/18 L
MEDIANTE OFI18-00039135 SE DA RESPUESTA A LOS  EXT18-00084956, EXT18-00085761  F.
</t>
  </si>
  <si>
    <t>22/08/2018, 1-32-244-439-7381, NO DEUDA</t>
  </si>
  <si>
    <t>ALFREDO MARTINEZ BELTRAN</t>
  </si>
  <si>
    <t>EXT18-00002782</t>
  </si>
  <si>
    <t>EXT18-00007933</t>
  </si>
  <si>
    <t>EXT18-00013338</t>
  </si>
  <si>
    <t>EXT18-00024556</t>
  </si>
  <si>
    <t>COMUNICA EJECUTORIA Y SENTENCIAS DE PRIMERA Y SEGUNDA INSTANCIA</t>
  </si>
  <si>
    <t>11 001 3335 024 2013 00495 00</t>
  </si>
  <si>
    <t>EN EL ANEXO ES EL 479</t>
  </si>
  <si>
    <t>JUZGADO VEINTICUATRO ADMINISTRATIVO ORAL DEL CIRCUITO DE BOGOTA</t>
  </si>
  <si>
    <t>CARLOS ARTURO CARVAJAL RIVERA
(se eliminó por solo contar con primera instancia)</t>
  </si>
  <si>
    <t>ANDRES CORREA RODRIGUEZ</t>
  </si>
  <si>
    <t>EXT18-00005762</t>
  </si>
  <si>
    <t>18/05/18 LTK                                                              RAD: LTK-005-037-2018, LTK SOLICITA DOCUMENTOS SOPORTES PARA REALIZAR LA LIQUIDACION.
ENTREGADO POR LTK 25-07-2018</t>
  </si>
  <si>
    <t>11 001 3335 009 2012 00207 01</t>
  </si>
  <si>
    <t>JUZGADO NOVENO ADMINISTRATIVO DEL CIRCUITO JUDICIAL DE BOGOTA SECCION SEGUNDA</t>
  </si>
  <si>
    <t>22/08/2018, 1-32-244-439-7383, NO DEUDA</t>
  </si>
  <si>
    <t>VICKY FABIOLA ORTIZ SANDOVAL</t>
  </si>
  <si>
    <t>18-09-2017
APROX.</t>
  </si>
  <si>
    <t>1544/17</t>
  </si>
  <si>
    <t>22/11/2017
APROX.</t>
  </si>
  <si>
    <t>1543/17</t>
  </si>
  <si>
    <t>conrado.espinosa@unp.gov.co
02-02-2018</t>
  </si>
  <si>
    <t>RODRIGO CORREA CAMACHO</t>
  </si>
  <si>
    <t>1527/17</t>
  </si>
  <si>
    <t>rodrigo.correa@unp.gov.co
02-02-2018</t>
  </si>
  <si>
    <t>HERMINSUT PUERTO SIERRA</t>
  </si>
  <si>
    <t>JUZGADO TREINTA  Y UNO ADMINISTRATIVO DE BOGOTA</t>
  </si>
  <si>
    <t>05/10/2015
APROX.</t>
  </si>
  <si>
    <t>1526/17</t>
  </si>
  <si>
    <t>WILSON ANDREY CORREA</t>
  </si>
  <si>
    <t>2017 00202</t>
  </si>
  <si>
    <t>29-11-2017
APROX.</t>
  </si>
  <si>
    <t>1500/17</t>
  </si>
  <si>
    <t>ALCIDES GLEMIRO GALVAN PATERNINA</t>
  </si>
  <si>
    <t>JUZGADO VEINTIDOS ADMINISTRATIVO DE BOGOTA</t>
  </si>
  <si>
    <t>10-10-2017
APROX.</t>
  </si>
  <si>
    <t>1496/17</t>
  </si>
  <si>
    <t>alcides.galvan@unp.gov.co
02-02-2018</t>
  </si>
  <si>
    <t xml:space="preserve">ADRIAN BERNAL ROJAS </t>
  </si>
  <si>
    <t>2017 00164</t>
  </si>
  <si>
    <t>21/09/2017
APROX.</t>
  </si>
  <si>
    <t>1499/17</t>
  </si>
  <si>
    <t>adrian.bernal@unp.gov.co
02-02-2018</t>
  </si>
  <si>
    <t>YOLNER ESTINGUAR FERNANDEZ JIMENEZ</t>
  </si>
  <si>
    <t>30-11-2017
APROX.</t>
  </si>
  <si>
    <t>1498/17</t>
  </si>
  <si>
    <t>yolner.fernandez@unp.gov.co
02-02-2018</t>
  </si>
  <si>
    <t>13-10-2017
APROX.</t>
  </si>
  <si>
    <t>1408/17</t>
  </si>
  <si>
    <t>LEON DE JESUS GIRALDO LOPEZ</t>
  </si>
  <si>
    <t>26/11/2016
APROX.</t>
  </si>
  <si>
    <t>1413/17</t>
  </si>
  <si>
    <t>VICTOR HUGO SALINAS CAMARGO</t>
  </si>
  <si>
    <t>1494/17</t>
  </si>
  <si>
    <t>1495/17</t>
  </si>
  <si>
    <t>FREDY DE JESUS ORTIZ CASTAÑO</t>
  </si>
  <si>
    <t>29/09/2017
APROX.</t>
  </si>
  <si>
    <t>1497/17</t>
  </si>
  <si>
    <t>fredy.ortiz@unp.gov.co
01-02-2018</t>
  </si>
  <si>
    <t>RAFAEL VICENTE OSORIO NORIEGA</t>
  </si>
  <si>
    <t>28/06/2017
APROX.</t>
  </si>
  <si>
    <t>1433/17</t>
  </si>
  <si>
    <t>1434/17</t>
  </si>
  <si>
    <t>ALVARO DE JESUS MEJIA BECERRA</t>
  </si>
  <si>
    <t>26-07-2017
APROX.</t>
  </si>
  <si>
    <t>1460/17</t>
  </si>
  <si>
    <t>2017 00144</t>
  </si>
  <si>
    <t>14-08-2017
APROX.</t>
  </si>
  <si>
    <t>1403/17</t>
  </si>
  <si>
    <t>javier.arango@unp.gov.co
01-02-2018</t>
  </si>
  <si>
    <t>HECTOR FERNEY HERRERA ALVAREZ</t>
  </si>
  <si>
    <t>JUZGADO OCTAVO ADMINISTRATIVO DE ORALIDAD DEL CIRCUITO DE BOGOTA</t>
  </si>
  <si>
    <t>02-08-2017
APROX.</t>
  </si>
  <si>
    <t>1432/17</t>
  </si>
  <si>
    <t>hector.herrera@unp.gov.co
01-02-2018</t>
  </si>
  <si>
    <t xml:space="preserve">HERNAN ADOLFO ACEVEDO ANGEL </t>
  </si>
  <si>
    <t>JUZGADO DOCE ADMINISTRATIVO DE ORALIDAD DEL CIRCUITO DE BOGOTA SECCION SEGUNDA</t>
  </si>
  <si>
    <t>21-06-2017
APROX.</t>
  </si>
  <si>
    <t>1431/17</t>
  </si>
  <si>
    <t>hernan.acevedo@unp.gov.co
01-02-2018</t>
  </si>
  <si>
    <t xml:space="preserve">DANY CAMILO JIMENEZ ENCISO </t>
  </si>
  <si>
    <t>2017 0085</t>
  </si>
  <si>
    <t>17-05-2017
APROX.</t>
  </si>
  <si>
    <t>1430/17</t>
  </si>
  <si>
    <t>dany.jimenez@unp.gov.co
01-02-2018</t>
  </si>
  <si>
    <t>RUBIEL CIFUENTES RAMOS</t>
  </si>
  <si>
    <t>JUZGADO CINCUENTA Y OCHO ADMINISTRATIVO ORAL DEL CIRCUITO JUDICIAL DE BOGOTA</t>
  </si>
  <si>
    <t>11/09/2017
APROX.</t>
  </si>
  <si>
    <t>1429/17</t>
  </si>
  <si>
    <t>rubiel.cifuentes@unp.gov.co
01-02-2018</t>
  </si>
  <si>
    <t>HECTOR MANUEL HERNANDEZ BETANCOURT</t>
  </si>
  <si>
    <t>17-07-2017
APROX.</t>
  </si>
  <si>
    <t>1428/17</t>
  </si>
  <si>
    <t>hector.hernandez@unp.gov.co
01-02-2018</t>
  </si>
  <si>
    <t>EDWIN DIAZ MOLINA</t>
  </si>
  <si>
    <t>1427/17</t>
  </si>
  <si>
    <t>edwin.molina@unp.gov.co
01-02-2018</t>
  </si>
  <si>
    <t>FREDY ALFONSO ARDILA CASTELLANOS</t>
  </si>
  <si>
    <t>1426/17</t>
  </si>
  <si>
    <t>fredy.ardila@unp.gov.co
01-02-2018</t>
  </si>
  <si>
    <t>LUIS ENRIQUE GOMEZ PENAGOS</t>
  </si>
  <si>
    <t>30-06-2017
APROX.</t>
  </si>
  <si>
    <t>1425/17</t>
  </si>
  <si>
    <t>luis.gomez@unp.gov.co
01-02-2018</t>
  </si>
  <si>
    <t>MAURICIO JAVIER MARTINEZ MONCAYO</t>
  </si>
  <si>
    <t>31-08-2017
APROX.</t>
  </si>
  <si>
    <t>1424/17</t>
  </si>
  <si>
    <t>mauricio.martinez@unp.gov.co
01-02-2018</t>
  </si>
  <si>
    <t>18-08-2017
APROX.</t>
  </si>
  <si>
    <t>1423/17</t>
  </si>
  <si>
    <t>11-10-2017
APROX.</t>
  </si>
  <si>
    <t>1422/17</t>
  </si>
  <si>
    <t>javier.jimenez@unp.gov.co
01-02-2018</t>
  </si>
  <si>
    <t>GUSTAVO CABEZAS QUIÑONEZ</t>
  </si>
  <si>
    <t>2017 00300</t>
  </si>
  <si>
    <t>08-09-2017
APROX.</t>
  </si>
  <si>
    <t>1421/17</t>
  </si>
  <si>
    <t>gustavo.cabezas@unp.gov.co
01-02-2018</t>
  </si>
  <si>
    <t>MIGUEL ANGEL ARENAS RUEDA</t>
  </si>
  <si>
    <t>03-08-2017
APROX.</t>
  </si>
  <si>
    <t>1420/17</t>
  </si>
  <si>
    <t>miguel.arenas@unp.gov.co
01-02-2018</t>
  </si>
  <si>
    <t>JOSE MESIAS ARIAS</t>
  </si>
  <si>
    <t>13/10/2017
APROX.</t>
  </si>
  <si>
    <t>1405/17</t>
  </si>
  <si>
    <t>jose.arias@unp.gov.co
31-01-2018</t>
  </si>
  <si>
    <t>ANA AYDE SAUCA</t>
  </si>
  <si>
    <t>JUZGADO NOVENO DEL CIRCUITO ADMINISTRATIVO DE BOGOTA</t>
  </si>
  <si>
    <t>13/12/2017
APROX.</t>
  </si>
  <si>
    <t>1404/17</t>
  </si>
  <si>
    <t>JOSE HERNAN DAVILA MEDINA</t>
  </si>
  <si>
    <t>1525/17</t>
  </si>
  <si>
    <t>jose.davila@unp.gov.co
30-01-2018</t>
  </si>
  <si>
    <t>JOHN SEBASTIAN TAMAYO PEÑA</t>
  </si>
  <si>
    <t>07-112017
APROX.</t>
  </si>
  <si>
    <t>1415/17</t>
  </si>
  <si>
    <t>EDER FABIAN BEJARANO ZARATE</t>
  </si>
  <si>
    <t>1414/17</t>
  </si>
  <si>
    <t>eder.bejarano@unp.gov.co
01-02-18</t>
  </si>
  <si>
    <t>ENILSO TORRES MONTES</t>
  </si>
  <si>
    <t>24/11/2017
APROX.</t>
  </si>
  <si>
    <t>1411/17</t>
  </si>
  <si>
    <t>1406/17</t>
  </si>
  <si>
    <t>EDILBERTO MANUEL BARRETO CONTRERAS</t>
  </si>
  <si>
    <t>2017 345</t>
  </si>
  <si>
    <t>1410/17</t>
  </si>
  <si>
    <t>edilberto.barreto@unp.gov.co
01-02-2018</t>
  </si>
  <si>
    <t>NANCY ERNESTINA ARANA LOPEZ 
ANDRES FELIPE WAGNER ARANA
JUAN JOSE WAGNER ARANA
MARIA BELCY WAGNER VALENCIA
ROSALBA WAGNER DE DIAZ
MANUEL VEIMAR WAGNER VALENCIA
DAGOBERT WAGNER VALENCIA
UBAN WAGNER VALENCIA
JAVIER WAGNER VALENCIA
CLARA ISABEL WAGNER VALENCIA
MARIA LUCELLY WAGNER VALENCIA
NIBIA MARIA WAGNER VALENCIA
MARIA LUCY WAGNER DE GIRALDO</t>
  </si>
  <si>
    <t>66.723.660
66.709.660
31.191.514
16.346.176
16.359.369
6.495.071
16.351.570
13.200.186
31.186.376
31.886.973
41.691.863</t>
  </si>
  <si>
    <t>MARIA DEL PILAR GARCIA VALDES</t>
  </si>
  <si>
    <t>EXT18-00008007</t>
  </si>
  <si>
    <t>POLICIA NACIONAL</t>
  </si>
  <si>
    <t>REMITE CUENTA DE COBRO</t>
  </si>
  <si>
    <t>76 001 3331 000 2011 00736 00</t>
  </si>
  <si>
    <t>MINDEFENSA, POLICIA, FISCALIA, MINTERIOR</t>
  </si>
  <si>
    <t>14-08-2018, 100224333-1420, NO DEUDA
RESOLUCION DE COMPENSACION 5694 DEL 27-08-2018, OFICIO 32 243 436 832 - MARIA BELCY WAGNER VALENCIA,
21/08/2018, 1212012422-305, NO DEUDA
21/08/2018, 1212012422-304, NO DEUDA
21/08/2018, 1212012422-303, NO DEUDA
21/08/2018, 1212012422-302, NO DEUDA
22/08/2018, 1-32-244-439-7382, NO DEUDA
14-08-2018, 100224333-1420, NO DEUDA
21/08/2018, 1212012422-300, NO DEUDA
14-08-2018, 100224333-1420, NO DEUDA
14-08-2018, 100224333-1420, NO DEUDA</t>
  </si>
  <si>
    <t>LEONARDO OVIDIO MONTOYA HERNANDEZ</t>
  </si>
  <si>
    <t>NORMA JANETH BAQUERO DIAZ</t>
  </si>
  <si>
    <t>EXT18-00011826</t>
  </si>
  <si>
    <t>EXT18-00015633</t>
  </si>
  <si>
    <t>EXT18-00046819</t>
  </si>
  <si>
    <t>11 001 3335 026 2013 00187 01</t>
  </si>
  <si>
    <t>EN EL ANEXO SE ENCUENTRA CON LOS NUMEROS 589 Y 646
SE DA RESPUESTA MEDIANTE OFI18-00022600 05/06/18 E</t>
  </si>
  <si>
    <t>JUZGADO VEINTISEIS ADMINISTRATIVO DEL CIRCUITO DE BOGOTA</t>
  </si>
  <si>
    <t>TRIBUNAL ADMINISTRATIVO DE CUNDINAMARCA SECCION SEGUNDA - SUBSECCION A</t>
  </si>
  <si>
    <t>22/08/2018, 1-32-244-439-7380, NO DEUDA</t>
  </si>
  <si>
    <t>CARLOS YAMID VASQUEZ ARTEAGA</t>
  </si>
  <si>
    <t>EXT18-00003391</t>
  </si>
  <si>
    <t>EXT18-00080293</t>
  </si>
  <si>
    <t xml:space="preserve">18/05/18 LTK
ENTREGADO POR LTK 26-06-2018
</t>
  </si>
  <si>
    <t>73 001 3333 009 2014 00307 00</t>
  </si>
  <si>
    <t xml:space="preserve">NO SE ENCUENTRA EN LOS ANEXOS
SE DA RESPUESTA MEDIANTE OFI18-00003002 24/01/18 A
OFI18-00046938 16/12/17 A
INFORMATIVO 23/08/18 </t>
  </si>
  <si>
    <t>JUZGADO NOVENO ADMINISTRATIVOI ORAL DEL CIRCUITO DE IBAGUE - TOLIMA</t>
  </si>
  <si>
    <t xml:space="preserve">TRIBUNAL ADMINISTRATIVO DEL TOLIMA </t>
  </si>
  <si>
    <t>16/08/2018, 1-09-242-448-4816, NO DEUDA</t>
  </si>
  <si>
    <t>ROSA BEATRIZ GONZALEZ MORENO</t>
  </si>
  <si>
    <t>EXT18-00012470</t>
  </si>
  <si>
    <t>EXT18-00017762</t>
  </si>
  <si>
    <t>11 001 3335 019 2014 00311 01</t>
  </si>
  <si>
    <t>GERMAN ANTONIO TUBERQUIA PETRO
(se eliminó por solo contar con primera instancia)</t>
  </si>
  <si>
    <t>EXT18-00012390</t>
  </si>
  <si>
    <t>EXT18-00033337</t>
  </si>
  <si>
    <t>COMUNICA PRIMERA Y SEGUNDA INSTANCIA</t>
  </si>
  <si>
    <t>11 001 3335 007 2014 00261 01</t>
  </si>
  <si>
    <t>NO SE ENCUENTRA EN EL ANEXO</t>
  </si>
  <si>
    <t>JUZGADO SEPTIMO ADMINISTRATIVO DE ORALIDAD DEL CIRCUITO JUDICIAL DE BOGOTA</t>
  </si>
  <si>
    <t>DIANA ZORAYA CARABAÑO PLAZAS
(se eliminó por solo contar con primera instancia)</t>
  </si>
  <si>
    <t>LUIS ARMANDO GARNICA SALAMANCA</t>
  </si>
  <si>
    <t>EXT18-00013910</t>
  </si>
  <si>
    <t>EXT18-00033348</t>
  </si>
  <si>
    <t>11 001 3335 023 2014 00256 01</t>
  </si>
  <si>
    <t>JUZGADO  VEINTITRES ADMINISTRATIVO DE ORALIDAD DEL CIRCUITO JUDICIAL DE BOGOTA</t>
  </si>
  <si>
    <t>JAMINSON HUGO PAREDES MORA</t>
  </si>
  <si>
    <t>EXT18-00015477</t>
  </si>
  <si>
    <t>08 001 3333 008 2014 00369 01</t>
  </si>
  <si>
    <t>EN EL ANEXO ES EL 27 (CON EL # PROCESO 201407281)</t>
  </si>
  <si>
    <t>JUZGADO OCTAVO ADMINISTRATIVO ORAL DE BARRANQUILLA</t>
  </si>
  <si>
    <t>TRIBUNAL ADMINISTRATIVO DEL ATLANTICO SALA DE DECISION ORAL SECCION B</t>
  </si>
  <si>
    <t xml:space="preserve">CENTRAL DE INVERSIONES S.A. </t>
  </si>
  <si>
    <t>MONICA ALEJANDRA RODRIGUEZ RUIZ</t>
  </si>
  <si>
    <t>EXT17-00100960</t>
  </si>
  <si>
    <t>EXT18-00040490</t>
  </si>
  <si>
    <t>0486-18</t>
  </si>
  <si>
    <t>JAIRO ARAQUE RUIZ</t>
  </si>
  <si>
    <t>EXT18-00008141</t>
  </si>
  <si>
    <t xml:space="preserve"> EXT18-00092878 </t>
  </si>
  <si>
    <t>11 001 3335 017 2014 00227 00</t>
  </si>
  <si>
    <t>NO SE ENCUENTRA EN LOS ANEXOS
MEDIANTE OFI18-0004355 SE DA RESPUESTA AL  EXT18-00092878  F.</t>
  </si>
  <si>
    <t>JUZGADO QUINTO ADMINISTRATIVO DE DESCONGESTION DEL CIRCUITO JUDICIAL DE BOGOTA</t>
  </si>
  <si>
    <t>EXT18-000017818</t>
  </si>
  <si>
    <t>EXT18-00017755</t>
  </si>
  <si>
    <t>EXT18-00031260</t>
  </si>
  <si>
    <t>COMUNICA SENTENCIA PRIMERA Y SEGUNDA INSTANCIA</t>
  </si>
  <si>
    <t>11 001 3335 705 2014 00049 01</t>
  </si>
  <si>
    <t xml:space="preserve">EN EL ANEXO 6 ES EL 48 Y RELACIONA A LA UNP </t>
  </si>
  <si>
    <t>NATALIA ANDREA PEREZ RENDON</t>
  </si>
  <si>
    <t>JUZGADO TREINTA Y DOS ADMINISTRATIVO DE BOGOTA SECCION TERCERA</t>
  </si>
  <si>
    <t>24-01-2018
APROX.</t>
  </si>
  <si>
    <t>0262/18</t>
  </si>
  <si>
    <t>EINER ACOSTA</t>
  </si>
  <si>
    <t>EXT16-00052919</t>
  </si>
  <si>
    <t>REMITE COPIA DE LA DEMANDA</t>
  </si>
  <si>
    <t>EXT18-00011799</t>
  </si>
  <si>
    <t>05/06/2018 SE ENCUENTRA EL EXPENDIENTE FISICO EN UNP YL LIQUIDADO UNP
07/06/18 LTK</t>
  </si>
  <si>
    <t>11 001 3335 021 2014 00407 01</t>
  </si>
  <si>
    <t>JUZGADO CINCUENTA Y CINCO ADMINISTRATIVO DEL CIRCUITO JUDICIAL DE BOGOTA</t>
  </si>
  <si>
    <t>CESAR TULIO PUENTES GIRALDO</t>
  </si>
  <si>
    <t>JUZGADO TREINTA Y UNO ADMINISTRATIVO ORAL DE BOGOTA SECCION TERCERA</t>
  </si>
  <si>
    <t>25-01-2018
APROX.</t>
  </si>
  <si>
    <t>0265/18</t>
  </si>
  <si>
    <t>RAFAEL ANGEL BARRIENTO MALDONADO</t>
  </si>
  <si>
    <t>EXT18-00017963</t>
  </si>
  <si>
    <t>JUZGADO TREINTA ADMINISTRATIVO DEL CIRCUITO DE BOGOTA</t>
  </si>
  <si>
    <t>0266/18</t>
  </si>
  <si>
    <t xml:space="preserve">rafael.barrientos@unp.gov.co
</t>
  </si>
  <si>
    <t>ROGER MAURICIO NIETO BOCANEGRA</t>
  </si>
  <si>
    <t>31-01-2018
APROX.</t>
  </si>
  <si>
    <t>0296/18</t>
  </si>
  <si>
    <t>JHON FREDY CASTRILLON BETANCOURT</t>
  </si>
  <si>
    <t>EXT14-00054310</t>
  </si>
  <si>
    <t>EXT14-00057674</t>
  </si>
  <si>
    <t>ACEPTA RENUNCIA DE PODER</t>
  </si>
  <si>
    <t>EXT18-00019748</t>
  </si>
  <si>
    <t>SOLICITUD DE CUMPLIMIENTO</t>
  </si>
  <si>
    <t>EXT18-00052388</t>
  </si>
  <si>
    <t>76 001 3331 000 2011 01555 00</t>
  </si>
  <si>
    <t xml:space="preserve">EN EL ANEXO ES EL 251
SE DA RESPUESTA MEDIANTE OFI18-00010004 09/03/18 L
CORREO ELECTRÓNICO 20/06/18
</t>
  </si>
  <si>
    <t xml:space="preserve">TRIBUNAL ADMINISTRATIVO DEL VALLE DEL CAUCA SALA MIXTA </t>
  </si>
  <si>
    <t>23-08-2018
105201244-14-025
NO DEUDA</t>
  </si>
  <si>
    <t>GERMAN CAICEDO RICO</t>
  </si>
  <si>
    <t>EXT18-00022424</t>
  </si>
  <si>
    <t>EXT18-00026512</t>
  </si>
  <si>
    <t>EXT18-00037192</t>
  </si>
  <si>
    <t>05/06/2018 SE ENCUENTRA EL EXPENDIENTE FISICO EN UNP YL LIQUIDADO UNP
ENVIADOS A LTK 18-10-2018</t>
  </si>
  <si>
    <t>11 001 3335 012 2014 00324 01</t>
  </si>
  <si>
    <t>JUZGADO DOCE ADMINISTRATIVO DE ORALIDAD DEL CIRCUITO JUDICIAL DE BOGOTA SECCION SEGUNDA</t>
  </si>
  <si>
    <t>JOHN HENRY MATIZ PULIDO</t>
  </si>
  <si>
    <t>EXT18-00022628</t>
  </si>
  <si>
    <t>11 001 3335 706 2014 00075 02</t>
  </si>
  <si>
    <t>NO SE ENCUENTRA EN LOS ANEXOS
CONDENADA LA FIDUPREVISORA Y LA AGENCIA.</t>
  </si>
  <si>
    <t>CAMILO ANDRES BALLEN (BELLO) BETANCOURT</t>
  </si>
  <si>
    <t>EXT18-00022637</t>
  </si>
  <si>
    <t>11 001 3335 011 2014 00252 02</t>
  </si>
  <si>
    <t>NO SE ENCUENTRA EN LOS ANEXOS
CORRESPONDE A LA FIDUPREVISORA W</t>
  </si>
  <si>
    <t>JUZGADO ONCE ADMINISTRATIVO DEL CIRCUITO JUDICIAL DE BOGOTA SECCION SEGUNDA</t>
  </si>
  <si>
    <t>JACOB HERNANDEZ</t>
  </si>
  <si>
    <t>EXT18-00022820</t>
  </si>
  <si>
    <t>EXT18-00052599</t>
  </si>
  <si>
    <t>EXT18-00079222</t>
  </si>
  <si>
    <t>41 001 3331 005 2011 00122 00</t>
  </si>
  <si>
    <t>14/12/20108</t>
  </si>
  <si>
    <t>EN EL ANEXO ES EL 192
SE DA RESPUESTA MEDIANTE OFI18-00011267 16/03/18 L
CORREO ELECTRONICO 21/06/18 L
CORREO ELECTRÓNICO 03/08/18  L.</t>
  </si>
  <si>
    <t>JUZGADO CUARTO ADMINISTRATIVO DE DESCONGESTION DE NEIVA HUILA</t>
  </si>
  <si>
    <t xml:space="preserve">TRIBUNAL ADMINISTRATIVO DEL HUILA SALA QUINTA DE DECISION </t>
  </si>
  <si>
    <t>NRD-CONTRATO REALIDAD, CONTROVERSIA CONTRACTUAL</t>
  </si>
  <si>
    <t>DAS en supresion, UNP sucesor procesal.</t>
  </si>
  <si>
    <t>EXT18-00023130</t>
  </si>
  <si>
    <t>11 100 1335 013 2014 00175 00</t>
  </si>
  <si>
    <t>NO SE ENCUENTRA EN LOS ANEXOS
SE DA RESPUESTA MEDIANTE OFI18-00009645 08/03/18 E</t>
  </si>
  <si>
    <t>JUZGADO 13 ADMINISTRATIVO SECCION SEGUNDA DE BOGOTA- ORAL</t>
  </si>
  <si>
    <t>30/06/2016</t>
  </si>
  <si>
    <t>08/06/2017</t>
  </si>
  <si>
    <t>TERESITA DE JESUS HERNANDEZ</t>
  </si>
  <si>
    <t>GREISY LORENA RODRIGUEZ MEDINA</t>
  </si>
  <si>
    <t>EXT18-00022966</t>
  </si>
  <si>
    <t>50 001 2331 004 2002 20437 01</t>
  </si>
  <si>
    <t>NO SE ENCUENTRA EN LOS ANEXOS
SE CONDENA SOLIDARIAMENTE A LA UNP Y AL MINTERIOR
OFI18-00016069 24/04/18 E</t>
  </si>
  <si>
    <t xml:space="preserve">JUZGADO SEGUNDO ADMINISTRATIVO DEL CIRCUITO DE VILLAVICENCIO </t>
  </si>
  <si>
    <t>TRIBUNAL ADMINISTRATIVO DE CALDAS SALA SEXTA DE DECISION</t>
  </si>
  <si>
    <t>MINDEFENSA, EJERCITO, POLICIA, MININTERIOR, DAS.</t>
  </si>
  <si>
    <t>MUERTE DE JAIRO ALFONSO NAVARRO TORO, MILITANTE DE LA UNION PATRIOTICA DEL DEPARTAMENTO DEL META</t>
  </si>
  <si>
    <t>14-08-2018
122242448-222653
NO FIGURAN</t>
  </si>
  <si>
    <t>ROBINSON MURCIA RODRIGUEZ</t>
  </si>
  <si>
    <t>EXT18-00022823</t>
  </si>
  <si>
    <t>EXT18-00052597</t>
  </si>
  <si>
    <t>EXT18-00061583</t>
  </si>
  <si>
    <t>41 001 3331 001 2011 00088 00</t>
  </si>
  <si>
    <t xml:space="preserve">EN EL ANEXO ES EL 187
SE DA RESPUESTA MEDIANTE OFI18-00011266 16/03/18 L
OFI18-00025578-25/06/2018-Decreto 1303-No. 187. N.
CORREO ELCTRÓNICO 11/07/18 L
</t>
  </si>
  <si>
    <t>JUZGADO PRIMERO ADMINISTRATIVO DE DESCONGESTION DEL CIRCUITO JUDICIAL DE NEIVA</t>
  </si>
  <si>
    <t>TRIBUNAL ADMINISTRATIVO DEL HUILA SALA QUINTA DE DECISION ESCRITURAL</t>
  </si>
  <si>
    <t>DIEGO ANDRES ACOSTA VELA</t>
  </si>
  <si>
    <t>EXT17-00085551</t>
  </si>
  <si>
    <t>EXT18-00022826</t>
  </si>
  <si>
    <t>EXT18-00031173</t>
  </si>
  <si>
    <t>EXT18-00095777</t>
  </si>
  <si>
    <t>41 001 3331 001 2012 00030 00</t>
  </si>
  <si>
    <t>NO SE ENCUENTRA EN LOS ANEXOS
SE DA RESPUESTA MEDIANTE OFI18-00012044 22/03/18 L. 
OFI18-00045082 10/10/18  L.</t>
  </si>
  <si>
    <t>JUZGADO QUINTO ADMINISTRATIVO DE DESCONGESTION DEL CIRCUITO JUDICIAL DE NEIVA</t>
  </si>
  <si>
    <t>MELQUICEDEC VELLOJIN ESPITIA</t>
  </si>
  <si>
    <t>EXT18-00023125</t>
  </si>
  <si>
    <t xml:space="preserve">RESPUESTA OFICIO </t>
  </si>
  <si>
    <t>EXT18-00014756</t>
  </si>
  <si>
    <t>EXT18-00033558</t>
  </si>
  <si>
    <t>05 001 3333 026 2013 00088 01</t>
  </si>
  <si>
    <t>NO SE ENCUENTRA EN LOS ANEXOS
SE DA RESPUESTA MEDIANTE OFI18-00009648 08/03/18 E OFI18-00011992 22/03/18 L</t>
  </si>
  <si>
    <t>JUZGADO VEINTISEIS ADMINISTRATIVO ORAL DEL CIRCUITO DE MEDELLIN</t>
  </si>
  <si>
    <t>TRIBUNAL ADMINISTRATIVO DE ANTIOQUIA SALA PRIMERA DE ORALIDAD</t>
  </si>
  <si>
    <t>LUZ AMANDA CIFUENTES RAMOS</t>
  </si>
  <si>
    <t>JUZGADO VEINTE ADMINISTRATIVO DE ORALIDAD DEL CIRCUITO DE BOGOTA SECCION SEGUNDA</t>
  </si>
  <si>
    <t>0258-18</t>
  </si>
  <si>
    <t>ROBERTO MAZO</t>
  </si>
  <si>
    <t>2017 00283</t>
  </si>
  <si>
    <t>JUZGADO CINCUENTA Y NUEVE ADMINISTRATIVO DEL CIRCUITO JUDICIAL DE BOGOTA SECCION TERCERA</t>
  </si>
  <si>
    <t>0259-18</t>
  </si>
  <si>
    <t xml:space="preserve">LUIS HERNANDO BELLO MOCETON </t>
  </si>
  <si>
    <t>JUZGADO VEINTIOCHO ADMINISTRATIVO DEL CIRCUITO JUDICIAL DE BOGOTA SECCION SEGUNDA</t>
  </si>
  <si>
    <t>15/01/2018
APROX.</t>
  </si>
  <si>
    <t>0294-18</t>
  </si>
  <si>
    <t>MIGUEL ANGEL ROBELTO RODRIGUEZ</t>
  </si>
  <si>
    <t>30/01/2018
APROX.</t>
  </si>
  <si>
    <t>0301-18</t>
  </si>
  <si>
    <t xml:space="preserve">INSTITUCIONAL  </t>
  </si>
  <si>
    <t>HECTOR RAUL CHAPETON RODRIGUEZ</t>
  </si>
  <si>
    <t>EXT18-00022025</t>
  </si>
  <si>
    <t>CORRECCION DE LA SENTENCIA</t>
  </si>
  <si>
    <t>EXT18-00027363</t>
  </si>
  <si>
    <t>COMUNICA CORRECCION DE SENTENCIA</t>
  </si>
  <si>
    <t>EXT18-00029624</t>
  </si>
  <si>
    <t>NOTIFICA CORRECCION</t>
  </si>
  <si>
    <t>11 001 3331 017 2011 00392 01</t>
  </si>
  <si>
    <t>CORRIGE SENTENCIA</t>
  </si>
  <si>
    <t>01/06/2003 - 31/01/2004</t>
  </si>
  <si>
    <t>01/03/2004 - 28/02/2005</t>
  </si>
  <si>
    <t>ES EL 143 EN EL ANEXO</t>
  </si>
  <si>
    <t>JUZGADO DIECISIETE ADMINISTRATIVO DE DESCONGESTION DEL CIRCUITO JUDICIAL DE BOGOTA</t>
  </si>
  <si>
    <t>17/04/2017</t>
  </si>
  <si>
    <t>ALFONSO CARRILLO SOCHA</t>
  </si>
  <si>
    <t>1407-17</t>
  </si>
  <si>
    <t>alfonso.carrillo@unp.gov.co
06-04-2018</t>
  </si>
  <si>
    <t>CARLOS EDUARDO GUARNIZO VANEGAS</t>
  </si>
  <si>
    <t>EXT18-00023544</t>
  </si>
  <si>
    <t>NOTIFICA SEGUNDA INSTANCIA</t>
  </si>
  <si>
    <t>EXT18-00032090</t>
  </si>
  <si>
    <t>EXT18-00032475</t>
  </si>
  <si>
    <t>11 001 3335 025 2014 00355 01</t>
  </si>
  <si>
    <t>JUZGADO VEINTICINCO ADMINISTRATIVO DE ORALIDAD DEL CIRCUITO JUDICIAL DE BOGOTA</t>
  </si>
  <si>
    <t>CARLOS ALBERTO GARCIA ULTENGO</t>
  </si>
  <si>
    <t>EXT18-00028035</t>
  </si>
  <si>
    <t>EXT18-00031328</t>
  </si>
  <si>
    <t>11 001 3335 021 2014 00214 01</t>
  </si>
  <si>
    <t>EN EL ANEXO ES EL 616</t>
  </si>
  <si>
    <t xml:space="preserve">JUZGADO VEINTIUNO ADMINISTRATIVO DE ORALIDAD DEL CIRCUITO JUDICIAL DE BOGOTA </t>
  </si>
  <si>
    <t>MARY LUZ RUDA CARDONA Y OTROS
(se eliminó por solo contar con primera instancia)
TOMAS PRECIADO RUDA
JUAN ESTEBAN PRECIADO PINTO
MARIA EDILMA VALENCIA HERRERA
ANA CRISTINA GRAJALES VALENCIA
OLGA LUCIA PRECIADO VALENCIA
ORLANDO PRECIADO VALENCIA
OSCAR PRECIADO VALENCIA
MARIO PRECIADO VALENCIA</t>
  </si>
  <si>
    <t>JAVIER LEONARDO LEMOS BERNAL</t>
  </si>
  <si>
    <t>EXT18-00029225</t>
  </si>
  <si>
    <t>EXT18-00060495</t>
  </si>
  <si>
    <t>11 001 3335 017 2014 00074 00</t>
  </si>
  <si>
    <t>10/06/2004 - 31/03/2011</t>
  </si>
  <si>
    <t>01/03/2006 - 27/02/2006</t>
  </si>
  <si>
    <t xml:space="preserve">NO SE ENCUENTRA EN LOS ANEXOS
SE DA RESPUESTA MEDIANTE OFI18-00015572 20/04/18 L
CORREO ELCTRÓNICO 11/07/18
</t>
  </si>
  <si>
    <t>JUZADO CINCUENTA Y CINCO ADMINISTRATIVO DEL CIRCUITO JUDICIAL DE BOGOTA SECCION SEGUNDA</t>
  </si>
  <si>
    <t>22/08/2018, 1-32-244-439-7379, NO DEUDA</t>
  </si>
  <si>
    <t>ROQUE ANTONIO AREVALO EBRATT</t>
  </si>
  <si>
    <t>EXT18-00029136</t>
  </si>
  <si>
    <t>EXT18-00053823</t>
  </si>
  <si>
    <t>08 001 2333 001 2013 00858 00</t>
  </si>
  <si>
    <t>TRIBUNAL ADMINISTRATIVO DEL ATLANTICO SALA DE ORALIDAD A</t>
  </si>
  <si>
    <t>22/08/2018, 102244439-00088, NO DEUDA</t>
  </si>
  <si>
    <t>UNION TEMPORAL PROTECCION 33</t>
  </si>
  <si>
    <t>900.578.872-1</t>
  </si>
  <si>
    <t>JESAEL ARMANDO GIRALDO MARTINEZ</t>
  </si>
  <si>
    <t>EXT18-00034725</t>
  </si>
  <si>
    <t>EXT18-00053992</t>
  </si>
  <si>
    <t>RESPUESTA OFI18-00018107</t>
  </si>
  <si>
    <t>EXT18-00071672</t>
  </si>
  <si>
    <t>DEVOLUCION HONORARIOS TRIBUNAL DE ARBITRAMENTO</t>
  </si>
  <si>
    <t xml:space="preserve">TRIBUNAL DE ARBITRAMIENTO </t>
  </si>
  <si>
    <t>_______REVISAR______16-04-2018,  RESOLUCION 632-002075</t>
  </si>
  <si>
    <t>EXT18-00033961</t>
  </si>
  <si>
    <t>COMUNICA SEGUNDA INSTANCIA</t>
  </si>
  <si>
    <t>COMUNICA EJECUTORIA SENTENCIA PRIMERA Y SEGUNDA INSTANCIA</t>
  </si>
  <si>
    <t>11 001 3335 009 2014 00323 01</t>
  </si>
  <si>
    <t>NO FIGURAN.</t>
  </si>
  <si>
    <t>MYRIAM VARGAS GARZON
(se eliminó por solo contar con primera instancia)</t>
  </si>
  <si>
    <t>ORGANIZACIÓN TERPEL S.A.</t>
  </si>
  <si>
    <t>CORREO ELECTRÓNICO</t>
  </si>
  <si>
    <t>APROBACION ACUERDO CONCILIATORIO</t>
  </si>
  <si>
    <t>EXT18-00045858</t>
  </si>
  <si>
    <t>JEIMMY MARCELA ROJAS LOPEZ (TERPEL S.A.)</t>
  </si>
  <si>
    <t>EXT18-00054415</t>
  </si>
  <si>
    <t>JEFE ZONAL</t>
  </si>
  <si>
    <t>11 001 3343 062 2018 00083 00</t>
  </si>
  <si>
    <t>COMUNICA APROBACION DE CONCILIACION</t>
  </si>
  <si>
    <t xml:space="preserve">CONCILIACION EXTRACONTRACTUAL - CONTROVERSIAS CONTRACTUALES
CORREO ELECTRONICO 25/06/18 L
</t>
  </si>
  <si>
    <t>JUZGADO SESENTA Y DOS ADMINISTRATIVO CIRCUITO JUDICIAL DE BOGOTA SECCION TERCERA</t>
  </si>
  <si>
    <t>17/08/2018, 1-31-201-244-7216, NO DEUDA</t>
  </si>
  <si>
    <t>JAVIER ERNESTO RODRIGUEZ MOLANO</t>
  </si>
  <si>
    <t>EXT18-00036652</t>
  </si>
  <si>
    <t>EXT18-00094080</t>
  </si>
  <si>
    <t>REMITE ESTADO.
AUTO QUE LIBRA MANDAMIENTO DE PAGO</t>
  </si>
  <si>
    <t>EXT18-00108869</t>
  </si>
  <si>
    <t>JUZGADO VEINTITRES ADMINISTRATIVO DEL CIRCUITO DE BOGOTA, SECCION SEGUNDA</t>
  </si>
  <si>
    <t>11 001 3335 023 2017 00158 00</t>
  </si>
  <si>
    <t>EXT18-00031370</t>
  </si>
  <si>
    <t>COMUNICA PRIMERA SEGUNDA INSTANCIA</t>
  </si>
  <si>
    <t>11 001 3335 027 2014 00257 00</t>
  </si>
  <si>
    <t>ANTONIO JESUS OCHOA GUEVARA</t>
  </si>
  <si>
    <t>EXT18-00031364</t>
  </si>
  <si>
    <t>05/06/2018 SE ENCUENTRA EL EXPENDIENTE FISICO EN UNP YL LIQUIDADO UNP
07/06/18 LTK
ENTREGADO POR LTK 26-06-2018</t>
  </si>
  <si>
    <t>11 001 3335 028 2014 00180 00</t>
  </si>
  <si>
    <t>TRIBUNAL ADMINISTRATIVO DE CUNDINAMARCA SECCION SEFUNDA SUBSECCION B</t>
  </si>
  <si>
    <t>MARIA NAYIBE HERRERA MONTAÑEZ</t>
  </si>
  <si>
    <t>EXT18-00008590</t>
  </si>
  <si>
    <t>EXT18-00011795</t>
  </si>
  <si>
    <t>18/05/18 LTK</t>
  </si>
  <si>
    <t>11 001 3335 017 2013 00570 01</t>
  </si>
  <si>
    <t>JUZGADO DIECISIETE ADMINISTRATIVO DE ORALIDAD DEL CIRCUITO JUDICIAL DE BOGOTA</t>
  </si>
  <si>
    <t>GILBERT ALEJANDRO RAMIREZ BARRETO</t>
  </si>
  <si>
    <t>SANDRA MILENA RAMIREZ BARRETO</t>
  </si>
  <si>
    <t>EXT18-00038019</t>
  </si>
  <si>
    <t>EXT18-00042016</t>
  </si>
  <si>
    <t>EXT18-00079478</t>
  </si>
  <si>
    <t>11 001 3335 023 2014 00702 01</t>
  </si>
  <si>
    <t>JUZGADO VEINTITRES ADMINISTRATIVO DEL CIRCUITO JUDICIAL DE BOGOTA</t>
  </si>
  <si>
    <t>TRIBUNAL ADMINISTRATIVO DE CUNDINAMARCA SUBSECCION D</t>
  </si>
  <si>
    <t>WILSON JOSE LINARES RODRIGUEZ</t>
  </si>
  <si>
    <t>EXT18-00006147</t>
  </si>
  <si>
    <t>11 001 3335 025 2012 00189 01</t>
  </si>
  <si>
    <t>EN EL ANEXO ES EL 108</t>
  </si>
  <si>
    <t>JUZGADO VEINTICINCO ADMINISTRATIVO DEJUDICIAL DE BOGOTA</t>
  </si>
  <si>
    <t>TRIBUNAL ADMIISTRATIVO DE CUNDINAMARCA SECCION SEGUNDA SUBSECCION F</t>
  </si>
  <si>
    <t>FRANCISCO JAVIER DIAZ VERDEZA</t>
  </si>
  <si>
    <t>JAVIER GUTIERREZ</t>
  </si>
  <si>
    <t xml:space="preserve">EXT18-00017904 </t>
  </si>
  <si>
    <t xml:space="preserve">SOLICITUD DE PAGO </t>
  </si>
  <si>
    <t>DAVID CORONADO MARTINEZ</t>
  </si>
  <si>
    <t>EXT18-00029142</t>
  </si>
  <si>
    <t>EXT18-00034144</t>
  </si>
  <si>
    <t>41 001 3331 001 2011 00068 00</t>
  </si>
  <si>
    <t>EN EL ANEXO ES EL 176
SE DA RESPUESTA MEDIANTE OFI18-00016519 26/04/18 E</t>
  </si>
  <si>
    <t>JUZGADO QUINTO ADMINISTRATIVO DE NEIVA</t>
  </si>
  <si>
    <t>TRIBUNAL CONTENCIOSO  ADMITIVO DE HUILA</t>
  </si>
  <si>
    <t>ALFONSO URIBE ARCHILA</t>
  </si>
  <si>
    <t>JUZGADO DECIMO ADMINISTRATIVO ORAL DEL CIRCUITO DE BARRANQUILLA</t>
  </si>
  <si>
    <t>14-11-2017
APROX.</t>
  </si>
  <si>
    <t>0509-18</t>
  </si>
  <si>
    <t>EXT18-00033567</t>
  </si>
  <si>
    <t>05 001 3333 026 2013 00093 00</t>
  </si>
  <si>
    <t>NO SE ENCUENTRA EN LOS ANEXOS
SE DA RESPUESTA MEDIANTE OFI18-00017832 07/05/18 L</t>
  </si>
  <si>
    <t>TRIBUNAL ADMIINISTRATIVO DE ANTIOQUIA SALA PRIMERA DE ORALIDAD</t>
  </si>
  <si>
    <t>CESAR SALAMANCA ALMEIDA</t>
  </si>
  <si>
    <t>EXT18-00034326</t>
  </si>
  <si>
    <t>EXT18-00046890</t>
  </si>
  <si>
    <t>68 001 2331 000 2011 00711 00</t>
  </si>
  <si>
    <t>ES EL 71  EN EL ANEXO
SE DA RESPUESTA MEDIANTE OFI18186 09/05/18 L OFI18-00021943 31/05/18 E</t>
  </si>
  <si>
    <t>CONSEJO DE ESTADO SALA DE LO CONTENCIOSO ADMINISTRATIVO SECCION SEUNDA SUBSECCION B</t>
  </si>
  <si>
    <t>EXT18-00042090</t>
  </si>
  <si>
    <t>EXT18-00045945</t>
  </si>
  <si>
    <t>EXT18-00064794</t>
  </si>
  <si>
    <t>EL JUZGADO VEINTITRES ADMINISTRATIVO DE MEDELLIN</t>
  </si>
  <si>
    <t>REMITE ESTADO- AUTO QUE APRUEBA LIQUIDACION DE COSTAS</t>
  </si>
  <si>
    <t>EXT18-00052108</t>
  </si>
  <si>
    <t>COMUNICA PROCESO EJECUTIVO SINGULAR</t>
  </si>
  <si>
    <t>05 001 3333 026 2013 00097 01</t>
  </si>
  <si>
    <t>NOTIFICA SENTENCIA DE SEEGUNDA INSTANCIA</t>
  </si>
  <si>
    <t xml:space="preserve">TRIBUNAL ADMINISTRATIVO DE ANTIOQUIA SALA PRIMERA DE DECISION </t>
  </si>
  <si>
    <t>05 001 4003 014 2008 01061 00</t>
  </si>
  <si>
    <t>DUVAN HERNANDO PALACIOS GUZMAN</t>
  </si>
  <si>
    <t>EXT18-00034142</t>
  </si>
  <si>
    <t>07/06/18 LTK
DEVUELTO POR LTK 26-06-2018 FALTAN DOCUMENTOS</t>
  </si>
  <si>
    <r>
      <t>41 001 3331 005</t>
    </r>
    <r>
      <rPr>
        <sz val="9"/>
        <color theme="1"/>
        <rFont val="Arial Narrow"/>
        <family val="2"/>
      </rPr>
      <t xml:space="preserve"> </t>
    </r>
    <r>
      <rPr>
        <sz val="9"/>
        <color rgb="FF000000"/>
        <rFont val="Arial Narrow"/>
        <family val="2"/>
      </rPr>
      <t>2011</t>
    </r>
    <r>
      <rPr>
        <sz val="9"/>
        <color theme="1"/>
        <rFont val="Arial Narrow"/>
        <family val="2"/>
      </rPr>
      <t xml:space="preserve"> </t>
    </r>
    <r>
      <rPr>
        <sz val="9"/>
        <color rgb="FF000000"/>
        <rFont val="Arial Narrow"/>
        <family val="2"/>
      </rPr>
      <t>00095 00</t>
    </r>
  </si>
  <si>
    <t xml:space="preserve">EQUIRENT S.A. </t>
  </si>
  <si>
    <t>EXT18-00020093</t>
  </si>
  <si>
    <t>DIRECTOR ADMINISTRATIVO EQUIRENT</t>
  </si>
  <si>
    <t>EXT18-00055938</t>
  </si>
  <si>
    <t>DIRECTOR EQUIRENT</t>
  </si>
  <si>
    <t>EXT18-00088348</t>
  </si>
  <si>
    <t>AUXILIAR DE COBRANZA EQUIRENT</t>
  </si>
  <si>
    <t>11 001 3337 040 2017 00286 00</t>
  </si>
  <si>
    <t>JUZGADO CUARENTA ADMINISTRATIVO CIRCUITO JUDICIAL BOGOTA SECCION CUARTA</t>
  </si>
  <si>
    <t>SAMUEL CASTRO MOJICA</t>
  </si>
  <si>
    <t>EXT18-00045308</t>
  </si>
  <si>
    <t>11 001 3335 030 2014 00212 01</t>
  </si>
  <si>
    <t>ES EL 726 EN EL ANEXO DE LA FISCALIA
LA ENTIDAD DEMANDADA ES LA ANDJE Y  MEDIANTE EL EXT18-00045308 21/05/18 EL TRIBUNAL ADMININISTRATIVO DE CUNDINAMARCA 01/03/18 EN SU NUMERAL TERCERO ORDENA A LA ANDJE  A RECONOCER Y RELIQUIDAR L
SE REMITE A LA ANDJE MEDIANTE OFI18-00021373 28/05/18 L</t>
  </si>
  <si>
    <t>TRIBUNAL ADMINISTRATIVO DE CUNDINAMARCA SECCION SEGUNDA  SUBSECCION B</t>
  </si>
  <si>
    <t>EXT18-00045593</t>
  </si>
  <si>
    <t>11 001 3335 026 2014 00393 01</t>
  </si>
  <si>
    <t>JUZGADO VEINTISEIS ADMINISTRATIVO DE ORALIDAD DEL CIRCUITO JUDICIAL DE BOGOTA SECCION SEGUNDA</t>
  </si>
  <si>
    <t>JUAN CARLOS JIMENEZ TRUJILLO</t>
  </si>
  <si>
    <t>EXT18-00022822</t>
  </si>
  <si>
    <t>41 001 3331 704 2012 00029 00</t>
  </si>
  <si>
    <t>NO SE ENCUENTRA EN EL ANEXO
SE DA RESPUESTA MEDIANTE OFI18-00011978 22/03/18 E</t>
  </si>
  <si>
    <t>JUZADO CUARTO ADMINISTRATIVO DE NEIVA</t>
  </si>
  <si>
    <t>TRIBUNAL ADMINISTRATIVO DE DESCONESTION SEDE BOGOTA</t>
  </si>
  <si>
    <t>DAIRO FERNANDO PEREZ MENDEZ</t>
  </si>
  <si>
    <t>EXT18-00004625</t>
  </si>
  <si>
    <t>EXT18-00040660</t>
  </si>
  <si>
    <t xml:space="preserve"> EXT18-00093513</t>
  </si>
  <si>
    <t>ALLEGA DOCUMENTOS Y COMPLETA SOLICITUD DE PAGO</t>
  </si>
  <si>
    <t>70 001 3331 003 2011 00493 00</t>
  </si>
  <si>
    <t>NO SE ENCUENTRA EN LOS ANEXOS
SE DA RESPUESTA MEDIANTE OFI18-00021644 29/05/18 L.
MEDIANTE OFI18-00043621 SE DA RESPUESTA AL  EXT18-00093513  F.</t>
  </si>
  <si>
    <t>JUZGADO TERCERO ADMINISTRATIVO DE DESCONGESTION DEL CIRCUITO DE SINCELEJO-SUCRE</t>
  </si>
  <si>
    <t>ROBER EDUARDO NAVARRO SUFRIÓ ACCIDENTE DE TRANSITO CON VEHICULO PROPIEDAD DEL MINTERIOR, EL CUAL LE OCASIONÓ "DEFORMIDAD FISICA QUE AFECTA EL CUERPO DE CARÁCTER PERMANENTE"</t>
  </si>
  <si>
    <t>DIEGO DUQUE SANCHEZ</t>
  </si>
  <si>
    <t>EXT18-00021307</t>
  </si>
  <si>
    <t>RELIQUIDACION  PENSIONAL</t>
  </si>
  <si>
    <t>73 001 3333 753 2014 00056 01</t>
  </si>
  <si>
    <t>NO SE ENCUENTRA EN LOS ANEXOS
MEDIANTE EL EXT18-00004625 19/01/18 SE ALLEGA LA ACLARECION DE SENTENCIA 28/08/15 PROFERIDA POR EL JUZGADO TERCERO ADMINISTRATIVO DE DESCONGESTION DEL CIRCUITO DE SINCELEJO-SUCRE L</t>
  </si>
  <si>
    <t>JUZGADO TERCERO ADMINISTRATIVO DE DESCONGESTION ORAL DE DESCONGESTION DEL CIRCUITO DE IBAGUE</t>
  </si>
  <si>
    <t>NRD-RELIQUIDACION PENSIONAL</t>
  </si>
  <si>
    <t>0359/18</t>
  </si>
  <si>
    <t>$ 65.845
(COLPENSIONES)</t>
  </si>
  <si>
    <t>76129818
(COLPENSIONES)</t>
  </si>
  <si>
    <t>22/03/2018
(COLPENSIONES)</t>
  </si>
  <si>
    <t xml:space="preserve">IFDURANS@COLPENSIONES.GOV.CO </t>
  </si>
  <si>
    <t>92.128.350
28.381.401</t>
  </si>
  <si>
    <t>LINDA CATHERINE ANGARITA CASTELLANOS</t>
  </si>
  <si>
    <t>EXT18-00045278</t>
  </si>
  <si>
    <t>EXT18-00071676</t>
  </si>
  <si>
    <t>SOCITUD DE PAGO</t>
  </si>
  <si>
    <t>EXT18-00082145</t>
  </si>
  <si>
    <t>FERNANDO CHAPARRO VALERO</t>
  </si>
  <si>
    <t>REMITE SOLICITUD</t>
  </si>
  <si>
    <t>EXT18-00065246</t>
  </si>
  <si>
    <t>EMBARGO ALIMENTOS</t>
  </si>
  <si>
    <t>68 001 2331 000 2003 00169 01</t>
  </si>
  <si>
    <t xml:space="preserve">CONSEJO DE ESTADO -  SALA DE LO CONTENCIOSO ADMINISTRATIVO </t>
  </si>
  <si>
    <t>DAS,MINTERIOR, FONADE</t>
  </si>
  <si>
    <t>JOSE ANTONIO ANDRADE BUENDIA</t>
  </si>
  <si>
    <t>EXT18-00045654</t>
  </si>
  <si>
    <t>41 001 3331 002 2011 00277 00</t>
  </si>
  <si>
    <t>EN EL ANEXO ES EL 173
SE DA RESPUESTA MEDIANTE OFI18-00023788 13/06/18 L</t>
  </si>
  <si>
    <t>EDGAR ANTONIO AGUDELO ZULUAGA</t>
  </si>
  <si>
    <t>EXT18-00044789</t>
  </si>
  <si>
    <t>NOTIFICA SENTENCIA SEGUNDA INSTANCIA</t>
  </si>
  <si>
    <t>EXT18-00045293</t>
  </si>
  <si>
    <t>EXT18-00049412</t>
  </si>
  <si>
    <t>COMUNICA SENTENCIAS DE PRIMERA, SEGUNDA INSTANCIA Y EJECUTORIA</t>
  </si>
  <si>
    <t>TRIBUNAL ADMINISTRATIVO DE CUNDINAMARCA SECCION SEGUNDA- ORAL</t>
  </si>
  <si>
    <t>11 001 3335 009 2014 00187 01</t>
  </si>
  <si>
    <t>ALLEGAN SENTENCIAS DE PRIMERA Y SEGUNDA INTANCIA Y EJECUTORIA</t>
  </si>
  <si>
    <t>NO SE ENCIENTRA EN LOS ANEXOS</t>
  </si>
  <si>
    <t>JUZGADO NOVENO ADMINISTRATIVO DEL CIRCUITO DE BOGOTA</t>
  </si>
  <si>
    <t>LUIS GUILLERMO POVEDA DELGADO
(se eliminó por solo contar con primera instancia)</t>
  </si>
  <si>
    <t>RODOLFO VARGAS LOPEZ
(se eliminó por solo contar con primera instancia)</t>
  </si>
  <si>
    <t>EDINSON RAFAEL VALDEZ SIMANCA</t>
  </si>
  <si>
    <t>JUZGADO CUARTO ADMINISTRATIVO ORAL DE VALLEDUPAR</t>
  </si>
  <si>
    <t>0705/18</t>
  </si>
  <si>
    <t>WILSON FANDIÑO SEPULVEDA</t>
  </si>
  <si>
    <t>2017 00278</t>
  </si>
  <si>
    <t>0681/18</t>
  </si>
  <si>
    <t>07-12-2017
APROX.</t>
  </si>
  <si>
    <t>0701/18</t>
  </si>
  <si>
    <t>EDWIN ARIEL GARZON BEJARANO</t>
  </si>
  <si>
    <t>JUZGADO TREINTA Y DOS ADMINISTRATIVO DEL CIRCUITO DE BOGOTA</t>
  </si>
  <si>
    <t>24/01/2018
APROX.</t>
  </si>
  <si>
    <t>0714/18</t>
  </si>
  <si>
    <t>SANTANDER AUGUSTO NEGRETE DIAZ</t>
  </si>
  <si>
    <t>JUZGADO VEINTINUEVE ADMINISTRATIVO ORAL DE BOGOTA-SECCION SEGUNDA</t>
  </si>
  <si>
    <t>0679/18</t>
  </si>
  <si>
    <t>RODOLFO HURTADO AMAYA</t>
  </si>
  <si>
    <t>JUZGADO TRECE ADMINISTRATIVO DE ORALIDAD DEL CIRCUITO JUDICIAL DE BOGOTA - SECCION SEGUNDA</t>
  </si>
  <si>
    <t>0725/18</t>
  </si>
  <si>
    <t>MIGUEL ANTONIO MARTINEZ MAHECHA</t>
  </si>
  <si>
    <t>2017 00256</t>
  </si>
  <si>
    <t>31/01/2018
APROX.</t>
  </si>
  <si>
    <t>0707/18</t>
  </si>
  <si>
    <t>JULIO CESAR CARRILLO SALAZAR</t>
  </si>
  <si>
    <t>15-12-2017
APROX.</t>
  </si>
  <si>
    <t>0716/18</t>
  </si>
  <si>
    <t>JOSE VICENTE FARFAN LEMUS</t>
  </si>
  <si>
    <t>0706/18</t>
  </si>
  <si>
    <t>JORGE IVAN MARIN LONDOÑO</t>
  </si>
  <si>
    <t>0717/18</t>
  </si>
  <si>
    <t>JORGE IGNACIO ROZO CAMELO</t>
  </si>
  <si>
    <t>JUZGADO VEINTITRES ADMINISTRATIVO DEL CIRCUITO  - SECCION SEGUNDA</t>
  </si>
  <si>
    <t>10-11-2017
APROX.</t>
  </si>
  <si>
    <t>0680/18</t>
  </si>
  <si>
    <t>JHON JAIRO MAYA ALZATE</t>
  </si>
  <si>
    <t>0713/18</t>
  </si>
  <si>
    <t>LUIS EMILIO RONCANCIO SALINAS</t>
  </si>
  <si>
    <t>0702/18</t>
  </si>
  <si>
    <t>JAVIER ROYA ARAQUE</t>
  </si>
  <si>
    <t>0709/18</t>
  </si>
  <si>
    <t>HOLMAN IVAN PULIDO GONZALEZ</t>
  </si>
  <si>
    <t>16/01/2018
APROX.</t>
  </si>
  <si>
    <t>0712/18</t>
  </si>
  <si>
    <t>EXEVER ALEXANDER ALVARADO PORTILLA</t>
  </si>
  <si>
    <t>11/12/2017
APROX.</t>
  </si>
  <si>
    <t>0703/18</t>
  </si>
  <si>
    <t>EDILBERTO RAFAEL DIAZ RODRIGUEZ</t>
  </si>
  <si>
    <t>JUZGADO PRIMERO ADMINISTRATIVO ORAL DEL CIRCUITO DE SANTA MARTA</t>
  </si>
  <si>
    <t>0715/18</t>
  </si>
  <si>
    <t>DIEGO FERNANDO RENGIFO GONZALEZ</t>
  </si>
  <si>
    <t>27-07-2017
APROX.</t>
  </si>
  <si>
    <t>0704/18</t>
  </si>
  <si>
    <t>YINSOR FERNEY SANCHEZ CAICEDO</t>
  </si>
  <si>
    <t>0700/18</t>
  </si>
  <si>
    <t>WILSON JAVIER DEVIA PEREZ</t>
  </si>
  <si>
    <t>CONCILIACION VIATICOS
$6.000  PAGADOS AL JUZGADO</t>
  </si>
  <si>
    <t>JUZGADO TREINTA Y DOS ADMINISTRATIVO DEL CIRCUITO DE BOGOTA - SECCION TERCERA</t>
  </si>
  <si>
    <t>0677/18</t>
  </si>
  <si>
    <t>JHON NILSON BLANCO JULIO</t>
  </si>
  <si>
    <t>EXT16-00094274</t>
  </si>
  <si>
    <t>JUZGADO CUARENTA Y DOS ADMINISTRATIVO DE BOGOTA</t>
  </si>
  <si>
    <t>NOTIFICA SENTENCIA PRIMERA INSTANCIA</t>
  </si>
  <si>
    <t>EXT18-00052182</t>
  </si>
  <si>
    <t>COMUNICACIÓN SENTENCIA SEGUNDA INSTANCIA</t>
  </si>
  <si>
    <t>EXT18-00068714</t>
  </si>
  <si>
    <t>EXT18-00068607</t>
  </si>
  <si>
    <t>COMUNICA SENTENCIA SEGUNDA INSTANCIA</t>
  </si>
  <si>
    <t>ES EL 46 EN EL ANEXO</t>
  </si>
  <si>
    <t>JUZGADO CUARENTA Y DOS  ADMINISTRATIVO DEL CIRCUITO DE BOGOTA</t>
  </si>
  <si>
    <t>TRIBUNAL ADMINISTRATIVO  DE CUNDINAMARCA SECCION SEGUNDA SUBSECCION B</t>
  </si>
  <si>
    <t>UNP</t>
  </si>
  <si>
    <t>YURI ALEXANDER RUEDA CARRASCAL</t>
  </si>
  <si>
    <t>JUZGADO DOCE ADMINISTRATIVO DE ORALIDAD DE BOGOTA - SECCION SEGUNDA</t>
  </si>
  <si>
    <t>11-12-2017
APROX.</t>
  </si>
  <si>
    <t>0678-18</t>
  </si>
  <si>
    <t>11 001 3336 037 2017 00265 00</t>
  </si>
  <si>
    <t>0726/18</t>
  </si>
  <si>
    <t>ramiro.gomez@unp.gov.co
17-07-2018</t>
  </si>
  <si>
    <t>ERIKA HASVEIDY ACOSTA MUÑOZ</t>
  </si>
  <si>
    <t>11 001 3343 058 2016 00521 00</t>
  </si>
  <si>
    <t>JUZGADO CINCUENTA Y OCHO ADMINISTRATIVO DEL CIRCUITO JUDICIAL DE BOGOTA</t>
  </si>
  <si>
    <t>15-01-2017
APROX.</t>
  </si>
  <si>
    <t>0735/18</t>
  </si>
  <si>
    <t>erika.acosta@unp.gov.co
17-07-2018</t>
  </si>
  <si>
    <t>LUIS CARLOS POVEDA FIGUEROA</t>
  </si>
  <si>
    <t>11 001 3343 064 2016 00539 00</t>
  </si>
  <si>
    <t>0736/18</t>
  </si>
  <si>
    <t>HELBERT EDISON CAMACHO SUAREZ</t>
  </si>
  <si>
    <t>11 001 3336 037 2017 00068 00</t>
  </si>
  <si>
    <t>29-03-2017
APROX.</t>
  </si>
  <si>
    <t>0739/18</t>
  </si>
  <si>
    <t>helbert.camacho@unp.gov.co
17-07-18</t>
  </si>
  <si>
    <t>JULIAN ANDRES VILLEGAS ECHEVERRI</t>
  </si>
  <si>
    <t>WALTER MALDONADO OSPINA</t>
  </si>
  <si>
    <t>EXT18-00056855</t>
  </si>
  <si>
    <t>EXT18-00067370</t>
  </si>
  <si>
    <t>APELACION SENTENCIA</t>
  </si>
  <si>
    <t>ENTREGADO POR LTK 25-07-2018</t>
  </si>
  <si>
    <t>66 001 2333 000 2014 00199 01</t>
  </si>
  <si>
    <t>SEGUNDA INSTANCIA</t>
  </si>
  <si>
    <t>CONSEJO DE ESTADO - SALA DE LO CONTENCIOSO ADMINISTRATIVO SECCION SEGUNDA - SUB SECCION A</t>
  </si>
  <si>
    <t>FABIAN ELIECER GAITAN ARIAS</t>
  </si>
  <si>
    <t>2017 0034</t>
  </si>
  <si>
    <t>JUZGADO TREINTA Y CINCO  DE ORALIDAD DEL CIRCUITO JUDICIAL DE BOGOTA - SECCION TERCERA</t>
  </si>
  <si>
    <t>0900-18</t>
  </si>
  <si>
    <t>JESUS MARIA SILVA GAITAN Y OTROS
ANA RUTH ANDRADE DE MONGUI
MERARITH LUCIA ANDRADE
NURY SILVA ANDRADE
DIEGO ANDRES SILVA MEJIA
LEYBI SILVA MEJIA
REINEL ANDRADE
JHON JAIRO SILVA MEJIA</t>
  </si>
  <si>
    <t>1.635.748
26.467.247
36.161.623
36.087.542
1.079.173.584
122.542.017
83.092.201</t>
  </si>
  <si>
    <t>SONIA MARINA CASTRO MORA</t>
  </si>
  <si>
    <t>EXT18-00052088</t>
  </si>
  <si>
    <t>TRASLADO POR COMPETENCIA - CUMPLIMIENTO DE SENTENCIA</t>
  </si>
  <si>
    <t>ENTREGADO POR LTK 04-09-2018</t>
  </si>
  <si>
    <t>41 001 2331 000 2004 01335 00</t>
  </si>
  <si>
    <t>OFI18-00025070 21/06/18</t>
  </si>
  <si>
    <t>JUZGADO SEGUNDO ADMINISTRATIVO DE DESCONGESTION DEL CIRCUITO JUDICIAL DE NEIVA</t>
  </si>
  <si>
    <t xml:space="preserve">TRIBUNAL CONTENCIOSO ADMINISTRATIVO DEL HUILA SALA SEGUNDA DE DECISION </t>
  </si>
  <si>
    <t>EDGAR ANDRES RAMIREZ ANDRADE</t>
  </si>
  <si>
    <t>EXT18-00058576</t>
  </si>
  <si>
    <t>EXT18-00076444</t>
  </si>
  <si>
    <t>73 001 3331 702 2012 00066 00</t>
  </si>
  <si>
    <t>EN EL ANEXO ES EL 209
OFI18-00026206 28/06/18
MEDIANTE OFI18-00036789 28/08/18 SE DA RESPUESTA A EXT18-00076444 L.</t>
  </si>
  <si>
    <t>JUZGADO TERCERO ADMINISTRATIVO DE DESCONGESTION ORAL DEL CIRCUITO DE ARMENIA</t>
  </si>
  <si>
    <t>NRD- CONTRATO REALIDAD</t>
  </si>
  <si>
    <t>MILTON CESAR RAMIREZ CUERO</t>
  </si>
  <si>
    <t>KRUPSCAIA ROHIMA STERLING SANCHEZ</t>
  </si>
  <si>
    <t>EXT18-00058588</t>
  </si>
  <si>
    <t>ENTREGADOS POR  LTK 04-09-2018</t>
  </si>
  <si>
    <t>76 001 3333 003 2012 00206 00</t>
  </si>
  <si>
    <t>JUZGADO TERCERO ADMINISTRATIVO ORAL DE CALI</t>
  </si>
  <si>
    <t>RAUL ANTONIO ARTEAGA OTERO</t>
  </si>
  <si>
    <t>EXT18-00051784</t>
  </si>
  <si>
    <t>EXT18-00022661</t>
  </si>
  <si>
    <t>76 001 3331 000 2011 01581 00</t>
  </si>
  <si>
    <t xml:space="preserve">EN EL ANEXO ES EL 305
OFI18-00011274 16/03/18 E
OFI18-00025358-22/06/2018-Decreto 1303-No. 305. N
</t>
  </si>
  <si>
    <t xml:space="preserve">TRIBUNAL ADMINISTRATIVO DEL VALLE DEL CAUCA </t>
  </si>
  <si>
    <t>GABRIEL RODRIGO PEREZ SUAREZ</t>
  </si>
  <si>
    <t>EXT18-00022819</t>
  </si>
  <si>
    <t>EXT18-00051884</t>
  </si>
  <si>
    <t>EXT18-00052602</t>
  </si>
  <si>
    <t>EXT18-00080512</t>
  </si>
  <si>
    <t>41 001 3331 002 2011 00115 00</t>
  </si>
  <si>
    <t>EN EL ANEXO ES EL 199
OFI18-00025346-22/06/2018-Decreto 1303-No. 199 N.
OFI18-00039204 10/09/18  L.</t>
  </si>
  <si>
    <t>JUZGADO QUINTO ADMINISTRATIVO DE DESCONGESTION DE DEL CIRCUITO JUDICIAL DE NEIVA</t>
  </si>
  <si>
    <t>TRIBUNAL ADMINISTRATIVO DEL HUILA - SALA SEXTA DE DECISION ESCRITURAL</t>
  </si>
  <si>
    <t>DAS en supresión, UNP sucesor procesal.
Condenada la UNP</t>
  </si>
  <si>
    <t>HERNAN DARIO PEREZ PEDRAZA</t>
  </si>
  <si>
    <t>EXT18-00057591</t>
  </si>
  <si>
    <t>EXT18-00071593</t>
  </si>
  <si>
    <t>SI-LTK-SOLO PRIMERA INSTANCIA</t>
  </si>
  <si>
    <t>11 001 3335 017 2013 00760 01</t>
  </si>
  <si>
    <t>JUZGADO DIECISIETE ADMINISTRATIVO ORAL DEL CIRCUITO DE BOGOTA</t>
  </si>
  <si>
    <t>LUIS ANTONIO FLOREZ MEJIA</t>
  </si>
  <si>
    <t>EXT14-00043823</t>
  </si>
  <si>
    <t>REQUERIMIENTO JUDICIAL</t>
  </si>
  <si>
    <t>EXT18-00055644</t>
  </si>
  <si>
    <t>TRIBUNAL ADMINISTRATIVO DE CUNDINAMARCA SECCION SEGUNDA - SUBSECCION F</t>
  </si>
  <si>
    <t>11 001 3331 711 2013 00008 00</t>
  </si>
  <si>
    <t>JUZGADO ONCE ADMINISTRATIVO DE DE DESCONGESTION DEL CIRCUITO JUDICIAL DE BOGOTA</t>
  </si>
  <si>
    <t>CESAR EUGENIO GARCIA CASTRO</t>
  </si>
  <si>
    <t>EXT15-00009907</t>
  </si>
  <si>
    <t>EL TRIBUNAL ADMINISTRATIVO DEL ATLANTICO</t>
  </si>
  <si>
    <t>EXT15-00057645</t>
  </si>
  <si>
    <t>EXT16-00016526</t>
  </si>
  <si>
    <t>CONSEJO DE ESTADO SALA DE LO CONTENCIOSO ADMINISTRATIVO SECCION SEGUNDA - SUBSECCION B</t>
  </si>
  <si>
    <t>ADMITE RECURSO DE APELACION</t>
  </si>
  <si>
    <t>EXT16-00038942</t>
  </si>
  <si>
    <t>NOTIFICA ACTUACION PROCESAL RAD 2013-00812-01</t>
  </si>
  <si>
    <t>EXT18-00064164</t>
  </si>
  <si>
    <t>EXT18-00077752</t>
  </si>
  <si>
    <t xml:space="preserve">08 001 2333 000 2013 00812 01 </t>
  </si>
  <si>
    <t>LEY 1437 de 2011</t>
  </si>
  <si>
    <t>YAIR JOSE GRANADOS PEREZ</t>
  </si>
  <si>
    <t xml:space="preserve">CESAR AUGUSTO TORRES ESPINEL </t>
  </si>
  <si>
    <t>EXT18-00063887</t>
  </si>
  <si>
    <t>11 001 3335 706 2014 00063 01</t>
  </si>
  <si>
    <t>JUZGADO SEXTO ADMINISTRATIVO DE DESCONGESTION DEL CIRCUITO JUDICIAL DE BOGOTA</t>
  </si>
  <si>
    <t>OMAR WILLIAM TRIVIÑO ABRIL</t>
  </si>
  <si>
    <t>EXT18-00061564</t>
  </si>
  <si>
    <t>EXT18-00082726</t>
  </si>
  <si>
    <t>76 001 3331 702 2011 00031 01</t>
  </si>
  <si>
    <t>ES EL 309 EN EL ANEXO
OFI18-00030205 24/07/18
OFI18-00039209 10/09/18  L.</t>
  </si>
  <si>
    <t xml:space="preserve">JUZGADO SEGUNDO ADMINISTRATIVO DE DESCONGESTION DEL CIRCUITO DE CALI </t>
  </si>
  <si>
    <t>JORGE CAMILO BLANCHAR MARTINEZ</t>
  </si>
  <si>
    <t>EXT18-00070788</t>
  </si>
  <si>
    <t>JUZGADO CUARTO ADMINISTRATIVO ORAL DE SINCELEJO</t>
  </si>
  <si>
    <t>EDISSON OSWALDO GIL MURCIA</t>
  </si>
  <si>
    <t>EXT18-00071496</t>
  </si>
  <si>
    <t>EXT18-00071542</t>
  </si>
  <si>
    <t>NOTIFICA APELACION</t>
  </si>
  <si>
    <t>EXT18-00081446</t>
  </si>
  <si>
    <t>11 001 3335 023 2013 00386 01</t>
  </si>
  <si>
    <t>ES EL 471 EN EL ANEXO</t>
  </si>
  <si>
    <t>JUZGADO VEINTITRES ADMINISTRATIVO DEL CIRCUITO DE BOGOTÁ</t>
  </si>
  <si>
    <t>EDINSON LOZANO MARIN</t>
  </si>
  <si>
    <t>EXT18-00077804</t>
  </si>
  <si>
    <t>76 001 3333 003 2013 00175 00</t>
  </si>
  <si>
    <t>ES EL 261 EN EL ANEXO</t>
  </si>
  <si>
    <t>JUZGADO TERCERO ADMINISTRATIVO ORAL DEL CIRCUITO</t>
  </si>
  <si>
    <t>RODRIGO VERA BAUTISTA</t>
  </si>
  <si>
    <t>EXT18-00070156</t>
  </si>
  <si>
    <t>NOTIFICA ACTUACION PROCESAL</t>
  </si>
  <si>
    <t>EXT18-00077758</t>
  </si>
  <si>
    <t>68 001 2333 000 2012 00118 01</t>
  </si>
  <si>
    <t>CONSEJO DE ESTADO - SECCION SEGUNDA - SUBSECCION A.</t>
  </si>
  <si>
    <t>NELSON RAUL RODRIGUEZ HERNANDEZ</t>
  </si>
  <si>
    <t>EXT16-00090735</t>
  </si>
  <si>
    <t>EXT18-00079157</t>
  </si>
  <si>
    <t>EXT18-00084122</t>
  </si>
  <si>
    <t>CONSEJO DE ESTADO -SALA DE LO CONTENCIOSO - ADMINISTRATIVO SECCION SEGUNDA</t>
  </si>
  <si>
    <t>EXT18-00101658</t>
  </si>
  <si>
    <t>25 000 2342 000 2014 03844 01</t>
  </si>
  <si>
    <t>NO SE ENCUENTRA EN LOS ANEXOS
MEDIANTE OFI18-00046237 19/10/18 SE DIO RESPUESTA  AL EXT18-00101658  L.</t>
  </si>
  <si>
    <t>DAS /
Condenada la UNP</t>
  </si>
  <si>
    <t>EDISON EDUD VELEZ GUISAO</t>
  </si>
  <si>
    <t>EXT18-00035129</t>
  </si>
  <si>
    <t>EXT18-00043186</t>
  </si>
  <si>
    <t>ACLARACION SENTENCIA</t>
  </si>
  <si>
    <t>EXT18-00048388</t>
  </si>
  <si>
    <t>RESUELVE</t>
  </si>
  <si>
    <r>
      <t>05 001 3333 023 2014 00291 00</t>
    </r>
    <r>
      <rPr>
        <sz val="11"/>
        <color theme="1"/>
        <rFont val="Times New Roman"/>
        <family val="1"/>
      </rPr>
      <t xml:space="preserve"> </t>
    </r>
  </si>
  <si>
    <r>
      <t>TRASLADO POR COMPETENCIA MEDIANTE
OFI18-00035663</t>
    </r>
    <r>
      <rPr>
        <sz val="11"/>
        <color theme="1"/>
        <rFont val="Calibri"/>
        <family val="2"/>
        <scheme val="minor"/>
      </rPr>
      <t xml:space="preserve">. </t>
    </r>
    <r>
      <rPr>
        <sz val="9"/>
        <color theme="1"/>
        <rFont val="Calibri"/>
        <family val="2"/>
        <scheme val="minor"/>
      </rPr>
      <t xml:space="preserve"> 23-08-2018</t>
    </r>
  </si>
  <si>
    <t>TRIBUNA ADMINISTRATIVO DE ANTIOQUIA</t>
  </si>
  <si>
    <t>DAS en supresión, FISCALIA sucesor procesal</t>
  </si>
  <si>
    <t>CANDIDA ECHEVERRI HOYOS
(Se elimino por no tener documento allegado en la primera instancia)</t>
  </si>
  <si>
    <t>JHON ALEXANDER MONSALVE GOMEZ</t>
  </si>
  <si>
    <t>JUAN CARLOS RUIZ ROMERO</t>
  </si>
  <si>
    <t>EXT18-00069051</t>
  </si>
  <si>
    <t>EXT18-00078237</t>
  </si>
  <si>
    <t>68 001 2333 000 2013 00061 01</t>
  </si>
  <si>
    <t>ES EL 73 EN EL ANEXO</t>
  </si>
  <si>
    <t>TRIBUNAL ADMINISTRATIVO DE SANTANDER- ORAL</t>
  </si>
  <si>
    <t>CONSEJO DE ESTADO SALA CONTENCIOSO ADMINISTRATIVA SECCION SEGUNDA</t>
  </si>
  <si>
    <t>HENRY HERNANDEZ ABREO</t>
  </si>
  <si>
    <t>EXT18-00067364</t>
  </si>
  <si>
    <t>68 001 2333 000 2012 00249 01</t>
  </si>
  <si>
    <t>CONSEJO DE ESTADO SALA DE LO CONTENCIOSO ADMINISTRATIVO SECCION SEGUNDA - SUBSECCION A</t>
  </si>
  <si>
    <t>DAS en supresion,  UNP sucesor procesal</t>
  </si>
  <si>
    <t>ANGEL ALFREDO BARRERA GUERRA</t>
  </si>
  <si>
    <t>EXT18-00081150</t>
  </si>
  <si>
    <t>20 001 3333 003 2012 00162 01</t>
  </si>
  <si>
    <t>JUZGADO TERCERO ADMINISTRATIVO DEL CIRCUITO JUDICIAL DE VALLEDUPAR</t>
  </si>
  <si>
    <t xml:space="preserve">SAUL ERNESTO OSUNA GARZON
(Se eliminó por solo contar con primera instancia)
ADRIANA CALLE AGUILAR
DANIELA OSUNA CALLE
SOFIA ESPERANZA OSUNA GARZON
OSWALDO OSUNA GARZON 
ADRIANA OSUNA GARZON
AIDEE OSUNA GARZON
DIANA MARCELA OSUNA GARZON
OMAIRA OLANO BARRETO
EMERSON CARDOZA PALENCIA
OSCAR ANDRES CARDOZA OLANO
JUAN DAVID CARDOZA OLANO
ANA MILENA OLANO BARRETO
EISENOVER OLANO BARRETO
BLANCA LILIA BARRETO RINCON
ELISEO OLANO ARBOLEDA
JOHANY OLANO BARRETO
MARIA DIOSELINA LEON DE BERMUDEZ
DANIEL FELIPE NEME BERMUDEZ
JOSUE ROSELINO BERMUDEZ RODRIGUEZ
JOSUE HERNAN BERMUDEZ LEON
AYDA JOHANNA BERMUDEZ LEON
DAISSY YANIRA BERMUDEZ LEON
LEONARDO ALFONSO BERMUDEZ LEON
SANDRA SOFIA BERMUDEZ LEON
</t>
  </si>
  <si>
    <t>EXT18-00066198</t>
  </si>
  <si>
    <t>EXT18-00071552</t>
  </si>
  <si>
    <t>11 001 3335 008 2014 00113 01</t>
  </si>
  <si>
    <t>TRIBUNA ADMINISTRATIVO DE CUNDINAMARCA - SECCION SEGUNDA - SUBSECCION B</t>
  </si>
  <si>
    <t xml:space="preserve">DANIEL FERNANDO GOMEZ RIOS
(Se eliminó por estar en primera instancia) </t>
  </si>
  <si>
    <t>WILLINGTON RUEDA COBARIA</t>
  </si>
  <si>
    <t>EXT18-00082136</t>
  </si>
  <si>
    <t>EXT18-00092558</t>
  </si>
  <si>
    <t>REMITE ESTADO - RESUELVE RECURSO DE REPOSICION</t>
  </si>
  <si>
    <t>NOTIFICA ESTADO-  ORDENA DESARCHIVAR PROCESO PARA LIQUIDAR SENTENCIA</t>
  </si>
  <si>
    <t>11 001 3331 712 2010 00062 01</t>
  </si>
  <si>
    <t>AUTO QUE ORDENA REQUERIR A LA PARTE ACTORA PARA QUE ALLEGUE LA CONSTANCIA QUE PRESTE MERITO EJECUTIVO.</t>
  </si>
  <si>
    <t>11 001 3342 054 2018 00323 00</t>
  </si>
  <si>
    <t>EDUARDO OVIEDO LONDOÑO</t>
  </si>
  <si>
    <t>EXT18-00064128</t>
  </si>
  <si>
    <t>EXT18-00097085</t>
  </si>
  <si>
    <t>66 001 2331 000 2011 00074 01 (1163-2015)</t>
  </si>
  <si>
    <t>CONSEJO DE ESTADO  -  SALA DE LO CONTENCIOSO ADMINISTRATIVO-SECCION SEGUNDA-SUBCCION A.</t>
  </si>
  <si>
    <t>ALAIN ROLANDO QUIROGA MUÑOZ</t>
  </si>
  <si>
    <r>
      <t>79.962.864 </t>
    </r>
    <r>
      <rPr>
        <sz val="11"/>
        <color theme="1"/>
        <rFont val="Calibri"/>
        <family val="2"/>
        <scheme val="minor"/>
      </rPr>
      <t xml:space="preserve"> </t>
    </r>
  </si>
  <si>
    <t>EXT18-00071699</t>
  </si>
  <si>
    <t>11 001 3335 030 2014 00232 01</t>
  </si>
  <si>
    <t>JUZGADO TREINTA ADMINISTRATIVO ORAL DEL CIRCUITO DE BOGOTA- SECCION SEGUNDA</t>
  </si>
  <si>
    <t>TRIBUNAL ADMNISTRATIVO DE CUNDINAMARCA- SECCION SEGUNDA- SUBSECCION C.</t>
  </si>
  <si>
    <t>HOMERO ORDOÑEZ RICO</t>
  </si>
  <si>
    <t>CESAR MORENO ROA</t>
  </si>
  <si>
    <t>EXT18-00079783</t>
  </si>
  <si>
    <t>52 001 3333 008 2014 00099 00</t>
  </si>
  <si>
    <t>EN EL ANEXO ES EL 555</t>
  </si>
  <si>
    <t>JUZGADO OCTAVO ADMINISTRATIVO DEL CIRCUITO DE PASTO</t>
  </si>
  <si>
    <t>TRIBUNAL ADMINISTRATIVO DE NARIÑO- SALA MIXTA DE DECISION</t>
  </si>
  <si>
    <t>OMAR GONZALEZ MARTINEZ</t>
  </si>
  <si>
    <t>EXT18-00085647</t>
  </si>
  <si>
    <t>68 001 3333 011 2015 00220 01</t>
  </si>
  <si>
    <t>JUZGADO ONCE ADMINISTRATIVO ORAL DEL CIRCUITO JUDICIAL DE BUCARAMANGA</t>
  </si>
  <si>
    <t>TRIBUNA ADMINISTRATIVO DE SANTANDER</t>
  </si>
  <si>
    <t>GUSTAVO LOPEZ VACA</t>
  </si>
  <si>
    <t>EXT18-00087061</t>
  </si>
  <si>
    <t>EXT18-00094983</t>
  </si>
  <si>
    <t>11 001 3335 025 2015 00271 01</t>
  </si>
  <si>
    <t>JUZGADO VEINTICINCO ADMINISTRATIVO DEL CIRCUITO JUDICIAL DE BOGOTA</t>
  </si>
  <si>
    <t>TRIBUNAL ADMINISTRATIVO DE CUNDINAMARCA-  SECCION SEGUNDA- SEBSECCION E.</t>
  </si>
  <si>
    <t>CHARLES DE JESUS ECHEVERRY GONZALEZ</t>
  </si>
  <si>
    <t>EXT18-00082190</t>
  </si>
  <si>
    <t>76 001 2331 000 2012 00251 01</t>
  </si>
  <si>
    <t>EN EL ANEXO ES EL 313
OFI18-00039207 10/09/18  L.</t>
  </si>
  <si>
    <t>TRIBUNAL CONTECIOSO ADMINISTRATIVO DEL VALLE DEL CAUCA SALA DE DESCONGESTION</t>
  </si>
  <si>
    <t>NRD - CONTRATO REALIDAD</t>
  </si>
  <si>
    <t>RENATE ANDREA PRADO OTERO</t>
  </si>
  <si>
    <t>GUSTAVO ADOLFO ORTIZ</t>
  </si>
  <si>
    <t>EXT18-00083799</t>
  </si>
  <si>
    <r>
      <t xml:space="preserve">76 001 3331 </t>
    </r>
    <r>
      <rPr>
        <sz val="9"/>
        <color rgb="FFFF0000"/>
        <rFont val="Arial Narrow"/>
        <family val="2"/>
      </rPr>
      <t>707</t>
    </r>
    <r>
      <rPr>
        <sz val="9"/>
        <color theme="1"/>
        <rFont val="Arial Narrow"/>
        <family val="2"/>
      </rPr>
      <t xml:space="preserve"> 2010 00209 01</t>
    </r>
  </si>
  <si>
    <t>JUZGADO SEPTIMO ADMINISTRATIVO DE DESCONGESTION DEL CIRCUITO JUDICAL DE CALI</t>
  </si>
  <si>
    <t>NRD - LABORAL</t>
  </si>
  <si>
    <t>JUAN CARLOS MONROY ACOSTA</t>
  </si>
  <si>
    <t>EXT18-00089418</t>
  </si>
  <si>
    <t>05 001 3333 007 2013 00031 01</t>
  </si>
  <si>
    <t>EN EL ANEXO ES EL 440</t>
  </si>
  <si>
    <t>JUZGADO SEPTIMO DEL CIRCUITO DE MEDELLIN</t>
  </si>
  <si>
    <t>DAS en supresion, UNP sucesor procesal, MININTERIOR</t>
  </si>
  <si>
    <t>DAVID QUINTERO CORREA</t>
  </si>
  <si>
    <t>CARLOS ANDRES VIDAL ZAMORA</t>
  </si>
  <si>
    <t>EXT18-00090738</t>
  </si>
  <si>
    <t>EXT18-00101179</t>
  </si>
  <si>
    <t>41 001 2331 000 2012 00165 01</t>
  </si>
  <si>
    <t>EN EL ANEXO ES EL 174</t>
  </si>
  <si>
    <t>TRIBUNAL ADMINISTRATIVO DE DESCONGESTION DE BOGOTA</t>
  </si>
  <si>
    <t>CONSEJO DE ESTADO- SALA DE LO CONTENCIOSO ADMINISTRATIVO- SECCION SEGUNDA- SUBSECCION A.</t>
  </si>
  <si>
    <t>HENRY ALFONSO NIÑO ORTEGA</t>
  </si>
  <si>
    <t>EXT18-00090707</t>
  </si>
  <si>
    <t>EXT18-00093671</t>
  </si>
  <si>
    <t>68 001 2333 000 2013 00363 01</t>
  </si>
  <si>
    <t>EN EL ANEXO ES EL 60
OFI18-00043525 03/10/18  L.</t>
  </si>
  <si>
    <t>JULIO HERNANDO IZQUIERDO GUERRERO</t>
  </si>
  <si>
    <t>EXT18-00090771</t>
  </si>
  <si>
    <t>76 001 2331 000 2012 00203 01</t>
  </si>
  <si>
    <t>EN EL ANEXO ES EL 270</t>
  </si>
  <si>
    <t>FRANCISCO JAVIER CASTAÑO VILLAFAÑE</t>
  </si>
  <si>
    <t>CRISTOBAL CONSTAIN GONZALEZ</t>
  </si>
  <si>
    <t>EXT18-00090733</t>
  </si>
  <si>
    <t xml:space="preserve">76 001 2331 000 2011 01059 01 </t>
  </si>
  <si>
    <t>EN EL ANEXO ES EL 245</t>
  </si>
  <si>
    <t>JHON JAIRO GARCIA CRUZ</t>
  </si>
  <si>
    <t>76 001 2333 000 2012 00338 01</t>
  </si>
  <si>
    <r>
      <t>EN EL ANEXO ES EL 324, APARECE CON RADICADO  76001-23-33-00</t>
    </r>
    <r>
      <rPr>
        <b/>
        <sz val="11"/>
        <color rgb="FFFF0000"/>
        <rFont val="Arial Narrow"/>
        <family val="2"/>
      </rPr>
      <t>8</t>
    </r>
    <r>
      <rPr>
        <sz val="9"/>
        <color theme="1"/>
        <rFont val="Arial Narrow"/>
        <family val="2"/>
      </rPr>
      <t>-2012-00338-00</t>
    </r>
  </si>
  <si>
    <t>CARLOS CEPEDA SILVA</t>
  </si>
  <si>
    <t>EXT18-00092587</t>
  </si>
  <si>
    <t>EXT18-00097063</t>
  </si>
  <si>
    <t>REMITE MANDAMIENTO DE PAGO</t>
  </si>
  <si>
    <t>68 001 3331 001 2009 00293 00</t>
  </si>
  <si>
    <t>68 001 3333 003 2018 00179 00</t>
  </si>
  <si>
    <t>JOHN JAIRO ALZATE ARANGO</t>
  </si>
  <si>
    <t>EXT18-00097540</t>
  </si>
  <si>
    <t>08 001 2333 000 2014 00201 01</t>
  </si>
  <si>
    <t>OSCAR LEONARDO PARADA VARGAS</t>
  </si>
  <si>
    <t>EXT18-00042025</t>
  </si>
  <si>
    <t>54 001 3333 004 2013 00108 01</t>
  </si>
  <si>
    <t>EN EL ANEXO ES EL  45
MEDIANTE OFI18-00046149 19/10/18 SE DIO RESPUESTA AL EXT18-00098065  L.</t>
  </si>
  <si>
    <t>JUZGADO CUARTO ADMINISTRATIVO ORAL DEL CIRCUITO DE CUCUTA</t>
  </si>
  <si>
    <t>MARCO SERGIO GARCIA MONSALVE</t>
  </si>
  <si>
    <t xml:space="preserve">EXT18-00084901 </t>
  </si>
  <si>
    <t>EXT18-00091656</t>
  </si>
  <si>
    <t>SOLICITUD DE INFORMACION PAGO DE SENTENCIA</t>
  </si>
  <si>
    <t>EXT18-00093855</t>
  </si>
  <si>
    <t>EXT18-00097293</t>
  </si>
  <si>
    <t>11 001 3335 020 2014 00271 01</t>
  </si>
  <si>
    <t>NO SE ENCUENTRA EN LOS ANEXOS
MEDIANTE OFI18-00039029 SE DA RESPUESTA AL EXT18-00084901  F.
MEDIANTE OFI18-00042857 SE DA RESPUESTA A LOS EXT18-00091656;  EXT18-00093855; EXT18-00097293  F.</t>
  </si>
  <si>
    <t>JUZGADO CINCUENTA Y CINCO ADMINISTRATIVO DE DESCONGESTION DEL CIRCUITO JUDICIAL DE BOGOTA</t>
  </si>
  <si>
    <t>TRIBUNAL ADMINISTRATIVO DE CUNDINAMARCA-  SECCION SEGUNDA- SEBSECCION F.</t>
  </si>
  <si>
    <t>YUBERNEY TELLEZ GIRALDO</t>
  </si>
  <si>
    <t>EXT18-00099783</t>
  </si>
  <si>
    <t>EJECUTIVO LIBRA MANDAMIENTO DE EJECUCION</t>
  </si>
  <si>
    <t>EXT18-00104709</t>
  </si>
  <si>
    <t>11 001 3331 707 2010 00173 01</t>
  </si>
  <si>
    <t>JUZGADO SEPTIMO ADMINISTRATIVO DE DESCONGESTION DEL CIRCUITO JUDICAL DE BOGOTA</t>
  </si>
  <si>
    <t>TRIBUNAL ADMINISTRATIVO DE CUNDINAMARCA- SECCION SEGUNDA</t>
  </si>
  <si>
    <t>11 001 3342 051 2018 00310 00</t>
  </si>
  <si>
    <t>EXT18-00097070</t>
  </si>
  <si>
    <t>REMITE SENTENCIA SEGUNDA INSTANCIA</t>
  </si>
  <si>
    <t>25 000 2342 000 2012 00201 01</t>
  </si>
  <si>
    <t>EN EL ANEXO ES EL 103</t>
  </si>
  <si>
    <t>CONSEJO DE ESTADO- SECCION SEGUNDA</t>
  </si>
  <si>
    <t>RUBEN DARIO CRISTANCHO CASTILLO</t>
  </si>
  <si>
    <t>EXT18-00103349</t>
  </si>
  <si>
    <t>EXT18-00107581</t>
  </si>
  <si>
    <t>ENVIADOS A LTK 23-10-2018</t>
  </si>
  <si>
    <t>25 000 2342 000 2012 01137 01</t>
  </si>
  <si>
    <t>EN EL ANEXO ES EL 119</t>
  </si>
  <si>
    <t>ELKIN DANIEL WOLF MARQUEZ</t>
  </si>
  <si>
    <t>EXT18-00095973</t>
  </si>
  <si>
    <t>54 001 3331 703 2011 00011 00</t>
  </si>
  <si>
    <t>137 AGENCIA
EN SEGUNDA INSTANCIA CONDENAN A LA UNP COMO SUCESOR PROCESAL EXT18-000100129 25/09/18
OFI18-00045081 10/10/18</t>
  </si>
  <si>
    <t>JUZGADO TERCERO ADMINISTRATIVO DE DESCONGESTION DEL CIRCUITO DE CUCUTA</t>
  </si>
  <si>
    <t>EDGAR SAMIR PARDO CALLEJAS</t>
  </si>
  <si>
    <t>EXT18-00091175</t>
  </si>
  <si>
    <t>11 001 3335 024 2013 00139 00</t>
  </si>
  <si>
    <t>MEDIANTE OFI18-00043055 SE DA RESPUESTA AL EXT18-00091175  F.</t>
  </si>
  <si>
    <t>JUZGADO VEINTICUATRO ADMINISTRATIVO DEL CIRCUITO JUDICIAL DE BOGOTA- SECCION SEGUNDA</t>
  </si>
  <si>
    <t>JHON JAIRO MEDINA CABRERA</t>
  </si>
  <si>
    <t>EXT18-00057587</t>
  </si>
  <si>
    <t>EXT18-00098237</t>
  </si>
  <si>
    <r>
      <t xml:space="preserve">Doctor LUIS ADOLFO DIAZGRANADOS Q.
</t>
    </r>
    <r>
      <rPr>
        <b/>
        <sz val="9"/>
        <rFont val="Arial Narrow"/>
        <family val="2"/>
      </rPr>
      <t>Procurador Delegado para la Salud, la Protección Social y el Trabajo Decente</t>
    </r>
    <r>
      <rPr>
        <sz val="9"/>
        <rFont val="Arial Narrow"/>
        <family val="2"/>
      </rPr>
      <t xml:space="preserve">
</t>
    </r>
  </si>
  <si>
    <t>41 001 2333 000 2013 00350 00</t>
  </si>
  <si>
    <t>JOSE LIBARDO DIAZ BOHORQUEZ</t>
  </si>
  <si>
    <t>EXT18-00105562</t>
  </si>
  <si>
    <t>EXT18-00099900</t>
  </si>
  <si>
    <t>EXT18-00105078</t>
  </si>
  <si>
    <t xml:space="preserve">11 001 3335 021 2012 00150 01 </t>
  </si>
  <si>
    <t>EN EL ANEXO ES EL 127</t>
  </si>
  <si>
    <t>JUZGADO VEINTIUNO ADMINISTRATIVO DEL CIRCUITO DE BOGOTA- ORAL- SECCION SEGUNDA</t>
  </si>
  <si>
    <t>JUAN BERNARDO RUIZ HERNANDEZ</t>
  </si>
  <si>
    <t>EXT18-00111313</t>
  </si>
  <si>
    <t>05 001 3333 022 2014 00975 01</t>
  </si>
  <si>
    <t>EN EL ANEXO ES EL 28 DE CONCILIACIONES PREJUDICIALES  (REVISAR DETALLADAMENTE  LAS FECHAS LABORADAS)</t>
  </si>
  <si>
    <t>JUZGADO VEINTIDOS ADMINISTRATIVO DEL CIRCUITO DE MEDELLIN</t>
  </si>
  <si>
    <t xml:space="preserve">Fecha de Oficialización: </t>
  </si>
  <si>
    <t>Elaboró</t>
  </si>
  <si>
    <t>Revisó</t>
  </si>
  <si>
    <t xml:space="preserve">Oficializó: </t>
  </si>
  <si>
    <t>Nombre:</t>
  </si>
  <si>
    <t>Asesorías Integrales</t>
  </si>
  <si>
    <t xml:space="preserve">Nombre: </t>
  </si>
  <si>
    <t>Andrés Torres Aguilar</t>
  </si>
  <si>
    <t>Edgar Zamudio Pulido</t>
  </si>
  <si>
    <t xml:space="preserve">Cargo: </t>
  </si>
  <si>
    <t>Contrato N° 046 de 2018.</t>
  </si>
  <si>
    <t>Oficina Asesora Jurídica</t>
  </si>
  <si>
    <t>Jefe Oficina Asesora de Planeación e Información</t>
  </si>
  <si>
    <t>CODIGO DE COLORES</t>
  </si>
  <si>
    <t>DESCRIPCION</t>
  </si>
  <si>
    <t>PAGADO CON EJECUTIVO O POR RELIQUIDACION</t>
  </si>
  <si>
    <t>LIQUIDADO POR LTK</t>
  </si>
  <si>
    <t>LIQUIDADO POR NPA</t>
  </si>
  <si>
    <t>CON EMBARGO</t>
  </si>
  <si>
    <t>PERTENECEA OTRA ENTIDAD, TRASLADO POR COMPETENCIA</t>
  </si>
  <si>
    <t>OTROS</t>
  </si>
  <si>
    <t>LIQUIDADO POR UNP</t>
  </si>
  <si>
    <t>ELIMINADO POR SOLO CONTAR CON PRIMERA INSTANCIA</t>
  </si>
  <si>
    <t>ELIMINADO POR SOLO CONTAR CON PRIMERA INSTANCIA, TRASLADO POR COMPETENCIA</t>
  </si>
  <si>
    <t>FECHA DE RECIBO</t>
  </si>
  <si>
    <t>FECHA</t>
  </si>
  <si>
    <t>MES</t>
  </si>
  <si>
    <t>EXT</t>
  </si>
  <si>
    <t>REMITE</t>
  </si>
  <si>
    <t>EXT14-00041860</t>
  </si>
  <si>
    <t>EXT14-00042840</t>
  </si>
  <si>
    <t>NOTIFICA RENUNCIA DE APODERADA</t>
  </si>
  <si>
    <t>EXT14-00044284</t>
  </si>
  <si>
    <t>CUMPLIMIENTO</t>
  </si>
  <si>
    <t>EXT14-00043183</t>
  </si>
  <si>
    <t>EXT14-00045298</t>
  </si>
  <si>
    <t>EXT14-00045299</t>
  </si>
  <si>
    <t>EXT14-00047247</t>
  </si>
  <si>
    <t>EXT14-00048659</t>
  </si>
  <si>
    <t>EXT14-00048684</t>
  </si>
  <si>
    <t>EXT14-00049323</t>
  </si>
  <si>
    <t>EXT14-00049720</t>
  </si>
  <si>
    <t>EXT14-00053364</t>
  </si>
  <si>
    <t>EXT14-00056822</t>
  </si>
  <si>
    <t>EXT14-00056115</t>
  </si>
  <si>
    <t>EXT14-00057326</t>
  </si>
  <si>
    <t>EXT14-00059224</t>
  </si>
  <si>
    <t>EXT14-00059181</t>
  </si>
  <si>
    <t xml:space="preserve">DIAN </t>
  </si>
  <si>
    <t>PAGADA PERO SOLICITAN RELIQUIDAR</t>
  </si>
  <si>
    <t>EXT14-00067038</t>
  </si>
  <si>
    <t>EXT15-00000799</t>
  </si>
  <si>
    <t>EXT15-00003092</t>
  </si>
  <si>
    <t>TRASLADO AUTO</t>
  </si>
  <si>
    <t>EXT-1500004466</t>
  </si>
  <si>
    <t>EXT15-00005255</t>
  </si>
  <si>
    <t>EXT15-00005442</t>
  </si>
  <si>
    <t>EXT15-00005972</t>
  </si>
  <si>
    <t>AUTO ADMITE VDEMANDA</t>
  </si>
  <si>
    <t>EXT15-00006948</t>
  </si>
  <si>
    <t>EXT15-00007999</t>
  </si>
  <si>
    <t>VINCULACIÓN PROCESAL</t>
  </si>
  <si>
    <t>EXT15-00007995</t>
  </si>
  <si>
    <t>EXT15-00012327</t>
  </si>
  <si>
    <t>EXT15-00012809</t>
  </si>
  <si>
    <t>EXT15-00016101</t>
  </si>
  <si>
    <t>ENVIA COPIA DEMANDA</t>
  </si>
  <si>
    <t>EXT15-00017291</t>
  </si>
  <si>
    <t>EXT15-00031086</t>
  </si>
  <si>
    <t>EXT15-00018081</t>
  </si>
  <si>
    <t>EXT15-00020165</t>
  </si>
  <si>
    <t>EXT15-00031202</t>
  </si>
  <si>
    <t>COPIA DE LA DEMANDA</t>
  </si>
  <si>
    <t>EXT15-00031200</t>
  </si>
  <si>
    <t xml:space="preserve">COPIA DE AUTO
</t>
  </si>
  <si>
    <t xml:space="preserve">
EXT15-00036892
</t>
  </si>
  <si>
    <t>EXT15-00061406</t>
  </si>
  <si>
    <t>EXT15-00038027</t>
  </si>
  <si>
    <t>EXT15-00044525</t>
  </si>
  <si>
    <t>EXT15-00056358</t>
  </si>
  <si>
    <t>AUTO VINCULATORIO</t>
  </si>
  <si>
    <t>EXT15-00046000</t>
  </si>
  <si>
    <t>EXT15-00048797</t>
  </si>
  <si>
    <t>EXT15-00054113</t>
  </si>
  <si>
    <t>EXT15-00054337</t>
  </si>
  <si>
    <t>EXT15-00055051</t>
  </si>
  <si>
    <t>EXT15-00073983</t>
  </si>
  <si>
    <t>AVISO Y ESTADO</t>
  </si>
  <si>
    <t>EXT16-00003066</t>
  </si>
  <si>
    <t>EXT16-00005499</t>
  </si>
  <si>
    <t>EXT16-00006446</t>
  </si>
  <si>
    <t>EXT16-00009556</t>
  </si>
  <si>
    <t>SOLICITUD PAGO DE SENTENCIA</t>
  </si>
  <si>
    <t>EXT16-00011699</t>
  </si>
  <si>
    <t>PETICION PAGO DE SENTENCIA</t>
  </si>
  <si>
    <t>EXT16-00014230</t>
  </si>
  <si>
    <t>EXT16-00017632</t>
  </si>
  <si>
    <t>EXT16-00017824</t>
  </si>
  <si>
    <t>EXT16-00018980</t>
  </si>
  <si>
    <t>EXT16-00020826</t>
  </si>
  <si>
    <t>EXT16-00023312</t>
  </si>
  <si>
    <t>EXT16-00026738</t>
  </si>
  <si>
    <t>REMITE SOLICITUD PAGO DE SENTENCIA</t>
  </si>
  <si>
    <t>EXT16-00028184</t>
  </si>
  <si>
    <t>EXT16-00035250</t>
  </si>
  <si>
    <t>REMITE COPIA AUTO</t>
  </si>
  <si>
    <t>EXT16-00032979</t>
  </si>
  <si>
    <t xml:space="preserve">EXT16-00035291 </t>
  </si>
  <si>
    <t>EXT16-00035284</t>
  </si>
  <si>
    <t>EXT16-00040778</t>
  </si>
  <si>
    <t>EXT16-00041069</t>
  </si>
  <si>
    <t>EXT16-00045483</t>
  </si>
  <si>
    <t>NOTIFICA ION POR ESTADO</t>
  </si>
  <si>
    <t>EXT16-00045137</t>
  </si>
  <si>
    <t>EXT16-00045643</t>
  </si>
  <si>
    <t>EXT16-00052282</t>
  </si>
  <si>
    <t>EXT16-00052513</t>
  </si>
  <si>
    <t>EXT16-00054431</t>
  </si>
  <si>
    <t xml:space="preserve">MANDAMIENTO DE PAGO
</t>
  </si>
  <si>
    <t>EXT16-00056677</t>
  </si>
  <si>
    <t>EXT16-00059942</t>
  </si>
  <si>
    <t>EXT16-00060120 (EJECUTIVO)</t>
  </si>
  <si>
    <t>COPIA DE LA DEMANDA/AUTO ADMISORIO</t>
  </si>
  <si>
    <t>EXT16-00062165</t>
  </si>
  <si>
    <t>EXT16-00062600 (EJECUTIVO)</t>
  </si>
  <si>
    <t>AUTO LIBRA MANDAMIENTO</t>
  </si>
  <si>
    <t>EXT16-00066776</t>
  </si>
  <si>
    <t>EXT16-00075998</t>
  </si>
  <si>
    <t>EXT16-00075899 (EJECUTIVO)</t>
  </si>
  <si>
    <t>AUTO ORDENA SEGUIR EJECUCION</t>
  </si>
  <si>
    <t>EXT16-00076344</t>
  </si>
  <si>
    <t>EXT16-00077607</t>
  </si>
  <si>
    <t>EXT16-00078876</t>
  </si>
  <si>
    <t>EXT16-00085480</t>
  </si>
  <si>
    <t>EXT16-00087256</t>
  </si>
  <si>
    <t>NOTIFICA POR ESTADO</t>
  </si>
  <si>
    <t>EXT16-00088348</t>
  </si>
  <si>
    <t>EXT16-00089537</t>
  </si>
  <si>
    <t>EXT16-00090691 (EJECUTIVO)</t>
  </si>
  <si>
    <t>EXT16-00090730</t>
  </si>
  <si>
    <t>EXT16-00090791</t>
  </si>
  <si>
    <t>EXT16-00091708</t>
  </si>
  <si>
    <t>EXT16-00096178</t>
  </si>
  <si>
    <t>REMITE COPIA SENTENCIA</t>
  </si>
  <si>
    <t>EXT16-00096869</t>
  </si>
  <si>
    <t>EXT16-00097132  (EJECUTIVO)</t>
  </si>
  <si>
    <t>AUTO ADMISORIO/COPIA DEMANDA</t>
  </si>
  <si>
    <t>EXT16-00097346  (EJECUTIVO)</t>
  </si>
  <si>
    <t>EXT16-00098842</t>
  </si>
  <si>
    <t>EXT17-00007093</t>
  </si>
  <si>
    <t>COMUNICADO INICIAR TRAMITE OFICIOSO</t>
  </si>
  <si>
    <t>EXT17-00004543  (EJECUTIVO)</t>
  </si>
  <si>
    <t>ENVIA AUTO ADMISORIO/COPIA DEMANDA</t>
  </si>
  <si>
    <t>EXT17-00004555</t>
  </si>
  <si>
    <t>EXT17-00004910</t>
  </si>
  <si>
    <t>EXT17-00005389 (EJECUTIVO)</t>
  </si>
  <si>
    <t>EXT17-00005668 (EJECUTIVO)</t>
  </si>
  <si>
    <t>EXT17-00007948</t>
  </si>
  <si>
    <t>CUENTA  DE COBRO</t>
  </si>
  <si>
    <t>EXT17-00009505</t>
  </si>
  <si>
    <t>EXT17-00013561</t>
  </si>
  <si>
    <t>REMISION DE ESTADO</t>
  </si>
  <si>
    <t>EXT17-00014870</t>
  </si>
  <si>
    <t>EXT17-00014833</t>
  </si>
  <si>
    <t>REMISION DE PROVIDENCIA</t>
  </si>
  <si>
    <t>EXT17-00016316</t>
  </si>
  <si>
    <t>SOLICITUD ACTUACIONES REALIZADAS</t>
  </si>
  <si>
    <t>EXT17-00012401 CORREO ELECTRONICO</t>
  </si>
  <si>
    <t>EXT17-00018376</t>
  </si>
  <si>
    <t>EXT17-00020084</t>
  </si>
  <si>
    <t>EXT17-00019741</t>
  </si>
  <si>
    <t>EXT17-00021796</t>
  </si>
  <si>
    <t>EXT17-00022323</t>
  </si>
  <si>
    <t>EXT17-00022803</t>
  </si>
  <si>
    <t>EXT17-00022998</t>
  </si>
  <si>
    <t>EXT17-00028266</t>
  </si>
  <si>
    <t>EXT17-00028720</t>
  </si>
  <si>
    <t xml:space="preserve">CUMPLIMIENTO SENTENCIA </t>
  </si>
  <si>
    <t>EXT17-00028493</t>
  </si>
  <si>
    <t>EXT17-00028755</t>
  </si>
  <si>
    <t>EXT17-00029937</t>
  </si>
  <si>
    <t>SENTENCIA</t>
  </si>
  <si>
    <t>EXT17-00030430</t>
  </si>
  <si>
    <t>COMUNICADO PARA INICIAR TRAMITE DE PAGO</t>
  </si>
  <si>
    <t>EXT17-00030532</t>
  </si>
  <si>
    <t>EXT17-00031223</t>
  </si>
  <si>
    <t>EXT17-00032770</t>
  </si>
  <si>
    <t>NOTIFICACION POR ESTADO/AUTO</t>
  </si>
  <si>
    <t>EXT17-00033413</t>
  </si>
  <si>
    <t>EXT17-00033642</t>
  </si>
  <si>
    <t>EXT17-00036334</t>
  </si>
  <si>
    <t>EXT17-00036672</t>
  </si>
  <si>
    <t>REITERACION DE SOLICITUD DE PAGO</t>
  </si>
  <si>
    <t>EXT17-00037841</t>
  </si>
  <si>
    <t>EXT17-00038393</t>
  </si>
  <si>
    <t xml:space="preserve">AUTO LIBRA </t>
  </si>
  <si>
    <t>EXT17-00040652</t>
  </si>
  <si>
    <t>EXT17-00041785</t>
  </si>
  <si>
    <t>EXT17-00044147</t>
  </si>
  <si>
    <t>EXT17-00045023</t>
  </si>
  <si>
    <t>EXT17-00046885</t>
  </si>
  <si>
    <t xml:space="preserve">OFICIO  </t>
  </si>
  <si>
    <t>EXT17-00048733</t>
  </si>
  <si>
    <t>NAVARRO PEREZ &amp; S.A.S.</t>
  </si>
  <si>
    <t>EXT17-00050092</t>
  </si>
  <si>
    <t>EXT17-00050717</t>
  </si>
  <si>
    <t>CITACION AUDIENCIA INICIAL</t>
  </si>
  <si>
    <t xml:space="preserve">EXT17-00051078 </t>
  </si>
  <si>
    <t>EXT17-00051816</t>
  </si>
  <si>
    <t>REMITE AUTO DEMANDA EJECUTIVA</t>
  </si>
  <si>
    <t>EXT17-00055740</t>
  </si>
  <si>
    <t>ALLEGA PODERES ORIGINALES</t>
  </si>
  <si>
    <t>EXT17-00056042</t>
  </si>
  <si>
    <t>GLADIS YOLANDA COTES LAURENS</t>
  </si>
  <si>
    <t>EXT17-00056844</t>
  </si>
  <si>
    <t>EXT17-00057952</t>
  </si>
  <si>
    <t>CAMBIO DE DOMICILIO PROFESIONAL</t>
  </si>
  <si>
    <t>EXT17-00058862</t>
  </si>
  <si>
    <t>EXT17-00059331</t>
  </si>
  <si>
    <t>EXT17-00059677</t>
  </si>
  <si>
    <t>EXT17-00060303</t>
  </si>
  <si>
    <t>DERECHO DE PETICON</t>
  </si>
  <si>
    <t>EXT17-00061874</t>
  </si>
  <si>
    <t>FRANCISCO JAVIER RENGIFO SANCHEZ (BENEFICIARIO)</t>
  </si>
  <si>
    <t>EXT17-00062346</t>
  </si>
  <si>
    <t>EXT17-00061973</t>
  </si>
  <si>
    <t>EXT17-00063443</t>
  </si>
  <si>
    <t>EXT17-00063392</t>
  </si>
  <si>
    <t>EXT17-00064030</t>
  </si>
  <si>
    <t>EXT17-00064197</t>
  </si>
  <si>
    <t>EXT17-00068218</t>
  </si>
  <si>
    <t>DECLARA FALTA DE COMPETENCIA</t>
  </si>
  <si>
    <t>EXT17-00068424</t>
  </si>
  <si>
    <t>EXT17-00069334</t>
  </si>
  <si>
    <t>RATIFICACION 
SOLICITUD DE PAGO</t>
  </si>
  <si>
    <t>EXT17-00070481</t>
  </si>
  <si>
    <t>EXT17-00070518</t>
  </si>
  <si>
    <t>EXT17-00070822</t>
  </si>
  <si>
    <t>COBRO SENTENCIA JUDICIAL</t>
  </si>
  <si>
    <t>EXT17-00073616</t>
  </si>
  <si>
    <t>EXT17-00076115</t>
  </si>
  <si>
    <t>LIQUIDACIÓN</t>
  </si>
  <si>
    <t>EXT17-00076195</t>
  </si>
  <si>
    <t>EXT17-00077562</t>
  </si>
  <si>
    <t>EXT17-00078549</t>
  </si>
  <si>
    <t>EXT17-00079035</t>
  </si>
  <si>
    <t>EXT17-00082867</t>
  </si>
  <si>
    <t>SOLICITUD DE PAGO / RESPUESTA OFI17-00027507 02/08/17</t>
  </si>
  <si>
    <t>EXT17-00082881</t>
  </si>
  <si>
    <t>EXT17-00082893</t>
  </si>
  <si>
    <t>EXT17-00086732</t>
  </si>
  <si>
    <t>EXT17-00090394</t>
  </si>
  <si>
    <t>ALBA LILIANA BERRIO BECERRA</t>
  </si>
  <si>
    <t>EMBARGO</t>
  </si>
  <si>
    <t>EXT17-00091187</t>
  </si>
  <si>
    <t>EXT17-00092372</t>
  </si>
  <si>
    <t>EXT17-00092844</t>
  </si>
  <si>
    <t>ADICION DERECHO DE PETICION</t>
  </si>
  <si>
    <t>EXT17-00093834</t>
  </si>
  <si>
    <t>REITERACION OFI17-998-OAJ-1400</t>
  </si>
  <si>
    <t>EXT17-00022951</t>
  </si>
  <si>
    <t>EXT17-00093819</t>
  </si>
  <si>
    <t>EXT17-00093824</t>
  </si>
  <si>
    <t>EXT17-00096148</t>
  </si>
  <si>
    <t>EXT17-00099431</t>
  </si>
  <si>
    <t>RATIFICACION SOLICITUD DE CUMPLIMIENTO DE SENTENCIA</t>
  </si>
  <si>
    <t>EXT17-00100838</t>
  </si>
  <si>
    <t>EXT17-00102050</t>
  </si>
  <si>
    <t>COMUNICA PAGO DE SENTENCIA</t>
  </si>
  <si>
    <t>EXT18-00001454 - 1426</t>
  </si>
  <si>
    <t>EXT18-00003555</t>
  </si>
  <si>
    <t>INFORMA CAMBIO DE CUNETA BANCARIA</t>
  </si>
  <si>
    <t>EXT18-00004404</t>
  </si>
  <si>
    <t>DERECHO  DE PETICION</t>
  </si>
  <si>
    <t>AUTO REQUIERE INFORMACION</t>
  </si>
  <si>
    <t>EXT18-00005241</t>
  </si>
  <si>
    <t>EXT18-00003077</t>
  </si>
  <si>
    <t>EXT18-00006241</t>
  </si>
  <si>
    <t>EXT18-00006889</t>
  </si>
  <si>
    <t>ABOGAD</t>
  </si>
  <si>
    <t xml:space="preserve">ALLEGA CERTIFICACION BANCARIA ACTUALIZADA  </t>
  </si>
  <si>
    <t>EXT18-00007037</t>
  </si>
  <si>
    <t>EXT18-00009594</t>
  </si>
  <si>
    <t>EXT18-00009289</t>
  </si>
  <si>
    <t>EXT18-00011094</t>
  </si>
  <si>
    <t>EXT18-00012598</t>
  </si>
  <si>
    <t>EXT18-00013153</t>
  </si>
  <si>
    <t>EXT18-00013787</t>
  </si>
  <si>
    <t>TRASLADO POR COMPETENCIA DERECHO DE PETICION</t>
  </si>
  <si>
    <t>EXT18-00014058</t>
  </si>
  <si>
    <t>EXT18-00009652</t>
  </si>
  <si>
    <t>EXT18-00016034</t>
  </si>
  <si>
    <t xml:space="preserve">RATIFICA SOLICITUD DE CUMPLIMIENTO </t>
  </si>
  <si>
    <t>EXT18-00017361</t>
  </si>
  <si>
    <t>EXT18-00017757</t>
  </si>
  <si>
    <t>EXT18-00018852</t>
  </si>
  <si>
    <t>EXT18-00011265</t>
  </si>
  <si>
    <t>EXT18-00019343</t>
  </si>
  <si>
    <t>EXT18-00019415</t>
  </si>
  <si>
    <t>EXT18-00019926</t>
  </si>
  <si>
    <t>EXT18-00020416</t>
  </si>
  <si>
    <t>EXT18-00021188</t>
  </si>
  <si>
    <t>EXT18-00021513</t>
  </si>
  <si>
    <t>EXT18-00022086</t>
  </si>
  <si>
    <t>EXT18-00022175</t>
  </si>
  <si>
    <t>EXT18-00022866</t>
  </si>
  <si>
    <t>EXT18-00023252</t>
  </si>
  <si>
    <t xml:space="preserve">DERECHO DE PETICION
</t>
  </si>
  <si>
    <t>EXT18-00023273</t>
  </si>
  <si>
    <t>EXT18-00024458</t>
  </si>
  <si>
    <t>EXT18-00024856</t>
  </si>
  <si>
    <t>INFORMACION LIQUIDACION</t>
  </si>
  <si>
    <t>EXT18-00026092</t>
  </si>
  <si>
    <t>SOLICITUD SOPORTES DE PAGO</t>
  </si>
  <si>
    <t>EXT18-00028001</t>
  </si>
  <si>
    <t>RECURSO DE REPOSICION</t>
  </si>
  <si>
    <t>EXT18-00028909</t>
  </si>
  <si>
    <t>AUTO COMUNICA SUSPENSION PROCESOI EJECUTIVO</t>
  </si>
  <si>
    <t>EXT18-00028612</t>
  </si>
  <si>
    <t>EXT18-00028767</t>
  </si>
  <si>
    <t>EXT18-00029884</t>
  </si>
  <si>
    <t>EXT18-00030990</t>
  </si>
  <si>
    <t>EXT18-00033622</t>
  </si>
  <si>
    <t>EXT18-00034012</t>
  </si>
  <si>
    <t>EXT18-00034285</t>
  </si>
  <si>
    <t>EXT18-00035386</t>
  </si>
  <si>
    <t>EXT18-00035439</t>
  </si>
  <si>
    <t>EXT18-00035949</t>
  </si>
  <si>
    <t>EXT18-00036037</t>
  </si>
  <si>
    <t>EXT18-00036282</t>
  </si>
  <si>
    <t>EXT18-00036172</t>
  </si>
  <si>
    <t>SOLICITA COPIA RESOLUCION DE PAGO</t>
  </si>
  <si>
    <t xml:space="preserve">EXT18-00037054 </t>
  </si>
  <si>
    <t>EXT18-00036668</t>
  </si>
  <si>
    <t>AUTO SUSTANCIACION</t>
  </si>
  <si>
    <t>EXT18-00037539</t>
  </si>
  <si>
    <t>EXT18-00039527</t>
  </si>
  <si>
    <t>EXT18-00037274</t>
  </si>
  <si>
    <t>EXT18-00040493</t>
  </si>
  <si>
    <t>JUZGADO SEXTO ADMINISTRATIVO DEL CIRCUITO JUDICIAL DE MONTERIA</t>
  </si>
  <si>
    <t>REMITE ESTADO, DECLARA DESIERTO EL RECURSO.</t>
  </si>
  <si>
    <t>EXT18-00043807</t>
  </si>
  <si>
    <t>EXT18-00044493</t>
  </si>
  <si>
    <t xml:space="preserve">EXT18-00048157 </t>
  </si>
  <si>
    <t>EXT18-00045080</t>
  </si>
  <si>
    <t>EXT18-00045326</t>
  </si>
  <si>
    <t>COMUNICA ESTADO EJECUTIVO</t>
  </si>
  <si>
    <t>EXT18-00045208</t>
  </si>
  <si>
    <t>EXT18-00047686</t>
  </si>
  <si>
    <t>RESPUESTA A  SOLICITUD</t>
  </si>
  <si>
    <t>EXT18-00047551</t>
  </si>
  <si>
    <t>EXT18-00047144</t>
  </si>
  <si>
    <t>EXT18-00047731</t>
  </si>
  <si>
    <t>CONSULTA DE FECHA Y TURNO DE PAGO</t>
  </si>
  <si>
    <t>EXT18-00048195</t>
  </si>
  <si>
    <t>EXT18-00028157</t>
  </si>
  <si>
    <t>EXT18-00048594</t>
  </si>
  <si>
    <t>ALLEGA PODER Y PAZ Y SALVO</t>
  </si>
  <si>
    <t>EXT18-00050193</t>
  </si>
  <si>
    <t>EXT18-00050243</t>
  </si>
  <si>
    <t>EXT18-00050488</t>
  </si>
  <si>
    <t>SOLICITUD PAGO INTERESES DE CESANTIAS, IMPRENTA NACIONAL Y RIESGOS LABORALES</t>
  </si>
  <si>
    <t>REMITE COMUNICACIÓN ESTADO</t>
  </si>
  <si>
    <t>EXT18-00052492</t>
  </si>
  <si>
    <t>INFORMA TERMINACION DEL  PROCESO POR PAGO</t>
  </si>
  <si>
    <t>EXT18-00053647</t>
  </si>
  <si>
    <t>MINISTERIO DE HACIENDA</t>
  </si>
  <si>
    <t>OFICIO RATIFICA INFORMACION OFI18-00011264 Y OFI18-00020802</t>
  </si>
  <si>
    <t>EXT18-00054497</t>
  </si>
  <si>
    <t>EXT18-00056851</t>
  </si>
  <si>
    <t>AUTO REQUIERE INFORME DEPOSITO JUDICIAL</t>
  </si>
  <si>
    <t>EXT18-00058676</t>
  </si>
  <si>
    <t>EXT18-00059101</t>
  </si>
  <si>
    <t>REMITE EJECUTIVO</t>
  </si>
  <si>
    <t>EXT18-00058990</t>
  </si>
  <si>
    <t>EXT18-00060492</t>
  </si>
  <si>
    <t xml:space="preserve">DEVUELVE COMUNICACIÓN
</t>
  </si>
  <si>
    <t>EXT18-00060564</t>
  </si>
  <si>
    <t>DEVUELVE COMUNICACIÓN</t>
  </si>
  <si>
    <t>EXT18-00060880</t>
  </si>
  <si>
    <t>EXT18-00060814</t>
  </si>
  <si>
    <t>EXT18-00062424</t>
  </si>
  <si>
    <t>EXT18-00062796</t>
  </si>
  <si>
    <t>EXT18-00063750</t>
  </si>
  <si>
    <t>EXT18-00064776</t>
  </si>
  <si>
    <t>EXT18-00065716</t>
  </si>
  <si>
    <t>JUZGADO SEXTO ADMINISTRATIVO DE CALI</t>
  </si>
  <si>
    <t>EXT18-00065687</t>
  </si>
  <si>
    <t>EXT18-00067366</t>
  </si>
  <si>
    <t>JUZGADO PRIMERO ADMINISTRATIVO ORAL DEL CIRCUITO JUDICIAL DE NEIVA</t>
  </si>
  <si>
    <t>NOTIFICA REPROGRAMACION AUDIENCIA</t>
  </si>
  <si>
    <t>EXT18-00067616</t>
  </si>
  <si>
    <t>EXT18-00069144</t>
  </si>
  <si>
    <t>EXT18-00070905</t>
  </si>
  <si>
    <t>ROSAURA CORDOBA CACERES Y OTROS</t>
  </si>
  <si>
    <t>EXT18-00073787</t>
  </si>
  <si>
    <t>EXT18-00075749</t>
  </si>
  <si>
    <t>EXT18-00075822</t>
  </si>
  <si>
    <t>EXT18-00076122</t>
  </si>
  <si>
    <t>ABOGADA MARYORI MELEYSA MONTES MORA</t>
  </si>
  <si>
    <t>EXT18-00076385</t>
  </si>
  <si>
    <t>REANUDA EJECUTIVO</t>
  </si>
  <si>
    <t>EXT18-00076333</t>
  </si>
  <si>
    <t>EXT18-00076443</t>
  </si>
  <si>
    <t>EXT18-00076819</t>
  </si>
  <si>
    <t>EXT18-00078510</t>
  </si>
  <si>
    <t>EXT18-00079539</t>
  </si>
  <si>
    <t>FRANCISCO JAVIER RENGIFO SANCHEZ</t>
  </si>
  <si>
    <t>EXT18-00080143</t>
  </si>
  <si>
    <t>AUTO TERMINA PROCESO EJECUTIVO</t>
  </si>
  <si>
    <t>EXT18-00081903</t>
  </si>
  <si>
    <t>AUTO TERMINA PROCESO EJECUTIVO POR PAGO DE LA OBLIGACION</t>
  </si>
  <si>
    <t>EXT18-00082005</t>
  </si>
  <si>
    <t>SOLCITUD INFORMCACION ESTADO DE PAGO</t>
  </si>
  <si>
    <t>EXT18-00083866</t>
  </si>
  <si>
    <t>EXT18-00083662</t>
  </si>
  <si>
    <t>EXT18-00084961</t>
  </si>
  <si>
    <t xml:space="preserve">EXT18-00087474 </t>
  </si>
  <si>
    <t xml:space="preserve">EXT18-00087411 </t>
  </si>
  <si>
    <t>EXT18-00083804</t>
  </si>
  <si>
    <t>SOLICITUD DE COMPROBANTES DE PAGO</t>
  </si>
  <si>
    <t>EXT18-00088591</t>
  </si>
  <si>
    <t>ALLEGA CERTIFICADOS DE SEGURIDAD SOCIAL</t>
  </si>
  <si>
    <t>EXT18-00089034</t>
  </si>
  <si>
    <t>EXT18-00089901</t>
  </si>
  <si>
    <t>EXT18-00089459</t>
  </si>
  <si>
    <t>EXT18-00091386</t>
  </si>
  <si>
    <t>EXT18-00091794</t>
  </si>
  <si>
    <t>LUIS JOSE DURAN LOZANO</t>
  </si>
  <si>
    <t>EXT18-00092539</t>
  </si>
  <si>
    <t>RELIQUIDACION-SOLICITUD DE INFORMACION ESTADO DEL PAGO</t>
  </si>
  <si>
    <t xml:space="preserve">EXT18-00092878 </t>
  </si>
  <si>
    <t>EXT18-00093513</t>
  </si>
  <si>
    <t>EXT18-00093063</t>
  </si>
  <si>
    <t>EXT18-00093755</t>
  </si>
  <si>
    <t xml:space="preserve">EXT18-00094090 </t>
  </si>
  <si>
    <t>EXT18-00093991</t>
  </si>
  <si>
    <t>CORREO INFORMATIVO</t>
  </si>
  <si>
    <t>EXT18-00093850</t>
  </si>
  <si>
    <t>EXT18-00095746</t>
  </si>
  <si>
    <t>AUTO CONCEDE RECURSO DE APELACION</t>
  </si>
  <si>
    <t>EXT18-00094994</t>
  </si>
  <si>
    <t>EXT18-00095983</t>
  </si>
  <si>
    <t>EXT18-00095868</t>
  </si>
  <si>
    <t>EXT18-00097617</t>
  </si>
  <si>
    <t>ACUSA RECIBO RESPUESTA ENVIADA EN OFI1800041656</t>
  </si>
  <si>
    <t>REQUIERE GASTOS PROCESALES</t>
  </si>
  <si>
    <t>EXT18-00099705</t>
  </si>
  <si>
    <t>EXT18-00099767</t>
  </si>
  <si>
    <t>EXT18-00103764</t>
  </si>
  <si>
    <t>EXT18-00105192</t>
  </si>
  <si>
    <t>EXT18-00106580</t>
  </si>
  <si>
    <t>CONSEJO SUPERIOR DE LA JUDICATURA</t>
  </si>
  <si>
    <t>REMITE SENTENCIA-REMITE POR COMPETENCIA</t>
  </si>
  <si>
    <t>EXT18-00107773</t>
  </si>
  <si>
    <t>EXT18-00111210</t>
  </si>
  <si>
    <t>MIGRACION COLOMBIA</t>
  </si>
  <si>
    <t>REMITE RESPUESTA A OFI18-00045166</t>
  </si>
  <si>
    <t>EXT18-00111247</t>
  </si>
  <si>
    <t>EXT18-00110577</t>
  </si>
  <si>
    <t>DEFENSA CIVIL COLOMBIANA</t>
  </si>
  <si>
    <t>RESPUESTA A VINCULACION DE EXFUNCIONARIO DEL DAS</t>
  </si>
  <si>
    <t>31-10-2018
105201244-14-034
NO PRESENTA OBLIGACIONES</t>
  </si>
  <si>
    <t>31-10-2018
114242448-0240
NO POSEE OBLIGACIONES PENDIENTES</t>
  </si>
  <si>
    <t>01-11-2018
102244439-00115
NO PRESENTA DEUDAS</t>
  </si>
  <si>
    <t>JANER JOSE VILLARREAL DIAZ</t>
  </si>
  <si>
    <t>01-11-2018
102244439-00116
NO PRESENTA DEUDAS</t>
  </si>
  <si>
    <t>EXT18-00112311</t>
  </si>
  <si>
    <t>SEGUNDA INSTANCIA- NOTIFICA ACTUACION PROCESAL</t>
  </si>
  <si>
    <t>IVANEY GONZALEZ URREA</t>
  </si>
  <si>
    <t>DAS-UNP sucesor procesal</t>
  </si>
  <si>
    <t>25 000 2342 000 2012 00613 01</t>
  </si>
  <si>
    <t>EN EL ANEXO ES EL 8</t>
  </si>
  <si>
    <t>EXT18-00111113</t>
  </si>
  <si>
    <t>EXT18-00102822</t>
  </si>
  <si>
    <t>70 001 3333 001 2012 00026 01</t>
  </si>
  <si>
    <t>EXT18-00102948</t>
  </si>
  <si>
    <t>EXT18-00103828</t>
  </si>
  <si>
    <t>EXT18-00104914</t>
  </si>
  <si>
    <t>REITERACION CUMPLIMIENTO DE SENTENCIA</t>
  </si>
  <si>
    <t>EN EL ANEXO ES LA No. 359
/SE DA RESPUESTA MEDIANTE OFI17-00022948 28/06/17)A
OFI18-00047786 29/10/18  L.</t>
  </si>
  <si>
    <t>EN EL DECRETO ES E L 161
SE DA RESPUESTA EMDIANTE OFI18-00008480 01/03/18 E
OFI18-00048158 30/10/18  L.</t>
  </si>
  <si>
    <t>EXT18-00104915</t>
  </si>
  <si>
    <t>NO SE ENCUENTRA ENL OS ANEXOS
PENDIENTE / (08/08/2017 NULIDAD 
(RELACION LABORAL) COMPLETA SE 
ENTREGO A WILSON PARA LIQUIDAR) (SE DA RESPUESTA MEDIANTE OFI17-00010254 22/03/17 Y OFI17-00012736 07/04/17/ SE DA RESPUESTA MEDIANTE CORREO ELECTRONICO 12/06/17 /  29/06/17)A
OFI18-00048737 02/11/18  L.</t>
  </si>
  <si>
    <t>EXT18-00105506</t>
  </si>
  <si>
    <t>EXT18-00106289</t>
  </si>
  <si>
    <t>EN EL DECRETO ES EL 337 
FALTAN DOCUMENTOS ESTE CASO ES COMO LA DE JOSE EUTIMIO
SE DA RESPUESTA MEDIANTE  OFI18-00008729 02/03/18 E
JOSE DEL CARMEN FUENTES ESTA FALLECIDO
OFI18-00026144 28/06/18  L
CORREO ELCTRÓNICO 03/08/18  L.
MEDIANTE OFI18-00044580 09/10/18   SE DA RESPUESTA AL EXT18-00093991  L.
OFI18-00048734 02/11/18  L.</t>
  </si>
  <si>
    <t>EXT18-00101663</t>
  </si>
  <si>
    <t>EN EL ANEXO ES EL 130
RESPUESTA MEDIANTE OFI18-00046464  F.</t>
  </si>
  <si>
    <t xml:space="preserve"> EXT18-00098513 </t>
  </si>
  <si>
    <t>EN EL ANEXO ES LA 347
(SE DA RESPUESTA MEDIANTE OFI17-00026618 27/07/17 / SE DA RESPUESTA MEDIANTE CORREO ELECTRONICO 14/08/17)A
CORREO ELECTRÓNICO 26/06/18 L
OFI18-00048757 02/11/18  L.
RESPUESTA MEDIANTE (OFI18-00045842)  F.</t>
  </si>
  <si>
    <t>NO SE ENCUENTRA EN LOS ANEXOS
SE DA RESPUESTA MEDIANTE OFI18-00015574 20/04/18 L
CORREO ELECTRONICO 25/06/18 L
OFI18-00048757 02/11/18   L.
RESPUESTA MEDIANTE (OFI18-00045842)  F.</t>
  </si>
  <si>
    <t>NO SE ENCUENTRA EN LOS ANEXOS
OFI18-00048757 02/11/18  L.
RESPUESTA MEDIANTE (OFI18-00045842)  F.</t>
  </si>
  <si>
    <t xml:space="preserve"> EXT18-00098596 </t>
  </si>
  <si>
    <t>EN EL ANEXO ES EL 535
RESPUESTA MEDIANTE (OFI18-00045895)  F.</t>
  </si>
  <si>
    <t>JOSE ANTONIO GRACIA LEON</t>
  </si>
  <si>
    <t>EXT18-00099631</t>
  </si>
  <si>
    <t>EXT18-00099871</t>
  </si>
  <si>
    <t>EXT18-00100129</t>
  </si>
  <si>
    <t>EXT18-00100913</t>
  </si>
  <si>
    <t>NO SE ENCUENTRA EN LOS ANEXOS
SE DA RESPUESTA MEDIANTE OFI18-00014762 16/04/18 L
RESPUESTA MEDIANTE OFI18-00046409  F.</t>
  </si>
  <si>
    <t>EXT18-00050243
EXT18-00060814
EXT18-00076819
EXT18-00102029</t>
  </si>
  <si>
    <t>05/06/2018
05/07/2018
13/08/2018
08/10/2018</t>
  </si>
  <si>
    <t>jun-2018
jul-2018
ago-2018
oct-2018</t>
  </si>
  <si>
    <t>SOLICITUD DE PAGO
ALLEGA DOCUMENTOS
ALLEGA DOCUMENTOS
RESPUESTA A PETICION DE DOCUMENTOS</t>
  </si>
  <si>
    <t>NO SE ENCUENTRA EN LOS ANEXOS
OFI18-00025093-21/06/2018-Decreto 1303-No aparece base de datos
MEDIANTE OFI18-00037836 03/09/18 SE DA RESPUESTA AL EXT18-00076819  L. 
RESPUESTA MEDIANTE OFI18-00047447 F.</t>
  </si>
  <si>
    <t>JHON EDICSON MORENO QUINTERO</t>
  </si>
  <si>
    <t>EXT18-00102592</t>
  </si>
  <si>
    <t>RESPUESTA MEDIANTE OFI18-00047531</t>
  </si>
  <si>
    <t>EXT18-00102823</t>
  </si>
  <si>
    <t>ES EL 34 EN EL ANEXO
RESPUESTA MEDIANTE OFI18-00047651  F.</t>
  </si>
  <si>
    <t>EXT18-00064776
EXT18-00065687
EXT18-00075822
EXT18-00076385
EXT18-00083804
EXT18-00092637
EXT18-00103113</t>
  </si>
  <si>
    <t>BENEFICIARIO
BENEFICIARIO
JUZGADO
JUZGADO
BENEFICIARIO
BENEFICIARIO
BENEFICIARIO</t>
  </si>
  <si>
    <t>DERECHO DE PETICION
DERECHO DE PETICION
REMITE ESTADO
REANUDA EJECUTIVO
SOLICITUD DE COMPROBANTES DE PAGO
DERECHO DE PETICION
SOLICITUD INFORMACION ESTADO DE PAGO</t>
  </si>
  <si>
    <t>13/07/2018
16/07/2018
09-08-2018
10/08/2018
07/09/2018
10-10-2018</t>
  </si>
  <si>
    <t>jul-2018
jul-2018
ago-2018
ago-2018
sep-2018
oct-2018</t>
  </si>
  <si>
    <t>EXT18-00104364</t>
  </si>
  <si>
    <t>EN EL ANEXO ES LA 357 / (08/08/2017 
ASIGNADA A NATALIA URBANO
PENDIENTE RESOLUCION)
OJO: MEDIANTE AUTO DE FECHA 26/07/17 SE DECRETÓ EL EMBARGO Y RETENCION DE LAS SUMAS DE DINERO QUE RECIBA EL SEÑOR CARLOS ALBERTO VESCANCE CISNEROS. VER EXT17-00090394 17/11/17
SE DA RESPUESTA MEDIANTE OFI17-00013147 11/04/17 G OFI18-00011278 16/03/18 E OFI18-00015938 24/04/18 L OFI18-00014966 17/04/18 E
RESPUESTA MEDIANTE OFI18-00048400  F.</t>
  </si>
  <si>
    <t>NO APARECE IMPUESTA EN EL DECRETO PERO EL TRIBUNAL ORDENA A LA UNP QUE SE PAGUE Y DESVINCULA A LA AGENCIA SE ALLEGA SENTENCIA
CASO ESPECIAL NO IMPUESTA PERO ORDENADA POR EL TRIBUNAL
SE DA RESPUESTA MEDIENTE OFI17-00030635 24/08/17, OFI17-00011996 03/04/17 Y OFI17-00015516 08/05/17/ OFI17-00018575 25/05/17 A OFI18-00002628 22/01/18  A
CORREO ELECTRONICO 14/08/18 L.
RESPUESTA MEDIANTE OFI18-00048449  F.</t>
  </si>
  <si>
    <t>EN EL ANEXO ES LA No.155 
SE DA RESPUESTA MEDIANTE OFI18-00005171 08/02/18
RESPUESTA MEDIANTE OFI18-00048414  F.</t>
  </si>
  <si>
    <t>EXT18-00107155</t>
  </si>
  <si>
    <t>SOLICITUD INFORMACION FECHA DE PAGO</t>
  </si>
  <si>
    <t>EN EL ANEXO ES EL 456
CON DOCUMENTOS (456)
EL ABOGADO SOLICITA QUE SE LIQUIDE LA CONDENA TENIENDO EN CUENTA LA SOLICITUD DE PAGO DE CUMPLIMIENTO DE SENTENCIA
SE DA RESPUESTA MEDIANTE OFI18-00020477 23/05/18 E
OFI18-00027206-05/07/2018-Aclara porcentajes pago Credito Judicial 80% Poderdante-20% Apoderado-Decreto 1303-No. 456.  N.
RESPUESTA MEDIANTE OFI18-00048914   F.</t>
  </si>
  <si>
    <t xml:space="preserve">PLINIO CESAR BERNAL RAMIREZ Y OTROS
SANDRA MILENA BERNAL
</t>
  </si>
  <si>
    <t>PENDIENTE
37.397.600</t>
  </si>
  <si>
    <t>07-11-2018
1-11-244-439-2794
CON FIGURAN DEUDAS</t>
  </si>
  <si>
    <t xml:space="preserve">36.540.520
80.774.480
1.082.875.187
1.082.914.688
12.526.857
36.531.193
</t>
  </si>
  <si>
    <t xml:space="preserve">ANA BEATRIZ MOZO BOCANEGRA Y OTROS
FABIAN ENRIQUE COTES MOZO
JAVIER ERNESTO COTES MOZO
CARLOS BERNANDO COTES MOZO
RAFAEL COTES LAURENS (Q.E.P.D)
GLADIS YOLANDA COTES LAURENS </t>
  </si>
  <si>
    <t>07-11-2018
1-32-244-439-10418
NO PRESENTA DEUDA</t>
  </si>
  <si>
    <t>07-11-2018
1-32-244-439-10419
NO PRESENTA DEUDA</t>
  </si>
  <si>
    <t>07-11-2018
1-32-244-439-10426
NO PRESENTA DEUDA</t>
  </si>
  <si>
    <t>07-11-2018
1-32-244-439-10423
NO PRESENTA DEUDA</t>
  </si>
  <si>
    <t>07-11-2018
1-32-244-439-10422
NO PRESENTA DEUDA</t>
  </si>
  <si>
    <t>13-02-2018
1-32-244-439-936
NO FIGURAN.
07-11-2018
1-32-244-439-10425
NO PRESENTA DEUDA</t>
  </si>
  <si>
    <t>08-03-2018
1-32-244-439-1661
NO FIGURAN.
07-11-2018
1-32-244-439-10424
NO PRESENTA DEUDA</t>
  </si>
  <si>
    <t>07-11-2018
1-32-244-439-10431
NO PRESENTA DEUDA</t>
  </si>
  <si>
    <t>08-03-2018
1-32-244-439-1655
NO FIGURAN.
07-11-2018
1-32-244-439-10429
NO PRESENTA DEUDA</t>
  </si>
  <si>
    <t>08-03-2018
1-32-244-439-1653
NO FIGURAN.
07-11-2018
1-32-244-439-10428
NO PRESENTA DEUDA</t>
  </si>
  <si>
    <t>07-11-2018
1-32-244-439-10421
NO PRESENTA DEUDA</t>
  </si>
  <si>
    <t>07-11-2018
1-32-244-439-10420
NO PRESENTA DEUDA</t>
  </si>
  <si>
    <t>01-11-2018
1-09-242-448-6586
NO FIGURAN DEUDAS</t>
  </si>
  <si>
    <t>41 001 3331 001 2011 00120 01</t>
  </si>
  <si>
    <t>11-11-2018
01-04-242-448-09019
NO FIGURAN DEUDAS</t>
  </si>
  <si>
    <t>EXT18-00107383</t>
  </si>
  <si>
    <r>
      <t xml:space="preserve">PAGADA
SE DA RESPUESTA MEDIANTE OFI18-00048828 AL EXT18-00107383  Y.
</t>
    </r>
    <r>
      <rPr>
        <b/>
        <sz val="10"/>
        <rFont val="Calibri"/>
        <family val="2"/>
        <scheme val="minor"/>
      </rPr>
      <t/>
    </r>
  </si>
  <si>
    <t>EN EL DECRETO ES EL 279
(SE DA RESPUESTA MEDIANTE 0FI17-00031641 31/08/2017 Y OFI17-00031545 31/08/2017 )A
OFI18-00024100 15/06/18 L
SE DIO RESPUESTA MEDIANTE OFI18-00049058 AL EXT18-108254  Y.</t>
  </si>
  <si>
    <t>EXT18-00111636</t>
  </si>
  <si>
    <t>SE ENCUENTRA EN EL ARCHIVO DE INVENTARIO UNICO DOCUMENTAL DE FECHA 18 DE DIC. DE 2014 (CARPETA LIQUID. SENTENCIA JUDICIAL  UBICADO EN EL No. 39 Y 39 ) CAJA 4
SE DA RESPUESTA MEDIANTE OFI18-00010796 14/03/18 L
SE LE PAGO AL MINISTERIO DE HACIENDA Y CREDITO PUBLICO.
OFI18-00027129 05/07/18
MEDIANTE OFI18-00049732 SE  PRESENTAN EXCEPCIONES CONTRA EL MANDAMIENTO DE PAGO No. 001 DEL 28-09-2018</t>
  </si>
  <si>
    <t>09-11-2018
100224333-2013
NO SE ENCONTRO REGISTRO</t>
  </si>
  <si>
    <t>RESUELVE TERMINACION DEL PROCESO POR PAGO</t>
  </si>
  <si>
    <t>NOVIEMBRE</t>
  </si>
  <si>
    <t>BELLY ANACONA URRUTIA 
CRISTIAN MANUEL ARTUNDUAGA ANACONA
EDGAR HUMBERTO ARTUNDUAGA ANACONA
JOHN ALEXANDER ARTUNDUAGA ANACONA
CLAUDIA JANETH ARTUNDUAGA ARGOTE
ANA BELISA NOGUERA DE ARTUNDUAGA
MARTHA CECILIA  ARTUNDUAGA NOGUERA
MANUEL ANTONIO ARTUNDUAGA NOGUERA
JORGE ARMANDO ARTUNDUAGA NOGUERA
CARLOS ANTONIO ARTUNDUAGA NOGUERA</t>
  </si>
  <si>
    <t>26.567.055
1.082.773.561
1.082.775.007
55.184.111
26.563.650
26.566.729
80.489.853
12.144.770
80.371.514</t>
  </si>
  <si>
    <t>16-02-2018
1-13-242-448-001700
NO FIGURAN.
(BELLY ANACONA URRUTIA)
16-02-2018,     09-11-2018
1-13-242-448-001701, 13-242448010910
NO FIGURAN,  NO FIGURAN.
(EDGAR HUMBERTO ARTUNDUAGA ANACONA)
13-02-2018
1-32-244-439-933
NO FIGURAN.
(MANUEL ANTONIO ARTUNDUAGA NOGUERA)
13-02-2018
1-32-244-439-934
NO FIGURAN.
(CARLOS ANTONIO ARTUNDUAGA NOGUERA)
29-10-2018
100224333-1978
NO SE ENCONTRO REGISTRO.
(JOHN ALEXANDER ARTUNDUAGA ANACONA)
29-10-2018
100224333-1978
NO SE ENCONTRO REGISTRO.
(CLAUDIA JANETH ARTUNDUAGA ARGOTE)
29-10-2018
100224333-1978
NO SE ENCONTRO REGISTRO.
(ANA BELISA NOGUERA DE ARTUNDUAGA)
29-10-2018
100224333-1978
NO SE ENCONTRO REGISTRO.
(MARTHA CECILIA ARTUNDUAGA NOGUERA)
29-10-2018
100224333-1978
NO SE ENCONTRO REGISTRO.
(JORGE ARMANDO ARTUNDUAGA NOGUERA)</t>
  </si>
  <si>
    <t>09-11-2018
01-13-242-448-010910
NO FIGURAN DEUDAS</t>
  </si>
  <si>
    <t>07-11-2018
1-32-244-439-10430
NO FIGURAN DEUDA</t>
  </si>
  <si>
    <t>09-11-2018
01-13-242-448-010928
NO FIGURAN DEUDAS</t>
  </si>
  <si>
    <t>09-11-2018
01-13-242-448-010929
NO FIGURAN DEUDAS</t>
  </si>
  <si>
    <t xml:space="preserve">09-11-2018,     13-242-448-010909
NO FIGURAN DEUDAS (LUIS F. ESCOBAR)
09-11-2018,    01-13-242-448-010910
NO FIGURAN DEUDAS (JOVITA ESCOBAR)
09-11-2018,    01-13-242-448-010911
NO FIGURAN DEUDAS (JULIA MARITZA ESCOBAR)
09-11-2018,   01-13-242-448-010922
NO FIGURAN DEUDAS (YINA JOSEFA ESCOBAR)
09-11-2018,   01-13-242-448-010924
NO FIGURAN DEUDAS (YONN FREDY ESCOBAR)
09-11-2018,    01-13-242-448-010923
NO FIGURAN DEUDAS (NELSON E. ESCOBAR)
09-11-2018,   01-13-242-448-010926
NO FIGURAN DEUDAS (NESTRO ESCOBAR  J.)
09-11-2018,   01-13-242-448-010926
NO FIGURAN DEUDAS (MARIA LUZ CEDEÑO D.E.)
</t>
  </si>
  <si>
    <t>EXT18-00107328</t>
  </si>
  <si>
    <t>EXT18-00108254</t>
  </si>
  <si>
    <t>EXT18-00109961</t>
  </si>
  <si>
    <t>SOLICITUD CUMPLIMIENTO DE RESOLUCION</t>
  </si>
  <si>
    <t>DEFENSA CIVIL</t>
  </si>
  <si>
    <t>EXT18-00111673</t>
  </si>
  <si>
    <t>CONTRALORIA</t>
  </si>
  <si>
    <t>EXT18-00114390</t>
  </si>
  <si>
    <t>FISCALIA</t>
  </si>
  <si>
    <t>EXT18-00114362</t>
  </si>
  <si>
    <t>11 001 3331 711 2012 00160 01
11 001 3335 024 2017 00323 00</t>
  </si>
  <si>
    <t>11 001 3331 023 2010 00117 00</t>
  </si>
  <si>
    <t>800.204.462-8</t>
  </si>
  <si>
    <t>EXT16-00039603</t>
  </si>
  <si>
    <t xml:space="preserve">BASE DE DATOS DE SOLICITUDES DE PAGO DE LIQUIDACIONES </t>
  </si>
  <si>
    <t>EXT18-00108432</t>
  </si>
  <si>
    <t>ANGIE DURAN LOZANO
07-11-2018,    1-32-244-439-10427
NO PRESENTA DEUDA
RUTH MARY LOZANO BUENDIA
11-11-2018,   01-04-242-448-09021
NO FIGURAN DEUDAS
RAUL DURAN LOZANO
11-11-2018,   01-04-242-448-09020
NO FIGURAN DEUDAS
ANDREA DURAN LOZANO
09-11-2018,   01-13-242-448-010928
NO FIGURAN DEUDAS
JOSE LUIS DURAN LOZANO
16-11-2018,   110242448-2606
NO POSEE DEUDAS</t>
  </si>
  <si>
    <t>16-11-2018
107242448-005387
NO FIGURAN DEUDAS</t>
  </si>
  <si>
    <t>EXT15-00009606</t>
  </si>
  <si>
    <t>16-11-2018
116242201-247
NO PRESENTA DEUDAS</t>
  </si>
  <si>
    <t>RICARDO SINISTERRA CASTRILLON</t>
  </si>
  <si>
    <t>FREDY DANIEL BASTIDAS ASSIAS</t>
  </si>
  <si>
    <t>EXT18-00109839</t>
  </si>
  <si>
    <t>DAS - UNP COMO SUCESOR PROCESAL</t>
  </si>
  <si>
    <t>JUZGADO QUINTO ADMINISTRATIVO MIXTO DE CIRCUITO DE MONTERIA</t>
  </si>
  <si>
    <t>23 001 3331 005 2016 00092 00</t>
  </si>
  <si>
    <t>WEIMAR ACERO BAREÑO</t>
  </si>
  <si>
    <t>EXT18-00107332</t>
  </si>
  <si>
    <t>NO SE ENCUENTRA EN LOS ANEXOS
MEDIANTE OFI18-00037027 29/08/18 SE DA RESPUESTA AL EXT18-00076840  L.
OFI18-00049778 09/11/18  L.</t>
  </si>
  <si>
    <t>RAUL CUELLO BARRIOS</t>
  </si>
  <si>
    <t>EXT14-00042409</t>
  </si>
  <si>
    <t xml:space="preserve">SOLICITUD </t>
  </si>
  <si>
    <t>EXT14-00043172</t>
  </si>
  <si>
    <t>EXT14-00042397</t>
  </si>
  <si>
    <t>EXT18-00027603</t>
  </si>
  <si>
    <t>EXT18-00034204</t>
  </si>
  <si>
    <t>EXT18-00053590</t>
  </si>
  <si>
    <t>70 001 3331 072 2012 00123 00</t>
  </si>
  <si>
    <t xml:space="preserve">JHON FREDY ZAMUDIO RAMIREZ
</t>
  </si>
  <si>
    <t>EN EL ANEXO ES EL 335
RESPUESTA MEDIANTE OFI18-00043806
INFORMATIVO 09/11/18  L.</t>
  </si>
  <si>
    <t>EXT18-00110720</t>
  </si>
  <si>
    <t xml:space="preserve">
NO SE ENCUENTRA EN LOS ANEXOS
MEDIANTE OFI18-00037775 SE DA RESPUESTA AL  EXT18-00083799  F.
OFI18-00050164 14/11/18  L.</t>
  </si>
  <si>
    <t>DAS- UNP sucesor procesal</t>
  </si>
  <si>
    <t>EXT18-00111319</t>
  </si>
  <si>
    <t>DEFENSORIA</t>
  </si>
  <si>
    <t xml:space="preserve"> MINISTERIO INTERIOR INFORMA QUE EN EL FALLO SE ORDENO QUE LA UNP PAGA
(CONSULTA 02-01-17 TODAVIA AL DESPACHO) / (08/08/2017 RD - COMPLETA, ENTREGADA A WILSON PARA LIQUIDAR)
OFI18-00050554 15/11/18 L.
CORREO ELECTRONICO 15/11/18  L.</t>
  </si>
  <si>
    <t>EXT18-00112028</t>
  </si>
  <si>
    <t>EN EL ANEXO ES EL 230
MEDIANTE OFI17-00038146 17/10/17 SE DA RESPUESTA AL EXT17-00077143
MEDIANTE OFI18-00047779 29/10/18 SE DA RESPUESTA AL EXT18-00103828, CORREO ELECTRONICO 31/10/18  L.
OFI18-00050495 15/11/18 
CORREO ELECTRONICO 15/11/18  L.</t>
  </si>
  <si>
    <t>EXT18-00109020</t>
  </si>
  <si>
    <t>NO ESTA EN EL ANEXO
OFI18-00049968 13/11/18 
CORREO ELECTRONICO 15/11/18  L.</t>
  </si>
  <si>
    <t>EXT18- 00112324</t>
  </si>
  <si>
    <t>EXT18-00112324</t>
  </si>
  <si>
    <t>SOLICITUD CUMPLIMIENTO DE FALLO</t>
  </si>
  <si>
    <t>EN EL ANEXO ES LA 283
SE DA RESPUESTA MEDIANTE OFI18-00018520 10/05/18 L OFI18-00022220 01/06/18 E
OFI18-00050323  LCM.</t>
  </si>
  <si>
    <t>JUAN PABLO VARELA DUARTE</t>
  </si>
  <si>
    <t>EN EL ANEXO ES LA 423 
SE REVOCA PODER
SEGUNDA INSTANCIA CONFIRMA
SE ADICIONA FALLO DEL TRIBUNAL CON FECHA 16 DE JULIO DE 2015
SE DA RESPUESTA MEDIANTE OFI18-00022220 01/06/18 E
OFI18-00040609 17/09/18 SE SOLICITA ACLARACION PARA EL PAGO  L.
RESPUESTA MEDIANTE OFI18-00046229  F.
OFI18-00050323  LCM.</t>
  </si>
  <si>
    <t>EN EL ANEXO ES EL 409 
EL RADICADO 1700133310022013-0016600
SE DA RESPUESTA MEDIANTE OFI17-00046452 14/12/17 L
OFI18-00030639 26/07/18
OFI18-00050323  LCM.</t>
  </si>
  <si>
    <t>EN EL ANEXO ES EL 288
MEDIANTE OFI18-00045675 17/10/18 SE DIO RESPUESTAL AL  EXT18-00097085.  
DE ACUERDO A LA LIQUIDACION REALIZADA NO SE LE DEBE DINERO.  L.
OFI18-00050323   LCM.</t>
  </si>
  <si>
    <t>ERNESTO SARRIA PLATA</t>
  </si>
  <si>
    <t xml:space="preserve">EXT18-00112871 </t>
  </si>
  <si>
    <t>SOLICITUD CUMPLIMIENTO DE CONCILIACION</t>
  </si>
  <si>
    <t>CONTROVERSIAS CONTRACTUALES
OFI18-00025591 25/06/18 L
OFI18-00023523
OFI18-00039104 10/09/18  L.
OFI18-00050449  LCM.</t>
  </si>
  <si>
    <t>EXT18-00114783</t>
  </si>
  <si>
    <t xml:space="preserve">NO SE ENCUENTRA EN LOS ANEXOS
OFI18-00050384  LCM.  </t>
  </si>
  <si>
    <t>EXT18-00115763</t>
  </si>
  <si>
    <t>EN EL ANEXO ES LA 558
OFI18-00050707   LCM.</t>
  </si>
  <si>
    <t>05 001 3333 005 2018 00247 00</t>
  </si>
  <si>
    <t>EXT15-00061406
EXT16-00076344</t>
  </si>
  <si>
    <t>2209/2016</t>
  </si>
  <si>
    <t>JAMINSON CUESTA PALACIO</t>
  </si>
  <si>
    <t xml:space="preserve">117319316
</t>
  </si>
  <si>
    <t>EXT18-00117619</t>
  </si>
  <si>
    <t>JOSE JUAN PABLO ORJUELA GUARNIZO</t>
  </si>
  <si>
    <t>EXT18-00108425</t>
  </si>
  <si>
    <t>DECRETA EMBARGO</t>
  </si>
  <si>
    <t>EXT18-00119172</t>
  </si>
  <si>
    <t>19/07/2016
16/11/2017
(COSTAS)</t>
  </si>
  <si>
    <t>23-11-2018
1-32-244-439-10922
NO PRESENTA DEUDA</t>
  </si>
  <si>
    <t>23-11-2018
1-32-244-439-10923
NO PRESENTA DEUDA</t>
  </si>
  <si>
    <t>23-11-2018
1-32-244-439-10923
NO PRESENTA DEUDAS</t>
  </si>
  <si>
    <t>23-11-2018
1-32-244-439-10924
NO PRESENTA DEUDA</t>
  </si>
  <si>
    <t>23-11-2018
1-32-244-439-10925
NO PRESENTA DEUDA</t>
  </si>
  <si>
    <t>23-11-2018  -  CARLOS BERNANDO COTES MOZO
1-32-244-439-10925
NO PRESENTA DEUDA</t>
  </si>
  <si>
    <t>BENEFICIARIO NO TIENE CUENTA BANCARIA EN COLOMBIA</t>
  </si>
  <si>
    <t>EXT18-00116019</t>
  </si>
  <si>
    <t>COMUNICA EJECUTORIA Y SENTENCIA DE PRIMERA Y SEGUNDA INSTANCIA</t>
  </si>
  <si>
    <t xml:space="preserve">EN EL ANEXO ES EL 548
MEDIANTE OFI18-00036874, SE DA RESPUESTA AL  EXT18-00071699
INFORMATIVO 16/11/18
</t>
  </si>
  <si>
    <t>EXT18-00114785</t>
  </si>
  <si>
    <t>ES EL 34 Y 217 EN EL ANEXO
OFI18-00051081 20/11/18  L.</t>
  </si>
  <si>
    <t>EXT18-00113981</t>
  </si>
  <si>
    <t>SOLICITA DEVOLUCION DE DOCUMENTOS</t>
  </si>
  <si>
    <t>PAGADA
OFI18-00051084 20/11/18  L.</t>
  </si>
  <si>
    <t>EXT18-00117399</t>
  </si>
  <si>
    <t>CONTESTACION DE REQUERIMIENTO</t>
  </si>
  <si>
    <t>EXT18-00117370</t>
  </si>
  <si>
    <t>DERECHO DE PETICION INCOMPLETO</t>
  </si>
  <si>
    <t>EN EL ANEXO ES LA 334
SE DA RESPUESTA MEDIANTE OFI17-00096738 14/12/17 L
OFI18-00051444 21/11/18  L.</t>
  </si>
  <si>
    <t>EXT18-00117090</t>
  </si>
  <si>
    <t>EXT18-00118594</t>
  </si>
  <si>
    <t>EN EL DECRETO ES EL 542 
SE ALLEGA DOCUMENTOS, SE DA RESPUESTA MEDIANTE OFI18-00010655 14/03/18 E.
OFI18-00051660 22/11/18   L.</t>
  </si>
  <si>
    <t>DAS - UNP SUCESORA PROCESAL</t>
  </si>
  <si>
    <r>
      <rPr>
        <b/>
        <sz val="9"/>
        <color rgb="FFFFFF00"/>
        <rFont val="Arial Narrow"/>
        <family val="2"/>
      </rPr>
      <t>OJO, TENIENDO EN CUENTA LO HABLADO CON EL SEÑOR MIGUEL DE CONTABILIDAD, AL MOMENTO DE PROYECTAR LA RESOLUCION DEBE INDICARSE QUE LA SEÑORA ELVIA LUCIA JIMENEZ VIVE EN ESTADOS UNIDOS SEGUN EXT18-00119213, RAZON POR LA CUAL NO DISPONE  DE  UNA CUENTA BANCARIA NACIONAL, PARA LA CREACION DEL USUARIO EN EL SIIF.</t>
    </r>
    <r>
      <rPr>
        <sz val="9"/>
        <rFont val="Arial Narrow"/>
        <family val="2"/>
      </rPr>
      <t xml:space="preserve">
EN EL ANEXO SE ENCUENTRA RELACIONADO COMO VIVIANA GOMEZ PEDRAZA Y OTROS No. 635, SE IDENTIFICA POR EL NUMERO DEL PROCESO, IGUALMENTE EL TRIBUNAL ORDENA QUE LA UNP PAGUE LA SENTENCIA
(SE DA RESPUESTA MEDIANTE OFI17-00004064 06/02/17 Y OFI17-00004181 07/02/17 Y OFI17-00011222 29/03/17 / OFI17-00022748 27/06/17 / OFI17-00029382 15/08/17 /  OFI17-00030323 23/08/17)A SOLICITUD DOCUMENTOS OFI18-00002594 22/01/18 L
OFI18-00043523 03/10/18  L.
MEDIANTE OFI18-00044272 SE DA RESPUESTA AL   EXT18-00094994  F.
OFI18-00051926 23/11/18    L.</t>
    </r>
  </si>
  <si>
    <t xml:space="preserve">   </t>
  </si>
  <si>
    <t>EXT18-00108741</t>
  </si>
  <si>
    <t>EXT18-00111212</t>
  </si>
  <si>
    <t xml:space="preserve">EXT18- 00112871 </t>
  </si>
  <si>
    <t>EXT18-00112762</t>
  </si>
  <si>
    <t>EXT18-00119213</t>
  </si>
  <si>
    <t>EXT18-00109298</t>
  </si>
  <si>
    <t>EXT18-00115768</t>
  </si>
  <si>
    <t>76 001 2331 000 2011 01579 00</t>
  </si>
  <si>
    <t>23-11-2018
1-32-244-439-10926
NO PRESENTA DEUDA</t>
  </si>
  <si>
    <t>23-11-2018
1-32-244-439-2024
NO PRESENTA DEUDA</t>
  </si>
  <si>
    <t>23-11-2018
1-32-244-439-10927
NO PRESENTA DEUDA</t>
  </si>
  <si>
    <t>VALOR PAGADO POR SEGURIDAD SOCIAL</t>
  </si>
  <si>
    <t>PROTECCION S.A.
RESOL. 0657/2015</t>
  </si>
  <si>
    <t>COLPENSIONES
RESOL. 0800-2015</t>
  </si>
  <si>
    <t>PROTECCION S.A.
RESOL. 0723-2016</t>
  </si>
  <si>
    <t>COLPENSIONES
RESOL. 0658/2015</t>
  </si>
  <si>
    <t>$9.287.200
$17.481.800</t>
  </si>
  <si>
    <t>FAMISANAR EPS
RESOL.0728-2016
PROTECCION S.A.
RESOL. 0728-2016</t>
  </si>
  <si>
    <t>COLFONDOS
RESOL. 0730-2016</t>
  </si>
  <si>
    <t>COLPENSIONES
RESOL. 0743-2015
               0659-2015</t>
  </si>
  <si>
    <t xml:space="preserve">COLPENSIONES
RESOL. 0873-2015
               </t>
  </si>
  <si>
    <t>PORVENIR
RESOL. 0734-2016</t>
  </si>
  <si>
    <t>PORVENIR
RESOL. 0752-2016</t>
  </si>
  <si>
    <t>PROTECCION S.A.
0738-2016</t>
  </si>
  <si>
    <t>PORVENIR
RESOL. 0889-2016</t>
  </si>
  <si>
    <t>COLPENSIONES
RESOL. 0961-2016</t>
  </si>
  <si>
    <t>PORVENIR
RESOL. 0964-2016</t>
  </si>
  <si>
    <t>PORVENIR
RESOL. 0349-2017</t>
  </si>
  <si>
    <t>PORVENIR
RESOL. 0364-2017</t>
  </si>
  <si>
    <t>PORVENIR
RESOL. 0516-2017</t>
  </si>
  <si>
    <t>PORVENIR
RESOL. 0517-2017</t>
  </si>
  <si>
    <t>COLPENSIONES
RESOL. 0793-2017</t>
  </si>
  <si>
    <t>COLPENSIONES
RESOL. 1437-2017</t>
  </si>
  <si>
    <t>PROTECCION
RESOL. 1439-2017</t>
  </si>
  <si>
    <t>PORVENIR
RESOL. 1441-2017</t>
  </si>
  <si>
    <t>PORVENIR
RESOL. 1444-2017</t>
  </si>
  <si>
    <t>COLPENSIONES
RESOL. 1453-2017</t>
  </si>
  <si>
    <t>PORVENIR
RESOL. 1454-2017</t>
  </si>
  <si>
    <t>COLPENSIONES
RESOL. 1456-2017</t>
  </si>
  <si>
    <t>$33.553.300
$1.700.400</t>
  </si>
  <si>
    <t>PROTECCION
RESOL. 0527-2017
PROTECCION
RESOL. 1459-2017</t>
  </si>
  <si>
    <t>PORVENIR
RESOL. 1524-2017</t>
  </si>
  <si>
    <t>COLPENSIONES
RESOL. 1479-2017</t>
  </si>
  <si>
    <t>PROTECCION
RESOL. 1480-2017</t>
  </si>
  <si>
    <t>COLFONDOS
RESOL. 0740-2016
COLPENSIONES
RESOL. 1489-2017</t>
  </si>
  <si>
    <t>$12.181.400
$7.578.200</t>
  </si>
  <si>
    <t>COLPENSIONES
RESOL. 1491-2017</t>
  </si>
  <si>
    <t>$9.801.600
$6.942.800</t>
  </si>
  <si>
    <t>PROTECCION S.A.
COOMEVA EPS.
RESOL. 0725-2016</t>
  </si>
  <si>
    <t>PROTECCION S.A.
RESOL. 0958-2016
PROTECCION S.A.
RESOL. 0348-2017</t>
  </si>
  <si>
    <t>$14.738.500
$9.769.400</t>
  </si>
  <si>
    <t xml:space="preserve">
EN MI PLANILLA NO REGISTRAN PLANILLAS PARA PAGO A ESTE NUMERO DE IDENTIFICACION, SE REQUIERE ACTUALIZARLAS PARA PROCEDER CON EL PAGO.</t>
  </si>
  <si>
    <t xml:space="preserve">EL RESUELVE DE LA RES. 0349 DEL 12-03-2018 SOLICITA PAGAR LA SUMA DE $21.902.974 AL SR. CARLOS ARTURO GOMEZ TRUJILLO IDENTIFICADO CON C.C. 13.496.985 TRÁMITE QUE SE ADELANTÓ GENERANDO LA ORDEN DE PAGO PRESUPUESTAL No. 96066618 DE FECHA 06-04-2018 Y LA ORDEN DE PAGO NO PRESUPUESTAL No. 97795518 DEL 09-04-2018.
</t>
  </si>
  <si>
    <t>CARLOS ARTURO GOMEZ TRUJILLO
RESOL. 0511-2017, MODIFICADA POR LA RESOL. 0349-2018</t>
  </si>
  <si>
    <t>EL RESUELVE DE LA RES. 1487 DEL 26-12-2017 SOLICITA PAGAR LA SUMA DE $37.731.434 AL SR. CARLOS ARTURO GOMEZ TRUJILLO IDENTIFICADO CON C.C. 13.496.985, TRÁMITE QUE SE ADELANTÓ GENERANDO LA ORDEN DE PAGO PRESUPUESTAL No. 2439218 DE FECHA 10-01-2018 Y LA ORDEN DE PAGO NO PRESUPUESTAL No. 8376718 DEL 19-01-2018.</t>
  </si>
  <si>
    <t>COLPENSIONES
RESOL. 1504-2017</t>
  </si>
  <si>
    <t>EL 2-05-2018 SE EFECTUÓ PAGO POR $24.904.400 QUEDANDO DISPONIBLES $82.051 EN LA CUENTA BANCARIA, PENDIENTE CONFIRMAR SI ESTOS RECURSOS SE DEBEN REINTEGRAR A LA DIRECCION DEL TESORO NACIONAL.</t>
  </si>
  <si>
    <t>$5.027.304
$3.927.581</t>
  </si>
  <si>
    <t>COLPENSIONES
COMPENSAR EPS</t>
  </si>
  <si>
    <t>EL 30-05-2018 SE EFECTUÓ PAGO POR $4.790.900 QUEDANDO DISPONIBLES $236.404 EN LA CUENTA BANCARIA, DE LOS CUALES SE PAGARON $144.819 EN EL PAGO DEL APORTE A COMPENSAR EPS DEL BENEFICIARIO JONNY YULIAN RODRIGUEZ GUTIERREZ, QUEDANDO $91.585 DISPONIBLES EN LA CUENTA BANCARIA. EL 31-10-2018 EL FUNCIONARIO HUGO CIFUENTES REALIZÓ TRANSFERENCIA SEBRA REINTEGRANDO ESTOS RECURSOS A LA DIRECCION DEL TESORO NACIONAL - DTN.
EL 30-05-2018 SE EFECTUÓ PAGO POR $4.702.400.</t>
  </si>
  <si>
    <t>EL 21-05-2018 SE EFECTUÓ PAGO POR $19.059.300 QUEDANDO DISPONIBLES $135.617 EN LA CUENTA BANCARIA. EL 31-10-2018 EL FUNCIONARIO HUGO CIFUENTES REALIZÓ TRANSFERENCIA SEBRA REINTEGRANDO ESTOS RECURSOS A LA DIRECCION DEL TESORO NACIONAL - DTN.
EL 21-05-2018 SE EFECTUÓ PAGO POR $14.996.000 QUEDANDO DISPONIBLES $46 EN LA CUENTA BANCARIA. EL 31-10-2018 EL FUNCIONARIO HUGO CIFUENTES REALIZÓ TRANSFERENCIA SEBRA REINTEGRANDO ESTOS RECURSOS A LA DIRECCION DEL TESORO NACIONAL - DTN.</t>
  </si>
  <si>
    <t>COLPENSIONES
RESOL. 0230-2018
EPS SANITAS
RESOL. 0230-2018</t>
  </si>
  <si>
    <t>$19.059.300
$14.996.000</t>
  </si>
  <si>
    <t>JUAN CARLOS CAMPOS CONDE</t>
  </si>
  <si>
    <t>11 001 3335 028 2013 00397 01</t>
  </si>
  <si>
    <t>EXT18-00115144</t>
  </si>
  <si>
    <t>JUZGADO VEINTIOCHO ADMINISTRATICO DE ORALIDAD DEL CIRCUITO JUDICIAL DE BOGOTA</t>
  </si>
  <si>
    <t>EN EL ANEXO ES EL 139</t>
  </si>
  <si>
    <t>JUZGADO TERCERO ADMINISTRATIVO ORAL DEL CIRCUITO JUDICIAL DE MONTERIA</t>
  </si>
  <si>
    <t>23 001 3333 003 2016 00015 01</t>
  </si>
  <si>
    <t>ROBERTO FEDER RAMOS MERCADO</t>
  </si>
  <si>
    <t>EXT18-00115609</t>
  </si>
  <si>
    <t>EXT18-00115938</t>
  </si>
  <si>
    <t>EXT18-00113326</t>
  </si>
  <si>
    <t>AUTO QUE LIBRA MANDAMIENTO EJECUTIVO</t>
  </si>
  <si>
    <t>EXT18-00115409</t>
  </si>
  <si>
    <t>TRIBUNAL ADMINISTRATIVO
DEL VALLE DEL CAUCA</t>
  </si>
  <si>
    <t>571A</t>
  </si>
  <si>
    <t>571B</t>
  </si>
  <si>
    <t>571C</t>
  </si>
  <si>
    <t>NELSON HUMBERTO BERNAL DIAZ</t>
  </si>
  <si>
    <t>ALEX JOHAN PATIÑO CUPITRA</t>
  </si>
  <si>
    <t xml:space="preserve">WILLIAM OSWALDO NIÑO PEREZ
</t>
  </si>
  <si>
    <t xml:space="preserve">80.725.624
</t>
  </si>
  <si>
    <t>31-06-2009</t>
  </si>
  <si>
    <t xml:space="preserve">01/01/2004
</t>
  </si>
  <si>
    <t xml:space="preserve">30/06/2009
</t>
  </si>
  <si>
    <t>11 001 3331 021 2010 00116 00</t>
  </si>
  <si>
    <t>ANUAR TORRES MORENO</t>
  </si>
  <si>
    <t>VICTOR HUGO HINCAPIE FAJARDO</t>
  </si>
  <si>
    <t>NO SE ENCUENTRA EN EL ANEXO
MEDIANTE OFI18-00050796 SE DIO RESPUESTA AL EXT18-00115768  Y.</t>
  </si>
  <si>
    <t>NO SE ENCUENTRA EN LOS ANEXOS
EN EL FALLO DEL TRIBUNAL SE CONDENA A LA UNP
MEDIANTE OFI18-00049979 SE DIO RESPUESTA AL EXT18-00109298</t>
  </si>
  <si>
    <t>EN EL ANEXO ES EL 295
(ALLEGA APORTES, SE DA RESPUESTA MEDIANTE OFI17-00030945 28/08/17/ OFI17-00020964 13/06/17)A OFI18-00011965 22/03/18 E
MEDIANTE OFI18-00049884 SE DIO RESPUESTA AL EXT18-00108432  Y.</t>
  </si>
  <si>
    <t>NO APARECE EN EL ANEXO
MEDIANTE OFI18-00037013 29/08/18 SE DA RESPUESTA AL EXT18-00076880  L.
MEDIANTE OFI18-00049689 SE DIO RESPUESTA AL EXT18-00107328  Y.</t>
  </si>
  <si>
    <t>08 001 2333 001 2014 00305 00</t>
  </si>
  <si>
    <t>EXT17-00076736</t>
  </si>
  <si>
    <t>EXT18-00118587</t>
  </si>
  <si>
    <t>DERECHO DE PETICION-SOLICITA INFORMACION SOBRE EL PAGO</t>
  </si>
  <si>
    <t>EN EL DECRETO ES EL No. 373
EN EL PODER NO AUTORIZA AL ABOGADO PARA QUE RECIBA SOLO AL BENEFICIARIO OJO
MEDIANTE OFI18-00052066 SE DA RESPUESTA AL EXT18-00118587</t>
  </si>
  <si>
    <t>SOLICITA INFORMACION DEL ESTADO DE PAGO</t>
  </si>
  <si>
    <t>EXT17-00022931</t>
  </si>
  <si>
    <t>NOTIFICA SENTENCIA DE PRIMERA INSTANCIA</t>
  </si>
  <si>
    <t>JUZGADO QUINTO ADMINISTRATIVO ORAL DE MEDELLIN</t>
  </si>
  <si>
    <t>EN EL ANEXO ES EL 534</t>
  </si>
  <si>
    <t>NRD-PRESTACIONES SOCIALES CON PRIMA DE RIESGO</t>
  </si>
  <si>
    <t>EXT18-00121471</t>
  </si>
  <si>
    <t>NOTIFICA SENTENCIA DE SEGUNDA INSTANCIA</t>
  </si>
  <si>
    <t>30/11/2018 APROX.</t>
  </si>
  <si>
    <t>BORIS HERNAN AGAMEZ ARBELAEZ</t>
  </si>
  <si>
    <t>EXT18-00118582</t>
  </si>
  <si>
    <t>08 001 3333 004 2014 00078 01</t>
  </si>
  <si>
    <t>EN EL ANEXO ES EL 626</t>
  </si>
  <si>
    <t>JUZGADO CUARTO ORAL ADMINISTRATIVO DEL CIRCUITO DE BARRANQUILLA</t>
  </si>
  <si>
    <t>EN EL ANEXO ES EL NUMERO 93
SEGUNDA INSTANCIA CONFIRMA PARCIALMENTE Y MODIFICA (SE DA RESPUESTA MEDIANTE OFI17-00032030 04/09/2017)A
$3.973.003
LTK. AL LIQUIDARLO DA NEGATIVO. Valor anteriormente estimado era $71.977.500</t>
  </si>
  <si>
    <t>RICARDO REINOSO DIAZ</t>
  </si>
  <si>
    <t>JUZGADO CINCUENTA Y SEIS ADMINISTRATIVO DEL CIRCUITO JUDICIAL DE BOGOTA</t>
  </si>
  <si>
    <t>11 001 3335 019 2013 00297 01</t>
  </si>
  <si>
    <t>EXT18-00122285</t>
  </si>
  <si>
    <t>EN EL ANEXO ES EL 66
LLEGA DERECHO DE PETICION ALLEGADO A LA AGENCIA EN EL ANEXO ES EL No. 66
SE DA RESPUESTA MEDIANTE OFI17-00048071 N  OFI18-00003129 24/01/18 L OFI18-00020802 24/05/18 E
OFI18-00025596 25/06/18
OFI18-00031885 01/07/18
OFICIO RATIFICA INFORMACION OFI18-00011264 Y OFI18-00020802
MEDIANTE OFI18-00053586 SE DA RESPUESTA AL  EXT18-00120193  L.</t>
  </si>
  <si>
    <t>EN EL ANEXO ES EL 99
SE DA RESPUESTA MEDIANTE CORREO ELECTRONICO 14/12/17 A
MEDIANTE OFI18-00053587 SE DA RESPUESTA AL  EXT18-00122285  L.</t>
  </si>
  <si>
    <t>05 001 3333 005 2014 00164 01</t>
  </si>
  <si>
    <t>EXT18-00120193</t>
  </si>
  <si>
    <t>EXT18-00122719</t>
  </si>
  <si>
    <t>REMITE DERECHO DE PETICION
REMITE DERECHO DE PETICION
INFORMA CAMBIO DE CUENTA BANCARIA
DERECHO DE PETICION
INFORMA TERMINACION DEL  PROCESO POR PAGO</t>
  </si>
  <si>
    <t>17 001 3339 006 2016 00194 00</t>
  </si>
  <si>
    <t xml:space="preserve">CONSEJO REGIONAL INDIGENA DEL CAUCA-CRIC </t>
  </si>
  <si>
    <t>JUZGADO TERCERO ADMINISTRATIVO DE DESCONGESTION DE SANTA. MARTA</t>
  </si>
  <si>
    <t>PROTECCION S.A.
RESOL. 0655/2015</t>
  </si>
  <si>
    <t>PAGADO
PENDIENTE RELIQUIDACION</t>
  </si>
  <si>
    <t>PAGADO
SOLICITUD RELIQUIDACION</t>
  </si>
  <si>
    <t>EXT17-00095820</t>
  </si>
  <si>
    <t>RESOLUCION FALLA LAS EXCEPCIONES</t>
  </si>
  <si>
    <t>EXT18-00128161</t>
  </si>
  <si>
    <t>EXT18-00126175</t>
  </si>
  <si>
    <t>EXT18-00127178</t>
  </si>
  <si>
    <t>NOTIFICACION ESTADO- AUTO QUE APRUEBA COSTAS</t>
  </si>
  <si>
    <t>EXT18-00122705</t>
  </si>
  <si>
    <t>SOLICITUD DE DEVOLUCION DE SENTENCIA ORIGINALES</t>
  </si>
  <si>
    <t>76 001 3331 017 2008 00098 00</t>
  </si>
  <si>
    <t xml:space="preserve">OJO PRESENTAN REVOCTORIA PODER EN LA SENTENCIA DEL TRIBUNAL ORDENA QUE LA UNP SEA PARTE DEMANDADA  (SE DA RESPUESTA MEDIANTE OFI17-00034716 22/09/17 Y OFI17-00005975  20/02/17/ OFI17-000221 16/05/17 / SE DA RESPUESTA MEDIANTE CORREO ELECTRIONICO 08/08/17)A OFI18-00009617 08/03/18  E. 
</t>
  </si>
  <si>
    <t>11 001 3331 021 2012 00118 01</t>
  </si>
  <si>
    <t>11 001 33 35 013 2014 00049 01</t>
  </si>
  <si>
    <t>REMITE AUTO DE OBEDEZCASE Y CUMPLASE</t>
  </si>
  <si>
    <t>JUZGADO DECIMO QUINTO ADMINISTRATIVO DE ORALIDAD DEL CIRCUITO DE CARTAGENA</t>
  </si>
  <si>
    <t>SE PAGA POR COMPENSACION POR INTERMEDIO DE PRESUPUESTO
COMPENSACION - CRUCE INTERNO DE LA UNP CON LA DIAN RESOLUCION DE COMPENSACION (ST) No. 608-8385 22/12/17 DIAN POR $176.804.320
SE DA RESPUESTA MEDIANTE OFI18-00012092 22/03/18 L MEM18-00005602 22/03/18 PARA GRUPO DE CONTABILIDAD  L.</t>
  </si>
  <si>
    <t>860.042.945-5</t>
  </si>
  <si>
    <t>JUZGADO CINCUENTA Y CUATRO ADMINISTRATIVO ORAL DE BOGOTA- SECCION SEGUNDA</t>
  </si>
  <si>
    <t>ASESINATO DEL SEÑOR JORGE SILVA ANDRADE, CONCEJAL DEL MUNICIPIO DE CAMPOALEGRE DURANTE EL PERÍODO 2001-2003, POR PARTE DE LAS FARC EL 18/10/2002</t>
  </si>
  <si>
    <t>JORGE ORLANDO SANABRIA DIOSA</t>
  </si>
  <si>
    <t>EXT18-00123873</t>
  </si>
  <si>
    <t>19 001 2333 006 2013 00402 01</t>
  </si>
  <si>
    <t>JUZGADO SEXTO ADMINISTRATIVO DEL CIRCUITO DE POPAYAN</t>
  </si>
  <si>
    <t>EN EL ANEXO ES EL 510</t>
  </si>
  <si>
    <t>VALOR A PAGAR POR RELIQUIDACION</t>
  </si>
  <si>
    <t>ORDEN DE PAGO PRESUPUESTAL</t>
  </si>
  <si>
    <t>ENTIDAD A LA CUAL SE LE REALIZÓ EL PAGO</t>
  </si>
  <si>
    <t>11 001 3335 012 2016 00443 00</t>
  </si>
  <si>
    <t>11 001 3343 064 2016 00486 00</t>
  </si>
  <si>
    <t>JUZGADO SESENTA Y CUATRO ADMINISTRATIVO DE ORALIDAD DE BOGOTA</t>
  </si>
  <si>
    <t>11 001 3343 058 2016 00485 00</t>
  </si>
  <si>
    <t>JUZGADO CINCUENTA Y OCHO ADMINISTRATIVO DE  BOGOTA- SECCION TERCERA</t>
  </si>
  <si>
    <t>JUZGADO CINCUENTA Y NUEVE ADMINISTRATIVO DE BOGOTA- SECCION TERCERA</t>
  </si>
  <si>
    <t>11 001 3335 018 2017 00407 00</t>
  </si>
  <si>
    <t>JUZGADO DIECIOCHO ADMINISTRATIVO DE ORALIDAD DE BOGOTA- SECCION SEGUNDA</t>
  </si>
  <si>
    <t>exever.alvarado@unp.gov.co 15/06/18</t>
  </si>
  <si>
    <t>11 001 3335 018 2016 00504 00</t>
  </si>
  <si>
    <t>JUZGADO DIECIOCHO ADMINISTRATIVO DE BOGOTA- SECCION SEGUNDA</t>
  </si>
  <si>
    <t>11 001 3343 064 2016 00528 00</t>
  </si>
  <si>
    <t>11 001 3343 064 2016 00688 00</t>
  </si>
  <si>
    <t>JUZGADO SESENTA Y CUATRO ADMINISTRATIVO DE ORALIDAD BOGOTA- SECCION TERCERA</t>
  </si>
  <si>
    <t>11 001 3335 012 2016 00398 00</t>
  </si>
  <si>
    <t>11 001 3343 064 2016 00531 00</t>
  </si>
  <si>
    <t>11 001 3343 064 2017 00055 00</t>
  </si>
  <si>
    <t>JUZGADO SESENTA Y CUATRO ADMINISTRATIVO DE ORALIDAD DEL CIRCUITO JUDICIAL DE BOGOTA- SECCION TERCERA</t>
  </si>
  <si>
    <t>11 001 3343 058 2017 00190 00</t>
  </si>
  <si>
    <t>11 001 3343 064 2016 00509 00</t>
  </si>
  <si>
    <t>JUZGADO SESENTA Y CUATRO ADMINISTRATIVO DE ORALIDAD DE BOGOTA- SECCION TERCERA</t>
  </si>
  <si>
    <t>11 001 3336 032 2016 00328 00</t>
  </si>
  <si>
    <t>JUZGADO TREINTA Y DOS ADMINISTRATIVO DE BOGOTA- SECCION TERCERA</t>
  </si>
  <si>
    <t>11 001 3343 064 2016 00493 00</t>
  </si>
  <si>
    <t>JUZGADO SESENTA Y CUATRO ADMIISTRATIVO DE ORALIDAD DE BOGOTA- SECCION TERCERA</t>
  </si>
  <si>
    <t>lucia.ballesteros@unp.gov.co 
02/03/18</t>
  </si>
  <si>
    <t>JUZGADO QUINCE ADMINISTRATIVO DEL CIRCUITO DE BOGOTA- SECCION SEGUNDA</t>
  </si>
  <si>
    <t>11 001 3335 030 2017 00450 00</t>
  </si>
  <si>
    <t>JUZGADO TREINTA ADMINISTRATIVO DEL CIRCUITO DE BOGOTA- SECCION SEGUNDA</t>
  </si>
  <si>
    <t>11 001 3335 024 2016 00537 00</t>
  </si>
  <si>
    <t>JUZGADO VEINTICUATRO ADMINISTRATIVO DE ORALIDAD DE BOGOTA- SECCION SEGUNDA</t>
  </si>
  <si>
    <t>11 001 3335 017 2017 00180 00</t>
  </si>
  <si>
    <t>JUZGADO DIECISIETE ADMINISTRATIVO ORAL DE BOGOTA- SECCION SEGUNDA</t>
  </si>
  <si>
    <t>11 001 3335 028 2016 00336 00</t>
  </si>
  <si>
    <t>JUZGADO VEINTIOCHO ADMINISTRATIVO ORAL  DEL CIRCUITO JUDICIAL DE BOGOTA- SECCION SEGUNDA</t>
  </si>
  <si>
    <t>luis.bello@unp.gov.cvo
 21/03/18</t>
  </si>
  <si>
    <t>11 001 3343 034 2016 00660 00</t>
  </si>
  <si>
    <t>JUZGADO SESENTA Y CUATRO ADMINISTRATIVO ORAL DE BOGOTA- SECCION TERCERA</t>
  </si>
  <si>
    <t>11 001 3336 034 2016 00216 00</t>
  </si>
  <si>
    <t>JUZGADO TREINTA  Y CUATRO ADMINISTRATIVO ORAL DE BOGOTA- SECCION TERCERA</t>
  </si>
  <si>
    <t>JUZGADO TREINTA Y SIETE ADMINISTRATIVO DEL CIRCUITO JUDICAL DE BOGOTA- SECCION TERCERA</t>
  </si>
  <si>
    <t>11 001 3343 058 2017 00004 00</t>
  </si>
  <si>
    <t>JUZGADO CINCUENTA Y OCHO ADMINISTRATIVO DE BOGOTA- SECCION TERCERA</t>
  </si>
  <si>
    <t>11 001 3343 058 2016 00651 00</t>
  </si>
  <si>
    <t>LUIS ALFONSO CARDENAS BARRERA</t>
  </si>
  <si>
    <t>11 001 3335 022 2016 00406 00</t>
  </si>
  <si>
    <t>11 001 3336 032 2016 00189 00</t>
  </si>
  <si>
    <t>11 001 3335 030 2017 00431 00</t>
  </si>
  <si>
    <t>julio.carrillo@unp.gov.co
15/06/18</t>
  </si>
  <si>
    <t>11 001 3342 048 2016 00627 00</t>
  </si>
  <si>
    <t>JUZGADO CUARENTA Y OCHO ADMINISTRATIVO ORAL DEL CIRCUITO DE BOGOTA- SECCION SEGUNDA</t>
  </si>
  <si>
    <t>JUZGADO TREINTA Y CINCO DE ORALIDAD DEL CIRCUITO JUDICIAL ADMINISTRATIVO DE BOGOTA- SECCION TERCERA</t>
  </si>
  <si>
    <t>11 001 3343 058 2016 00591 00</t>
  </si>
  <si>
    <t>JUZGADO CINCUENTA Y OCHO ADMINISTRATIVO DE BOGOTA-SECCION TERCERA</t>
  </si>
  <si>
    <t>11 001 3343 064 2017 00077 00</t>
  </si>
  <si>
    <t>JUZGADO SESENTA Y CUATRO ADMINISTRATIVO DE ORALIDAD DEL CIRCUITO DE BOGOTA SECCIONAL TERCERA</t>
  </si>
  <si>
    <t>11 001 3343 058 2016 00482 00</t>
  </si>
  <si>
    <t>11 001 3335 020 2017 00495 00</t>
  </si>
  <si>
    <t>luz.cifuentes@unp.gov.co
21/03/18</t>
  </si>
  <si>
    <t>11 001 3343 058 2017 00142 00</t>
  </si>
  <si>
    <t>JUZGADO CINCUENTA Y OCHO ADMINISTRATIVO ORAL DEL CIRCUITO JUDICIAL DE BOGOTA- SECCION TERCERA</t>
  </si>
  <si>
    <t>11 001 3343 064 2016 00456 00</t>
  </si>
  <si>
    <t>JUZGADO SESENTA Y CUATRO ADMINISTRATIVO DE BOGOTA- SECCION TERCERA</t>
  </si>
  <si>
    <t>11 001 3343 064 2016 00436 00</t>
  </si>
  <si>
    <t>11 001 3336 035 2017 00251 00</t>
  </si>
  <si>
    <t>JUZGADO TREINTA Y CINCO DE BOGOTA- SECCION TERCERA</t>
  </si>
  <si>
    <t>11 001 3343 064 2016 00695 00</t>
  </si>
  <si>
    <t>JUZGADO 64 ADMINISTRATIVO ORAL DE BOGOTA- SECCION TERCERA</t>
  </si>
  <si>
    <t>11 001 3343 058 2017 00031 00</t>
  </si>
  <si>
    <t>11 001 3343 064 2016 00500 00</t>
  </si>
  <si>
    <t>11 001 3336 037 2017 00278 00</t>
  </si>
  <si>
    <t>JUZGADO TREINTA Y SIETE ADMINISTRATIVO DE BOGOTA-SECCION TERCERA</t>
  </si>
  <si>
    <t>11 001 3343 064 2016 00409 00</t>
  </si>
  <si>
    <t>11 001 3336 032 2017 00204 00</t>
  </si>
  <si>
    <t>wilson.deiva@unp.gov.co
15/06/18</t>
  </si>
  <si>
    <t>11 001 03336 032 2016 00253 00</t>
  </si>
  <si>
    <t>11 001 3343 064 2017 00113 00</t>
  </si>
  <si>
    <t>JUZGADO SESENTA Y CUATRO ADMINISTRATIVO DE ORALIDAD DE BOGOTA- SECCIN TERCERA</t>
  </si>
  <si>
    <t>11 001 3343 064 2016 00693 00</t>
  </si>
  <si>
    <t>11 001 3343 060 2016 00535 00</t>
  </si>
  <si>
    <t>JUZGADO SESENTA ADMINISTRATIVO ORAL DE BOGOTA- SECCION TERCERA</t>
  </si>
  <si>
    <t>47 001 3333 001 2017 00320 00</t>
  </si>
  <si>
    <t>edilber.diaz@unp.gov.co
15/06/18</t>
  </si>
  <si>
    <t>11 001 3343 064 2016 00578 00</t>
  </si>
  <si>
    <t>11 001 3343 058 2016 00555 00</t>
  </si>
  <si>
    <t>11 001 3343 058 2016 00565 00</t>
  </si>
  <si>
    <t>JUZGADO CINCUENTA Y OCHO 
ADMINISTRATIVO DE BOGOTA SECCION TERCERA</t>
  </si>
  <si>
    <t>11 001 3343 064 2016 00417 00</t>
  </si>
  <si>
    <t xml:space="preserve">11 001 3343 064 2016 00628 00 </t>
  </si>
  <si>
    <t>11 001 3336 032 2017 00248 00</t>
  </si>
  <si>
    <t>JUZGADO CINCUENTA Y NUEVE
ADMINISTRATIVO DEL CIRCUITO JUDICIAL DE BOGOTA- SECCION TERCERA</t>
  </si>
  <si>
    <t>JUZGADO CINCUENTA  Y NUEVE ADMINISTRATIVO DEL CIRCUITO JUDICIAL DE BOGOTA- SECCION TERCERA</t>
  </si>
  <si>
    <t>wilson.fandiño@unp.gov.co
15/06/18</t>
  </si>
  <si>
    <t>JUZGADO NOVENO ADMINISTRATIVO DEL CIRCUITO JUDICIAL DE BOGOTA- SECCION SEGUNDA</t>
  </si>
  <si>
    <t>11 001 3335 009 2017 00465 00</t>
  </si>
  <si>
    <t>jose.farfan@unp.gov.co
15/06/18</t>
  </si>
  <si>
    <t>11 001 3343 064 2017 00293 00</t>
  </si>
  <si>
    <t>11 001 3335 025 2016 00349 00</t>
  </si>
  <si>
    <t>11 001 3343 065 2016 00471 00</t>
  </si>
  <si>
    <t xml:space="preserve">JUZGADO SESENTA Y CINCO ADMINISTRATIVO DE BOGOTA- SECCION TERCERA </t>
  </si>
  <si>
    <t>fabian.gaitan@unp.gov.co
29-06-2018</t>
  </si>
  <si>
    <t>11 001 3343 058 2016 00478 00</t>
  </si>
  <si>
    <t>11 001 3343 064 2016 00522 00</t>
  </si>
  <si>
    <t>11 001 3343 062 2016 00553 00</t>
  </si>
  <si>
    <t>JUZGADO SESENTA Y DOS ADMINISTRATIVO DE BOGOTA- SECCION TERCERA</t>
  </si>
  <si>
    <t>11 001 3335 022 2017 00239 00</t>
  </si>
  <si>
    <t>11 001 3343 064 2016 00491 00</t>
  </si>
  <si>
    <t>11 001 3342 051 2017 00205 00</t>
  </si>
  <si>
    <t>11 001 3343 064 2016 00595 00</t>
  </si>
  <si>
    <t>fernando.garzon@unp.gov.co
02-11-2017</t>
  </si>
  <si>
    <t>11 001 3337 041 2017 00216 00</t>
  </si>
  <si>
    <t>JUZGADO CUARENTA Y UNO ADMINISTRATIVO DEL CIRCUITO DE BOGOTA- SECCION CUARTA</t>
  </si>
  <si>
    <t>william.garzon@unp.gov.co
15/06/18</t>
  </si>
  <si>
    <t>11 001 3343 058 2016 00496 00</t>
  </si>
  <si>
    <t>11 001 3336 032 2017 00193 00</t>
  </si>
  <si>
    <t>JUZGADO TREINTA Y DOS ADMINISTRATIVO DEL CIRCUITO DE BOGOTA- SECCION TERCERA</t>
  </si>
  <si>
    <t>edwin.garzon@unp.gov.co
15/06/18</t>
  </si>
  <si>
    <t>11 001 3343 064 2016 00572 00</t>
  </si>
  <si>
    <t>11 001 3343 062 2016 00495 00</t>
  </si>
  <si>
    <t>leon.giraldo@unp.gov.co
01-02-2018</t>
  </si>
  <si>
    <t>11 001 3343 058 2016 00625 00</t>
  </si>
  <si>
    <t>JUZGADO TREINTA Y SIETE ADMINISTRATIVO DEL CIRCUITO JUDICIAL DE BOGOTA- SECCION TERCERA</t>
  </si>
  <si>
    <t>11 001 3343 064 2016 00608 00</t>
  </si>
  <si>
    <t>JUZGADO SESENTA Y CUATRO ADMININSTRATIVO ORAL DE BOGOTA- SECCION TERCERA</t>
  </si>
  <si>
    <t>11 001 3343 058 2016 00532 00</t>
  </si>
  <si>
    <t>11 001 3343 058 2016 00639 00</t>
  </si>
  <si>
    <t>11 001 3342 048 2016 00574 00</t>
  </si>
  <si>
    <t>11 001 3343 064 2016 00567 00</t>
  </si>
  <si>
    <t>JUZGADO SESENTA Y CUATRO ADMIISTRATIVO ORAL DE BOGOTA- SECCION TERCERA</t>
  </si>
  <si>
    <t>11 001 3343 064 2016 00625 00</t>
  </si>
  <si>
    <t>11 001 3336 038 2016 00237 00</t>
  </si>
  <si>
    <t>11 001 3343 058 2016 00460 00</t>
  </si>
  <si>
    <t>JUZGADO CINCUENTA Y OCHO ADMINISTRATIVO ORAL DE BOGOTA- SECCION TERCERA</t>
  </si>
  <si>
    <t>11 001 3343 064 2016 00665 00</t>
  </si>
  <si>
    <t>11 001 3343 058 2016 00578 00</t>
  </si>
  <si>
    <t>javier.gutierrez@unp.gov.co
02/11/2017</t>
  </si>
  <si>
    <t>11 001 3342 056 2016 00566 00</t>
  </si>
  <si>
    <t>JUZGADO CINCUENTA Y SEIS ADMINISTRATIVO DE BOGOTA- SECCION SEGUNDA</t>
  </si>
  <si>
    <t>11 001 3335 008 2017 00238 00</t>
  </si>
  <si>
    <t>11 001 3343 064 2016 00455 00</t>
  </si>
  <si>
    <t>11 001 3336 034 2017 00109 00</t>
  </si>
  <si>
    <t>JUZGADO TREINTA Y CUATRO 
ADMINISTRATIVO DE BOGOTA -SECCION TERCERA</t>
  </si>
  <si>
    <t>11 001 3335 013 2017 00433 00</t>
  </si>
  <si>
    <t>rodolfo.hurtado@unp.gov.co
15/06/18</t>
  </si>
  <si>
    <t>11 001 3336 034 2017 00098 00</t>
  </si>
  <si>
    <t>JUZGADO TREINTA Y CUATRO ADMINISTRATIVO ORAL DEL CIRCUITO DE BOGOTA- SECCION TERCERA</t>
  </si>
  <si>
    <t>JUZGADO TREINTA Y CINCO  ADMINISTRATIVO ORAL DE BOGOTA- SECCION TERCERA</t>
  </si>
  <si>
    <t>11 001 3343 058 2016 00607 00</t>
  </si>
  <si>
    <t>JUZGADO CINCUENTA Y OCHO ADMINISTRATIVO DE BOGOTA SECCION TERCERA</t>
  </si>
  <si>
    <t>11 001 3335 022 2017 00202 00</t>
  </si>
  <si>
    <t>JUZGADO VEINTIDOS 
ADMINISTRATIVO DE ORALIDAD CIRCUITO JUDICIAL DE BOGOTA SECCION SEGUNDA</t>
  </si>
  <si>
    <t>11 001 3343 058 2016 00552 00</t>
  </si>
  <si>
    <t>11 001 3335 028 2016 00311 00</t>
  </si>
  <si>
    <t>JUZGADO VEINTIOCHO ORAL DE BOGOTA- SECCION SEGUNDA</t>
  </si>
  <si>
    <t>11 001 3343 058 2016 00543 00</t>
  </si>
  <si>
    <t>11 001 3343 064 2016 00523 00</t>
  </si>
  <si>
    <t>11 001 3343 058 2016 00617 00</t>
  </si>
  <si>
    <t>11 001 3343 064 2016 00521 00</t>
  </si>
  <si>
    <t>11 001 3343 064 2016 00618 00</t>
  </si>
  <si>
    <t>EXT18-00128620</t>
  </si>
  <si>
    <t>11 001 3335 019 2017 00218 00</t>
  </si>
  <si>
    <t>11 001 3343 064 2016 00599 00</t>
  </si>
  <si>
    <t>11 001 3336 037 2017 00330 00</t>
  </si>
  <si>
    <t>JUZGADO TREINTA Y SIETE ADMINISTRATIVO DE BOGOTA- SECCION TERCERA</t>
  </si>
  <si>
    <t>jorge.marin@unp.gov.co
15/06/2018</t>
  </si>
  <si>
    <t>JUZGADO CINCUENTA Y NUEVE ADMINISTRATIVO DEL CIRCUITO JUDICIAL DE BOGOTA- SECCION TERCERA</t>
  </si>
  <si>
    <t>miguel.martinez@unp.gov.co
15/06/18</t>
  </si>
  <si>
    <t>11 001 3342 046 2017 00231 00</t>
  </si>
  <si>
    <t>JUZGADO CUARENTA Y SEIS ADMINISTRATIVO DEL CIRCUITO DE BOGOTA SECCION SEGUNDA</t>
  </si>
  <si>
    <t>11 001 3342 048 2017 00191 00</t>
  </si>
  <si>
    <t>11 001 3335 017 2017 00356 00</t>
  </si>
  <si>
    <t>JUZGADO DIECISIETE ADMINISTRATIVO DE ORAL DE BOGOTA- SECCION SEGUNDA</t>
  </si>
  <si>
    <t>jhon.maya@unp.gov.co
15/06/18</t>
  </si>
  <si>
    <t>roberto.mazo@unp.gov.co
21/03/18</t>
  </si>
  <si>
    <t>76 147 3340 002 2017 00091 00</t>
  </si>
  <si>
    <t>JUZGADO SEGUNDO ADMINISTRATIVO ORAL DEL CIRCUITO DE CARTAGO VALLE DEL CAUCA</t>
  </si>
  <si>
    <t>alvaro.mejia@unp.gov.co
01-02-2018</t>
  </si>
  <si>
    <t>11 001 3343 064 2016 00674 00</t>
  </si>
  <si>
    <t>11 001 3343 064 2016 00612 00</t>
  </si>
  <si>
    <t>11 001 3343 058 2016 00484 00</t>
  </si>
  <si>
    <t>11 001 3343 062 2016 00640 00</t>
  </si>
  <si>
    <t>11 001 3335 024 2016 00480 00</t>
  </si>
  <si>
    <t>JUZGADO VEINTICUATRO ADMINISTRATIVO ORAL DE BOGOTA- SECCION SEGUNDA</t>
  </si>
  <si>
    <t>11 001 3343 064 2016 00562 00</t>
  </si>
  <si>
    <t>11 001 3343 058 2016 00470 00</t>
  </si>
  <si>
    <t xml:space="preserve">jose.moreno@unp.gov.co
01-02-2018
</t>
  </si>
  <si>
    <t>11 001 3343 058 2016 00583 00</t>
  </si>
  <si>
    <t>11 001 3343 058 2016 00477 00</t>
  </si>
  <si>
    <t>11 001 3335 029 2017 00393 00</t>
  </si>
  <si>
    <t>11 001 3336 037 2017 00331 00</t>
  </si>
  <si>
    <t>11 001 3343 058 2016 00490 00</t>
  </si>
  <si>
    <t>JULIO CESAR ÑUSTEZ ALMANZA</t>
  </si>
  <si>
    <t>11 001 3343 058 2016 00480 00</t>
  </si>
  <si>
    <t>11 001 3335 024 2016 00488 00</t>
  </si>
  <si>
    <t>11 001 3343 065 2016 00616 00</t>
  </si>
  <si>
    <t>11 001 3335 019 2017 00260 00</t>
  </si>
  <si>
    <t>JUZGADO DIECINUEVE
DEL CIRCUITO DE BOGOTA-  SECCION SEGUNDA</t>
  </si>
  <si>
    <t>rosa.ortega@unp.gov.co
02/03/18</t>
  </si>
  <si>
    <t>11 001 3342 048 2016 00603 00</t>
  </si>
  <si>
    <t>047 2017 00341</t>
  </si>
  <si>
    <t>HANSSEMENOVA ORTIZ DUCON</t>
  </si>
  <si>
    <t>015 2017 00262 00</t>
  </si>
  <si>
    <t>JUZGADO QUINCE ADMINISTRATIVO DE BOGOTA- SECCION SEGUNDA</t>
  </si>
  <si>
    <t>hanssemenova.ortiz@unp.gov.co
01/02/2018</t>
  </si>
  <si>
    <t>11 001 3335 012 2017 00205 00</t>
  </si>
  <si>
    <t>JUZGADO DOCE ADMINISTRATIVO ORAL DE BOGOTA- SECCION SEGUNDA</t>
  </si>
  <si>
    <t>vicky.ortiz@unp.gov.co
02-02-2018</t>
  </si>
  <si>
    <t>05 001 3333 029 2017 00035 00</t>
  </si>
  <si>
    <t>059 2016 00483 00</t>
  </si>
  <si>
    <t>rafael.osorio@unp.gov.co
01-02-2018</t>
  </si>
  <si>
    <t>05 001 3333 008 2017 00279 00</t>
  </si>
  <si>
    <t>JUZGADO OCTAVO 
ADMINISTRATIVO ORAL DEL CIRCUITO DE MEDELLIN</t>
  </si>
  <si>
    <t>021 2017 00350 00</t>
  </si>
  <si>
    <t>JUZGADO VENTIUNO ADMINISTRATIVO DEL CIRCUITO DE BOGOTA- SECCION SEGUNDA</t>
  </si>
  <si>
    <t>dagoberto.padilla@unp.gov.co
15/06/18</t>
  </si>
  <si>
    <t>11 001 3343 064 2017 00001 00</t>
  </si>
  <si>
    <t>javier.paez@unp.gov.co
01-02-2018</t>
  </si>
  <si>
    <t>11 001 3343 058 2016 00476 00</t>
  </si>
  <si>
    <t>11 001 3336 037 2017 00028 00</t>
  </si>
  <si>
    <t>JUZGADO TREINTA Y SIETE ADMINISTRATIVO ORAL DE BOGOTA- SECCION TERCERA</t>
  </si>
  <si>
    <t>11 001 3343 058 2016 00491 00</t>
  </si>
  <si>
    <t>11 001 3343 064 2016 00550 00</t>
  </si>
  <si>
    <t>11 001 3335 025 2016 00410 00</t>
  </si>
  <si>
    <t>11 001 3336 032 2017 00165 00</t>
  </si>
  <si>
    <t>natalia.perez@unp.gov.co
02/03/18</t>
  </si>
  <si>
    <t>11 001 3343 058 2016 00497 00</t>
  </si>
  <si>
    <t>JUZGADO CINCUENTA Y OCHO ADMINISTRATIVO DE  BOGOTA - SECCION TERCERA</t>
  </si>
  <si>
    <t>11 001 3335 030 2016 00415 00</t>
  </si>
  <si>
    <t>JUZGADO TREINTA ADMINISTRATIVO DE BOGOTA- SECCION SEGUNDA</t>
  </si>
  <si>
    <t>11 001 3343 064 2016 00496 00</t>
  </si>
  <si>
    <t>11 001 3335 012 2016 00444 00</t>
  </si>
  <si>
    <t>hair.pinzon@unp.gov.co
01-02-2018</t>
  </si>
  <si>
    <t>11 001 3343 064 2016 00538 00</t>
  </si>
  <si>
    <t>jader.plaza@unp.gov.co
02/02/18</t>
  </si>
  <si>
    <t>11 001 3336 037 2016 00258 00</t>
  </si>
  <si>
    <t>JUZGADO TREINTA Y SIETE ADMINISTRATIVO DE ORALIDAD DE BOGOTA- SECCION TERCERA</t>
  </si>
  <si>
    <t>JUZGADO SESENTA Y CUATRO ADMINISTRATIVO DEL ORALIDAD DEL CIRCUITO DE BOGOTA- SECCION TERCERA</t>
  </si>
  <si>
    <t>carlos.poveda@unp.gov.co
17-07-2018</t>
  </si>
  <si>
    <t>11 001 3335 020 2017 00187 00</t>
  </si>
  <si>
    <t>manuel.poveda@unp.gov.co 
02-11-2017</t>
  </si>
  <si>
    <t>11 001 3336 031 2017 00248 00</t>
  </si>
  <si>
    <t xml:space="preserve">cesar.puentes@unp.gov.co
</t>
  </si>
  <si>
    <t>11 001 3336 031 2017 00229 00</t>
  </si>
  <si>
    <t>JUZGADO TREINTA  Y UNO ADMINISTRATIVO ORAL DE BOGOTA- SECCION TERCERA</t>
  </si>
  <si>
    <t>herminsut.puerto@unp.gov.co
02-02-2018</t>
  </si>
  <si>
    <t>11 001 3343 064 2016 00547 00</t>
  </si>
  <si>
    <t>11 001 3343 058 2017 00257 00</t>
  </si>
  <si>
    <t>JUZGADO CINCUENTA Y OCHO ADMINISTRATIVO DEL CIRCUITO DE BOGOTA- SECCION TERCERA</t>
  </si>
  <si>
    <t>holman.pulido@unp.gov.co
15/06/18</t>
  </si>
  <si>
    <t>11 001 3343 064 2016 00468 00</t>
  </si>
  <si>
    <t>11 001 3343 058 2016 00518 00</t>
  </si>
  <si>
    <t>11 001 3343 064 2016 00689 00</t>
  </si>
  <si>
    <t>11 001 3343 064 2017 00049 00</t>
  </si>
  <si>
    <t>JUZGADO SESENTA Y CUATRO ADMINISTRATIVO DE ORALIDAD DEL CIRCUITO DE BOGOTA- SECCION TERCERA</t>
  </si>
  <si>
    <t>diego.rengifo@unp.gov.co
15/06/18</t>
  </si>
  <si>
    <t>11 001 3343 058 2016 00513 00</t>
  </si>
  <si>
    <t>11 001 3343 064 2016 00551 00</t>
  </si>
  <si>
    <t>11 001 3343 058 2016 00644 00</t>
  </si>
  <si>
    <t>JUZGADO CINCUENTA Y OCHO 
ADMINISTRATIVO DEBOGOTA- SECCION TERCERA</t>
  </si>
  <si>
    <t>11 001 3336 031 2017 00247 00</t>
  </si>
  <si>
    <t>11 001 3343 064 2016 00452 00</t>
  </si>
  <si>
    <t>11 001 3343 058 2016 00561 00</t>
  </si>
  <si>
    <t>11 001 3343 058 2017 00141 00</t>
  </si>
  <si>
    <t>wilmar.rodriguez@unp.gov.co
31-01-2018</t>
  </si>
  <si>
    <t>11 001 3335 012 2016 00397 00</t>
  </si>
  <si>
    <t>JUZGADO DOCE 
ADMINISTRATIVO DE ORALIDAD DE BOGOTA- SECCION SEGUNDA</t>
  </si>
  <si>
    <t>11 001 3336 034 2017 00042 00</t>
  </si>
  <si>
    <t>JUZGADO TREINTA Y CUATRO ADMINISTRATIVO ORAL DE BOGOTA- SECCION TERCERA</t>
  </si>
  <si>
    <t>11 001 3336 037 2017 00211 00</t>
  </si>
  <si>
    <t>JUZGADO TREINTA Y SIETE ADMINISTRATIVO  DEL CIRCUITO JUDICIAL DE BOGOTA- SECCION TERCERA</t>
  </si>
  <si>
    <t>carlosa.romero@unp.gov.co
31-01-2018</t>
  </si>
  <si>
    <t>11 001 3335 029 2017 00444 00</t>
  </si>
  <si>
    <t>JUZGADO VEINTINUEVE ADMINISTRATIVO ORAL DE  BOGOTA- SECCION SEGUNDA</t>
  </si>
  <si>
    <t>luis.roncancio@unp.gov.co
15/06/18</t>
  </si>
  <si>
    <t>11 001 3336 032 2017 00015 00</t>
  </si>
  <si>
    <t>javier.roya@unp.gov.co
15/06/18</t>
  </si>
  <si>
    <t>023 2016 00457 00</t>
  </si>
  <si>
    <t>jorge.rozo@unp.gov.co
15/06/18</t>
  </si>
  <si>
    <t>11 001 3335 012 2017 00254 00</t>
  </si>
  <si>
    <t>yuri.rueda@unp.gov.co
25/06/18</t>
  </si>
  <si>
    <t>053 2016 00631 00</t>
  </si>
  <si>
    <t>JUZGADO CINCUENTA Y TRES ADMINISTRATIVO ORAL DE BOGOTA- SECCION SEGUNDA</t>
  </si>
  <si>
    <t>11 001 3335 028 2017 00297 00</t>
  </si>
  <si>
    <t>JUZGADO VEINTIOCHO ADMINISTRATIVO ORAL DEL CIRCUITO JUDICIAL DE BOGOTA- SECCION SEGUNDA</t>
  </si>
  <si>
    <t>alexander.ruiz@unp.gov.co
31-01-2018</t>
  </si>
  <si>
    <t>11 001 3343 058 2016 00582 00</t>
  </si>
  <si>
    <t>021 2016 00344 00</t>
  </si>
  <si>
    <t>JUZGADO VEINTIUNO ADMINISTRATIVO DE BOGOTA- SECCION SEGUNDA</t>
  </si>
  <si>
    <t>reinelio.salazar@unp.gov.co
01-02-2018</t>
  </si>
  <si>
    <t>11 001 3336 031 2017 00211 00</t>
  </si>
  <si>
    <t>victor.salinas@unp.gov.co
01-02-2018</t>
  </si>
  <si>
    <t>11 001 3343 064 2016 00485 00</t>
  </si>
  <si>
    <t>11 001 3336 032 2017 00228 00</t>
  </si>
  <si>
    <t>yinsor.sanchez@unp.gov.co
15/06/18</t>
  </si>
  <si>
    <t>11 001 3343 064 2016 00514 00</t>
  </si>
  <si>
    <t>11 001 3343 064 2016 00459 00</t>
  </si>
  <si>
    <t>11 001 3343 064 2016 00467 00</t>
  </si>
  <si>
    <t>11 001 3335 009 2017 00244 00</t>
  </si>
  <si>
    <t>ana.aide@unp.gov.co
31-01-2018</t>
  </si>
  <si>
    <t>11 001 3336 034 2016 00237 00</t>
  </si>
  <si>
    <t>11 001 3334 064 2016 00414 00</t>
  </si>
  <si>
    <t>11 001 3343 064 2016 00490 00</t>
  </si>
  <si>
    <t>047 2016 00685 00</t>
  </si>
  <si>
    <t>JUZGADO CUARENTA Y SIETE ADMINISTRATIVO DE BOGOTA- SECCION SEGUNDA</t>
  </si>
  <si>
    <t>11 001 3343 058 2016 00598 00</t>
  </si>
  <si>
    <t>047 2016 00674 00</t>
  </si>
  <si>
    <t>JUZGADO CINCUENTA Y SIETE ADMINISTRATIVO DE  BOGOTA- SECCION SEGUNDA</t>
  </si>
  <si>
    <t>11 001 3342 056 2017 00399 00</t>
  </si>
  <si>
    <t>john.tamayo@unp.gov.co
01-02-2018</t>
  </si>
  <si>
    <t xml:space="preserve">11 001 3343 058 2016 00551 00 </t>
  </si>
  <si>
    <t>11 001 3336 037 2017 00081 00</t>
  </si>
  <si>
    <t>11 001 3337 041 2017 00168 00</t>
  </si>
  <si>
    <t>JUZGADO  CUARENTA Y UNO ADMINISTRATIVO DE BOGOTA- SECCION CUARTA</t>
  </si>
  <si>
    <t>059 2017 00037 00</t>
  </si>
  <si>
    <t>11 001 3343 058 2016 00599 00</t>
  </si>
  <si>
    <t>08 001 3333 010 2017 00263 00</t>
  </si>
  <si>
    <t>20 001 3333 004 2017 00129 00</t>
  </si>
  <si>
    <t>035 2017 00063 00</t>
  </si>
  <si>
    <t>11 001 3343 064 2016 00480 00</t>
  </si>
  <si>
    <t>11 001 3335 029 2016 00303 00</t>
  </si>
  <si>
    <t>JUZGADO VEINTINUEVE ADMINISTRATIVO ORAL DE BOGOTA- SECCION SEGUNDA</t>
  </si>
  <si>
    <t>enilso.torres@unp.gov.co
01-02-2018</t>
  </si>
  <si>
    <t>alfonso.uribe@unp.gov.co
15/06/18</t>
  </si>
  <si>
    <t>edinson.valdez@unp.gov.co
15/06/18</t>
  </si>
  <si>
    <t>11 001 3343 058 2016 00576 00</t>
  </si>
  <si>
    <t>11 001 3343 064 2016 00532 00</t>
  </si>
  <si>
    <t>11 001 3343 058 2016 00612 00</t>
  </si>
  <si>
    <t>11 001 3343 064 2016 00542 00</t>
  </si>
  <si>
    <t xml:space="preserve">JUZGADO SESENTA Y CUATRO ADMINISTRATIVO ORAL DE CIRCUITO DE BOGOTA- SECCION TERCERA </t>
  </si>
  <si>
    <t>11 001 3335 026 2016 00357 00</t>
  </si>
  <si>
    <t>JUZGADO VEINTISEIS ADMINISTRATIVO ORAL DE BOGOTA- SECCION SEGUNDA</t>
  </si>
  <si>
    <t>paulo.yepez@unp.gov.co
31-01-2018</t>
  </si>
  <si>
    <t>alejandro0522@hotmail.com 
29/01/18</t>
  </si>
  <si>
    <t>abogadoerwinvera@hotmail.com
orlandom72@hotmail.com
26-01-18</t>
  </si>
  <si>
    <t>abogadoerwinvera@hotmail.com
29-01-18</t>
  </si>
  <si>
    <t>abogadodiaz1@gmail.com
26/01/18</t>
  </si>
  <si>
    <t>notificacionesjudiciales@cisa.gov.co
28/05/18</t>
  </si>
  <si>
    <t>haidy@giraldoabogados.net
30/01/18</t>
  </si>
  <si>
    <t>EXT18-00123850</t>
  </si>
  <si>
    <t>CON DOCUMENTOS FALTAN PODERES
EN EL ANEXO LA 568
(SE DA RESPUESTA MEDIANTE EL OFI17-00024814 14/07/17)A OFI18-00014760 16/04/18 L
MEDIANTE OFI18-00054935 SE DIO RESPUESTA AL EXT18-00123850  L.</t>
  </si>
  <si>
    <t>EXT18-00124278</t>
  </si>
  <si>
    <t>MEDIANTE OFI17-00037882 13/10/2017 SE DA RESPUESTA AL EXT17-00077036/A OFI18-00016332 25/04/18 LM
CORREO ELECTRONICO 16/08/18  L.
OFI18-00051446 21/11/18  L.
MEDIANTE OFI18-00054818 10/12/18 SE DA RESPUESTA AL EXT18-00124278  L.</t>
  </si>
  <si>
    <t xml:space="preserve">11 001 3343 058 2016 00457 00 </t>
  </si>
  <si>
    <t xml:space="preserve">11 001 3335 017 2016 00338 00
</t>
  </si>
  <si>
    <t>11 001 3343 064 2016 00664 00</t>
  </si>
  <si>
    <t>11 001 3343 064 2016 00543 00</t>
  </si>
  <si>
    <t>058 2016 00477 00</t>
  </si>
  <si>
    <t>11 001 3335 017 2016 00401 00</t>
  </si>
  <si>
    <t>JUZGADO TREINTA 
Y CINCO ADMINISTRATIVO ORAL DE BOGOTA-SECCION TERCERA</t>
  </si>
  <si>
    <t>EN EL ANEXO ES EL 381
PAGADA
(PENDIENTE ALGUNOS PAGOS DE MI PLANILLA)</t>
  </si>
  <si>
    <t>PAGADA
(PENDIENTE ALGUNOS PAGOS DE MI PLANILLA)</t>
  </si>
  <si>
    <t>900.151.443-1</t>
  </si>
  <si>
    <t>EXT18-00131043</t>
  </si>
  <si>
    <t>DAS- UNP como sucesor procesal</t>
  </si>
  <si>
    <t>DOCUMENTOS COMPLETOS PARA EL PAGO</t>
  </si>
  <si>
    <t>NO HAY</t>
  </si>
  <si>
    <t>NO</t>
  </si>
  <si>
    <t>NO SE NECESITA</t>
  </si>
  <si>
    <t>INCOMPLETA</t>
  </si>
  <si>
    <t>REVISAR</t>
  </si>
  <si>
    <t>23/01/2017
REVISAR</t>
  </si>
  <si>
    <t>EDGAR FERNANDO MUÑOZ LOZANO</t>
  </si>
  <si>
    <t>08 001 2333 000 2013 00159 01</t>
  </si>
  <si>
    <t>31/10/2018
08/11/2018
08/11/2018
19/12/2018</t>
  </si>
  <si>
    <t>oct-18
nov-18
nov-18
dic-18</t>
  </si>
  <si>
    <t>EXT18-00111673
EXT18-00114362
EXT18-00114390
EXT18-00132669</t>
  </si>
  <si>
    <t>CONTRALORIA GENERAL
POLICIA NACIONAL
FISCALIA GENERA DE LA NACION
JUZGADO</t>
  </si>
  <si>
    <t>INDICA QUE EL SR. NO ESTUVO VINCULADO EN LA PLANTA TRANSITORIA DAS DE ESA ENTIDAD.(CONTRALORIA)
REMITE RESPUESTA A OFI18-00045166
REMITE RESPUESTA A OFI18-00045166
LIBRA MANDAMIENTO DE PAGO</t>
  </si>
  <si>
    <t>EXT18-00129499</t>
  </si>
  <si>
    <t>TRASLADO DE EXCEPCIONES- PROCESO EJECUTIVO</t>
  </si>
  <si>
    <t>EXT18-00133845</t>
  </si>
  <si>
    <t>EXT18-00131591</t>
  </si>
  <si>
    <t>SENTENCIA DE SEGUNDA INSTANCIA</t>
  </si>
  <si>
    <t>EXT18-00130073</t>
  </si>
  <si>
    <t>NOTIFICA         AUTO LIBRA MANDAMIENTO DE PAGO</t>
  </si>
  <si>
    <t>EXT18-00128629</t>
  </si>
  <si>
    <t>REMITE FALLAS EXCEPCIONES</t>
  </si>
  <si>
    <t>EXT18-00128559</t>
  </si>
  <si>
    <t>EXT18-00126621</t>
  </si>
  <si>
    <t>EN EL ANEXO ES EL 501</t>
  </si>
  <si>
    <t>EXT18-00128492</t>
  </si>
  <si>
    <t>EXT18-00130294</t>
  </si>
  <si>
    <t>EXT18-00130437</t>
  </si>
  <si>
    <t>EXT18-00130032</t>
  </si>
  <si>
    <t>EXT18-00130436</t>
  </si>
  <si>
    <t>EXT18-00130573</t>
  </si>
  <si>
    <t>EXT18-00131467</t>
  </si>
  <si>
    <t>EXT18-00131251</t>
  </si>
  <si>
    <t>EXT18-00131620</t>
  </si>
  <si>
    <t>SOLICITUD DE PRELACION DE PAGO</t>
  </si>
  <si>
    <t>NO SE ENCUENTRA EN LOS ANEXOS
MEDIANTE OFI18-00038313 05/09/18 SE DA RESPUESTA AL EXT18-00079478  L.
RESPUESTA MEDIANTE OFI18-00046248  F.
MEDIANTE OFI18-00056258 SE DA RESPUESTA AL EXT18-00128492   L.</t>
  </si>
  <si>
    <t>EN EL ANEXO ES EL 371
OFI18-00050365  15/11/18
CORREO ELECTRONICO 15/11/18  L.
OFI18-00051445 21/11/18  L.
MEDIANTE OFI18-00056194 SE DA RESPUESTA AL EXT18-00126621  L.</t>
  </si>
  <si>
    <t>ES EL 278 EN E L ANEXO
SE D A RESPUESTA MEDIANTE OF18-00014806 17/04/18 E
OFI18-00025592 25/06/18 L
CORREO ELECTRONICO 16/08/18 L.
OFI18-00049776 09/11/18  L.
MEDIANTE OFI18-00056780 SE DA RESPUESTA AL EXT18-00131467   L.</t>
  </si>
  <si>
    <t>EN EL ANEXO ES EL 538
OFI18-00033567 13/08/18 L.
RESPUESTA MEDIANTE OFI1800048357  F.
MEDIANTE OFI18-00056849 SE DA RESPUESTA AL  EXT18-00131251   L.</t>
  </si>
  <si>
    <t>EXT18-00128934</t>
  </si>
  <si>
    <t>EXT18-00118995</t>
  </si>
  <si>
    <t>EXT18-00120743</t>
  </si>
  <si>
    <t>EXT18-00124590</t>
  </si>
  <si>
    <t>EXT18-00130519</t>
  </si>
  <si>
    <t>EXT18-00131046</t>
  </si>
  <si>
    <t>EXT18-00131727</t>
  </si>
  <si>
    <t>EXT18-00132323</t>
  </si>
  <si>
    <t>COMUNICA SENTENCIA DE SEGUNDA INSTANCIA</t>
  </si>
  <si>
    <t>COMUNICA CESION DE DERECHOS</t>
  </si>
  <si>
    <t>INFORME SOBRE PAGO DE SENTENCIA</t>
  </si>
  <si>
    <t>EXT18-00134852</t>
  </si>
  <si>
    <t>EXT18-00133756</t>
  </si>
  <si>
    <t>SOLICITUD DE INFORMACION SOBRE EL PAGO</t>
  </si>
  <si>
    <t>EXT18-00134283</t>
  </si>
  <si>
    <t>EXT18-00134286</t>
  </si>
  <si>
    <t>ALLEDA DOCUMENTOS</t>
  </si>
  <si>
    <t>EXT18-00134886</t>
  </si>
  <si>
    <t>JAVIER IGNACIO CASTRO MONSALVE</t>
  </si>
  <si>
    <t>EN EL ANEXO ES EL 480
CON EL OFI17-00036447 04/10/2017 SE DA RESPUESTA AL EXT17-00074885/A
MEDIANTE OFI18-00039203 10/09/18 SE DA RESPUESTA AL EXT18-00080238  L.</t>
  </si>
  <si>
    <t>06-11-2018
112242-2731
NO FIGURAN DEUDAS</t>
  </si>
  <si>
    <t>06-11-2018
112242-2729
NO FIGURAN DEUDAS</t>
  </si>
  <si>
    <t>15-02-2018
112242-00289
NO FIGURAN.
06-11-2018
112242-2730
NO FIGURAN DEUDAS</t>
  </si>
  <si>
    <t>01-02-2018
112242-0205
NO FIGURAN.
06-11-2018
112242-2730
NO FIGURAN DEUDAS</t>
  </si>
  <si>
    <t xml:space="preserve">PAGADA
VALOR POR RELIQUIDACION  A 30-09-2018 ES   $24.711.606
OFI18-00041846  24/09/18  L.
MEDIANTE OFI18-00056537 20/12/18 SE DA RESPUESTA AL EXT18-00130294 &amp; AL EXT18-00130437  L.
</t>
  </si>
  <si>
    <t>EXT19-00000390</t>
  </si>
  <si>
    <t>POR RELIQUIDACION
NO SE ENCUENTRA EN LOS ANEXOS</t>
  </si>
  <si>
    <t>POR RELIQUIDACION
NO SE ENCUENTRA EN LOS ANEXOS
MEDIANTE OFI18-00039029 SE DA RESPUESTA AL EXT18-00084901  F.
MEDIANTE OFI18-00042857 SE DA RESPUESTA A LOS EXT18-00091656;  EXT18-00093855; EXT18-00097293  F.</t>
  </si>
  <si>
    <t>POR RELIQUIDACION
EN EL ANEXO ES EL 206
PAGADA
OFI18-00031860 01/07/18
CORREO ELCTRÓNICO 01/08/18
MEDIANTE OFI18-00044575 09/10/18 SE DA RESPUESTA AL EXT18-00093757  L.
DESPUES DE HACER NUEVANMENTE LA RELIQUIDACION SE OBTUVO UN VALOR POR PAGAR DE $451.681 W.</t>
  </si>
  <si>
    <t>POR RELIQUIDACION
PAGADA</t>
  </si>
  <si>
    <t>POR RELIQUIDACION
PAGADA
SE DA RESPUESTA MEDIANTE OFI18-00018469 11/05/18 E OFI18-00022164 01/06/18 E 
"RELIQUIDACION
OFI18-00030641 26/07/18"
OFI18-00030641 26/07/18 L
MEDIANTE OFI18-00044554 09/10/18 SE DA RESPUESTA AL EXT18-00093752  L.
MEDIANTE OFI18-00056537 20/12/18 SE DA RESPUESTA AL EXT18-00130294 L.
MEDIANTE OFI18-00056537 20/12/18 SE DA RESPUESTA AL EXT18-00130437  L.</t>
  </si>
  <si>
    <t>POR RELIQUIDACION CAJA COMPENSACION FAMILIAR
PAGADA (PENDIENTE ALGUNOS PAGOS DE MI PLANILLA)
RESOLUCION 509/2014 POR EL DAS 
RESOLUCION DEPAGO No. 0546/15 $72.425.805 OP 244886315 02/09/15
SE SOLICITA PAGO DE LOS APORTES A LA CAJA DE COMPENSACION
OFI18-00047972 30/10/18  L.</t>
  </si>
  <si>
    <t>RELIQUIDACION
EN EL ANEXO ES EL  67
PAGADA
MEDIANTE OFI18-00056537 20/12/18 SE DIO RESPUESTA AL EXT18-00130294  L.
MEDIANTE OFI18-00056537 20/12/18 SE DA RESPUESTA AL EXT18-00130437  L.</t>
  </si>
  <si>
    <t>DIEGO JAIR VARGAS VEGA</t>
  </si>
  <si>
    <t>EXT19-00002586</t>
  </si>
  <si>
    <t>EXT19-00003955</t>
  </si>
  <si>
    <t>EXT19-00003962</t>
  </si>
  <si>
    <t>EXT19-00004584</t>
  </si>
  <si>
    <t>EXT19-00004797</t>
  </si>
  <si>
    <t>EJECUTIVO-AUTO DECLARA NULIDAD PROCESAL</t>
  </si>
  <si>
    <t>EN EL ANEXO ES LA 64
SE ALLEGAN DOCUMENTOS
SE DA RESPUESTA MEDIANTE OFI18-00011962 22/03/18 E</t>
  </si>
  <si>
    <t>EXT19-00005874</t>
  </si>
  <si>
    <t>SOLICITUD DE SOPORTES</t>
  </si>
  <si>
    <t>SOPORTE DE DOCUMENTOS</t>
  </si>
  <si>
    <t>EXT19-00006581</t>
  </si>
  <si>
    <t>EXT19-00006978</t>
  </si>
  <si>
    <t>EXT19-00008144</t>
  </si>
  <si>
    <t>AUTO ORDENA SEGUIR ADELANTE EJECUCION</t>
  </si>
  <si>
    <t>47 001 3333 001 2016 00401 01</t>
  </si>
  <si>
    <t>EXT19-00008376</t>
  </si>
  <si>
    <t>54 001 3333 001 2017 00466 01</t>
  </si>
  <si>
    <t>AUTO REVOCADO</t>
  </si>
  <si>
    <t>EXT19-00008664</t>
  </si>
  <si>
    <t>EXT19-00008728</t>
  </si>
  <si>
    <t>29-01-2019
1-09-242-448-435
NO PRESENTA DEUDA</t>
  </si>
  <si>
    <t>LIQUIDADO POR LTK CON EJECUTIVO O POR RELIQUIDACION</t>
  </si>
  <si>
    <t>LIQUIDADO POR NPA CON EJECUTIVO O POR RELIQUIDACION</t>
  </si>
  <si>
    <t>CON EMBARGO CON EJECUTIVO O POR RELIQUIDACION</t>
  </si>
  <si>
    <t>OTROS CON EJECUTIVO O POR RELIQUIDACION</t>
  </si>
  <si>
    <t>LIQUIDADO POR UNP CON EJECUTIVO O POR RELIQUIDACION</t>
  </si>
  <si>
    <t>PAGADA
CON MANDAMIENTO DE PAGO</t>
  </si>
  <si>
    <t>EXT19-00009544</t>
  </si>
  <si>
    <t>JULIO CESAR LOPEZ PIMIENTA</t>
  </si>
  <si>
    <t>EXT19-00004323</t>
  </si>
  <si>
    <t>JUZGADO QUINTO ADMINISTRATIVO DE DESGESTION DE CALI</t>
  </si>
  <si>
    <t>TRIBUNAL CONTENSIOSO ADMINISTRATIVO DE SAN ANDRES</t>
  </si>
  <si>
    <t>76 001 2331 000 2011 00334 01</t>
  </si>
  <si>
    <t>INCOMPLETOS</t>
  </si>
  <si>
    <t>EN EL ANEXO ES EL 258
SE BRINDA RESPUESTA MEDIANTE OFI19-00003630.</t>
  </si>
  <si>
    <t>76 001 3333 011 2018 00039 01</t>
  </si>
  <si>
    <t>EXT19-00007693</t>
  </si>
  <si>
    <t>EXT19-00010494</t>
  </si>
  <si>
    <t>ALFREDO ALEXIS APREZA SERRANO</t>
  </si>
  <si>
    <t>NO ESTA EN LOS ANEXOS</t>
  </si>
  <si>
    <t>08 001 2333 000 2016 00336 00</t>
  </si>
  <si>
    <t>TRIBUNAL ADMINISTRATIVO DEL ATLANTICO-SECCION B</t>
  </si>
  <si>
    <t>73 001 3333 010 2018 00134 00</t>
  </si>
  <si>
    <t>EXT19-00011126</t>
  </si>
  <si>
    <t>EXT19-00006970</t>
  </si>
  <si>
    <t>APORTA DOCUMENTOS SEGURIDAD SOCIAL</t>
  </si>
  <si>
    <t>EN EL ANEXO ES EL 544
OFI18-00048740 02/11/18  L.
SE BRINDA RESPUESTA MEDIANTE OFI19-00004571. FALTA SOPORTES EN SALUD</t>
  </si>
  <si>
    <t>TRIBUNAL DECLARA SUCESION PROCESAL
(SE DA RESPUESTA MEDIANTE OFI17-00031531 31/08/2017)A OFI17-00033418 14/09/2017)A OFI18-00022005 31/05/18 L
OFI18-00029061 17/07/18 L
OFI18-00033908 14/08/18 L
CORREO ELECTRÓNICO 27/08/18 L.
OFI18-00043460 02/10/18  L.
SE BRINDA RESPUESTA MEDIANTE OFI19-00004554</t>
  </si>
  <si>
    <t>CLAUDIA MUÑOZ PARRA</t>
  </si>
  <si>
    <t>JOSE LUIS HERRERA GOMEZ</t>
  </si>
  <si>
    <t>PEDRO RAMOS</t>
  </si>
  <si>
    <t>JAIME JOSE GRANADOS CRUZ</t>
  </si>
  <si>
    <t>JEISON PAVA REYES</t>
  </si>
  <si>
    <t>JHON ALEXANDER MARTINEZ MEJIA</t>
  </si>
  <si>
    <t>EXT19-00012313</t>
  </si>
  <si>
    <t>HECTOR FABIO GOMEZ LOPEZ</t>
  </si>
  <si>
    <t>DANIEL ALEXANDER OSPITIA CARRILLO</t>
  </si>
  <si>
    <t>JUZGADO 19 ADMINISTRATIVO DE BOGOTA</t>
  </si>
  <si>
    <t>NRD-REINTEGRO</t>
  </si>
  <si>
    <t>11 001 3335 019 2015 00273 01</t>
  </si>
  <si>
    <t>TRIBUNAL ADMINISTRATIVO DE CUNDINAMARCA-SECCION SEGUNDA</t>
  </si>
  <si>
    <t xml:space="preserve">EXT19-00004119 </t>
  </si>
  <si>
    <t>EXT19-00004119 
EXT19-00003205</t>
  </si>
  <si>
    <t>14/01/2019
15/01/2019</t>
  </si>
  <si>
    <t>ene-19
ene-19</t>
  </si>
  <si>
    <t xml:space="preserve">EN EL DECRETO ES EL 396
LA SENTENCIA NO FUE APELADA SEGÚN CONSTANCIA DEL JUZGADO ADMISION DEMANDA 14 DE JUNIO DE 2012 RADICACION DEMANDA 14 DE JUNIO DE 2012 (SEGÚN SENTENCIA) 
(SE DA RESPUESTA MEDIANTE OFI17-00005348 15/02/2017)A OFI17-00048130 27/12/17 L OFI18-00008480 01/03/18 E OFI18-00011265 16/03/18 L OIFI18-00012664 28/03/18 L
OFI19-00001864 SP
</t>
  </si>
  <si>
    <t>DERECHO DE PETICION
RELIQUIDACION-SOLICITUD DE INFORMACION ESTADO DEL PAGO
DERECHO DE PETICION
DERECHO DE PETICION</t>
  </si>
  <si>
    <t>EN EL ANEXO ES LA 162
(SE DA RESPUESTA MEDIANTE OFI17-00013661 18/04/17 Y OFI17-00009915 17/ OFI17-00016689 11/05/17)A
CORREO ELECTRÓNICO 28/06/18 L
OFI18-00050451 15/11/18  L.
CORREO ELECTRONICO 15/11/18  L.
SE RESPONDIO CON OFI19-00003415 SP</t>
  </si>
  <si>
    <t>EXT19-00006971</t>
  </si>
  <si>
    <t>REMITE DENUNCIA PENAL</t>
  </si>
  <si>
    <t>EN EL ANEXO ES LA 379
SE DA RESPUESTA MEDIANTE OFI16-00026545 28/06/16 G OFI16-00051331 05/12/16 G OFI16-00026545 28/06/18 G OFI17-00009562 15/03/17 G OFI17-00023136 29/06/17 G OFI18-00003077 24/01/18  N OFI18-00005749 12/02/18 L OFI18-00009652 08/03/18 E
CORREO ELECTRÓNICO 29/06/18 L
OFI18-00024652-19/06/2018-No aparece base de datos  N.
OFI18-00028324 12/07/18 L.
OFI18-00033572  13/08/18 L.
CORREO ELECTRONICO 14/08/18 L.
MEDIANTE OFI18-00042698 SE DA RESPUESTA AL EXT18-00091386  F.
SE RESPONDIO CON OFI19-00003807 SP.</t>
  </si>
  <si>
    <t>EXT19-00009101</t>
  </si>
  <si>
    <t>PODER Y MEMORIAL ENVIANDO LIQUIDACION Y SOLICITANDO LEVANTAMIENTO DE LA MEDIDA CAUTELAR</t>
  </si>
  <si>
    <t>EN EL ANEXO ES EL  211
SEGUNDA INSTANCIA REVOCA
(SE DA RESPUESTA MEDIANTE CORREO ELECTRONICO 21/07/17)A OFI18-00005043 07/02/18 A ACTA DE ENTREGA DE DOCUMENTACION 
SE RESPONDIO CON OFI19-00004550 SP.</t>
  </si>
  <si>
    <t>EXT19-00010784</t>
  </si>
  <si>
    <t>76 001 2333 005 2013 00473 01</t>
  </si>
  <si>
    <t>EXT19-00003205</t>
  </si>
  <si>
    <t>EXT19-00005052</t>
  </si>
  <si>
    <t>EXT19-00005878</t>
  </si>
  <si>
    <t>EXT19-00008123</t>
  </si>
  <si>
    <t>EXT19-00007874</t>
  </si>
  <si>
    <t>GJU-FT-16/V1</t>
  </si>
  <si>
    <t>EXT19-00010731</t>
  </si>
  <si>
    <t>EXT19-00011117</t>
  </si>
  <si>
    <t>NO SE ENCUENTRA EN LOS ANEXOS
OFI18-00047782 29/10/18 CORREO ELCTRONICO 31/10/18  L.
SE DIO RESPUESTA MEDIANTE  OFI19-00004965 Y OFI19-00004978.</t>
  </si>
  <si>
    <t>DAS supresion, UNP sucesor procesal</t>
  </si>
  <si>
    <t>SOLICITUD 
CUMPLIMIENTO
SENTENCIA</t>
  </si>
  <si>
    <t>08 001 2331 005 2011 00309 00</t>
  </si>
  <si>
    <t>DAS-MININTERIOR</t>
  </si>
  <si>
    <t>20 001 2315 000 2003 00752 00</t>
  </si>
  <si>
    <t>DAS-MININTERIOR-PONAL-EJERCITO</t>
  </si>
  <si>
    <t>DAS EN supresion</t>
  </si>
  <si>
    <t xml:space="preserve">EXT15-00004466
</t>
  </si>
  <si>
    <t>ACLARACION DE SENTENCIA</t>
  </si>
  <si>
    <t>REMITE DEMANDA</t>
  </si>
  <si>
    <t>REMITE CONCILIACION</t>
  </si>
  <si>
    <t>129201242-01-431-000705
11-02-2019.  NO FIGURAN</t>
  </si>
  <si>
    <t>REMITE PRONUNCIAMIENTO</t>
  </si>
  <si>
    <t xml:space="preserve">CARLOS ARTURO GOMEZ TRUJILLO.
RESOL. 0514/25-05-2017 -MODIFICADA POR LA RES. 1487 DEL 26-12-2017
</t>
  </si>
  <si>
    <t>JUAN GUILLERMO RIVERA GUERRERO</t>
  </si>
  <si>
    <t>11 001 3335 020 2013 00183 01</t>
  </si>
  <si>
    <t>JUZGADO VEINTE ADMINISTRATIVO DE ORALIDAD DE BOGOTA</t>
  </si>
  <si>
    <t>EXT15-00064108</t>
  </si>
  <si>
    <t>FIJA AUDIENCIA</t>
  </si>
  <si>
    <t>47 001 3333 001 2016 00345 00</t>
  </si>
  <si>
    <t>EN EL ANEXO ES LA 378
ALLEGA DOCUMENTOS  PARA LA LIQIUIDACIÓN QUE LA RELACION ES:08/06/2001 AL 11/12/2002 y  01/01/05 al 31/12/08
SE DA RESPUESTA MEDIANTE OFI18-00009892 09/03/18 L
CORREO ELECTRONICO 14/08/18 L.
OFI18-00043462 02/10/18   L.
RESPUESTA MEDIANTE OFI18-00048455  F.</t>
  </si>
  <si>
    <t>EXT18-00091647</t>
  </si>
  <si>
    <t>EXT17-00031121</t>
  </si>
  <si>
    <t>EXT17-00079038</t>
  </si>
  <si>
    <t>EXT17-00081424</t>
  </si>
  <si>
    <t>EXT18-00017818</t>
  </si>
  <si>
    <t>19-02-2019,  112242-269
NO FIGURAN DEUDAS</t>
  </si>
  <si>
    <t>EXT19-00012452</t>
  </si>
  <si>
    <t>ALLLEGA DOCUMENTOS</t>
  </si>
  <si>
    <t>EXT19-00016431</t>
  </si>
  <si>
    <t>NO SE ENCUENTRA EN LOS ANEXOS
AUTO QUE APRUEBA LIQUIDACION DE COSTAS 12-07-2018 
EJECUTIVO INSTAURADO POR EL SEÑOR RAMIRO GOMEZ PEREAÑEZ
RESPUESTA AL EXT19-00012452 MEDIANTE OFI19-00006979 EC.
RESPUESTA AL EXT19-00016431 MEDIANTE OFI19-00006975 EC.</t>
  </si>
  <si>
    <t>EN EL DECRETO ES EL No.191, LA CEDULA EN EL DTO. ES OTRA
(SE DA RESPUESTA MEDIANTE OFI17-00012728  07/04717)A OFI18-00003132 24/01/18 L OFI18-00009876 09/03/18 E
CORREO ELECTRONICO 10/08/18 L.
RESPUESTA AL EXT19-00013555 MEDIANTE OFI19-00006979 EC.</t>
  </si>
  <si>
    <r>
      <t xml:space="preserve">PAGADA  PARCIALMENTE
AL EXT15-00046146 SE DIO RESPUESTA CON EL OFI15-00032811 09/11/15, AL EXT15-00058876 SE DIO RESPUESTA MEDIANTE OFI15-00039429 28/12/15, MEM16-00000674 15/01/16 Y ORDEN DE PAGO 243804815 02/09/15  OFI18-00010602 14/03/18 L OFI18-00039493 E OFI18-00020094 21/05/2018 E
</t>
    </r>
    <r>
      <rPr>
        <b/>
        <sz val="9"/>
        <rFont val="Arial Narrow"/>
        <family val="2"/>
      </rPr>
      <t>OJO</t>
    </r>
    <r>
      <rPr>
        <sz val="9"/>
        <rFont val="Arial Narrow"/>
        <family val="2"/>
      </rPr>
      <t>: PAGADA SOLO A UNO DE LOS BENEFICIARIOS (SERGIO ANTONIO NUCCI)
RESPUESTA A EXT19-00009768 MEDIANTE OFI19-00006769  EC.</t>
    </r>
  </si>
  <si>
    <t>EXT17-00080519</t>
  </si>
  <si>
    <t>BERTHA CECILIA SERNA GUTIERREZ</t>
  </si>
  <si>
    <t>EXT17-00068510</t>
  </si>
  <si>
    <t>FALLA EN EL SERVICIO POR OMISION</t>
  </si>
  <si>
    <t>FALLA EN EL SERVICIO</t>
  </si>
  <si>
    <t>MUERTE DEL SEÑOR RICARDO LUIS OROZCO RODRIGUEZ POR PARTE DE GRUPO ARMADO</t>
  </si>
  <si>
    <t>FALLA EN EL SERVICIO- DAS- EXCESO DE VELOCIDAD</t>
  </si>
  <si>
    <t>76 001 3331 018 2008 00261 00</t>
  </si>
  <si>
    <t>08 001 3331 007 2011 00289 00</t>
  </si>
  <si>
    <t>11 001 3335 009 2014 00239 00</t>
  </si>
  <si>
    <t>11 001 3335 010 2014 00284 00</t>
  </si>
  <si>
    <t>11 001 3343 064 2016 00466 00</t>
  </si>
  <si>
    <t>11 001 3343 064 2016 00541 00</t>
  </si>
  <si>
    <t>81 001 2333 000 2013 00072 00</t>
  </si>
  <si>
    <t>11 001 3343 064 2016 00546 00</t>
  </si>
  <si>
    <t>08 001 3331 706 2013 00003 00</t>
  </si>
  <si>
    <t>11 001 3335 026 2014 00199 01</t>
  </si>
  <si>
    <t>11 001 3335 028 2014 00172 01</t>
  </si>
  <si>
    <t>11 001 3335 021 2013 00232 01</t>
  </si>
  <si>
    <t>08 001 2333 005 2014 01551 00</t>
  </si>
  <si>
    <t>11 001 3337 042 2015 00300 01</t>
  </si>
  <si>
    <t>15/07/2015
29/09/2016</t>
  </si>
  <si>
    <t>jul-15
sep-16</t>
  </si>
  <si>
    <t>TRIBUNAL
ABOGADO</t>
  </si>
  <si>
    <t>REMITE COMUNICACIÓN
ALLEGA DOCUMENTOS</t>
  </si>
  <si>
    <t>18/01/2016
03/05/2016</t>
  </si>
  <si>
    <t>ene-16
may-16</t>
  </si>
  <si>
    <t>EXT16-00003066
EXT16-00032979</t>
  </si>
  <si>
    <t>TRIBUNAL
ABOGADA</t>
  </si>
  <si>
    <t>REMITE FALLO
SOLICITUD DE PAGO</t>
  </si>
  <si>
    <t>EXT17-00083343</t>
  </si>
  <si>
    <t>EXT16-00020974</t>
  </si>
  <si>
    <t>EXT17-00074534</t>
  </si>
  <si>
    <t>EXT17-00084245</t>
  </si>
  <si>
    <t>EXT15-00021374</t>
  </si>
  <si>
    <t>EXT17-00043041</t>
  </si>
  <si>
    <t>EXT18-00098806</t>
  </si>
  <si>
    <t>EXT19-00009768</t>
  </si>
  <si>
    <t>EXT19-00013555</t>
  </si>
  <si>
    <t>EXT17-00064249</t>
  </si>
  <si>
    <t>EXT17-00039350</t>
  </si>
  <si>
    <t>TRIBUNAL ADMINISTRATIVO DE CUNDINAMARCA SECCION 
SEGUNDA SUBSECCION "D"</t>
  </si>
  <si>
    <t xml:space="preserve">TRIBUNAL ADMINISTRATIVO DE ANTIOQUIA </t>
  </si>
  <si>
    <t xml:space="preserve">TRIBUNAL ADMINISTRATIVO DE SUCRE SALA SEGUNDA DE DECISION ORAL  </t>
  </si>
  <si>
    <t>PROCURADURIA 74 JUDICIAL PARA ASUNTOS ADMINISTRATIVOS</t>
  </si>
  <si>
    <t>EN EL ANEXO ES EL 588 - 645</t>
  </si>
  <si>
    <t>EXT19-00016600</t>
  </si>
  <si>
    <t>EXT19-00015187</t>
  </si>
  <si>
    <t>EN EL ANEXO ES LA 494
(SE DA RESPUESTA MEDIANTE OFI17-00007194 28/02/17 Y OFI17-00012342 05/04/17)A
RESPUESTA AL EXT19-00015187 MEDIANTE OFI19-00007364 EC.</t>
  </si>
  <si>
    <t>EXT19-00014880</t>
  </si>
  <si>
    <t>SOLICITA INFORMACION PARA EL COBRO DE VIATICOS</t>
  </si>
  <si>
    <t>EXT19-00012865</t>
  </si>
  <si>
    <t>REMITE LIQUIDACION EN COSTAS</t>
  </si>
  <si>
    <t>SOLICITA INFORMACION ESTADO DEL PAGO</t>
  </si>
  <si>
    <t>REMITE TRASLADO</t>
  </si>
  <si>
    <t>SOLICITUD DE  INFORMACION ESTADO DEL PAGO</t>
  </si>
  <si>
    <t xml:space="preserve">PAGADA
PENDIENTE DEL LOS REEMBOLSOS
</t>
  </si>
  <si>
    <t>EN EL ANEXO ES EL 411</t>
  </si>
  <si>
    <t>EN EL ANEXO ES EL 553</t>
  </si>
  <si>
    <t>EN EL ANEXO ES EL 95</t>
  </si>
  <si>
    <t>ALLEGA
DOCUMENTACION COMPLETA</t>
  </si>
  <si>
    <t>CLAUDIA HERLEN MANRIQUE RIBERO</t>
  </si>
  <si>
    <t>DEYBY GUILLERMO ARAQUE ABRIL</t>
  </si>
  <si>
    <t>70 001 3333 004 2014 00130 01</t>
  </si>
  <si>
    <t xml:space="preserve">EN EL ANEXO ES EL 549
</t>
  </si>
  <si>
    <t>COLPENSIONES</t>
  </si>
  <si>
    <t>EXT16-00095428</t>
  </si>
  <si>
    <t xml:space="preserve">EXT16-00052282
</t>
  </si>
  <si>
    <t>830.095.213-0</t>
  </si>
  <si>
    <t>29-01-2019, 1-32-244-439-284, NO DEUDA
01-03-2019, 1-32-244-439-1395, NO DEUDA</t>
  </si>
  <si>
    <t>EXT19-00023604</t>
  </si>
  <si>
    <t>11 001 3335 014 2015 00347 01</t>
  </si>
  <si>
    <t>JUZGADO CATORCE ADMINISTRATIVO DE ORALIDAD DEL CIRCUITO DE BOGOTA</t>
  </si>
  <si>
    <t>TRIBUNAL ADMINISTRATIVO DE SANTANDER SUBSECCION DE DESCONGESTION</t>
  </si>
  <si>
    <t>GUILLERMO PINEDA RODRIGUEZ</t>
  </si>
  <si>
    <t>EXT19-00024435</t>
  </si>
  <si>
    <t>11 001 3335 011 2012 00219 01</t>
  </si>
  <si>
    <t xml:space="preserve">EN EL ANEXO ES EL 10
</t>
  </si>
  <si>
    <t>EXT15-00073563</t>
  </si>
  <si>
    <t>01-012-2015</t>
  </si>
  <si>
    <t>TRIBUNAL ADMINISTRATIVO DE CUNDINAMARCA SECCION SEGUNDA  SUBSECCIÓN "F"</t>
  </si>
  <si>
    <t>JUZGADO TERCERO ADMINISTRATIVO DE DESCONGESTION DEL CIRCUITO DE SINCELEJO SUCRE</t>
  </si>
  <si>
    <t>11 001 3335 022 2014 00104 01</t>
  </si>
  <si>
    <t>EXT19-00025808</t>
  </si>
  <si>
    <t>04-03-2019, 1.09.242.448.1262, NO FIGURAN DEUDAS
07-03-2019, 01-04-242-448-001970, NO FIGURAN DEUDAS</t>
  </si>
  <si>
    <t>07-03-2019,  01-04-242-448-001970, NO FIGURAN DEUDAS</t>
  </si>
  <si>
    <t>ANDERSON HARVEY CUELLAR PERDOMO</t>
  </si>
  <si>
    <t>EXT19-00026685</t>
  </si>
  <si>
    <t>11 001 3335 027 2013 00455 01</t>
  </si>
  <si>
    <t>JUZGADO VEINTISIETE ADMINISTRATIVO DEL CIRCUITO JUDICIAL DE BOGOTA</t>
  </si>
  <si>
    <t>12-09-2018, 117242448-1103, NO DEUDA
11-03-2019, 117242448-261, NO DEUDA</t>
  </si>
  <si>
    <t>08-03-2019, 1-11-244-439-0502, NO DEUDA</t>
  </si>
  <si>
    <t>08-03-2019, 1-11-244-439-0501, NO DEUDA</t>
  </si>
  <si>
    <t>08-03-2019, 1-11-244-439-0500, NO DEUDA</t>
  </si>
  <si>
    <t>07-03-2019, 1-11-244-439-0484, NO DEUDA</t>
  </si>
  <si>
    <t>23 001 3333 005 2018 00457 00</t>
  </si>
  <si>
    <t>EXT19-00026032</t>
  </si>
  <si>
    <t>11 001 3335 012 2014 00186 00</t>
  </si>
  <si>
    <t>JUZGADO DOCE ADMINISTRATIVO DE ORALIDAD DEL CIRCUITO DE BOGOTA- SECCION SEGUNDA</t>
  </si>
  <si>
    <t>EN EL ANEXO 1 ES LA 65  
ABOGADO ALLEGA DOCUMENTOS
NO APARECE EN EL DECRETO COMO IMPUESTA, PERO EN EL FALLO DEL TRIBUNAL ORDENA QUE EL SUCESOR PROCESAL ES LA UNP PARA REINTEGRO 
SEGÚN OFICIO EXT16-00073593 AGENCIA PAGO Y SEGÚN CORREO ELECTRONICO DEL 06 DE FEBRERO DE 2017 EL SEÑOR ES FUNCIONARIO
FUNCIONARIO PIDE EMOLUMENTOS
SE DA RESPUESTA MEDIANTE OFI18-00016077 24/04/18 E
No obstante, con respecto a HECTOR MAURICIO BRICEÑO PINZON no se proyecta la resolución, como quiera que según lo dispuesto por el Decreto No. 1303, figura en el anexo No. 1 para ser pagado por la ANDJE, quien ya le reconoció las prestaciones sociales hasta la supresión del DAS y tenido en cuenta que el fallo, la UNP dispuso tan solo el reintegro del funcionario.</t>
  </si>
  <si>
    <t>17 001 3333 003 2014 00070 00</t>
  </si>
  <si>
    <t>JUZGADO TERCERO ADMINISTRATIVO DEL CIRCUITO DE MANIZALEZ</t>
  </si>
  <si>
    <t>EXT19-00026525</t>
  </si>
  <si>
    <t>LUZ MARINA MONSALVE GALLEGO (fallecida)  Y OTROS
JEINY JICETH APONTE MONSALVE
AURA GISELA APONTE MONSALVE</t>
  </si>
  <si>
    <t>EXT19-00024425</t>
  </si>
  <si>
    <t>EXT19-00025075</t>
  </si>
  <si>
    <t>SOLICITUD ESTADO DEL PAGO</t>
  </si>
  <si>
    <t>EXT19-00026508</t>
  </si>
  <si>
    <t>EXT19-00025152</t>
  </si>
  <si>
    <t>EXT19-00025026</t>
  </si>
  <si>
    <t>EXT19-00024781</t>
  </si>
  <si>
    <t>ESTADO DEL PAGO</t>
  </si>
  <si>
    <t>EXT18-00068444
EXT19-00013555
EXT19-00026606</t>
  </si>
  <si>
    <t>23/07/2018
08/02/2019
7/03/2019</t>
  </si>
  <si>
    <t>jul-18
feb-19
mar-19</t>
  </si>
  <si>
    <t>BENEFICIARIO
BENEFICIARIO 
BENEFICIARIO</t>
  </si>
  <si>
    <t>DERECHO DE PETICION
SOLICITA INFORMACION ESTADO DE PAGO
ALLEGA DOCUMENTOS</t>
  </si>
  <si>
    <t>EXT19-00026302</t>
  </si>
  <si>
    <t>SOLICITUD ESTADO PAGO</t>
  </si>
  <si>
    <t>EXT19-00026063</t>
  </si>
  <si>
    <t>EXT19-00026033</t>
  </si>
  <si>
    <t>EXT19-00026030</t>
  </si>
  <si>
    <t>EXT19-00026021</t>
  </si>
  <si>
    <t>10-09-2018, 1.09.242.448.5450, NO DEUDA
11-03-2019, 1,09,242,448-1369, NO DEUDA, SEBASTIAN EDUARDO
10-09-2018, 1.09.242.448.5450, NO DEUDA
05-09-2018, 100224333-1586, NO DEUDA.  JULIAN ALEJRADR</t>
  </si>
  <si>
    <t>EXT19-00027077</t>
  </si>
  <si>
    <t>06-03-2019, 1,09,242,448-1353, NO DEUDA</t>
  </si>
  <si>
    <t>JORGE EDUARDO RAMIREZ POLOCHE</t>
  </si>
  <si>
    <t>12-03-2019, 102244439-00026, NO DEUDA</t>
  </si>
  <si>
    <t>11-03-2019, 1-11-244-439-0517, NO DEUDA</t>
  </si>
  <si>
    <t>12-03-2019, 112242-441, NO DEUDA</t>
  </si>
  <si>
    <t>20-03-2019, 110242448-0668, NO DEUDA</t>
  </si>
  <si>
    <t>21-03-2019, 129201242-01-807-001658, NO DEUDA</t>
  </si>
  <si>
    <t>11-03-2019, 01-04-242-448-002116, NO DEUDA</t>
  </si>
  <si>
    <t>14-03-2019, 1-32-244-439-2252, NO DEUDA</t>
  </si>
  <si>
    <t>14-03-2019, 107242448-000910, NO DEUDA</t>
  </si>
  <si>
    <t>14-03-2019, 1-32-244-439-2251, NO DEUDA</t>
  </si>
  <si>
    <t>14-03-2019, 1-32-244-439-2250, NO DEUDA</t>
  </si>
  <si>
    <t>14-03-2019, 1-32-244-439-2249, NO DEUDA</t>
  </si>
  <si>
    <t>19-03-2019, 01-04-242-448-002433, NO DEUDA</t>
  </si>
  <si>
    <t>19-03-2019, 01-04-242-448-002434, NO DEUDA</t>
  </si>
  <si>
    <t>19-03-2019, 01-04-242-448-002435, NO DEUDA</t>
  </si>
  <si>
    <t>POR RELIQUIDACION
PAGADA
MEDIANTE OFI18-00044576 09/10/18  SE DA RESPUESTA AL EXT18-00093748  L.
MEDIANTE OFI18-00056537 20/12/18 SE DA RESPUESTA AL EXT18-00130294 , EXT18-00130437,  EXT18-00130032  &amp;  EXT18-00130436  L.
SE RESPONPIO EL EXT19-00016599 POR MEDIO DEL  OFI19-0008527 EC</t>
  </si>
  <si>
    <t>EXT19-00016599</t>
  </si>
  <si>
    <t>PRESENTA QUEJA</t>
  </si>
  <si>
    <t>EXT19-00020265</t>
  </si>
  <si>
    <t xml:space="preserve">EXT18-00062796
EXT18-00088591
EXT18-00097617
</t>
  </si>
  <si>
    <t xml:space="preserve">jul-2018
sep-2018
sep-18
</t>
  </si>
  <si>
    <t xml:space="preserve">09/07/2018
10/09/2018
27/09/2018
</t>
  </si>
  <si>
    <t>HERMES LUIS MARTINEZ DUEÑAS</t>
  </si>
  <si>
    <t>EXT19-00031369</t>
  </si>
  <si>
    <t>08 001 2333 000 2013 00074 01</t>
  </si>
  <si>
    <t>EXT19-00032140</t>
  </si>
  <si>
    <t>LEONARDO BELTRAN CASTRO</t>
  </si>
  <si>
    <t>EXT19-00033881</t>
  </si>
  <si>
    <t>11 001 3335 020 2015 00251 01</t>
  </si>
  <si>
    <t>EXT19-00028637</t>
  </si>
  <si>
    <t>NOTIFICA SENTECIA</t>
  </si>
  <si>
    <t>11 001 3335 014 2014 00190 01</t>
  </si>
  <si>
    <t>JUZGADO CATORCE ADMINISTRATIVO DE ORALIDAD DE BOGOTA</t>
  </si>
  <si>
    <t>PRIMA DE RIESGO</t>
  </si>
  <si>
    <t>EXT19-00033592</t>
  </si>
  <si>
    <t>EXT19-00022985</t>
  </si>
  <si>
    <t>NO SE ENCUENTRA EN LOS ANEXOS
MEDIANTE OFI18-00038994  DEL 10/SEP/2018, SE DA RESPUESTA AL EXT18-00084900  F.
SE DIO RESPUESTA AL EXT19-00022985 MEDIANTE OFI19-00009494</t>
  </si>
  <si>
    <t>EXT19-00024231</t>
  </si>
  <si>
    <t>NO SE ENCUENTRA EN LOS ANEXOS
SE DIO RESPUESTA AL EXT19-00024231 MEDIANTE EL OFI19-00009563</t>
  </si>
  <si>
    <t>ALLEGA SOLITUD DE PAGO</t>
  </si>
  <si>
    <t>EXT19-00028077</t>
  </si>
  <si>
    <t>JAVIER ERNESTO GARCIA LARA</t>
  </si>
  <si>
    <t>EXT18-00132398</t>
  </si>
  <si>
    <t>EXT19-00028144</t>
  </si>
  <si>
    <t>66 001 2333 000 2014 00233 00</t>
  </si>
  <si>
    <t>TRIBUNAL DE LO CONTENCIOSO ADMINISTRATIVO DE RISARALDA</t>
  </si>
  <si>
    <t>COMUNICA SENTENCIA UNICA INSTANCIA</t>
  </si>
  <si>
    <t>MARIA ELENA VILLANUEVA SANTOS</t>
  </si>
  <si>
    <t>ALBERTO MUÑOZ CALVACHE</t>
  </si>
  <si>
    <t>MOTIVO FECHA DE PAGO</t>
  </si>
  <si>
    <t>85.731.917
105.912.023</t>
  </si>
  <si>
    <t>286741915
55411919</t>
  </si>
  <si>
    <t>7/10/2015
18/03/2019</t>
  </si>
  <si>
    <t>oct-15
mar-19</t>
  </si>
  <si>
    <t>NO REQUIERE POR MONTO</t>
  </si>
  <si>
    <t>0319-2019</t>
  </si>
  <si>
    <t>ELKIN JOSE ARCINIEGAS RADA</t>
  </si>
  <si>
    <t>$ 35.251.294
$ 4.092.694
(COLPENSIONES)
$ 4.142.632</t>
  </si>
  <si>
    <t>0329-2019</t>
  </si>
  <si>
    <t>0729/2016
0351-2019</t>
  </si>
  <si>
    <t>$ 163.455.478
$ 158.815.609</t>
  </si>
  <si>
    <t>302733716
62351019</t>
  </si>
  <si>
    <t>24/10/2016
22/03/2019</t>
  </si>
  <si>
    <t>oct-16
mar-19</t>
  </si>
  <si>
    <t>14-02-2019, 124201242-158, NO DEUDA</t>
  </si>
  <si>
    <t>0548/2017
0335/2019</t>
  </si>
  <si>
    <t>$ 145.431.798
$ 161.138.050</t>
  </si>
  <si>
    <t>154456817
64868019</t>
  </si>
  <si>
    <t>13/06/2017
26-03-2019</t>
  </si>
  <si>
    <t>13/06/2017
26/03/2019</t>
  </si>
  <si>
    <t>jun-17
mar-19</t>
  </si>
  <si>
    <t>SENTENCIAJUSTA@HOTMAIL.COM
29/01/18</t>
  </si>
  <si>
    <t>14-02-2019, 124201242-157, NO DEUDAS</t>
  </si>
  <si>
    <t>0549/2017
0335/2019</t>
  </si>
  <si>
    <t xml:space="preserve">MEM17-00007542 05/06/2017
</t>
  </si>
  <si>
    <t>$ 76.000.865
$ 86.368.799</t>
  </si>
  <si>
    <t>154471417
64875619</t>
  </si>
  <si>
    <t>0555/2017
0335/2019</t>
  </si>
  <si>
    <t>$ 46.524.984
$ 53.510.349</t>
  </si>
  <si>
    <t xml:space="preserve">$ 46.524.984
</t>
  </si>
  <si>
    <t>154505117
64893019</t>
  </si>
  <si>
    <t>0361-2019</t>
  </si>
  <si>
    <t>0366-2019</t>
  </si>
  <si>
    <t>0369-2019</t>
  </si>
  <si>
    <t>0364-2019</t>
  </si>
  <si>
    <t>$ 222.862.628
$ 109.852.578
$ 117.587.597
$ 120.323.830</t>
  </si>
  <si>
    <t>66980219
66991019
67002719
67009519</t>
  </si>
  <si>
    <t>29/03/2019
29/03/2019
29/03/2019
29/03/2019</t>
  </si>
  <si>
    <t>mar-19
mar-19
mar-19
mar-19</t>
  </si>
  <si>
    <t>0375-2019</t>
  </si>
  <si>
    <t>0365-2019</t>
  </si>
  <si>
    <t>0380-2019</t>
  </si>
  <si>
    <t>1542/17
0216/2019</t>
  </si>
  <si>
    <t>$ 125.840.254
$ 140.535.079</t>
  </si>
  <si>
    <t>2991318
43886819</t>
  </si>
  <si>
    <t>15/01/2018
06-03-2019</t>
  </si>
  <si>
    <t>ene-18
mar-19</t>
  </si>
  <si>
    <t>fasj@hotmail.com
30/01/18</t>
  </si>
  <si>
    <t>0223-2019</t>
  </si>
  <si>
    <t>ANA MARIA CASTAÑO VELEZ</t>
  </si>
  <si>
    <t>EXT19-00035761</t>
  </si>
  <si>
    <t>JULIAN CORTES JIMENEZ Y OTROS
BERTHA GLADYS CORTES
JHUAS SMITH CORTES SALAZAR
SANDRA MILENA CORTES JIMENEZ
VIVIANA CORTES JIMENEZ
ELIANA CORTES JIMENEZ</t>
  </si>
  <si>
    <t>LESIONES CAUSADAS POR ACCIDENTE DE TRANSITO</t>
  </si>
  <si>
    <t>EXT19-00015252</t>
  </si>
  <si>
    <t>SOLICITUD DE PAGO NUEVA</t>
  </si>
  <si>
    <t>EXT19-00020020</t>
  </si>
  <si>
    <t>EXT19-00029425</t>
  </si>
  <si>
    <t>EXT18-0035620</t>
  </si>
  <si>
    <t>EXT19-00000333</t>
  </si>
  <si>
    <t>EXT19-00008057</t>
  </si>
  <si>
    <t>EXT19-0007482</t>
  </si>
  <si>
    <t>EXT19-00013571</t>
  </si>
  <si>
    <t>EXT19-00011591</t>
  </si>
  <si>
    <t>SOLICITA SALDO PAGO</t>
  </si>
  <si>
    <t>16/07/2018
10/08/2018
11-02-2019</t>
  </si>
  <si>
    <t>jul-2018
ago-2018
feb-19</t>
  </si>
  <si>
    <t>EXT18-00065716
EXT18-00076333
EXT19-00014485</t>
  </si>
  <si>
    <t>JUZGADO SEXTO ADMINISTRATIVO DE CALI
JUZGADO SEXTO ADMINISTRATIVO DE CALI
ABOGADO</t>
  </si>
  <si>
    <t>EJECUTIVO
REMITE ESTADO
ALLEGA DOCUMENTOS</t>
  </si>
  <si>
    <t>EXT19-00014485</t>
  </si>
  <si>
    <t>EXT19-00016878</t>
  </si>
  <si>
    <t>EXT19-00020813</t>
  </si>
  <si>
    <t>EXT19-00020820</t>
  </si>
  <si>
    <t>EXT19-00026606</t>
  </si>
  <si>
    <t>EXT19-00026888</t>
  </si>
  <si>
    <t>EXT18-00082005
EXT18-00089901
EXT19-00029095</t>
  </si>
  <si>
    <t>24/08/2018
11-09-2018
14-03-2019</t>
  </si>
  <si>
    <t>ago-2018
sep-2018
mar-19</t>
  </si>
  <si>
    <t>ABOGADO
ABOGADA
ABOGADA</t>
  </si>
  <si>
    <t>SOLCITUD INFORMCACION ESTADO DE PAGO
SOLCITUD INFORMACION ESTADO DE PAGO
SOLICITUD DE INFORMACION</t>
  </si>
  <si>
    <t>EXT19-00029095</t>
  </si>
  <si>
    <t>EXT19-00027702</t>
  </si>
  <si>
    <t>EXT19-00030458</t>
  </si>
  <si>
    <t>EXT19-00030440</t>
  </si>
  <si>
    <t>EXT19-00028119</t>
  </si>
  <si>
    <t>EXT19-00031001</t>
  </si>
  <si>
    <t>14/12/2018
14/02/2019
19-03-2019</t>
  </si>
  <si>
    <t>dic-18
feb-19
mar-19</t>
  </si>
  <si>
    <t>EXT19-00029179</t>
  </si>
  <si>
    <t>EXT19-00032282</t>
  </si>
  <si>
    <t>EXT19-00030196</t>
  </si>
  <si>
    <t>EXT19-00030333</t>
  </si>
  <si>
    <t>EXT19-00031528</t>
  </si>
  <si>
    <t>EXT19-00034581</t>
  </si>
  <si>
    <t>SOLICITUD ESTADO PAGO_PRIORIZAR</t>
  </si>
  <si>
    <t>EXT19-00033904</t>
  </si>
  <si>
    <t>EXT19-00034424</t>
  </si>
  <si>
    <t>EXT19-00034881</t>
  </si>
  <si>
    <t>ALLEGA INFORMACION</t>
  </si>
  <si>
    <t>EXT19-00033876</t>
  </si>
  <si>
    <t>EXT19-00037139</t>
  </si>
  <si>
    <t>EXT19-00037992</t>
  </si>
  <si>
    <t>EXT19-00037997</t>
  </si>
  <si>
    <t>EXT19-00038153</t>
  </si>
  <si>
    <t>JUAN BAUTISTA CAMACHO SAGANOME</t>
  </si>
  <si>
    <t>73 001 3333 009 2014 00328 01</t>
  </si>
  <si>
    <t>66 001 3331 000 2013 00114 00</t>
  </si>
  <si>
    <t>EXT19-00031265</t>
  </si>
  <si>
    <t>JUZGADO NOVENO ADMINISTRATIVO ORAL DEL CIRCUITO DE IBAGUE</t>
  </si>
  <si>
    <t>EXT19-00039055</t>
  </si>
  <si>
    <t>EXT19-00039051</t>
  </si>
  <si>
    <t>EDWIN HUMBERTO LASSO VELASQUEZ</t>
  </si>
  <si>
    <t xml:space="preserve">76 001 2331 000 2011 01477 01 </t>
  </si>
  <si>
    <t>EN EL ANEXO ES EL 257</t>
  </si>
  <si>
    <t>EXT19-00035679</t>
  </si>
  <si>
    <t>EXT19-00035882</t>
  </si>
  <si>
    <t>EXT19-00035678</t>
  </si>
  <si>
    <t>11 001 3331 020 2011 00445 01</t>
  </si>
  <si>
    <t>CONSEJO DE ESTADO SALA DE LO CONTENCIOSO ADMINISTRATIVO SECCION SEGUNDA - SUBSECCION  A</t>
  </si>
  <si>
    <t xml:space="preserve">PAGADA
SE TRAMITA ACTUALMENTE  INCIDENTE DE LIQUIDACION DE SENTENCIA
CORREO ELECTRONICO 23/08/18  L.
MEDIANTE OFI18-00043357 SE DA RESPUESTA AL  EXT18-00092539   F.
INCIDENTE DE LIQUIDACION
MEDIANTE OFI18-00046501 22/10/18  SE DA RESPUESTA AL EXT18-00099767  L.
SE RESPONDE CON OFI19-00003382 SP.
El pago de la obligación se efectúa en cumplimiento a la liquidación efectuada por la contadora adscrita al Juzgado dentro del incidente de liquidación bajo régimen (Ley 1437 de 2010), la cual arroja una suma menor a la liquidación de la Sentencia por CCA.  </t>
  </si>
  <si>
    <t>MARCOS CAMPO VARGAS</t>
  </si>
  <si>
    <t>EXT19-00042055</t>
  </si>
  <si>
    <t>76 001 2333 000 2012 00286 01</t>
  </si>
  <si>
    <t>TRIBUNAL ADMINISTRATIVO DEL VALLE DE CAUCA</t>
  </si>
  <si>
    <t>EN EL ANEXO ES EL 268</t>
  </si>
  <si>
    <t>PAGADA / EN EL ANEXO ES EL 415
(SE DA RESPUESTA MEDIANTE OFI17-00003671  03/02/17 Y OFI17-00005295 15/02/17 Y OFI17-00011428 30/03/17)A
MEDIANTE OFI18-00044302 SE DA RESPUESTA AL  EXT18-00094090   F.
PENDIENTE POR EFECTUAR APORTES A PENSION
EL PAGO POR $12.171.900 SE REALIZÓ EL DIA 24-12-2018 R.O.</t>
  </si>
  <si>
    <t>SE DECLARA RESPONSABILIDAD PATRIMONIAL POR LA MUERTE DEL SEÑOR CARLOS ALBERTO WANER VALENCIA, QUIEN SE DESEMPEÑABA COMO CONCEJAL DE TULUA</t>
  </si>
  <si>
    <t>11 001 3335 011 2014 00208 00</t>
  </si>
  <si>
    <t>NRD-CONTRATO REALIDAD-PRIMA DE RIESGO</t>
  </si>
  <si>
    <t>EN EL ANEXO ES EL 596-653</t>
  </si>
  <si>
    <t>EN EL ANEXO ES LA 362 
ALLEGA DOCUMENTOS
SE SOLICITA LEVANTAMIENTO DE MEDIDAS MEDIANTE OFI18-00002711 23/03/18 LM
CUMPLIMIENTO AUTO DE FECHA 19 DE JUNIO DE 2018 Y SOLICITUD DE TERMINACION DEL PROCESO POR PAGO TOTAL, MEDIANTE  OFI18-00029449 L.
Mediante OFI19-00015581 del 23 de abril de 2019, se solicita la terminación del proceso ejecutivo No. 2017-00107, con fundamento en la Resolución de pago No. 0216 del 226/02/2018. E.C.</t>
  </si>
  <si>
    <t>EN EL ANEXO ES LA 515 
SE DA RESPUESTA MEDIANTE OFI18-00008480 01/03/18 E OFI18-00011265 16/03/18 L  OFI18-00022622 05/06/18 L 
Mediante OFI19-00015348 del 17/04/2019 se informa el estado actual del pago. Se informa que se efectua tal cual lo dispuso la sentencia judicial. E.C.</t>
  </si>
  <si>
    <t>POR RELIQUIDACION
PAGADA
(PENDIENTE LO DE FONDO DE PENSIONES)
Mediante OFI19-00015649 del 23 de abril de 2019, se solicita al Juzgado Segundo Administrativo de bucaramanga la terminación del proceso por pago total, en acatamiento del auto de mandamiento de pago que igualmente fue confirmado por el Tribunal Administrativo de Santander. E.C.</t>
  </si>
  <si>
    <t>EXT19-00038289</t>
  </si>
  <si>
    <t>SOLICITUD ESTADO DE PAGO</t>
  </si>
  <si>
    <t>EXT19-00035929</t>
  </si>
  <si>
    <t>EN EL ANEXO ES EL 114
Mediante OFI19-00015255 del 16/04/2019 se informa que dichos documentos se incorporarán al expediente. E.C.</t>
  </si>
  <si>
    <r>
      <t xml:space="preserve">EDWIN FERNEY URREGO GOEZ Y OTROS
BIBIANA MARIA HENAO MIRA
NATALIA ANDREA URREGO HENAO
SEBASTIAN URREGO HENAO
MARIA CAMILA URREGO HENAO
ARGEMIRO URREGO MORENO- </t>
    </r>
    <r>
      <rPr>
        <b/>
        <sz val="9"/>
        <rFont val="Arial Narrow"/>
        <family val="2"/>
      </rPr>
      <t>FALLECÍO</t>
    </r>
    <r>
      <rPr>
        <sz val="9"/>
        <rFont val="Arial Narrow"/>
        <family val="2"/>
      </rPr>
      <t xml:space="preserve">
LUZ ASCENSION GOEZ DE URREGO
JUDITH PATRICIA URREGO GOEZ
GIOVANNI ALBEIRO URREGO GOEZ
YULIETH ARLEY URREGO GOEZ
DEVIE INES URREGO GOEZ
DIANA FAISURY URREGO GOEZ</t>
    </r>
  </si>
  <si>
    <t>0553-19</t>
  </si>
  <si>
    <t>0569-19</t>
  </si>
  <si>
    <t>$ 103.055.129
(DR.JOSE ALIRIO JIMENEZ)
$ 15.915.744
(PROTECCION)
$116.188.307</t>
  </si>
  <si>
    <t>0788/15
0567-19</t>
  </si>
  <si>
    <t>$123.219.546
$216.817.292</t>
  </si>
  <si>
    <t>0721/2016
0568-19</t>
  </si>
  <si>
    <t>$44.950.819
$26.911.735</t>
  </si>
  <si>
    <t>0565-19</t>
  </si>
  <si>
    <t>0559-19</t>
  </si>
  <si>
    <t>0560-19</t>
  </si>
  <si>
    <t>0561-19</t>
  </si>
  <si>
    <t>790/2015
0562-19</t>
  </si>
  <si>
    <t>$41.608.138
$32.603.434</t>
  </si>
  <si>
    <t>0563-19</t>
  </si>
  <si>
    <t>0564-19</t>
  </si>
  <si>
    <t>0558-19</t>
  </si>
  <si>
    <t>0789-15
0552-19</t>
  </si>
  <si>
    <t>$1.805.756
$93.476.005</t>
  </si>
  <si>
    <t>0554-19</t>
  </si>
  <si>
    <t>0555-19</t>
  </si>
  <si>
    <t>0533-15</t>
  </si>
  <si>
    <t>0557-19</t>
  </si>
  <si>
    <t>EL SUCESOR PROCESAL FUE MIGRACION COLOMBIA
NO  SE ENCUENTRA EN LOS ANEXOS
JUZGADO DECRETA SUCESION PROCESAL
SE DA RESPUESTA MEDIANTE OFI17-00022685 27/06/17 G</t>
  </si>
  <si>
    <t>0656-15
0318-19</t>
  </si>
  <si>
    <t>873/2015
0320-2019</t>
  </si>
  <si>
    <t>EXT19-00037842</t>
  </si>
  <si>
    <t>EXT19-00043205</t>
  </si>
  <si>
    <t>EXT19-00043198</t>
  </si>
  <si>
    <t>NO APARECE EN EL anexo 4, pero si en el anexo 1, EL TRIBUNAL VINCULA A LA UNP Y A LA AGENCIA
OFI18-00024878 20/06/18.
INFORMATIVO 05/07/18
OFI18-00024528   - RECURSO REPOSICION
OFI18-00024148-15/06/201/ Decreto 1303-No 304 ANDJE
MEDIANTE OFI18-00053632 SE DA RESPUESTA AL  EXT18-00122719  L.
Auto deja sin efecto providencia. 24-04-19</t>
  </si>
  <si>
    <t>EXT19-00035642</t>
  </si>
  <si>
    <t>EXT19-00034070</t>
  </si>
  <si>
    <t>EXT19-00034998</t>
  </si>
  <si>
    <t>EXT19-00040359</t>
  </si>
  <si>
    <t>AUTO QUE ORDENA SEGUIR ADELANTE LA EJECUCION</t>
  </si>
  <si>
    <t xml:space="preserve">EXT19-00035679 </t>
  </si>
  <si>
    <t>EXT19-00036896</t>
  </si>
  <si>
    <t>EXT19-00012379</t>
  </si>
  <si>
    <t>EXT19-00012444</t>
  </si>
  <si>
    <t>EXT19-00012458</t>
  </si>
  <si>
    <t>EXT19-00013998</t>
  </si>
  <si>
    <t>EXT19-00014945</t>
  </si>
  <si>
    <t>EXT19-00022549</t>
  </si>
  <si>
    <t>EXT19-00034066</t>
  </si>
  <si>
    <t>EXT18-00130437
EXT19-00016599
EXT19-00031001
EXT19-00035246</t>
  </si>
  <si>
    <t>DERECHO DE PETICION
PRESENTA QUEJA  
ALLEGA PAZ  Y SALVO
ALLEGA DOCUMENTOS</t>
  </si>
  <si>
    <t>EXT19-00035246</t>
  </si>
  <si>
    <t>EXT19-00035634</t>
  </si>
  <si>
    <r>
      <t xml:space="preserve">ESTEFANA RODRIGUEZ AGUILAR Y OTROS
JORGE ARMANDO CÁRDENAS RODRÍGUEZ
MAYRA ALEJANDRA CARDENAS RODRÍGUEZ
MERCEDES CARDENAS RODRÍGUEZ
MILLER FABIÁN CARDENAS RODRÌGUEZ  - </t>
    </r>
    <r>
      <rPr>
        <b/>
        <sz val="9"/>
        <rFont val="Arial Narrow"/>
        <family val="2"/>
      </rPr>
      <t>FALLECÍO</t>
    </r>
    <r>
      <rPr>
        <sz val="9"/>
        <rFont val="Arial Narrow"/>
        <family val="2"/>
      </rPr>
      <t xml:space="preserve">
PATRICIA CARDENAS RODRÍGUEZ
SANTIAGO CARDENAS RODRIGUEZ (HIJO DE ESTEFANA RODRIGUEZ)</t>
    </r>
  </si>
  <si>
    <t>EXT19-00040460</t>
  </si>
  <si>
    <t>VICTOR JULIO DURAN CRIADO</t>
  </si>
  <si>
    <t>05 001 3333 004 2014 01022 01</t>
  </si>
  <si>
    <t>TRIBUNAL ADMINISTRATIVO DE ANTIOQUIA-SALA PRIMERA DE ORALIDAD</t>
  </si>
  <si>
    <t>JUZGADO CUARTO ADMINISTRATIVO DEL CIRCUITO DE MEDELLIN</t>
  </si>
  <si>
    <t>09-04-2019, 129201242-01-954-002083, NO DEUDA</t>
  </si>
  <si>
    <t>09-04-2019,  129201242-01-955-002082, NO DEUDA</t>
  </si>
  <si>
    <t>29-05-2018, 110242448-001223, NO FIGURAN
06-05-2019, 110242448-1031, NO DEUDAS</t>
  </si>
  <si>
    <t>0373-2019</t>
  </si>
  <si>
    <t>0546/15
0367-19</t>
  </si>
  <si>
    <t>$ 72.425.805
$ 8.959.400</t>
  </si>
  <si>
    <t>244886315
76002319</t>
  </si>
  <si>
    <t>2/09/2015
04/04/2019</t>
  </si>
  <si>
    <t>sep/15
abr/19</t>
  </si>
  <si>
    <t>0362-2019</t>
  </si>
  <si>
    <t>EXT19-00039057</t>
  </si>
  <si>
    <t xml:space="preserve">JUZGADO CINCUENTA Y CUATRO ADMINISTRATIVO DE BOGOTA
</t>
  </si>
  <si>
    <t>NOTIFICA AUTO LIBRA  MANDAMIENTO DE PAGO</t>
  </si>
  <si>
    <t>EXT19-00048311</t>
  </si>
  <si>
    <t>07-05-2019, 122242448-221561,  NO DEUDAS</t>
  </si>
  <si>
    <t>05 001 3331 011 2012 00425 00</t>
  </si>
  <si>
    <t>TRIBUNAL ADMINISTRATIVO DE ANTIOQUIA SALA QUINTA DE DECISION</t>
  </si>
  <si>
    <t>dic-15
dic-15
abr-19</t>
  </si>
  <si>
    <t>0655-15
0556-19</t>
  </si>
  <si>
    <t>$ 57.243.496
(DR. Eder Enrique diaz)
$12.197.716</t>
  </si>
  <si>
    <t>286723615
(DR. EDER ENRIQUE DIAZ OCHOA)
98506719</t>
  </si>
  <si>
    <t>07/10/2015
(DR. EDER ENRIQUE DIAZ OCHOA)
26-04-2019</t>
  </si>
  <si>
    <t>oct-15
abr-19</t>
  </si>
  <si>
    <t>0874/2015
Modificado 0723/2016
0566-19</t>
  </si>
  <si>
    <t>305287216
(DR. JOSE ALIRIO JIMENEZ PATIÑO)
379397316
(PROTECCION)
98647119</t>
  </si>
  <si>
    <t>2/10/2016
(DR. JOSE ALIRIO JIMENEZ PATIÑO)
26/12/2016
(PROTECCION)
30-04-2019</t>
  </si>
  <si>
    <t>oct-16
dic-16
abr-19</t>
  </si>
  <si>
    <t>302643016
98845319</t>
  </si>
  <si>
    <t>24/10/2016
30/04/2019</t>
  </si>
  <si>
    <t>oct-16
abr-19</t>
  </si>
  <si>
    <t>364514415
98881319</t>
  </si>
  <si>
    <t>dic-15
abr-19</t>
  </si>
  <si>
    <t>11/12/2015
30/04/2019</t>
  </si>
  <si>
    <t>364434715
102850119</t>
  </si>
  <si>
    <t>11/12/2015
07-05-2019</t>
  </si>
  <si>
    <t>dic-15
may-19</t>
  </si>
  <si>
    <t>404772615
404778215
(COLPENSIONES)
77097219</t>
  </si>
  <si>
    <t>29/12/2015
29/12/2015
(COLPENSIONES)
05/04/2019</t>
  </si>
  <si>
    <t>364490915
98316719</t>
  </si>
  <si>
    <t>11/12/2015
26-04-2019</t>
  </si>
  <si>
    <t xml:space="preserve">$ 104.378.099
</t>
  </si>
  <si>
    <t>0222-2019</t>
  </si>
  <si>
    <t>joaljipa@yahoo.es
04-04-2019</t>
  </si>
  <si>
    <t>SENTENCIAJUSTA@HOTMAIL.COM
26/01/18
SENTENCIAJUSTA@HOTMAIL.COM
30-04-2019</t>
  </si>
  <si>
    <t>jaime_mt1982@hotmail.com
05-04-2019</t>
  </si>
  <si>
    <t>abogadodiaz1@gmail.com
04-04-2019</t>
  </si>
  <si>
    <t>diegosotomayors@hotmail.com
04-04-2019</t>
  </si>
  <si>
    <t>clauherlen@gmail.com
04-04-2019</t>
  </si>
  <si>
    <t>atencioncliente@minhacienda.gov.co
alejandro0522@hotmail.com
04-04-2019</t>
  </si>
  <si>
    <t xml:space="preserve">32.882.466
1.023.915.174
1.126.322.690
1.001.287.917
8.683.957
72.153.588
8.749.631
8.724.964
</t>
  </si>
  <si>
    <t>INDIRA GOLDA ACOSTA HERAZO
10-05-2019, 102244439-00058, NO DEUDA
PABLO ANDRES SERNA ACOSTA
10-05-2019, 102244439-00059, NO DEUDA
MAYRA ALEJANDRA SERNA ACOSTA
10-05-2019, 100224333-967, NO REGISTRO
BRIAN HEYKO SERNA ACOSTA
10-05-2019, 102244439-00060, NO DEUDA</t>
  </si>
  <si>
    <t>21/02/0019</t>
  </si>
  <si>
    <t>YEISON FERNANDO SILVA PERDOMO</t>
  </si>
  <si>
    <t>EXT19-00050113</t>
  </si>
  <si>
    <t>41 001 2331 000 2012 00148 01</t>
  </si>
  <si>
    <t>37.655.673
13.569.511
37.581.418
1.096.182.577
91.047.049
1.095.916.370</t>
  </si>
  <si>
    <t>LUIS EDUARDO BAUTISTA RUEDA</t>
  </si>
  <si>
    <t>EXT19-00050129</t>
  </si>
  <si>
    <t>68 001 2331 000 2012 00660 01</t>
  </si>
  <si>
    <t>EXT19-00050162</t>
  </si>
  <si>
    <t>LENIN SANCHEZ TORRES</t>
  </si>
  <si>
    <t>EXT19-00050173</t>
  </si>
  <si>
    <t>66 001 2333 000 2011 00282 01</t>
  </si>
  <si>
    <t>EN LOS ANEXOS ES EL 284</t>
  </si>
  <si>
    <t>JORGE EDUARD CARDONA ESCOBAR
CLAUDIA PATRICIA SANCHEZ LONDOÑO (le cedieron los derechos)</t>
  </si>
  <si>
    <t>07-11-2018
110242448-2539
NO POSEE DEUDAS
16-05-2019, 110242448-1096, NO DEUDAS
CLAUDIA PATRICIA SANCHEZ LONDOÑO</t>
  </si>
  <si>
    <t>16-05-2019, 110242448-1095, NO DEUDA</t>
  </si>
  <si>
    <t>abogadosatiempo@gmail.com
16-05-2019</t>
  </si>
  <si>
    <t>aofigomezg@yahoo.es
15-05-2019</t>
  </si>
  <si>
    <t>joaljipa@yahoo.es 
15-05-2019</t>
  </si>
  <si>
    <t>abogadosatiempo@gmail.com
15-05-2019</t>
  </si>
  <si>
    <t>joaljipa@yahoo.es
15-05-2019</t>
  </si>
  <si>
    <t>RUTH MARY LOZANO BUENDIA Y OTROS
ANGIE DURAN LOZANO
RAUL DURAN LOZANO
ANDREA DURAN LOZANO
LUIS JOSE DURAN LOZANO</t>
  </si>
  <si>
    <t>EXT19-00016952</t>
  </si>
  <si>
    <t>EXT19-00034063</t>
  </si>
  <si>
    <t>06/06/2018
09-08-2018
4/04/2019</t>
  </si>
  <si>
    <t>jun-2018
ago-2018
abr-2019</t>
  </si>
  <si>
    <t>SOLICITUD PAGO INTERESES DE CESANTIAS, IMPRENTA NACIONAL Y RIESGOS LABORALES
DERECHO DE PETICION
SOLICITUD DE RELIQUIDACION</t>
  </si>
  <si>
    <t>FERNANDO GONZALEZ PEÑA</t>
  </si>
  <si>
    <t>EXT19-00038148</t>
  </si>
  <si>
    <t>76 001 3331 006 2012 00032 01</t>
  </si>
  <si>
    <t>EXT19-00039248</t>
  </si>
  <si>
    <t>EXT19-00039255</t>
  </si>
  <si>
    <t>LUIS CARLOS GOMEZ GAMBOA</t>
  </si>
  <si>
    <t>EXT19-00040546</t>
  </si>
  <si>
    <t>EXT19-00041845</t>
  </si>
  <si>
    <t>EXT19-00043814</t>
  </si>
  <si>
    <t>EXT19-00044046</t>
  </si>
  <si>
    <t>EXT19-00046730</t>
  </si>
  <si>
    <t>EXT19-00022830</t>
  </si>
  <si>
    <t>EXT19-00023447</t>
  </si>
  <si>
    <t>EXT19-00035248</t>
  </si>
  <si>
    <t>29/03/2019
29/03/2019</t>
  </si>
  <si>
    <t>mar-19
mar-19</t>
  </si>
  <si>
    <t>EXT19-00035246
EXT19-00035248</t>
  </si>
  <si>
    <t>ALLEGA DOCUMENTOS
ALLEGA DOCUMENTOS</t>
  </si>
  <si>
    <t xml:space="preserve">EXT18-00050488
EXT18-00076122
EXT19-00037522
EXT19-00037755
EXT19-00039994
</t>
  </si>
  <si>
    <t>EXT19-00049779</t>
  </si>
  <si>
    <t>EXT18-00071739
EXT18-00108741
EXT18-00131467
EXT19-00000333
EXT19-00043814
EXT19-00050415</t>
  </si>
  <si>
    <t>31/07/2018
24/10/2018
17/12/2018
02-01-2019
24-04-2019
09-05-2019</t>
  </si>
  <si>
    <t>jul-18
oct-18
dic-18
ene-19
abr-19
may-19</t>
  </si>
  <si>
    <t>BENEFICIARIO
ABOGADO
BENEFICIARIO
BENEFICIARIO
BENEFICIARIO
ABOGAOD</t>
  </si>
  <si>
    <t>DERECHO DE PETICION 
ALLEGA DOCUMENTOS
DERECHO DE PETICION 
SOLICITUD ESTADO DE PAGO
SOLICITUD DE INFORMACION
ALLEGA DOCUMENTOS</t>
  </si>
  <si>
    <t>EXT19-00037522
EXT19-00037755
EXT19-00039994</t>
  </si>
  <si>
    <t>EXT19-00050415</t>
  </si>
  <si>
    <t>EXT19-00051278</t>
  </si>
  <si>
    <t>EXT19-00052496</t>
  </si>
  <si>
    <t>PAGADA
 (PENDIENTE ALGUNOS PAGOS DE MI PLANILLA)
Por Auto de 14 de mayo de 2019 se dio por terminado el proceso de la referencia por pago total de la deuda.</t>
  </si>
  <si>
    <t>MANUEL ZARATE SANCHEZ</t>
  </si>
  <si>
    <t>EXT19-00054613</t>
  </si>
  <si>
    <t>11 001 3335 009 2014 00081 01</t>
  </si>
  <si>
    <t>EN EL ANEXO 3 POLICIA NACIONAL ES EL 96</t>
  </si>
  <si>
    <t>JUZGADO NOVENO ADMINISTRATIVO DE CIRCUITO  JUDICIAL DE BOGOTA</t>
  </si>
  <si>
    <t>DAS-POLICIA NACIONAL</t>
  </si>
  <si>
    <t>EXT19-00028131</t>
  </si>
  <si>
    <t>NIXON JAVIER MOGOLLON SOMOZA</t>
  </si>
  <si>
    <t>JUZGADO 2 ADMINISTRATIVO DE MANIZALES- ORAL</t>
  </si>
  <si>
    <t>29/03/2017</t>
  </si>
  <si>
    <t>17 001 3333 002 2014 00164 02</t>
  </si>
  <si>
    <t>DAS-UNP como sucesor procesal</t>
  </si>
  <si>
    <t>EXT19-00030450</t>
  </si>
  <si>
    <t>MARIA NUBIA LOPEZ JOYA</t>
  </si>
  <si>
    <t>68 001 3333 011 2015 00298 00</t>
  </si>
  <si>
    <t>EXT19-00032092</t>
  </si>
  <si>
    <t>AUTO APRUEBA LIQUIDACION COSTAS</t>
  </si>
  <si>
    <t>EXT19-00040545</t>
  </si>
  <si>
    <t>31/04/2011</t>
  </si>
  <si>
    <t>DANIEL ALEXIS GARCIA RENDON</t>
  </si>
  <si>
    <t>REMITE ESTADO-AUTO APRUEBA LIQUIDACION COSTAS</t>
  </si>
  <si>
    <t>EXT19-00043830</t>
  </si>
  <si>
    <t>JOSE ALONSO TORO URREA</t>
  </si>
  <si>
    <t>76 001 2331 000 2011 01736 01</t>
  </si>
  <si>
    <t>EXT19-00051782</t>
  </si>
  <si>
    <t>EDGAR DANILO ESCOBAR HERNANDEZ</t>
  </si>
  <si>
    <t>JESUS EMILIO GARCIA ACOSTA</t>
  </si>
  <si>
    <t>JOHANA PERDOMO SALINAS</t>
  </si>
  <si>
    <t>VILMA INES LIZCANO MIRANDA</t>
  </si>
  <si>
    <t>JUZGADO ONCE ADMINISTRATIVO ORAL DE BUCARAMANGA</t>
  </si>
  <si>
    <t>MININTERIOR-UNP-FISCALIA</t>
  </si>
  <si>
    <t>66 001 2333 000 2016 00262 00</t>
  </si>
  <si>
    <t>EXT19-00054121</t>
  </si>
  <si>
    <t>fasj@hotmail.com
21-05-2019</t>
  </si>
  <si>
    <t>EN EL ANEXO ES EL 315</t>
  </si>
  <si>
    <t>JUZGADO CUARTO ADMINISTRATIVO DE DESCONGESTION DEL CIRCUITO DE CALI</t>
  </si>
  <si>
    <t>CESAR AUGUSTO PIÑA BULLA</t>
  </si>
  <si>
    <t xml:space="preserve">50 001 3331 003 2012 00152 01 </t>
  </si>
  <si>
    <t>TRIBUNAL ADMINISTRTIVO DEL META</t>
  </si>
  <si>
    <t>50 001 3333 007 2018 00 288 00</t>
  </si>
  <si>
    <t>SE ENCUENTRA EN EL ANEXO DE LA ANDJE EN EL NUMERAL 134</t>
  </si>
  <si>
    <t>REINTEGRO</t>
  </si>
  <si>
    <t>DAS-UNP</t>
  </si>
  <si>
    <t>EXT19-00028553</t>
  </si>
  <si>
    <t>TRIBUNAL DE LO CONTENCIOSO ADMINISTRATIVO DE RISARALDA- SECCION TERCERA</t>
  </si>
  <si>
    <t>EXT19-00039250</t>
  </si>
  <si>
    <t>EXT18-00130032
EXT18-00130436
EXT19-00016599
EXT19-00031001
EXT19-00040871</t>
  </si>
  <si>
    <t>13/12/2018
14/12/2018
14/02/2019
19-03-2019
11-04-2019</t>
  </si>
  <si>
    <t>dic-18
dic-18
feb-19
mar-19
abr-19</t>
  </si>
  <si>
    <t>ABOGADA
ABOGADA
ABOGADA
ABOGADA
ABOGADA</t>
  </si>
  <si>
    <t>ALLEGA DOCUMENTOS.
ALLEGA DOCUMENTOS.
PRESENTAN QUEJA.
ALLEGA PAZ Y SALVO.
SOLICITUD ESTADO PAGO.</t>
  </si>
  <si>
    <t>EXT19-00040551</t>
  </si>
  <si>
    <t>INFORMA QUE NO DEBE APORTAR CERTIFICACIÓN BANCARIA DE LUIS FRANCISCO GUERRA PÉREZ</t>
  </si>
  <si>
    <t>EXT19-00039491</t>
  </si>
  <si>
    <t>EXT19-00040871</t>
  </si>
  <si>
    <t>EXT19-00044094</t>
  </si>
  <si>
    <t>SOLICITUD TERMINACION EJECUTIVO</t>
  </si>
  <si>
    <t>EXT19-00044708</t>
  </si>
  <si>
    <t>EXT19-00041850</t>
  </si>
  <si>
    <t>EXT19-00041908</t>
  </si>
  <si>
    <t>EXT19-00042558</t>
  </si>
  <si>
    <t>SOLICITUD DE INFORMACION PAGO INTERESES</t>
  </si>
  <si>
    <t>EXT19-00048423</t>
  </si>
  <si>
    <t>EXT19-00043899</t>
  </si>
  <si>
    <t>21/09/2018
17/10/2018
14/12/2018
02/05/2019</t>
  </si>
  <si>
    <t>sep-18
oct-18
dic-18
may-19</t>
  </si>
  <si>
    <t>EXT18-00094191
EXT18-00105393
EXT18-00130519
EXT19-00047070
EXT19-00047070</t>
  </si>
  <si>
    <t>BENEFICIARIO
ABOGADO
ABOGADO
ABOGADO</t>
  </si>
  <si>
    <t>SOLICITA DOCUMENTO
SOLICITUD INFORMACION ESTADO DE PAGO
COMUNICA CESION DE DERECHOS
Solicita informacion estado de pago</t>
  </si>
  <si>
    <t>6/05/2019
17/05/2019</t>
  </si>
  <si>
    <t>may-19
may-19</t>
  </si>
  <si>
    <t>EXT19-00048423
EXT19-00054743</t>
  </si>
  <si>
    <t>JUZGADO
JUZGADO</t>
  </si>
  <si>
    <t>EXT19-00053114</t>
  </si>
  <si>
    <t>EXT19-00048543</t>
  </si>
  <si>
    <t>EXT19-00046424</t>
  </si>
  <si>
    <t>EXT19-00047070</t>
  </si>
  <si>
    <t>EXT19-00054743</t>
  </si>
  <si>
    <t>REQUIERE DOCUMENTOS</t>
  </si>
  <si>
    <t>SOLICITA DOCUMENTOS
REQUIERE DOCUMENTO</t>
  </si>
  <si>
    <t>EXT19-00019248</t>
  </si>
  <si>
    <t>EXT19-00019253</t>
  </si>
  <si>
    <t>CESIONARIA</t>
  </si>
  <si>
    <t>ALLEGA PODER ACLARATORIO</t>
  </si>
  <si>
    <t>EXT19-00051931</t>
  </si>
  <si>
    <t>18/06/2018
04/07/2018
28/05/2018
30/11/2018
28/02/2019
6/03/2019
24/04/2019</t>
  </si>
  <si>
    <t xml:space="preserve">EXT18-00054860
EXT18-00060564
EXT18-00047731
EXT18-00122719
EXT19-00023443
EXT19-00026302
EXT19-00044104
</t>
  </si>
  <si>
    <t xml:space="preserve">
MINHACIENDA
BENEFICIARIO
BENEFICIARIO
JUZGADO
JUZGADO
JUZGADO</t>
  </si>
  <si>
    <t>LIBRA MANDAMIENTO DE PAGO
DEVUELVE COMUNICACIÓN
CONSULTA DE FECHA Y TURNO DE PAGO
DERECHO DE PETICION
ACCION EJECUTIVA
NOTIFICA ESTADO
NOTIFICIA ESTADO</t>
  </si>
  <si>
    <t>EXT19-00056715</t>
  </si>
  <si>
    <t>FIDUPREVISORA- PROCURADURIA</t>
  </si>
  <si>
    <t>TRASLADO POR COMPETENCIA- SOLICITUD PROCURADURIA</t>
  </si>
  <si>
    <t>08-03-2019, 114242448-0049, NO DEUDA</t>
  </si>
  <si>
    <t>TRIBUNAL ADMINISTRATIVO DEL ATALANTICO</t>
  </si>
  <si>
    <t>JOSE DEL CARMEN FUENTES DUARTE
LUZ STELLA REYES
SHERING CAROLINA FUENTES REYES</t>
  </si>
  <si>
    <t>13.504.088
60.397.741
1.004.804.301</t>
  </si>
  <si>
    <t>EXT18-00058676
EXT18-00060880
EXT18-00083866
EXT18-00083866
EXT19-00037139
EXT19-00019253
EXT19-00055561</t>
  </si>
  <si>
    <t>27/06/2018
05/07/2018
29/08/2018
29/08/2018
03-04-2019
21/05/2019
20/05/2019</t>
  </si>
  <si>
    <t>jun-2018
jul-2018
ago-2018
ago-2018
abr-19
may-19
may-19</t>
  </si>
  <si>
    <t>BENEFICIARIO
BENEFICIARIO
MINHACIENDA
MINHACIENDA
ABOGADO
CESIONARIA
APODERADO</t>
  </si>
  <si>
    <t>DERECHO DE PETICION
ALLEGA DOCUMENTOS
DERECHO DE PETICION
DERECHO DE PETICION
ALLEGA DOCUMENTOS
ALLEGA PODER ACLARATORIO
ALLEGA PODER</t>
  </si>
  <si>
    <t>EXT19-00049057</t>
  </si>
  <si>
    <t>EXT19-00055561</t>
  </si>
  <si>
    <t>LITA LILIANA FRANCO LIZCANO</t>
  </si>
  <si>
    <t>EXT19-00058115</t>
  </si>
  <si>
    <t>68 001 2333 000 2012 00051 01</t>
  </si>
  <si>
    <t>EN LOS ANEXOS ES EL 63</t>
  </si>
  <si>
    <t>EXT19-00057237</t>
  </si>
  <si>
    <t>AUTO DE ABEDEZCASE Y CUMPLASE</t>
  </si>
  <si>
    <t>EN EL ANEXO ES EL 190
SE DA RESPUESTA MEDIANTE OFI18-00018587 11/05/18 E
POR MEDIO DE TUTELA DEL 6/09/2018 EL CONSEJO DE ESTADO CONDENÓ A LA UNP.
MEDIANTE OFI19-00019592 SE DIO RESPUESTA A SOLICITUD DE INFORMACION DE LA PROCURADURIA REGIONAL HUILA</t>
  </si>
  <si>
    <t>23 001 3331 004 2013 00144 01</t>
  </si>
  <si>
    <t>EXT19-00055635</t>
  </si>
  <si>
    <t>JUZGADO CUARTO ADMINISTRATIVO DE MONTERIA</t>
  </si>
  <si>
    <t>LUIS GUILLERMO SALDARRIAGA ALVAREZ</t>
  </si>
  <si>
    <t>EXT19-00058883</t>
  </si>
  <si>
    <t>SE MODIFICA FECHA DE AUDIENCIA</t>
  </si>
  <si>
    <t>EXT19-00054534</t>
  </si>
  <si>
    <t>AUTO ORDENA REQUIRIR A LA PARTE EJECUTANTE</t>
  </si>
  <si>
    <t xml:space="preserve">05-09-2018,  100224333-1586, NO SE ENCONTRO REGISTRO  </t>
  </si>
  <si>
    <t>05-09-2018,  100224333-1586, NO SE ENCONTRO REGISTRO</t>
  </si>
  <si>
    <t xml:space="preserve">05 001 3333 029 2013 00095 00
</t>
  </si>
  <si>
    <r>
      <t xml:space="preserve">ESTA EN EL DECRETO ANEXO 4 REGISTRO 105
</t>
    </r>
    <r>
      <rPr>
        <sz val="9"/>
        <color rgb="FFFF0000"/>
        <rFont val="Arial Narrow"/>
        <family val="2"/>
      </rPr>
      <t>REVISAR</t>
    </r>
    <r>
      <rPr>
        <sz val="9"/>
        <rFont val="Arial Narrow"/>
        <family val="2"/>
      </rPr>
      <t xml:space="preserve"> porque el valor a pagar es negativo según liquidacion de Wilson.
OFI18-00023508-12/06/2018 Decreto 1303-No- 105  N.
MEDIANTE OFI18-00037835 03/09/18 SE DA RESPUESTA AL EXT18-00077193  L.
MEDIANTE OFI18-00040696 SE DA RESPUESTA AL  EXT18-00087411  F. </t>
    </r>
  </si>
  <si>
    <t>EXT19-00059346</t>
  </si>
  <si>
    <t>AUTO QUE FIJA FECHA DE AUDIENCIA</t>
  </si>
  <si>
    <t>04-06-2019, 102244439, 00072, NO DEUDAS</t>
  </si>
  <si>
    <t>URIEL FERNANDO GARRIDO PRADA</t>
  </si>
  <si>
    <t>JUZGADO VEINTITRES ADMINISTRATIVO DEL CIRCUITO DE BOGOTA SECCION SEGUNDA</t>
  </si>
  <si>
    <t>24-04-2018
129201242-01-1008-002061
NO FIGURAN.
(MERCEDES CARDENAS RODRIGUEZ)
16-08-2018,  129201242-01-1981-004610, NO FIGURAN - JORGE ARMANDO CARDENAS RODRIGUEZ.
16-08-2018,  129201242-01-01982-004608, NO FIGURAN-MAYRA ALEJANDRA CARDENAS RODRIGUEZ.
16-08-2018,  129201242-01-1983-004607, NO FIGURAN, MILLER FABIAN CARDENAS RODRIGUEZ.
16-08-2018,  129201242-01-1984-004606, MERCEDES CARDENAS RODRIGUEZ.
21-03-2019, 129201242-01-804-001655, NO DEUDA, ESTEFANA
21-03-2019, 129201242-01-805-001656, NO DEUDA, MERCEDES
05-03-2019, 100224333-438,
NO SE ENCONTRO REGISTRO, PATRICIA CARDENAS RODRIGUEZ
06-06-2019, 129201242-01-1480-003122, NO DEUDA
PATRICIA CARDENAS RODRIGUEZ</t>
  </si>
  <si>
    <t xml:space="preserve">EDINSON FRANCISCO DORIA JIMENEZ 
</t>
  </si>
  <si>
    <t>EXT19-00063176</t>
  </si>
  <si>
    <t>0685-2019</t>
  </si>
  <si>
    <t>0688-2019</t>
  </si>
  <si>
    <t>0684-2019</t>
  </si>
  <si>
    <t>0690-2019</t>
  </si>
  <si>
    <t>0687-2019</t>
  </si>
  <si>
    <t>0686-2019</t>
  </si>
  <si>
    <t>0689-2019</t>
  </si>
  <si>
    <t>OMAR GUILLERMO RODRIGUEZ BOLIVAR</t>
  </si>
  <si>
    <t>EXT19-00064930</t>
  </si>
  <si>
    <t>11 001 3335 029 2013 00198 01</t>
  </si>
  <si>
    <t>JUZGADO VEINTINUEVE ADMINISTRATIVO DE BOGOTA</t>
  </si>
  <si>
    <t>clinicajuridica@une.net.co
11-06-2019</t>
  </si>
  <si>
    <t>joaljipa@yahoo.es
11-06-2019</t>
  </si>
  <si>
    <t>gustar111@hotmail.com
11-06-2019</t>
  </si>
  <si>
    <t>0691-2019</t>
  </si>
  <si>
    <t>EXT19-00054604</t>
  </si>
  <si>
    <t>EN EL ANEXO ES EL 370
SE SOLICITAN DOCUMENTOS MEDIANTE OFI18-00003192 25/01/18 L
RESPUESTA A EXT19-00054604 CON OFI19-00019019 S.P.</t>
  </si>
  <si>
    <t>EXT19-00053785</t>
  </si>
  <si>
    <t>EN EL ANEXO DE LA FISCALIA ES EL 572
IMPUESTA POR EL TRIBUNAL DEL MAGDALENA QUIEN REVOCO FALLO DE PRIMERA INSTANCIA
SE DA RSEPUESTA MEDIANTE OFI17-00015080 28/04/17 G OFI18-00018523 10/05/18 L
OFI19-00019024 21/05/2019 S.P.</t>
  </si>
  <si>
    <t>8/06/2018
14/12/2018
30-01-2019
05-04-2019
14-05-2019
17-05-2019</t>
  </si>
  <si>
    <t>jun-18
dic-18
ene-19
abr-19
may-19
may-19</t>
  </si>
  <si>
    <t>EXT18-00052091
EXT18-00130573
EXT19-00009768
EXT19-00037997
EXT19-00052496
EXT19-00054785</t>
  </si>
  <si>
    <t>ABOGADA
ABOGADA
ABOGADA
ABOGADO
ABOGADA
ABOGADA</t>
  </si>
  <si>
    <t>SOLICITUD DE PAGO
SOLICITUD DE PAGO
ALLEGA DOCUMENTOS
ALLEGA DOCUMENTOS
ALLEGA DOCUMENTOS
ALLEGA DOCUMENTOS</t>
  </si>
  <si>
    <t>EXT19-00054785</t>
  </si>
  <si>
    <t>EXT19-00050408</t>
  </si>
  <si>
    <t>EXT19-00055371</t>
  </si>
  <si>
    <t>EXT19-00056776</t>
  </si>
  <si>
    <t>ALLEGA DOCUMENTOS-PODER</t>
  </si>
  <si>
    <t>EXT19-00056810</t>
  </si>
  <si>
    <t>EXT19-00058130</t>
  </si>
  <si>
    <t>SOLICITUD DOCUMENTOS Y VALOR FALLO</t>
  </si>
  <si>
    <t>SOLICITA DOCUMENTOS Y VALOR FALLO</t>
  </si>
  <si>
    <t>EXT19-00058747</t>
  </si>
  <si>
    <t>EXT19-00059322</t>
  </si>
  <si>
    <t>EXT19-00060275</t>
  </si>
  <si>
    <t>EXT19-00060673</t>
  </si>
  <si>
    <t>EXT19-00063138</t>
  </si>
  <si>
    <t>EXT19-00063179</t>
  </si>
  <si>
    <t>EXT19-00065172</t>
  </si>
  <si>
    <t>EXT19-00054602</t>
  </si>
  <si>
    <t>NO APARECE EN EL ANEXO PERO EN LA SENTENCIA DE SEGUNDA CONDENAN A LA UNP
SE DA RESPUESTA MEDIANTE OFI18-00006911 20/02/18 E
OFI19-00020002 DE 29/05/2019 E.C.</t>
  </si>
  <si>
    <t>EXT19-00055398</t>
  </si>
  <si>
    <t>EN EL ANEXO FIGURA EL PROCESO
66 001 3333 002 2013 00237 00
OFI19-00020270 DE 30/05/2019 E.C.</t>
  </si>
  <si>
    <t>EXT19-00057091</t>
  </si>
  <si>
    <t>EXT19-00056373</t>
  </si>
  <si>
    <t>TERCERO</t>
  </si>
  <si>
    <t>SOLICITUD INFORMACIÓN TRAMITE DE CESIÓN DE DERECHOS</t>
  </si>
  <si>
    <t>SE ESPERA LA SOLICITUD DE PAGO, SIN MAS DATOS
SE DA RESPUESTA MEDIANTE OFI18-00022130 01/06/18 E
OFI18-00034921 17/08/18  L.
SE DA RESPUESTA AL JUZGADO SEGUNDO DE FAMILIA DE BUCARAMANGA MEDIANTE OFI18-00036682 28-08-2018 LEO.
EL JUZGADO SEGUNDO DE FAMILIA DE BUCARAMANGA, MEDIANTE PROCESO 68 001 3110 002 2018 00037 00 - ORDENÓ EL EMBARGO DE LOS HONORARIOS DE LA ABOGADA LINDA CATHERINE ANGARITA CASTELLANOS, SE LIMITA LA MEDIDA A LA SUMA $33.757.374
EL JUZGADO TERCERO DE EJECUCION DE SENTENCIAS DE BUCARAMANGA DECRETO EL EMBARGO DE HONORARIOS SE DA RESPUESTA MEDIANTE OFI18-00051756
OFI19-00019732 DE 27-05-2019 E.C.</t>
  </si>
  <si>
    <t>EXT19-00051519</t>
  </si>
  <si>
    <t>NOTIFICA DEMANDA EJECUTIVA
AUTO LIBRA MANDAMIENTO DE PAGO
EMBARGO CUENTAS
Solicita terminacion proceso por pago
ACCION DE TUTELA</t>
  </si>
  <si>
    <t xml:space="preserve">PAGADA
POR RELIQUIDACION
SE DIO RESPUESTA AL EXT19-00032964 MEDIANTE OFI19-00011929 EC
MEM19-00012308  E.C.
OFI19-00020875 DE </t>
  </si>
  <si>
    <t>NORMAN QUINTERO ARCINIEGAS</t>
  </si>
  <si>
    <t>EXT19-00065866</t>
  </si>
  <si>
    <t>73 001 3333 008 2014 00722 02</t>
  </si>
  <si>
    <t>JUZGADO OCTAVO ADMINISTRATIVO ORAL DEL CIRCUITO DE IBAGUE</t>
  </si>
  <si>
    <t>EXT19-00063140</t>
  </si>
  <si>
    <t>NO SE ENCUENTRA EN LOS ANEXOS
OFI18-00025158-21/06/2018-Decreto 1303-No aparece base de datos  N.
OFI19-00021102 DEL 11/06/2019 E.C.</t>
  </si>
  <si>
    <t>EN EL DECRETO ES LA No 289.
(SE DA RESPUESTA MEDIANTE OFI17-00001373 17/01/17)A  OFI17-00030336 23/08/17 N  OFI18-00006012 14/02/18 E
POR MEDIO DE OFI18-00045674  17/10/18 SE DA RESPUESTA AL EXT18-00098372. L.
MEDIANTE OFI19-00003022 SE DA RESPUESTA AL EXT19-00003721
SE DIO RESPUESTA AL EXT19-00020265 MEDIANTE OFI19-00009301.
OFI19-00021048 DE 10-06-2019 E.C.</t>
  </si>
  <si>
    <t>EXT19-00066103</t>
  </si>
  <si>
    <t>colmenaresabogados2013@outlook.com 
13-06-2019</t>
  </si>
  <si>
    <t>11 001 3335 012 2014 00185 01</t>
  </si>
  <si>
    <t>EXT19-00066667</t>
  </si>
  <si>
    <t>EXT17-00023388</t>
  </si>
  <si>
    <t>NOTIFICA PRIMERA INSTANCIA</t>
  </si>
  <si>
    <t>NO ESTA EN LOS ANEXOS.
El EXT19-00065172 se respondio con el OFI19-00021913 el 18-06-2019 A.T.</t>
  </si>
  <si>
    <t>EXT19-00066757
EXT19-00067291</t>
  </si>
  <si>
    <t>13/06/2019
14/06/2019</t>
  </si>
  <si>
    <t>SOLICITUD INFORMACION PAGO</t>
  </si>
  <si>
    <t>EN EL ANEXO ES LA 84 CON DOCUMENTOS
RAD. DEMANDA 1 DE MARZO DE 2012 SEGUNDA INSTANCIA CONFIRMA.
EL EXT19-00066757 Y EXT19-00067291 se respondio via mail el 18-06-2019.</t>
  </si>
  <si>
    <t>EXT19-00067638</t>
  </si>
  <si>
    <t xml:space="preserve">NO APARECE EN EL DECRETO
SE COMUNICO AL ABOGADO
LA AGENCIA LO REMITIÓ </t>
  </si>
  <si>
    <t>68 001 2333 000 2017 00224 00</t>
  </si>
  <si>
    <t xml:space="preserve">68 001 3333 011 2016 00221 00 -Juzgado.
68 001 2333 000 2016 01069 00 -Tribunal. </t>
  </si>
  <si>
    <t>RODRIGO ANTONIO RAMIREZ BARRIENTOS</t>
  </si>
  <si>
    <t>EXT19-00046316</t>
  </si>
  <si>
    <t>05 001 2331 000 2011 01288 01</t>
  </si>
  <si>
    <t>EXT19-00054596</t>
  </si>
  <si>
    <t>0791-2019</t>
  </si>
  <si>
    <t>joaljipa@yahoo.es
26-06-2019</t>
  </si>
  <si>
    <t>0543/2015
0792/2019</t>
  </si>
  <si>
    <t>$ 26.169.640
(DRA. LUZ MARINA DE LAS SALAS SANJUAN)
$ 297 550 966</t>
  </si>
  <si>
    <t>243804815
(DRA. LUZ MARINA DE LAS SALAS SANJUAN)
138465319</t>
  </si>
  <si>
    <t>02/09/2015
(DRA. LUZ MARINA DE LAS SALAS SANJUAN)
05-06-2019</t>
  </si>
  <si>
    <t>1/09/2015
05/06/2019</t>
  </si>
  <si>
    <t>luzmarina811@hotmail.com
26-06-2019</t>
  </si>
  <si>
    <t>0844-2019</t>
  </si>
  <si>
    <t>raulsegundocuellobarrios@hotmail.com
27-06-2019</t>
  </si>
  <si>
    <t>0845-2019</t>
  </si>
  <si>
    <t>colmenaresabogados2013@outlook.com
26-06-2019</t>
  </si>
  <si>
    <t>0842-2019</t>
  </si>
  <si>
    <t>0793-2019</t>
  </si>
  <si>
    <t>0843-2019</t>
  </si>
  <si>
    <t>equipojuridicopueblos@gmail.com; estefanarodrigues26@gmail.com;
26-06-2019</t>
  </si>
  <si>
    <t>abogados-ocampogonzalez@hotmail.com; abogados.ocampogonzalez@gmail.com 
26-06-2019</t>
  </si>
  <si>
    <t>alejandro0522@hotmail.com
12-06-2019</t>
  </si>
  <si>
    <t>EXT19-00060257</t>
  </si>
  <si>
    <t>SOLICITA COPIAS DEL PROCESO DE NULIDAD Y SE INFORME FECHA DE PAGO</t>
  </si>
  <si>
    <t>EXT19-00064791</t>
  </si>
  <si>
    <t>EXT19-00060429
EXT19-00063289</t>
  </si>
  <si>
    <t>EXT19-00067186</t>
  </si>
  <si>
    <t>EXT19-00067637</t>
  </si>
  <si>
    <t>EXT19-00070203</t>
  </si>
  <si>
    <t>EXT19-00070205</t>
  </si>
  <si>
    <t>SOLICITU ESTADO DEL PAGO</t>
  </si>
  <si>
    <t>EXT19-00070225</t>
  </si>
  <si>
    <t>EXT19-00070202</t>
  </si>
  <si>
    <t>EXT19-00071267</t>
  </si>
  <si>
    <t>JUZGADO DOCE ADMINISTRATIVO DE BOGOTA</t>
  </si>
  <si>
    <t>EXT19-00029517</t>
  </si>
  <si>
    <t>EXT19-00033349</t>
  </si>
  <si>
    <t>EXT19-00074478</t>
  </si>
  <si>
    <t>DA POR TERMINADO PROCESO EJECUTIVO</t>
  </si>
  <si>
    <t>NERLY ESMITH SUAREZ ZAPATA Y OTROS</t>
  </si>
  <si>
    <t>ERIKA DEL PILAR WILCHES HERNANDEZ</t>
  </si>
  <si>
    <t>EXT19-00048337</t>
  </si>
  <si>
    <t>EXT19-00075310</t>
  </si>
  <si>
    <t>50 001 3331 002 2011 00409 01</t>
  </si>
  <si>
    <t>DAS-POLICIA-MININTERIOR, UNP sucesor procesal</t>
  </si>
  <si>
    <t>TRIBUNAL ADMINISTRATIVO SALA TRANSITORIA-META</t>
  </si>
  <si>
    <t>FECHA RESOLUCION</t>
  </si>
  <si>
    <t>0846-2019</t>
  </si>
  <si>
    <t>0868-2019</t>
  </si>
  <si>
    <t>0869-2019</t>
  </si>
  <si>
    <t>0870-2019</t>
  </si>
  <si>
    <t>0956-2019</t>
  </si>
  <si>
    <t>0957-2019</t>
  </si>
  <si>
    <t>0958-2019</t>
  </si>
  <si>
    <t>diegoarturotz@hotmail.com
17-06-2019</t>
  </si>
  <si>
    <t>EXT19-00067441</t>
  </si>
  <si>
    <t>EN EL ANEXO ES LA 340
SE DA RESPUESTA MEDIANTE OFI18-00008849  E
Mediante OFI19-00023050 se dio respuesta al EXT1900067441 E.C.</t>
  </si>
  <si>
    <t>EXT19-00069392</t>
  </si>
  <si>
    <t>EXT19-00071282</t>
  </si>
  <si>
    <t xml:space="preserve">ALLEGA LIQUIDACIÓN DE COSTAS Y SOLICITUD DE PAGO DE LA SENTENCIA </t>
  </si>
  <si>
    <t>EN EL ANEXO ES EL 246
OFI18-00026703
03-07-2018
El EXT19-00071282 se respondio con el OFI19-00023355  E.C</t>
  </si>
  <si>
    <t>EXT19-00069172</t>
  </si>
  <si>
    <t>ABOGAGO</t>
  </si>
  <si>
    <t>EN LOS ANEXOS ES EL 447
EL EXT19-00069172 se respondio con el OFI19-00023189</t>
  </si>
  <si>
    <t>JUZGADO TERMINA PROCESO EJECUTIVO</t>
  </si>
  <si>
    <t>EXT19-00054635</t>
  </si>
  <si>
    <t>EXT19-00065594</t>
  </si>
  <si>
    <t>EXT19-00066308</t>
  </si>
  <si>
    <t>19/10/2018
22/10/2018
29/11/2018
29/11/2018
29/11/2018
13/06/2019</t>
  </si>
  <si>
    <t>oct-18
oct-18
nov-18
nov-18
nov-18
jun-19</t>
  </si>
  <si>
    <t>CORREO ELECTRONICO
EXT18-00107773
EXT18-00122335
EXT18-00122360
EXT18-00122333
EXT19-00066608</t>
  </si>
  <si>
    <t xml:space="preserve">CONSEJO DE ESTADO
CONSEJO DE ESTADO
CONSEJO DE ESTADO
CONSEJO DE ESTADO
CONSEJO DE ESTADO. 
ABOGADO
</t>
  </si>
  <si>
    <t>AUTO DE APERTURA- INCIDENTE DE DESACATO POR PARTE DEL TRIBUNAL ADMINISTRATIVO DE SANTANDER
NOTIFICA ACTUACION PROCESAL
INCIDENTE DE DESACATO
INCIDENTE DE DESACATO
INCIDENTE DE DESACATO.
SOLICITUD ESTADO DEL PAGO</t>
  </si>
  <si>
    <t>EXT19-00066608</t>
  </si>
  <si>
    <t>EXT19-00066757</t>
  </si>
  <si>
    <t>EXT19-00067291</t>
  </si>
  <si>
    <t>EXT19-00068425</t>
  </si>
  <si>
    <t>EXT19-00068709</t>
  </si>
  <si>
    <t>SOLICITUD DE DOCUMENTOS</t>
  </si>
  <si>
    <t>EXT19-00069104</t>
  </si>
  <si>
    <t>EXT19-00069393</t>
  </si>
  <si>
    <t>EXT19-00070328</t>
  </si>
  <si>
    <t>EXT19-00070911</t>
  </si>
  <si>
    <t>EXT19-00055146</t>
  </si>
  <si>
    <t xml:space="preserve">SOLICITA INFORMACION Y ALLEGA DOCUMENTOS.
SOLICITUD ESTADO DEL PAGO
</t>
  </si>
  <si>
    <t>EXT19-00055557</t>
  </si>
  <si>
    <t>EXT19-00056236</t>
  </si>
  <si>
    <t>EXT19-00056356</t>
  </si>
  <si>
    <t>EXT19-00059962</t>
  </si>
  <si>
    <t>EXT19-00060075</t>
  </si>
  <si>
    <t>EXT19-00058457</t>
  </si>
  <si>
    <t>EXT19-00062676</t>
  </si>
  <si>
    <t>11/04/2019
30/04/2019
05/06/2019</t>
  </si>
  <si>
    <t>abr-19
abr-19
jun-19</t>
  </si>
  <si>
    <t>EXT19-00040551
EXT19-00046424
EXT19-00062676</t>
  </si>
  <si>
    <t>ABOGADA
BENEFICIARIA
ABOGADA</t>
  </si>
  <si>
    <t>INFORMA QUE NO DEBE APORTAR CERTIFICACIÓN BANCARIA DE LUIS FRANCISCO GUERRA PÉREZ
ALLEGA DOCUMENTOS
Solicitud informacion</t>
  </si>
  <si>
    <t>EXT19-00063137</t>
  </si>
  <si>
    <t>EXT19-00060277</t>
  </si>
  <si>
    <t>EXT19-00063468</t>
  </si>
  <si>
    <t>EXT19-00062354</t>
  </si>
  <si>
    <t>EN EL ANEXO ES EL35 
APARECE LA UNP COMO RECEPTORA 
OFI18-00025144-21/06/2018-Decreto 1303-No aparece base de datos N.
RESPUESTA MEDIANTE (OFI18-00045705, (OFI18-00045708, (OFI18-00045715)  F.
Se da respuesta al EXT19-00060257 mediante OFI19-00021149 DEL 11/06/2019
EL TRIBUNAL ADMINISTRATIVO DE CUNDINAMARCA confirmó que la sentencia quedó ejecutoriada el 27/06/2017</t>
  </si>
  <si>
    <t>1455-2017</t>
  </si>
  <si>
    <t>NRD</t>
  </si>
  <si>
    <t>ALLEGA SOLICITUD DE PAGO COSTAS</t>
  </si>
  <si>
    <t>EXT19-00072953</t>
  </si>
  <si>
    <t>EXT19-00076474</t>
  </si>
  <si>
    <t>REMITE CONTESTACION REQUERIMIENTO</t>
  </si>
  <si>
    <t>RAUL ANTONIO MONTERROZA</t>
  </si>
  <si>
    <t>70 001 3331 006 2011 00589 00</t>
  </si>
  <si>
    <t>EN EL ANEXO ES EL 280</t>
  </si>
  <si>
    <t>HERNANDO DAVID MONTERO PACHECO</t>
  </si>
  <si>
    <t>EXT19-00080612</t>
  </si>
  <si>
    <t>08 001 3333 005 2014 00399 01</t>
  </si>
  <si>
    <t>JUZGADO QUINTO ADMINISTRATIVO ORAL DEL CIRCUITO DE BARRANQUILLA</t>
  </si>
  <si>
    <t xml:space="preserve">TRIBUNAL DE LO CONTENCIOSO ADMINISTRATIVO DEL ATLANTICO </t>
  </si>
  <si>
    <t>NO SE ENCUENTRA EN LOS ANEXOS.
Se le reconocio solo el pago de aportes para pensión.</t>
  </si>
  <si>
    <t>3.294.616.798
(DEFENSORIA DEL PUEBLO)</t>
  </si>
  <si>
    <t>EXT19-00077194</t>
  </si>
  <si>
    <t>NOTIFICACION ESTADO-AUTO DE OBEDEZCASE Y CUMPLASE</t>
  </si>
  <si>
    <t>EXT19-00079838</t>
  </si>
  <si>
    <t>AUTO DA POR TERMINADO EL PROCESO POR PAGO TOTAL DE LA DEUDA</t>
  </si>
  <si>
    <t>EXT19-00081297</t>
  </si>
  <si>
    <t>Auto termina proceso por desestimiento tácito</t>
  </si>
  <si>
    <t>FREDY HERNAN CUERVO VACA</t>
  </si>
  <si>
    <t>EXT19-00083508</t>
  </si>
  <si>
    <t>11 001 3335 024 2012 00195 01</t>
  </si>
  <si>
    <t>EN EL ANEXO ES EL 131</t>
  </si>
  <si>
    <t>JUZGADO VEINTICUATRO ADMINISTRATIVO DE BOGOTA</t>
  </si>
  <si>
    <t>EXT19-00077502</t>
  </si>
  <si>
    <t>SEVICOL LTDA.</t>
  </si>
  <si>
    <t>EN EL ANEXO ES LA 449 SE ALLEGAN DOCUMENTOS PARA PAGO.
RADICACION DEL PROCESO 14 DE JUNIO DE 2012 (SEGÚN CONSULTA EN LA PAGINA DE LA RAMA JUDICIAL).</t>
  </si>
  <si>
    <t>EN LOS ANEXOS ES EL 798-844</t>
  </si>
  <si>
    <t>EN EL ANEXO 5 ESTA EN 603 - 660</t>
  </si>
  <si>
    <t>DAS - UNP como sucesor procesal</t>
  </si>
  <si>
    <t>EXT19-00066017</t>
  </si>
  <si>
    <t>EXT19-00064875</t>
  </si>
  <si>
    <t>pedrovega1970@hotmail.com
11-06-2019</t>
  </si>
  <si>
    <t>08/05/2018
21/06/2018
28/11/2018
16/01/2019
04-02-2019
21-03-2019
26-04-2019
25-04-2019
05-02-2019</t>
  </si>
  <si>
    <t>may-18
jun-18
nov-18
ene-19
feb-19
mar-19
abr-19
abr-19
feb-19</t>
  </si>
  <si>
    <t>EXT18-00040493
EXT18-00056851
EXT18-00121761
EXT19-00004797
EXT19-00011591
EXT19-00032282
EXT19-00044094
EXT19-00044708
EXT19-00011988</t>
  </si>
  <si>
    <t>JUZGADO SEXTO ADMINISTRATIVO DEL CIRCUITO JUDICIAL DE MONTERIA
JUZGADO
JUZGADO
JUZGADO
ABOGADO
ABOGADO
ABOGADO
ABOGADO
JUZGADO</t>
  </si>
  <si>
    <t>REMITE ESTADO, DECLARA DESIERTO EL RECURSO.
AUTO REQUIERE INFORME DEPOSITO JUDICIAL
AUTO DECLARA NULIDAD PROCESAL
EJECUTIVO-AUTO DECLARA NULIDAD PROCESAL 
SOLICITA SALDO PAGO
SOLICITUD DE INFORMACION
TERMINACION DEL PROCESO
TERMINACION PROCESO
Auto decide aprobar liquidacion de crédito.</t>
  </si>
  <si>
    <t>EXT19-00012690</t>
  </si>
  <si>
    <t>EXT18-00103764
EXT18-00106580
EXT19-00032964
OFI19-00016097
EXT19-00060846
EXT19-00056366
EXT19-00055091
EXT19-00013874</t>
  </si>
  <si>
    <t>11/10/2018
19-10-2018
22/03/2019
26-04-2019
21-05-2019
31-05-2019
08-02-2019</t>
  </si>
  <si>
    <t>oct-18
oct18
mar19
abr-19
may-19
feb-19</t>
  </si>
  <si>
    <t>ABOGADO
CONSEJO SUPERIOR DE LA JUDICATURA
JUZGADO
JUZGADO
TRIBUNAL ADMINISTRATIVO DE SANTANDER
Auto ordena seguir adelante la ejecucion previo rechazo de plano de las excepciones propuestas.
Auto de tramite reiterando medidas cautelares</t>
  </si>
  <si>
    <t>EXT19-00015127</t>
  </si>
  <si>
    <t>AUTO FIJA AUDIENCIA INICIAL EJECUTIVO</t>
  </si>
  <si>
    <t>EXT19-00025933
EXT19-00021919</t>
  </si>
  <si>
    <t>6/03/2019
25/02/2019</t>
  </si>
  <si>
    <t>mar-19
feb-19</t>
  </si>
  <si>
    <t>MANDAMIENTO DE PAGO
Decreta medidas cautelares, embargo de dineros.</t>
  </si>
  <si>
    <t>EXT19-00058457
EXT19-00033158</t>
  </si>
  <si>
    <t>27/05/2019
26-03-2019</t>
  </si>
  <si>
    <t>may-19
mar-19</t>
  </si>
  <si>
    <t>ABOGADO
JUZGADO</t>
  </si>
  <si>
    <t>SOLICITUD RELIQUIDACION
Auto modifica liquidacion de credito presentada por la parte ejecutante.</t>
  </si>
  <si>
    <t>JUAN CARLOS PRIETO CAMACHO</t>
  </si>
  <si>
    <t>EXT19-00086878</t>
  </si>
  <si>
    <t>73 001 3333 001 2014 00226 02</t>
  </si>
  <si>
    <t>JUZGADO PRIMERO ADMINISTRATIVO ORAL DE IBAGUE</t>
  </si>
  <si>
    <t>DAS-UNP como sucesor procesal, FIDUPREVISORA</t>
  </si>
  <si>
    <t>NO SE ENCUENTRA EN LOS ANEXOS.</t>
  </si>
  <si>
    <t>ANGEL DE JESUS CASTRILLON ARANGO</t>
  </si>
  <si>
    <t>EXT19-00083304</t>
  </si>
  <si>
    <t>76 001 3333 015 2014 00140 00</t>
  </si>
  <si>
    <t>JUZGADO QUINCE ADMINISTRATIVO ORAL DEL CIRCUITO DE CALI</t>
  </si>
  <si>
    <t>EXT19-00077746</t>
  </si>
  <si>
    <t>EXT19-00086813</t>
  </si>
  <si>
    <t>CHRO_50@HOTMAIL.COM 
15/05/18</t>
  </si>
  <si>
    <t>MARGENI DEL CARMEN GONZALEZ PATERNINA
EVA SANDRITH CABALLERO GONZALEZ
ALEXIS SAMIR HERAZO CABALLERO</t>
  </si>
  <si>
    <t xml:space="preserve">
33.239.286
1.007.864.823
92.191.136</t>
  </si>
  <si>
    <t>MARIA LUZ REDONDO OSPINO</t>
  </si>
  <si>
    <t>EXT19-00088611</t>
  </si>
  <si>
    <t>70 001 3331 005 2009 00100 00</t>
  </si>
  <si>
    <t>ALEXANDER CONSUEGRA PAYARES</t>
  </si>
  <si>
    <t>68 001 3333 005 2015 00295 01</t>
  </si>
  <si>
    <t>EXT19-00089252</t>
  </si>
  <si>
    <t xml:space="preserve">JUZGADO ADMINISTRATIVO ORAL DE BUCARAMANGA </t>
  </si>
  <si>
    <t>EXT18-00084592</t>
  </si>
  <si>
    <t>EXT19-00084590</t>
  </si>
  <si>
    <t>EXT19-00084595</t>
  </si>
  <si>
    <t>EN EL ANEXO ES LA 125
SE DA RESPUESTA MEDIANTE OFI18-00009887 09/03/18 L OFI18-00016495 26/04/18 L
OFI19-00026623  02/08/2019 E.C.</t>
  </si>
  <si>
    <t>EXT19-00084594</t>
  </si>
  <si>
    <t>EN EL ANEXO ES LA 509
SE DA RESPUESTA MEDIANTE OFI18-00016495 26/04/18 L
OFI19-00025966  S.P.</t>
  </si>
  <si>
    <t>EN EL ANEXO SE ENCUENTRA EN DOS REGISTROS 597 Y 654
SE DA RESPUESTA MEDIANTE OFI18-00016495 26/04/18 L
SE RESPONDE CON OFI19-00003805 SP.
OFI19-00025968  29/07/2019  S.P.</t>
  </si>
  <si>
    <t>EXT19-00011988</t>
  </si>
  <si>
    <t>AUTO DECIDE APROBAR LIQUIDACION DE CREDITO</t>
  </si>
  <si>
    <t>EXT19-00021919</t>
  </si>
  <si>
    <t>JUZGADO DEDRETA MEDIDAS CAUTELARES</t>
  </si>
  <si>
    <t>EXT19-00011728</t>
  </si>
  <si>
    <t>NOTIFICA RESOLUCION</t>
  </si>
  <si>
    <t>EXT19-00010020</t>
  </si>
  <si>
    <t>AUTO CONOCIMIENTO MULTA</t>
  </si>
  <si>
    <t>EXT18-00060492
EXT19-00056889
EXT19-00054534
EXT19-00059979
EXT19-00066308
EXT19-00081297
EXT19-00010020
EXT19-00015695
EXT19-00010622</t>
  </si>
  <si>
    <t>04/07/2018
22/05/2019
16/05/2019
29/05/2019
12/06/2019
18-07-2019
30/01/2019
13-02-2019
01/02/2019</t>
  </si>
  <si>
    <t>jul-18
may-19
may-19
may-19
jun-19
jul-19
ene-19
feb-19
feb-19</t>
  </si>
  <si>
    <t>MINHACIENDA
JUZGADO
JUZGADO
JUZGADO
JUZGADO
JUZGADO
JUZGADO
JUZGADO
JUZGADO</t>
  </si>
  <si>
    <t>DEVUELVE COMUNICACIÓN
ESTADO-AUTO ORDENA REQUIRIR A LA PARTE EJECUTANTE
REMITE ESTADO
Auto traslado de la liquidaciones del credito a la parte ejecutanto por 3 dias
Auot ordena requerir a la parte ejecutante.
Recurso rechaza apelacion y termina proceso.
Auto que ordena poner en conocimiento multa por inasistencia a audiencia inicial.
Auto que decide sobre el recurso NO REPONE.
Auto traslado por 3 dias-solicitud de nulidad.
Auto que ordena poner en conocimiento multa por inasistencia a audiencia inicial.</t>
  </si>
  <si>
    <t>EXT19-00010622</t>
  </si>
  <si>
    <t>EXT19-00010402</t>
  </si>
  <si>
    <t>PONAL</t>
  </si>
  <si>
    <t>EXT19-00013874</t>
  </si>
  <si>
    <t>AUTO REITERA MEDIDAS CAUTELARES</t>
  </si>
  <si>
    <t>EXT19-00033158</t>
  </si>
  <si>
    <t>AUTO MODIFICA LIQUIDACON DEL CREDITO</t>
  </si>
  <si>
    <t>ACUSO RECIBO RESPUESTA</t>
  </si>
  <si>
    <t>EXT19-00082169</t>
  </si>
  <si>
    <t>EXT17-00090394
EXT18-00017757
EXT18-00019343
EXT18-00028767
EXT18-00019343
EXT19-00082923</t>
  </si>
  <si>
    <t>17/11/2017
27/02/2018
02/03/2018
04/04/2018
02/03/2018
22/07/2019</t>
  </si>
  <si>
    <t>nov-17
feb-18
mar-18
abr-18
mar-18
jul-19</t>
  </si>
  <si>
    <t>ALBA LILIANA BERRIO BECERRA
ABOGADO
ABOGADO
ABOGADO
ABOGADO
ABOGADO</t>
  </si>
  <si>
    <t>EMBARGO
ALLEGA DOCUMENTOS
PETICION DE INFORMACION
DERECHO DE PETICION
SOLICITUD DE PAGO
SOLICITUD ESTADO PAGO</t>
  </si>
  <si>
    <t>EXT19-00082923</t>
  </si>
  <si>
    <t>EXT19-00084597</t>
  </si>
  <si>
    <t>21/04/2014
ENTREGADO Y LIQUIDADO 22/11/2018</t>
  </si>
  <si>
    <t>EXT19-00092303</t>
  </si>
  <si>
    <t>EXT19-00092755</t>
  </si>
  <si>
    <t>EN EL ANEXO ES LA 349
SE ALLEGA SENTENCIA
SEGUNDA INSTANCIA, REVOCA SENTENCIA DE PRIMERA INSTANCIA RESPECTO DE ALDEMAR JULIO ARDILA, FALLO A FAVOR DE LA UNP.
NO APROBARON.</t>
  </si>
  <si>
    <t>EXT19-00093494</t>
  </si>
  <si>
    <t>EXT19-00089427</t>
  </si>
  <si>
    <t>EXT19-00078924</t>
  </si>
  <si>
    <t>EN LOS ANEXOS ES EL 233
Mediante OFI19-00027218 se da respuesta al EXT19-00078924</t>
  </si>
  <si>
    <t>EXT19-00089428</t>
  </si>
  <si>
    <t>oct-2018
may-2019
ago-2019</t>
  </si>
  <si>
    <t>EXT19-00094181</t>
  </si>
  <si>
    <t>WILMAR ORLANDO ARIAS LOPEZ</t>
  </si>
  <si>
    <t>EXT19-00094697</t>
  </si>
  <si>
    <t>11 001 3335 010 2014 00318 00</t>
  </si>
  <si>
    <t>EXT19-00091472</t>
  </si>
  <si>
    <t>EXT19-00079813</t>
  </si>
  <si>
    <t>ABOGODO</t>
  </si>
  <si>
    <t>EXT18-00048506
EXT18-00108254
EXT19-00064875
EXT19-00080312</t>
  </si>
  <si>
    <t>BENEFICIARIO
BENEFICIARIO
ABOGADO
ABOGAGO</t>
  </si>
  <si>
    <t>30/05/2018
23/10/2018
11/06/2019
16/07/2019</t>
  </si>
  <si>
    <t>may-18
oct-18
jun-19
jul-19</t>
  </si>
  <si>
    <t>DERECHO DE PETICION
DERECHO DE PETICION
SOLICITA INFORMACION SOBRE EL PAGO
Solicitud aclaracion sobre el pago.</t>
  </si>
  <si>
    <t>Solicitud aclaracion sobre el pago.</t>
  </si>
  <si>
    <t>EXT19-00080312</t>
  </si>
  <si>
    <t>EXT19-00083068</t>
  </si>
  <si>
    <t>EXT18-00089034
EXT18-00089459
EXT19-00037842
EXT19-00087126</t>
  </si>
  <si>
    <t>10/09/2018
11/09/2018
05/04/2019
31-07-2019</t>
  </si>
  <si>
    <t>sep-18
sep-18
abr-19
jul-19</t>
  </si>
  <si>
    <t>DERECHO DE PETICION
DERECHO DE PETICION
ALLEGA DOCUMENTOS
Allega documentos</t>
  </si>
  <si>
    <t>EXT19-00087126</t>
  </si>
  <si>
    <t>EXT19-00087864</t>
  </si>
  <si>
    <t>EXT19-00090189</t>
  </si>
  <si>
    <t>CONSEJO SECCIONAL DE LA JUDICATURA BOGOTA</t>
  </si>
  <si>
    <t>EXT19-00083916</t>
  </si>
  <si>
    <t>PROTECCION S.A.</t>
  </si>
  <si>
    <t>SOLICITUD PAGO APORTES</t>
  </si>
  <si>
    <t>JUZGADO
JUZGADO
PROTECCION S.A.</t>
  </si>
  <si>
    <t>JUZGADO
EXT19-00054635
EXT19-00083916</t>
  </si>
  <si>
    <t>15/02/2019
17/05/2019
23/07/2019</t>
  </si>
  <si>
    <t>feb-19
may-19
jul-19</t>
  </si>
  <si>
    <t>FIJA AUDIENCIA
AUTO TERMINA EJECUTIVO POR PAGO
Solicitud pago aportes.</t>
  </si>
  <si>
    <t>EXT19-00073095</t>
  </si>
  <si>
    <t>EXT19-00032140
EXT19-00073095</t>
  </si>
  <si>
    <t>21/03/2019
02-07-2019</t>
  </si>
  <si>
    <t>mar-19
jul-19</t>
  </si>
  <si>
    <t>CORRIGE SENTENCIA.
Allega documentos.</t>
  </si>
  <si>
    <t>TRIBUNAL ADMINISTRATIVO DEL DEPARTAMENTO ARCHIPIELAGO DE SAN ANDRES</t>
  </si>
  <si>
    <t>EN LOS ANEXOS ES EL 662</t>
  </si>
  <si>
    <t>76 001 2331 000 2011 01811 01</t>
  </si>
  <si>
    <t>EXT19-00095918</t>
  </si>
  <si>
    <t>GERMAN ANDRES PRADO CUELLAR</t>
  </si>
  <si>
    <t>11 001 3335 011 2013 00224 01</t>
  </si>
  <si>
    <t>EXT19-00100280</t>
  </si>
  <si>
    <t>BENJAMIN HERRERA</t>
  </si>
  <si>
    <t>GILDARDO SALAZAR SALAZAR
LUZ MERY PUERTA DE SALAZAR
SANDRA MILENA SALAZAR PUERTA
JAVIER SALAZAR PUERTA
GILBERTO SALAZAR PUERTA
ELKIN ARLEY SALAZAR PUERTA
JHON ALEXANDER SALAZAR PUERTA
BERNARDA SALAZAR OCAMPO</t>
  </si>
  <si>
    <t>10.066.849
34.059.726
1.088.266.785
10.025.797
10.027.572
1.088.278.276
9.874.112
24.927.757</t>
  </si>
  <si>
    <t>66001 2331 000 2010 00053 00</t>
  </si>
  <si>
    <t>SOLITUD DE PAGO</t>
  </si>
  <si>
    <t>EN EL ANEXO ES EL 508
El consejo de estado en sentencia de tutela del 03 de julio de 2019 dejó sin efecto la providencia del tribunal administrativo de cundinamarca</t>
  </si>
  <si>
    <t>NO SE ENCUENTRA EN LOS ANEXOS.
El consejo de estado atraves de accion de tutela dispuso dejar sin efecto la providencia del tribunal de cundinamarca de fecha 10/08/2018</t>
  </si>
  <si>
    <t>EXT19-00087657</t>
  </si>
  <si>
    <t>EXT19-00087795</t>
  </si>
  <si>
    <t>EXT19-00089063</t>
  </si>
  <si>
    <t>EXT19-00090106</t>
  </si>
  <si>
    <t>EXT19-00091338</t>
  </si>
  <si>
    <t>EXT19-00091366</t>
  </si>
  <si>
    <t>EXT19-00091865</t>
  </si>
  <si>
    <t>EXT19-00091947</t>
  </si>
  <si>
    <t>EXT19-00096049</t>
  </si>
  <si>
    <t>EXT18-00112324
EXT19-00037139
EXT19-00096049</t>
  </si>
  <si>
    <t>SOLICITUD  DE PAGO.
ALLEGA DOCUMENTOS.
SOLICITA DOCUMENTOS.</t>
  </si>
  <si>
    <t>1/11/2018
03/04/2019
21/08/2019</t>
  </si>
  <si>
    <t>nov-18
abr-19
ago-19</t>
  </si>
  <si>
    <t>EXT19-00096100</t>
  </si>
  <si>
    <t>EXT19-00096413</t>
  </si>
  <si>
    <t>EXT19-00097766</t>
  </si>
  <si>
    <t>DAGOBERTO RICARDO GARZON</t>
  </si>
  <si>
    <t>EXT19-00100136</t>
  </si>
  <si>
    <t>DEIVID YOAN PEÑALOZA RUSINQUE</t>
  </si>
  <si>
    <t>11 001 3335 025 2015 00951 00</t>
  </si>
  <si>
    <t>EN LOS ANEXOS ES EL 113</t>
  </si>
  <si>
    <t>OSCAR ALFREDO BOHORQUEZ CENTENO
ALIRIA MANRIQUE AMADO</t>
  </si>
  <si>
    <t>EXT17-00091954</t>
  </si>
  <si>
    <t>EXT19-00105161</t>
  </si>
  <si>
    <t>TRASLADO POR COMPETENCIA- SOLICITA INFORMAR RESPUESTA</t>
  </si>
  <si>
    <t>FECHA DE PAGO TOTAL CERTIFICADO POR TESORERIA</t>
  </si>
  <si>
    <t>$12.053.740
$5.678.183</t>
  </si>
  <si>
    <t>OPNP_47305119  COLPENSIONES.  18/08/2019
OPNP_47306719  NUEVA EPS.   03/07/2019</t>
  </si>
  <si>
    <t xml:space="preserve">$46.828.905
$9.620.137
</t>
  </si>
  <si>
    <t>OPNP_69431519  PORVENIR.  18/07/2019
OPNP_69432919  EPS SURA.   18/07/2019</t>
  </si>
  <si>
    <t>OPNP_69418519_COLPENSIONES_19/07/2019</t>
  </si>
  <si>
    <t xml:space="preserve">
$2.618.568</t>
  </si>
  <si>
    <t>$7.136.100
XXXXXXXXXX</t>
  </si>
  <si>
    <t>COLPENSIONES__RESOL. 0546/2015
XXXXXXXXXXXXXXXXXXXXXXXXXXXX</t>
  </si>
  <si>
    <t xml:space="preserve">39343988
</t>
  </si>
  <si>
    <t xml:space="preserve">$4.092.600
</t>
  </si>
  <si>
    <t>OPNP_100433019_PROTECCION_18/07/2019</t>
  </si>
  <si>
    <t>OPNP_139960019_PORVENIR_14/06/2019</t>
  </si>
  <si>
    <t>$1.402.955
$1.795.782</t>
  </si>
  <si>
    <t>OPNP_139904119_ MEDIMAS_18/07/2019
OPNP_139898419_COLPENSIONES_18/07/2019</t>
  </si>
  <si>
    <t>OPNP_152497419_COLPENSIONES_24/07/2019</t>
  </si>
  <si>
    <t>$2.669.369
$2.116.117</t>
  </si>
  <si>
    <t>OPNP_151847719_PORVENIR_18/07/2019
OPNP_151849719_COMPENSAR EPS_18/07/2019</t>
  </si>
  <si>
    <t>EXT19-00098605</t>
  </si>
  <si>
    <t>ALLEGA ACLARACION</t>
  </si>
  <si>
    <t>EXT19-00098616</t>
  </si>
  <si>
    <t>EXT19-00099233</t>
  </si>
  <si>
    <t>EXT19-00100395</t>
  </si>
  <si>
    <t>EXT19-00100852</t>
  </si>
  <si>
    <t>EXT19-00101707</t>
  </si>
  <si>
    <t>EXT19-00102065</t>
  </si>
  <si>
    <t>EXT19-00102260</t>
  </si>
  <si>
    <t>EXT19-00102482</t>
  </si>
  <si>
    <t>EXT19-00104482</t>
  </si>
  <si>
    <t>EXT19-00105315</t>
  </si>
  <si>
    <t>EXT19-00099972</t>
  </si>
  <si>
    <t>SUSTITUYE PODER</t>
  </si>
  <si>
    <t>EXT19-00101661</t>
  </si>
  <si>
    <t>EXT19-00100681</t>
  </si>
  <si>
    <t>EXT19-00105450</t>
  </si>
  <si>
    <t>EXT19-00105856</t>
  </si>
  <si>
    <t>EXT19-00106055</t>
  </si>
  <si>
    <t>Solicitud estado del pago</t>
  </si>
  <si>
    <t>EXT19-00035634
EXT19-00093115</t>
  </si>
  <si>
    <t>1/04/2019
14/08/2019</t>
  </si>
  <si>
    <t>abr-19
ago-19</t>
  </si>
  <si>
    <t>ABOGADA
BENEFICIARIO</t>
  </si>
  <si>
    <t>ALLEGA PODER
Solicitud documentos</t>
  </si>
  <si>
    <t>18/06/2018
11/07/2018
14/06/2018
23/11/2018
12/06/2019
30/08/2019
20/09/2019</t>
  </si>
  <si>
    <t>jun-2018
jul-2018
jun-2018
nov-2018
jun-2019
ago-2018
sep-2019</t>
  </si>
  <si>
    <t>EXT18-00054497
EXT18-00063750
EXT18-00053647
EXT18-00120193
EXT19-00066017
EXT19-00100852
EXT19-00111179</t>
  </si>
  <si>
    <t>SOLICITUD DE CUMPLIMIENTO
DERECHO DE PETICION
OFICIO RATIFICA INFORMACION OFI18-00011264 Y OFI18-00020802
DERECHO DE PETICION
SOLICITUD ESTADO DEL PAGO
Solicitud estado pago.
Allega documentos</t>
  </si>
  <si>
    <t>EXT19-00111179</t>
  </si>
  <si>
    <t>EXT19-00113877</t>
  </si>
  <si>
    <t>ABOGADO
ABOGADO
MINISTERIO DE HACIENDA
ABOGADA 
ABOGADA
ABOGADA
ABOGADA</t>
  </si>
  <si>
    <t>EXT19-00114710</t>
  </si>
  <si>
    <t>EXT19-00115352</t>
  </si>
  <si>
    <t>JUZGADO TERCERO ADMINISTRATIVO DE DESCONGESTION DE NEIVA</t>
  </si>
  <si>
    <t>JENNY DALILA ACOSTA PORTELA</t>
  </si>
  <si>
    <t>EXT19-00118706</t>
  </si>
  <si>
    <t>COMUNICA PAGO TOTAL SENTENCIA, ADELANTE ACCIONES COBRO PERSUASIVO Y COACTIVO</t>
  </si>
  <si>
    <t>NO SE ENCUENTRA EN LOS ANEXOS
El MININTERIOR PAGO LA TOTALIDAD DEL FALLO MEDIANTE RESOLUCION RESOLUCION 1577 DE SEP-2019 Y NOTIFICÓ DEL PAGO A LA UNP EL 07/10/2019, ADELANTA ACCIONES COBRO PERSUASIVO Y COACTIVO.</t>
  </si>
  <si>
    <t>EXT19-00122478</t>
  </si>
  <si>
    <t>EXT19-00122481</t>
  </si>
  <si>
    <t>SOLICITUD PAGO SENTENCIA</t>
  </si>
  <si>
    <t>215.907.239
50.143.575</t>
  </si>
  <si>
    <t>75981919
304977119</t>
  </si>
  <si>
    <t>4/04/2019
16/10/2019</t>
  </si>
  <si>
    <t>abr-19
abr-19</t>
  </si>
  <si>
    <t>111.469.997
106.398.204</t>
  </si>
  <si>
    <t>55426719
306921319</t>
  </si>
  <si>
    <t>18/03/2019
17/10/2019</t>
  </si>
  <si>
    <t>mar-19
oct-19</t>
  </si>
  <si>
    <t>APRUEBA LIQUIDACIONES EN COSTAS</t>
  </si>
  <si>
    <t>EXT19-00072175</t>
  </si>
  <si>
    <t>EXT19-00116047</t>
  </si>
  <si>
    <t>EXT19-00116841</t>
  </si>
  <si>
    <t>EXT19-00120633</t>
  </si>
  <si>
    <t>EXT19-00122485</t>
  </si>
  <si>
    <t>EXT19-00123501</t>
  </si>
  <si>
    <t>EXT19-00123537</t>
  </si>
  <si>
    <t>EXT19-00124146</t>
  </si>
  <si>
    <t>EXT19-00125069</t>
  </si>
  <si>
    <t>EXT19-00125112</t>
  </si>
  <si>
    <t>EXT19-00093896</t>
  </si>
  <si>
    <t>REMITE SENTENCIA DE PRIMERA Y SEGUNDA INSTANCIA</t>
  </si>
  <si>
    <t>EXT19-00092444</t>
  </si>
  <si>
    <t>EXT19-00101684
EXT19-00096158
EXT19-00097661
EXT19-00099846</t>
  </si>
  <si>
    <t>SOLICITUD PAGO PENSION</t>
  </si>
  <si>
    <t>EXT19-00096440</t>
  </si>
  <si>
    <t>EXT19-00105865</t>
  </si>
  <si>
    <t>EXT19-00114522</t>
  </si>
  <si>
    <t>REMITE FALLO DE SEGUNDA INSTANCIA</t>
  </si>
  <si>
    <t>EXT19-00113089</t>
  </si>
  <si>
    <t>SOLICITUD DOCUMENTOS</t>
  </si>
  <si>
    <t>EXT18-00128161
EXT18-00134886
EXT19-00005874
EXT19-00010402
EXT19-00011728
EXT19-00119872</t>
  </si>
  <si>
    <t>10/12/2018
26/12/2018
21/01/2019
31/01/2019
04-02-2019
09/10/2019</t>
  </si>
  <si>
    <t>dic-18
dic-18
ene-19
ene-19
feb-19
oct-19</t>
  </si>
  <si>
    <t>MININTERIOR
POLICIA NACIONAL
PROCURADURIA
PONAL
MININTERIOR
MININTERIOR</t>
  </si>
  <si>
    <t>RESOLUCION QUE FALLA LAS EXCEPCIONES Y MODIFICA MANDAMIENTO DE PAGO 001 DE 2018
NOTIFICA MANDAMIENTO DE PAGO
SOLICITUD SOPORTES 
Resolucion 001 de 30-01-2019. Ordena seguir adelante la ejecucion en los terminos del mandamiento de pago.
Notifica resolucion 001 de 30-01-2019.
Respuesta a liquidacion de resolucion 1648-2013</t>
  </si>
  <si>
    <t>EXT19-00129538</t>
  </si>
  <si>
    <t>EXT17-00037128</t>
  </si>
  <si>
    <t>EXT19-00099866</t>
  </si>
  <si>
    <t>SOLICITUD DOCUMENTOS PAGO COLPENSIONES</t>
  </si>
  <si>
    <t>EXT18-00076385
EXT18-00075749
EXT19-00083916
EXT19-00107090</t>
  </si>
  <si>
    <t>ago-2018
ago-2018
jul-19
sep-19</t>
  </si>
  <si>
    <t>10/08/2018
09/08/2018
23/07/2019
13/09/2019</t>
  </si>
  <si>
    <t>JUZGADO
JUZGADO
PROTECCION S.A.
BENEFICIARIO</t>
  </si>
  <si>
    <t>REANUDA EJECUTIVO
NOTIFICA ESTADO
Solicitud pago aportes
Solicitud pago de aportes</t>
  </si>
  <si>
    <t>EXT19-00127281</t>
  </si>
  <si>
    <t>EXT19-00127634</t>
  </si>
  <si>
    <t>EXT19-00127745</t>
  </si>
  <si>
    <t>EXT19-00129325</t>
  </si>
  <si>
    <t>SOLICITUD DOCUMENTOS PAGO APORTES</t>
  </si>
  <si>
    <t>EN EL ANEXO 4 ES LA 330 
OFICIO EXT16-00087959 FIDUPREVISORA INFORMA PAGO
FUNCION PUBLICA CON OFICIO 2016600251831 INFORMA QUE NO EXISTE REGISTRO CON ENTIDAD PUBLICA /(08/08/2017 NRD - LA AGENCIA INFORMA QUE ELLOS PAGAN LA LIQUIDACION DE LA SENTENCIA, SIN EMBARGO REMITEN A LA UNP PARA LO CORRESPONDIENTE AL PAGO DE LO ORDENADO)
EN EL EXT18-00111673 LA CONTRALORIA GENERAL DA RESPUESTA AL OFI18-00045166 EN EL CUAL INDICA QUE EL SR. NO ESTUVO VINCULADO EN LA PLANTA TRANSITORIA DAS DE ESA ENTIDAD.(CONTRALORIA)
Conforme al mandamiento de pago la UNP solo debe vincular al demandante. La vinculacion se dio en diciembre del 2018</t>
  </si>
  <si>
    <t>SOLICITUD RESOLUCION Y RELIQUIDACION</t>
  </si>
  <si>
    <t>0321-2019
1619-2019</t>
  </si>
  <si>
    <t>0374-2019
1618-2019</t>
  </si>
  <si>
    <t>EN EL ANEXO 420. 
E CONTESTA. D. DE PETIC.
ALLEGA NUEVA CUENTA (SE DA RESPUESTA MEDIANTE OFI17-00035143 26/09/17 Y OFI17-00007123 08/02/2017 / SE DA RESPUESTA MEDIANTE CORREO ELECTRONICO 27/06/17)A OFI18-00012195 23/03/18 E OFI18-00022220 01/06/18 E
CORREO ELECTRÓNICO 26/07/18 L
CORREO ELECTRÓNICO 26/07/18 L
MEDIANTE OFI18-00037862 DE 03-09-2018, SE DA RESPUESTA AL EXT18-00075822
OFI18-00043460 02/10/18 
CORREO ELECTRONICO 03/10/18
PENDIENTE POR EFECTUAR APORTES A PENSION
RESPUESTA MEDIANTE OFI18-00047771  F
ACCION DE TUTELA, se respondio mediante OFI19-00036826.
El juez de tutela ORDENA a la Administradora de Fondo de Pensiones y Cesantías - PROTECCIÓN S.A. a que, en el término de cuarenta y ocho (48) horas, proceda a corregir la historia laboral del actor con la inclusión de los aportes a pensión realizados por la Unidad Nacional de Protección S.A., en cumplimiento de una sentencia judicial, por valor de $28’190.209,00.</t>
  </si>
  <si>
    <t>En el Proceso de Nulidad y Restablecimiento del Derecho instaurado por el señor ALEX FERNEY HINCAPIE NUÑEZ Contra el DAS Radicado 2.017- 0323, se aportó la constancia de ejecutoria de la sentencia proferida por el Juzgado 24 Administrativo en Oralidad de Bogotá, sin embargo en este proceso se declaró probada la Excepción de  FALTA DE AGOTAMIENTO DEL REQUISITO DE PROCEDIBILIDAD y DECLARÓ PROBADA LA FALTA DE LEGITIMACIÓN EN LA CAUSA POR PASIVA en contra del DAS y por las mismas razones se negaron las pretensiones de la demanda. Mario Latorre.</t>
  </si>
  <si>
    <r>
      <rPr>
        <b/>
        <sz val="9"/>
        <rFont val="Arial Narrow"/>
        <family val="2"/>
      </rPr>
      <t xml:space="preserve">Se reincoporó mediante resolucion 0962 de 2019 en el cargo Oficial de Proteccion 3137, grado 11. Se posesionó el 27 de junio de 2019.
El 31 enero de 2017 el juzgado treinta y cuatro administrativo de medellin dictó mandamiento de pago en contra de ANDJE, FIDUPREVISORA, DEPARTAMENTO ADMINISTRATIVO DE LA PRESIDENCIA DE LA REPUBLICA. Por lo tanto la UNP no realizará ningún pago.
</t>
    </r>
    <r>
      <rPr>
        <sz val="9"/>
        <rFont val="Arial Narrow"/>
        <family val="2"/>
      </rPr>
      <t xml:space="preserve">
EN EL ANEXO 4 ES LA 333 
NO HA ALLEGADO SOLICITUD DE REINTREGO.
OFICIO EXT16-00087959 FIDUPREVISORA INFORMA PAGO POR PARTE DE ESA ENTIDAD.
FUNCION PUBLICA CON OFICIO 2016600251831 INFORMA QUEN O EXISTE REGISTRO CON ENTIDAD PUBLICA / (08/08/2017 NRD - LA AGENCIA INFORMA QUE ELLOS PAGAN LA LIQUIDACION DE LA SENTENCIA, SIN EMBARGO REMITEN A LA UNP PARA LO CORRESPONDIENTE AL REINTEGRO ORDENADO)
En atención a lo indicado en correo que antecede de manera atenta les informo que verificada la información hoy 05-04-2019 no se encontró que la señora ISABEL CRISTINA DIOSA BETANCUR, se le este o haya liquidado nómina, por tanto no está vinculada a la planta de la UNP.
Con respecto a la asignación básica mensual al empleo Oficial de Protección, grado 10, es de $1.586.023, pero es la de la vigencia 2018. No le facilito el de 2019 porque a la fecha no ha salido el decreto de salarios de este año.</t>
    </r>
  </si>
  <si>
    <t>EXT19-00132534</t>
  </si>
  <si>
    <t>FALLO A FAVOR DE LA UNP, SE DEBEN COBRAR LAS COSTA A LA PARTE DEMANDANTE.</t>
  </si>
  <si>
    <t>EXT19-00135415</t>
  </si>
  <si>
    <t>EXT19-00142467</t>
  </si>
  <si>
    <t>OMAR ARLEX OSORIO ATEHORTUA</t>
  </si>
  <si>
    <t>EXT19-00145309</t>
  </si>
  <si>
    <t>05001 3333 004 2013 00652 00</t>
  </si>
  <si>
    <t>EN LOS ANEXOS ES EL 491</t>
  </si>
  <si>
    <t>JUZGADO CUARTO ADMINISTRATIVO ORAL DE MEDELLIN</t>
  </si>
  <si>
    <t xml:space="preserve">22/03/2018
</t>
  </si>
  <si>
    <t xml:space="preserve">08/09/2017
</t>
  </si>
  <si>
    <t>EXT19-00132893</t>
  </si>
  <si>
    <t>11001 3335 029 2015 00660 01</t>
  </si>
  <si>
    <t>EXT19-00143317</t>
  </si>
  <si>
    <t>EXT19-00093115</t>
  </si>
  <si>
    <t>EXT19-00096451</t>
  </si>
  <si>
    <t>EXT19-00107090</t>
  </si>
  <si>
    <t>JHON FREDY VELEZ CANO</t>
  </si>
  <si>
    <t>EXT19-00131990</t>
  </si>
  <si>
    <t>05 001 3333 010 2013 00306 00</t>
  </si>
  <si>
    <t>JUZGADO DECIMO ADMINISTRATIVO ORAL DE MEDELLIN</t>
  </si>
  <si>
    <t>EN LOS ANEXOS ES EL 438</t>
  </si>
  <si>
    <t>EXT19-00118706
EXT19-00118399</t>
  </si>
  <si>
    <t>ALLEGA DOCUMENTACION PAGO SENTENCIA SOLIDARIA</t>
  </si>
  <si>
    <t>EXT19-00119483</t>
  </si>
  <si>
    <t>SOLICITUD DE PAGO LAUDO ARBITRAL</t>
  </si>
  <si>
    <t>EXT19-00146764</t>
  </si>
  <si>
    <t>SOLICITUD PAGO LAUDO ARBITRAL</t>
  </si>
  <si>
    <t>EXT19-00141061</t>
  </si>
  <si>
    <t>MARLIO CACERES MOLANO</t>
  </si>
  <si>
    <t>25 000 2342 000 2012 01193 01</t>
  </si>
  <si>
    <t>CONCEJO DE ESTADO</t>
  </si>
  <si>
    <t>EXT19-00145971</t>
  </si>
  <si>
    <t>EXT19-00145996</t>
  </si>
  <si>
    <t>68 001 2333 000 2014 00405 01</t>
  </si>
  <si>
    <t>12/12/016</t>
  </si>
  <si>
    <t>RICHARD ALEXANDER MORALES OLAYA</t>
  </si>
  <si>
    <t>EXT19-00146023</t>
  </si>
  <si>
    <t>23 001 2333 000 2012 00066 02</t>
  </si>
  <si>
    <t>EN LOS ANEXOS ES EL 478</t>
  </si>
  <si>
    <t>63 001 2333 000 2014 00204 01</t>
  </si>
  <si>
    <t>NELSON ENRIQUE GARCIA DOMINGUEZ</t>
  </si>
  <si>
    <t>EXT19-00146008</t>
  </si>
  <si>
    <t>JORGE ENRIQUE CRUZ CRUZ</t>
  </si>
  <si>
    <t>EXT19-00146009</t>
  </si>
  <si>
    <t>25 000 2342 000 2015 04697 01</t>
  </si>
  <si>
    <t>TRIBUNAL ADMINISTRATIVO DEL QUINDIO</t>
  </si>
  <si>
    <t>EN LOS ANEXOS ES EL 30</t>
  </si>
  <si>
    <t>WISTON HERNAN TOVAR TOVAR</t>
  </si>
  <si>
    <t>EXT19-00136399</t>
  </si>
  <si>
    <t>TRIBANAL ADMINISTRATIVO DE CUNDINAMARCA</t>
  </si>
  <si>
    <t>JUZGADO CUARENTA Y SEIS ADMINISTRATIVO DE BOGOTA</t>
  </si>
  <si>
    <t>PENSION</t>
  </si>
  <si>
    <t>EN LOS ANEXOS ES EL 750</t>
  </si>
  <si>
    <t>11 001 3342 046 2016 00039 01</t>
  </si>
  <si>
    <t>EXT19-00134039</t>
  </si>
  <si>
    <t>HUGO ALBERTO SOLER SANCHEZ</t>
  </si>
  <si>
    <t>EXT19-00145998</t>
  </si>
  <si>
    <t>11 001 3335 023 2014 00118 01</t>
  </si>
  <si>
    <t>JIMMY GERARDO LOPEZ ORTIZ</t>
  </si>
  <si>
    <t>EXT19-00146001</t>
  </si>
  <si>
    <t>11 001 3335 024 2013 00104 00</t>
  </si>
  <si>
    <t>EN LOS ANEXOS ES EL 160</t>
  </si>
  <si>
    <t>BLANCA IRENE PERDOMO PARRA</t>
  </si>
  <si>
    <t>NESTOR FABIAN AFANADOR CAMACHO</t>
  </si>
  <si>
    <t>MAURICIO FERNANDEZ RAIGOZA</t>
  </si>
  <si>
    <t>EXT17-00040978</t>
  </si>
  <si>
    <t>EXT20-00001140</t>
  </si>
  <si>
    <t>76 001 3331 703 2012 00065 00</t>
  </si>
  <si>
    <t>EN LOS ANEXOS ES EL 299</t>
  </si>
  <si>
    <t>EXT19-00146382</t>
  </si>
  <si>
    <t>EXT19-00143578</t>
  </si>
  <si>
    <t>EXT19-00149848</t>
  </si>
  <si>
    <t>OSCAR DANIEL MUNERA SALINAS</t>
  </si>
  <si>
    <t>EXT19-00142465</t>
  </si>
  <si>
    <t>25 000 2342 000 2013 04117 01</t>
  </si>
  <si>
    <t>EN LOS ANEXOS ES EL 115</t>
  </si>
  <si>
    <t>WILLIAM FERNANDO CAICEDO CALDERON</t>
  </si>
  <si>
    <t>EXT19-00142464</t>
  </si>
  <si>
    <t>11 001 3335 023 2012 00213 01</t>
  </si>
  <si>
    <t>2810/2019</t>
  </si>
  <si>
    <t>EN LOS ANEXOS ES EL 157</t>
  </si>
  <si>
    <t>JAIRO LUIS DE MOYA RODRIGUEZ</t>
  </si>
  <si>
    <t>EXT19-00142469</t>
  </si>
  <si>
    <t>11 001 3335 026 2012 00154 00</t>
  </si>
  <si>
    <t>EN LOS ANEXOS ES EL 482</t>
  </si>
  <si>
    <t>EXT19-00137048</t>
  </si>
  <si>
    <t>EDWIN CEBALLOS DUQUE</t>
  </si>
  <si>
    <t>EXT19-00147367</t>
  </si>
  <si>
    <t>EXT19-00146668</t>
  </si>
  <si>
    <t>EXT19-00136296</t>
  </si>
  <si>
    <t>SOLICITA COPIAS DE INVESTIGACION DISCIPLINARIA</t>
  </si>
  <si>
    <t>OSCAR HUMBERTO GOMEZ GOMEZ</t>
  </si>
  <si>
    <t>76 001 3331 703 2014 00132</t>
  </si>
  <si>
    <t>JUZGADO DOCE ADMINISTRATIVO DE CALI</t>
  </si>
  <si>
    <t>COMUNICACION SENTENCIA</t>
  </si>
  <si>
    <t>1982-19</t>
  </si>
  <si>
    <t>joaljipa@yahoo.es
22-01-2020</t>
  </si>
  <si>
    <t xml:space="preserve">PORVENIR
</t>
  </si>
  <si>
    <t>mar-16
may-16
may-16
dic-19</t>
  </si>
  <si>
    <t>1994-2019</t>
  </si>
  <si>
    <t>47665416
117285916
(DRA. GREYDA  COLMENARES)
117308516
411094519</t>
  </si>
  <si>
    <t>04/03/2016
10/05/2016
(DRA. GREYDA COLMENARES)
10/05/2016
23/12/2019</t>
  </si>
  <si>
    <t>0876/2015 
230/2016
1981-2019</t>
  </si>
  <si>
    <t>$ 57.982.460
$ -25.734.635
(DRA. GREYDA  COLMENARES)
$ 57.982.460
$  70.973.728
(Dr. Greyda
22.764.572)</t>
  </si>
  <si>
    <t xml:space="preserve">
$ 19.956.314
(MEDIMÁS)
$ 28.074.292
(COLPENSIONES)</t>
  </si>
  <si>
    <t>riverortizzz@gmail.com
mialvarodiuza@hotmail.com
31/01/2020</t>
  </si>
  <si>
    <t>aofigomezg@yahoo.es
carlosandres74@outlook.com
31/01/2020</t>
  </si>
  <si>
    <t>colmenaresabogados2013@outlook.com
luis_perez514@hotmail.com
31/01/2020</t>
  </si>
  <si>
    <t xml:space="preserve">OJO!! EL BENEFICIARIO DEL FALLO FALLECÍO
PROCESO IMPUESTO CASILLA 244 DEL ANEXO
(SE DA RESPUESTA MEDIANTE OFI17-00014961 27/04/17)A
</t>
  </si>
  <si>
    <t>SOLO SE ORDENÓ EL REINTEGRO</t>
  </si>
  <si>
    <t>EXT19-00140843</t>
  </si>
  <si>
    <t>EDISON GALINDO GAITAN</t>
  </si>
  <si>
    <t>ADRIANA ROMETO PEREIRA</t>
  </si>
  <si>
    <t>EXT19-00149638</t>
  </si>
  <si>
    <t>EXT20-00013333</t>
  </si>
  <si>
    <t>EXT20-00008784</t>
  </si>
  <si>
    <t>GIOVANNY VÁSQUEZ ISAZA</t>
  </si>
  <si>
    <t>EXT20-00008323
EXT20-00008103</t>
  </si>
  <si>
    <t>EXT20-00008792</t>
  </si>
  <si>
    <t>MANUEL ALFONSO VALDEZ ORTIZ</t>
  </si>
  <si>
    <t>EXT20-00007533</t>
  </si>
  <si>
    <t>EXT20-00007601</t>
  </si>
  <si>
    <t>EXT20-00005271</t>
  </si>
  <si>
    <t>EXT18-00069262
EXT18-00105389
EXT19-00052267
EXT19-00053014
EXT19-00056356
EXT20-00005539</t>
  </si>
  <si>
    <t>25/07/2018
17/10/2018
13/05/2019
14/05/2019
21/05/2019
27/01/2020</t>
  </si>
  <si>
    <t>jul-18
oct-18
may-19
may-19
may-19
ene-20</t>
  </si>
  <si>
    <t>ABOGADO
ABOGADO
ABOGADO
ABOGADO
ABOGADO
ABOGADO</t>
  </si>
  <si>
    <t>Derecho peticion
Solicitu estado pago
Documentos
Documentos
Allega documentos
Solicitud documentos</t>
  </si>
  <si>
    <t>EXT20-00005539</t>
  </si>
  <si>
    <t>EXT20-00008694
EXT20-00010054</t>
  </si>
  <si>
    <t>EXT20-00001323</t>
  </si>
  <si>
    <t>03/08/2018
18/09/2018
02/10/2018
17/01/2019
08/01/2020</t>
  </si>
  <si>
    <t>ago-18
sep-18
oct-18
ene-19
ene-20</t>
  </si>
  <si>
    <t>EXT18-00073787
EXT18-00092539
EXT18-00099767
EXT19-00005052
EXT20-00001419</t>
  </si>
  <si>
    <t>BENEFICIARIO
ABOGADO
ABOGADO
BENEFICIARIO
BENEFICIARIO</t>
  </si>
  <si>
    <t>EXT20-00001419</t>
  </si>
  <si>
    <t>EXT20-00002591</t>
  </si>
  <si>
    <t>EXT20-00003032</t>
  </si>
  <si>
    <t>Solicitud estado pago
Solicitud estado pago</t>
  </si>
  <si>
    <t>EXT20-00003035</t>
  </si>
  <si>
    <t>EXT20-00003032-5</t>
  </si>
  <si>
    <t>EXT20-00003045</t>
  </si>
  <si>
    <t>EXT20-00003525</t>
  </si>
  <si>
    <t>EXT18-00084961
EXT18-00084961
EXT18-00093063
EXT19-00007482
EXT19-00055371
EXT20-00005031</t>
  </si>
  <si>
    <t>31/08/2018
31/08/2018
19/09/2018
24-01-2019
20/05/2019
16/01/2020</t>
  </si>
  <si>
    <t>ago-18
ago-18
sep-18
ene-19
may-19
ene-20</t>
  </si>
  <si>
    <t>MINHACIENDA
MINHACIENDA
ABOGADO
ABOGADO
PROCURADURIA
ABOGADO</t>
  </si>
  <si>
    <t>DERECHO DE PETICION
DERECHO DE PETICION
SOLICITUD DE PAGO
DERECHO DE PETICION
SOLICITUD ESTADO DEL PAGO
Solicitud informacion</t>
  </si>
  <si>
    <t>EXT20-00005031</t>
  </si>
  <si>
    <t>EXT20-00004533</t>
  </si>
  <si>
    <t>EXT20-00004604</t>
  </si>
  <si>
    <t>EXT20-00005225</t>
  </si>
  <si>
    <t>EXT20-00005248</t>
  </si>
  <si>
    <t>EXT20-00005382</t>
  </si>
  <si>
    <t>EXT20-00006369</t>
  </si>
  <si>
    <t>EXT20-00006949</t>
  </si>
  <si>
    <t>EXT20-00008915</t>
  </si>
  <si>
    <t>EXT20-00006872</t>
  </si>
  <si>
    <t>EXT20-00010868</t>
  </si>
  <si>
    <t>EXT20-00011808</t>
  </si>
  <si>
    <t>EXT20-00012134</t>
  </si>
  <si>
    <t>EXT20-00012157</t>
  </si>
  <si>
    <t>EN EL ANEXO ES LA 341 ALLEGAN DOCUMENTOS, MIRA COPIAS SENTENCIAS, NO PARECEN AUTENTICAS</t>
  </si>
  <si>
    <t>76 001 3333 009 02018 00281 01</t>
  </si>
  <si>
    <t>CONSORCIO SAYP 2011
$502.825 
PORVENIR
$643.615</t>
  </si>
  <si>
    <t>CONSORCIO SAYP 2011
PENSIONES PORVENIR</t>
  </si>
  <si>
    <t>CONSORCIO SAYP 2011
PENSIONES COLPENSIONES</t>
  </si>
  <si>
    <t>$7.355.066
$10.273.277</t>
  </si>
  <si>
    <t>$51.435.347
$140.667.065</t>
  </si>
  <si>
    <t>24/12/2019
31/03/2020</t>
  </si>
  <si>
    <t>dic/19
mar-20</t>
  </si>
  <si>
    <t>19 001 3333 005 2019 00126 00</t>
  </si>
  <si>
    <t>27 001 2333 000 2019 00039 00</t>
  </si>
  <si>
    <t xml:space="preserve">PARA EFECTUAR EL PAGO SE LE SOLICITÓ AL ABOGADO QUE PRESENTARA DESISTIMIENTO AL PROCESO EJECUTIVO.
EN EL ANEXO ES EL 344
COPIA SENTENCIA
SEGUNDA INSTANCIA CONFIRMA
CODENA EN COSTAS
RADICACION DE DEMANDA 25 DE JULIO DE 2013 ALLEGAN DOCUMENTOS 
(SE DA RESPUESTA MEDIANTE OFI17-00030274 23/08/17)A  OFI18-00009890 09/03/18 L.
OFI18-00040610 17/09/18  L.
MEDIANTE OFI18-00043450 SE DA RESPUESTA AL EXT18-00093063  F.
</t>
  </si>
  <si>
    <t>PENSION PROTECCION
RESOL. 0293-2020</t>
  </si>
  <si>
    <t>EPS SALUD TOTAL
RESOL. 0288-2020
PENSIONES COLPENSIONES
RESOL. 0288-2020</t>
  </si>
  <si>
    <t>$1.347.466
$1.724.757</t>
  </si>
  <si>
    <t>0296-2020</t>
  </si>
  <si>
    <t>CONSORCIO SAYP 2011
RESOL 0285-2020
PENSIONES PROTECCION
RESOL. 0285-2020</t>
  </si>
  <si>
    <t>$9.636.362
$13.239.874</t>
  </si>
  <si>
    <t>0699/18
0699/18
0301/20</t>
  </si>
  <si>
    <t>$ 114.685.290
$ 487.632.460
$4.586.582</t>
  </si>
  <si>
    <t>30/05/2018
30/05/2018
13/04/2020</t>
  </si>
  <si>
    <t>May18
May18
abr-20</t>
  </si>
  <si>
    <t>0372-20</t>
  </si>
  <si>
    <t>PENSIONES COLPENSIONES_23/04/2020</t>
  </si>
  <si>
    <t>0371-20</t>
  </si>
  <si>
    <t>$4.083.259
$3.190.081</t>
  </si>
  <si>
    <t>PENSIONES COLPENSIONES
EPS SURA</t>
  </si>
  <si>
    <t>0370-20</t>
  </si>
  <si>
    <t>1539/2017
0372-2020</t>
  </si>
  <si>
    <t>$77.938.362
$14.259.749</t>
  </si>
  <si>
    <t>15/01/2018
23/04/2020</t>
  </si>
  <si>
    <t>ene-18
abr-20</t>
  </si>
  <si>
    <t>0293-20</t>
  </si>
  <si>
    <t>1980-19
0294-20</t>
  </si>
  <si>
    <t>407073819
72123820</t>
  </si>
  <si>
    <t>0297-20</t>
  </si>
  <si>
    <t>0299-20</t>
  </si>
  <si>
    <t>0298-20</t>
  </si>
  <si>
    <t>0300-20</t>
  </si>
  <si>
    <t>159777518
159768818
89883520</t>
  </si>
  <si>
    <t>0284-20</t>
  </si>
  <si>
    <t>0285-20</t>
  </si>
  <si>
    <t>0286-20</t>
  </si>
  <si>
    <t>EXT20-00003037</t>
  </si>
  <si>
    <t>APODERADA</t>
  </si>
  <si>
    <t>EXT20-00003040</t>
  </si>
  <si>
    <t>EXT20-00004707</t>
  </si>
  <si>
    <t>EXT20-00005060</t>
  </si>
  <si>
    <t>CESIONARIO</t>
  </si>
  <si>
    <t>EXT20-00005502</t>
  </si>
  <si>
    <t>APODERADO</t>
  </si>
  <si>
    <t>EXT20-00005541</t>
  </si>
  <si>
    <t>EXT20-00008787</t>
  </si>
  <si>
    <t>EXT20-00008791</t>
  </si>
  <si>
    <t>EXT20-00011124</t>
  </si>
  <si>
    <t>EXT20-00010400</t>
  </si>
  <si>
    <t>EXT20-00010343</t>
  </si>
  <si>
    <t>EXT20-00011488</t>
  </si>
  <si>
    <t>EXT20-00012130</t>
  </si>
  <si>
    <t>EXT20-00012120</t>
  </si>
  <si>
    <t>EXT17-00074144</t>
  </si>
  <si>
    <t>EXT18-00135620</t>
  </si>
  <si>
    <t>2970918
95876920</t>
  </si>
  <si>
    <t>EXT20-00022141</t>
  </si>
  <si>
    <t>EXT20-00029050</t>
  </si>
  <si>
    <t>HECTOR FABIAN BEDOYA GUTIERREZ</t>
  </si>
  <si>
    <t>EXT19-00129357</t>
  </si>
  <si>
    <t>EXT20-00013348</t>
  </si>
  <si>
    <t>EXT20-00015924</t>
  </si>
  <si>
    <t>EXT20-00016494</t>
  </si>
  <si>
    <t>EXT20-00017772</t>
  </si>
  <si>
    <t>EXT20-00016997</t>
  </si>
  <si>
    <t>SOLICITUD ESTADA PAGO</t>
  </si>
  <si>
    <t>EXT20-00018427</t>
  </si>
  <si>
    <t>EXT20-00016688</t>
  </si>
  <si>
    <t>SOLCITUD ESTADO PAGO</t>
  </si>
  <si>
    <t>EXT20-00017773</t>
  </si>
  <si>
    <t>EXT20-00018671</t>
  </si>
  <si>
    <t>EXT20-00018751</t>
  </si>
  <si>
    <t>EXT19-00105450
EXT20-00019734</t>
  </si>
  <si>
    <t>10/09/2019
26/02/2020</t>
  </si>
  <si>
    <t>sep-19
feb-20</t>
  </si>
  <si>
    <t>Solicitud estado pago
Allega documentos</t>
  </si>
  <si>
    <t>EXT20-00019734</t>
  </si>
  <si>
    <t>EXT18-00078510
EXT18-00093991
EXT18-00107303
EXT19-00026063
EXT19-00034581
EXT19-00038153
EXT19-00063468
EXT19-00062354
EXT19-00082169
EXT19-00101316
EXT20-00020279</t>
  </si>
  <si>
    <t>15/08/2018
20/09/2018
22/10/2018
06/03/2019
28-03-2019
05-04-2019
07/06/2019
04-06-2019
19-07-2019
02-09-2019
27/02/2020</t>
  </si>
  <si>
    <t>ago/18
sep/18
oct/18
mar-19
mar-19
abr-19
jun-19
jun-19
jul-19
sep-19
feb-20</t>
  </si>
  <si>
    <t>ABOGADO
ABOGADA
ABOGADA
BENEFICIARIA
BENEFICIARIA
MINHACIENDA
BENEFICIARIA
BENEFICIARIA
CONTRALORIA
ABOGADA
ABOGADO</t>
  </si>
  <si>
    <t>ALLEGA RUT
CORREO INFORMATIVO
ALLEGA PODER
SOLICITUD ESTADO PAGO
SOLICITUD ESTADO PAGO_PRIORIZAR
SOLICITUD DE INFORMACION
Solicitud estado pago.
Solicitud estado pago.
Acuso recibo de respuesta de fondo a solicitud de informacion.
Solicita pago de intereses.
Solicita reliquidacion</t>
  </si>
  <si>
    <t>EXT20-00020985</t>
  </si>
  <si>
    <t>EXT20-00021044</t>
  </si>
  <si>
    <t>EXT20-00021282</t>
  </si>
  <si>
    <t>EXT20-00021785</t>
  </si>
  <si>
    <t>EXT20-00022441</t>
  </si>
  <si>
    <t>EXT20-00022491</t>
  </si>
  <si>
    <t>EXT20-00022527</t>
  </si>
  <si>
    <t>EXT20-00022781</t>
  </si>
  <si>
    <t>EXT20-00023210</t>
  </si>
  <si>
    <t>EXT20-00023956</t>
  </si>
  <si>
    <t>EXT20-00024670</t>
  </si>
  <si>
    <t>EXT20-00024717</t>
  </si>
  <si>
    <t>EXT20-00026367</t>
  </si>
  <si>
    <t>EXT20-00026985</t>
  </si>
  <si>
    <t>EXT20-00029005</t>
  </si>
  <si>
    <t>EXT20-00030390</t>
  </si>
  <si>
    <t>EXT20-00033245</t>
  </si>
  <si>
    <t>EXT18-00093283
EXT18-00120743
EXT19-00034424
EXT20-00033452</t>
  </si>
  <si>
    <t>19/09/2018
26/11/2018
27-03-2019
05/05/2020</t>
  </si>
  <si>
    <t>sep-18
nov-18
mar-19
may-20</t>
  </si>
  <si>
    <t>ABOGADO
ABOGADO
ABOGADO
BENEFICIARIO</t>
  </si>
  <si>
    <t>ALLEGA DOCUMENTOS
SOLICITUD INFORMACION ESTADO DE PAGO
ALLEGA DOCUMENTOS
Solicitud de documentos</t>
  </si>
  <si>
    <t>EXT20-00037221</t>
  </si>
  <si>
    <t>EXT20-00042127</t>
  </si>
  <si>
    <t>EXT20-00042293</t>
  </si>
  <si>
    <t>Solicitud estado pago</t>
  </si>
  <si>
    <t>EXT20-00042524</t>
  </si>
  <si>
    <t>Solicitud estado pago
Solicitud estado pago
Solicitud estado pago
Solicitud estado pago</t>
  </si>
  <si>
    <t>EXT20-00044353</t>
  </si>
  <si>
    <t>EXT20-00044099</t>
  </si>
  <si>
    <t>SOLCITUD DE DOCUMENTOS</t>
  </si>
  <si>
    <t>EXT20-00044560</t>
  </si>
  <si>
    <t>EXT20-00044566</t>
  </si>
  <si>
    <t>EXT20-00044567</t>
  </si>
  <si>
    <t>EXT20-00047984</t>
  </si>
  <si>
    <t>EXT20-00047982</t>
  </si>
  <si>
    <t>FERNEY ERNESTO RIVEROS ORJUELA</t>
  </si>
  <si>
    <t>EXT20-00044571</t>
  </si>
  <si>
    <t>11 001 3335 029 2013 00696 00</t>
  </si>
  <si>
    <t>JUZGADO VEINTINUEVE ADMINISTRATIVO DEL CIRCUITO JUDICIAL DE BOGOTA</t>
  </si>
  <si>
    <t>EXT20-00047350</t>
  </si>
  <si>
    <t>EXT20-00044899</t>
  </si>
  <si>
    <t>EXT20-00045557</t>
  </si>
  <si>
    <t>EXT20-00003040
EXT20-00045557</t>
  </si>
  <si>
    <t>13/01/2020
24/06/2020</t>
  </si>
  <si>
    <t>ene-20
jun-20</t>
  </si>
  <si>
    <t>EXT19-00059322
EXT20-00003032
EXT20-00003035
EXT20-00045557</t>
  </si>
  <si>
    <t>28/05/2019
13/01/2020
13/01/2020
24/06/2020</t>
  </si>
  <si>
    <t>may-19
ene-20
ene-20
jun-20</t>
  </si>
  <si>
    <t>EXT18-00098372
EXT19-00003721
EXT19-00020265
EXT19-00058893
EXT20-00045554</t>
  </si>
  <si>
    <t>sep-18
ene-19
feb-19
may-19
jun-20</t>
  </si>
  <si>
    <t>28/09/2018
14/01/2019
21/02/2019
27/05/2019
24/06/2020</t>
  </si>
  <si>
    <t>ABOGADO
ABOGADA
ABOGADO
ABOGADO
ABOGADO</t>
  </si>
  <si>
    <t>DERECHO DE PETICION
SOLICITUD DE INFORMACION
ALLEGA DOCUMENTOS..
SOLICITUD ESTADO DEL PAGO.
Solicitud de informacion</t>
  </si>
  <si>
    <t>EXT20-00046047</t>
  </si>
  <si>
    <t>Solicitud de documentos</t>
  </si>
  <si>
    <t>EXT20-00047266</t>
  </si>
  <si>
    <t>Allega documentos</t>
  </si>
  <si>
    <t>EXT20-00048240</t>
  </si>
  <si>
    <t>EXT20-00047717</t>
  </si>
  <si>
    <t>Solicitud de informacion</t>
  </si>
  <si>
    <t>EXT20-00049267</t>
  </si>
  <si>
    <t>EXT19-00059322
EXT20-00003045
EXT20-00045557
EXT20-00050312</t>
  </si>
  <si>
    <t>28/05/2019
13/01/2020
24/06/2020
14/04/2020</t>
  </si>
  <si>
    <t>may-19
ene-20
jun-20
jul-20</t>
  </si>
  <si>
    <t>EXT20-00050550</t>
  </si>
  <si>
    <t>EXT20-00050614</t>
  </si>
  <si>
    <t>EXT20-00044562
EXT20-00050612</t>
  </si>
  <si>
    <t>19/06/2020
15/07/2020</t>
  </si>
  <si>
    <t>ALLEGA DOCUMENTOS
Allega documentos</t>
  </si>
  <si>
    <t>EXT20-00052044</t>
  </si>
  <si>
    <t>EXT20-00052553</t>
  </si>
  <si>
    <t>EXT20-00052727</t>
  </si>
  <si>
    <t>EXT20-00053901</t>
  </si>
  <si>
    <t>ATENOR PEREZ ORTEGA</t>
  </si>
  <si>
    <t>EXT20-00052597</t>
  </si>
  <si>
    <t>SOLCITUD DE PAGO</t>
  </si>
  <si>
    <t>23 001 3331 006 2004 00455 00</t>
  </si>
  <si>
    <t>MININTERIOR-sucesor procesal UNP</t>
  </si>
  <si>
    <t>JOSE MAURICIO CARDONA PERDOMO</t>
  </si>
  <si>
    <t>EXT20-00053881</t>
  </si>
  <si>
    <t>73 001 3333 005 2014 00152 00</t>
  </si>
  <si>
    <t>JUZGADO DOCE ADMINISTRATIVO MIXTO DE IBAGUE</t>
  </si>
  <si>
    <t>EXT20-00012130
EXT20-00054592</t>
  </si>
  <si>
    <t>6/02/2020
30/07/2020</t>
  </si>
  <si>
    <t>feb-20
jul-20</t>
  </si>
  <si>
    <t>SOLICITUD ESTADO PAGO
Solicitud estado pago</t>
  </si>
  <si>
    <t>EXT19-00003192
EXT19-00105856
EXT20-00019731
EXT20-00054575</t>
  </si>
  <si>
    <t>14/01/2019
11/09/2019
26/02/2020
30/07/2020</t>
  </si>
  <si>
    <t>ene-19
nov-19
feb-20
jul-20</t>
  </si>
  <si>
    <t>ABOGADO
BENEFICIARIO
ABOGADO
ABOGADO</t>
  </si>
  <si>
    <t>Solicitud de pago
Allega documentos
Allega documentos
Solicitud estado pago</t>
  </si>
  <si>
    <t>EXT20-00055735</t>
  </si>
  <si>
    <t>EXT20-00056169</t>
  </si>
  <si>
    <t xml:space="preserve">GERMAN EDUARDO CRUZ BALLESTEROS </t>
  </si>
  <si>
    <t xml:space="preserve">RAUL IGNACIO MOLANO FRANCO </t>
  </si>
  <si>
    <t xml:space="preserve">COMUNICACIÓN SENTENCIA </t>
  </si>
  <si>
    <t xml:space="preserve">TRIBUNAL ADMINISTRATIVO DE CUNDINAMARCA SECCIÓN SEGUNDA </t>
  </si>
  <si>
    <t xml:space="preserve">Mediante OFI20-00020706 fue solicitada información a la policia respecto de la condena solidaria de los beneficiarios en asunto, sin embargo, la policia mediante S-2020-041925 respondio respecto de FEIBER JAHIR MORENO SALAZAR, razón por la que se requirió aclaración.
Por otro lado, la Fiscalía indicó que mediante oficio radicado el 31/01/2018 ante esa entidad, la Policia remitió el cobro de la sentecia, e indicó que pese a haber solicitado documentación a la abogada de los beneficiarios, esta no fue aportada, por ende aún no hay solicitud de pago. </t>
  </si>
  <si>
    <t>27/03/2019
12/08/2019
11/08/2020</t>
  </si>
  <si>
    <t xml:space="preserve">mar-19
ago-19
ago-20
</t>
  </si>
  <si>
    <t>EXT19-00033904
EXT19-00091947
EXT20-00057230</t>
  </si>
  <si>
    <t xml:space="preserve">ABOGADO
BENEFICIARIO
BENEFICIARIO </t>
  </si>
  <si>
    <t xml:space="preserve">ALLEGA DOCUMENTOS.
SOLICITA DOCUMENTOS.
SOLICITA DOCUMENTOS. 
</t>
  </si>
  <si>
    <t>9/10/2018
06/07/2020
11/08/2020</t>
  </si>
  <si>
    <t>oct-18
jul-2020
ago-2020</t>
  </si>
  <si>
    <t>EXT18-00102149
EXT20-00047926
EXT20-00057342</t>
  </si>
  <si>
    <t xml:space="preserve">ABOGADA
BENEFICIARIO
BENEFICIARIO </t>
  </si>
  <si>
    <t xml:space="preserve">ALLEGA DOCUMENTOS
Solicitud estado pago
Solicitud estado pago </t>
  </si>
  <si>
    <t>EXT20-00057590</t>
  </si>
  <si>
    <t xml:space="preserve">SOLICITUD DE LIQUIDACIÓN </t>
  </si>
  <si>
    <t>EXT20-00058264</t>
  </si>
  <si>
    <t>EXT20-00059449</t>
  </si>
  <si>
    <t xml:space="preserve">INFORMACIÓN SOBRE ACUERDO DE PAGO </t>
  </si>
  <si>
    <t>EXT20-00059739</t>
  </si>
  <si>
    <t xml:space="preserve">INFORMACIÓN ESTADO DE PAGO </t>
  </si>
  <si>
    <t>EXT20-00059879</t>
  </si>
  <si>
    <t xml:space="preserve">SOLICITUD DE RELIQUIDAR VALORES </t>
  </si>
  <si>
    <t xml:space="preserve">EXT20-00060665 </t>
  </si>
  <si>
    <t>EXT20-00060564</t>
  </si>
  <si>
    <t xml:space="preserve">COMUNICACIÓN 
SENTENCIA
ALLEGA DOCUMENTOS </t>
  </si>
  <si>
    <t>30/08/2017
26/08/2020</t>
  </si>
  <si>
    <t>1/08/2017
26/08/2020</t>
  </si>
  <si>
    <t>EXT17-00066763
EXT20-00061563</t>
  </si>
  <si>
    <t xml:space="preserve">TRIBUNAL
BENEFICIARIO </t>
  </si>
  <si>
    <t>EXT20-00060988</t>
  </si>
  <si>
    <t xml:space="preserve">APODERADO </t>
  </si>
  <si>
    <t>EXT20-00061362</t>
  </si>
  <si>
    <t xml:space="preserve">APODERADA </t>
  </si>
  <si>
    <t>SOLICITUD DE CUMPLIMIENTO SENT</t>
  </si>
  <si>
    <t>EXT20-00061363</t>
  </si>
  <si>
    <t xml:space="preserve">SOLICITTUD DE PAGO </t>
  </si>
  <si>
    <t>EXT20-00063456</t>
  </si>
  <si>
    <t>EXT20-00063473 - EXT20-00063512</t>
  </si>
  <si>
    <t xml:space="preserve">ALLEGA SOLICITUD DE PAGO </t>
  </si>
  <si>
    <t>EXT20-00064008</t>
  </si>
  <si>
    <t xml:space="preserve">INFORMACIÓN DE PAGO  </t>
  </si>
  <si>
    <t>EL GRUPO DE LIQUIDACIONES TUVO INFORMACION DEL PROCESO EJECUTIVO EL DIA 19/05/2020, AUNQUE EL EXT. LLEGÓ EL DIA 20/06/2019. 
RECIBIDA DEL DAS
EL FALLO DEL CONSEJO DE ESTADO IMPONE A LA UNP PAGO
SE CORRIGE SENTENCIA POR AUTO DEL 04 DE ABRIL DE 2016
(IMPORTANTE ENVIAR COPIA AL BENEFICIARIO FRANCISCO JAVIER RENGIFO SANCHEZ DE TODO, SE DA RESPUESTA MEDIANTE CORREO ELECTRONICO 28/08/17 / 18/08/17)A OFI18-00022603 05/06/18  E
CORREO ELECTRONICO 14/08/18 L.
SE CONDENA AL DAS (UNP sucesor procesal), MINDEFENSA, POLICIA NACIONAL, EJERCITO, 
CORREO ELCTRÓNICO 04/08/18  L.
CORREO ELCTRÓNICO 04/08/18  L.
CORREO ELCTRÓNICO 04/08/18  L.
CORREO ELCTRÓNICO 04/08/18  L.
SEGUN OFI20-83332 del 22/10/2020 del MINDEFENSA, indica que registra solicitud de pago, y que a la fecha no se ha efectuado pago alguno.Y.</t>
  </si>
  <si>
    <t>RESOLUCION DE COMPENSACION PARA MARIA BELCY WAGNER VALENCIA POR       $ 4.610.000
SE DA RESPUESTA A LA POLICIA MEDIANTE OFI18-00006357 15/02/18 Y A LA ABOGADA OFI18-00006192 14/02/18 L..
SEGUN DAJ-10400 del 15/09/2020 de la FISCALIA GENERA, indica que NO registra solicitud de pago, y que a la fecha no se ha efectuado pago alguno.Y.</t>
  </si>
  <si>
    <t>NO APARECE EN EL ANEXO PERO SE CONDENA A LA UNP A REINTEGRAR AL BENEFICIARIO
(SE DA RESPUESTA MEDIANTE OFI17-00014761 26/04/17)A
Mediante Resolucion 0813 de 2019 se reintegro al señor GOMEZ LOPEZ.</t>
  </si>
  <si>
    <t xml:space="preserve">11 001 3335 012 2013 00273 01 </t>
  </si>
  <si>
    <t>11 001 3342 054 2017 00386 00</t>
  </si>
  <si>
    <t>EXT20-00084680</t>
  </si>
  <si>
    <t>RESPUESTA SOLICITUD DE INFORMACION</t>
  </si>
  <si>
    <t>0591-2020</t>
  </si>
  <si>
    <t>GIOVANNI ANDREI VALDES LOZANO</t>
  </si>
  <si>
    <t>UNION TEMPORAL GROUP 43</t>
  </si>
  <si>
    <t>EXT20-00063290</t>
  </si>
  <si>
    <t>ALEXANDRA MARTINEZ SANCHEZ</t>
  </si>
  <si>
    <t>25 000 2336 000 2020 00058 00</t>
  </si>
  <si>
    <t>MANUEL SEBASTIAN SANDOVAL FLOREZ</t>
  </si>
  <si>
    <t>EXT20-00063819</t>
  </si>
  <si>
    <t>SUPLENTE REPRESENTANTE LEGAL</t>
  </si>
  <si>
    <t>EXT20-00069127</t>
  </si>
  <si>
    <t>EXT20-00071171</t>
  </si>
  <si>
    <t>EXT20-00070855</t>
  </si>
  <si>
    <t>FERNANDO ELIECER ALVAREZ ECHEVERRY</t>
  </si>
  <si>
    <t>EXT20-00091596</t>
  </si>
  <si>
    <t>11 001 3335 015 2017 00216 01</t>
  </si>
  <si>
    <t>HORAS EXTRAS</t>
  </si>
  <si>
    <t>HENRY MARTINEZ GIRON</t>
  </si>
  <si>
    <t>EXT20-00093218</t>
  </si>
  <si>
    <t>76 001 2331 000 2012 00257 01</t>
  </si>
  <si>
    <t>CONTRATO REALIDAD</t>
  </si>
  <si>
    <t>JESUS EDILMO SOLARTE CASTILLO</t>
  </si>
  <si>
    <t>EXT20-00093221</t>
  </si>
  <si>
    <t>52 001 2333 000 2013 00173 01</t>
  </si>
  <si>
    <t>NELSON GIOVANNI QUITIAN CIRO</t>
  </si>
  <si>
    <t>JUZGADO CUARTO ADMINISTRATIVO DEL CIRCUITO DE ARMENIA</t>
  </si>
  <si>
    <t>63 001 3333 004 2014 00197 01</t>
  </si>
  <si>
    <t>EXT19-00036966</t>
  </si>
  <si>
    <t>EXT20-00036362</t>
  </si>
  <si>
    <t>LUIS ALBERTO ROJAS MORA</t>
  </si>
  <si>
    <t>EXT20-00086936</t>
  </si>
  <si>
    <t>23 001 2333 000 2012 00072 02</t>
  </si>
  <si>
    <t>EXT20-00086519</t>
  </si>
  <si>
    <t>LUIS EDUARDO CUENCA SALDAÑA</t>
  </si>
  <si>
    <t>41 001 2331 000 2012 00246 01</t>
  </si>
  <si>
    <t>EXT20-00082644</t>
  </si>
  <si>
    <t>11 001 3335 009 2017 00224 01</t>
  </si>
  <si>
    <t>JUZGADO NOVENO ADMINISTRATIVO ORAL DE BOGOTA</t>
  </si>
  <si>
    <t>LUIS ADOLFO CARDENAS BARRERA</t>
  </si>
  <si>
    <t>EXT20-00076747</t>
  </si>
  <si>
    <t>11 001 3342 046 2017 00216 01</t>
  </si>
  <si>
    <t>JUZGADO CUARENTA Y SEIS ADMINISTRATIVO ORAL DE BOGOTA</t>
  </si>
  <si>
    <t>MANUEL ALFREDO DUQUE PEREZ</t>
  </si>
  <si>
    <t>EXT20-00009760</t>
  </si>
  <si>
    <t>11 001 3335 010 2014 00183 01</t>
  </si>
  <si>
    <t>EXT20-00076807</t>
  </si>
  <si>
    <t>11 001 3342 052 2017 00280 01</t>
  </si>
  <si>
    <t>JUZGADO CINCUENTA Y DOS ADMINISTRATIVO DE BOGOTA</t>
  </si>
  <si>
    <t>HORACIO PUERTA BARRERA</t>
  </si>
  <si>
    <t>EXT20-00079542</t>
  </si>
  <si>
    <t>00 001 3335 012 2013 00528 01</t>
  </si>
  <si>
    <t>JUZGADO DOCE ADMINISTRATIVO ORAL DE BOGOTA</t>
  </si>
  <si>
    <t>CLAUDIO FONSECA SALAMANCA</t>
  </si>
  <si>
    <t>EXT20-00055228</t>
  </si>
  <si>
    <t>11 001 3335 718 2014 00095 00</t>
  </si>
  <si>
    <t>JUZGADO CINCUENTA Y SIETE ADMINISTRATIVO ORAL DE BOGOTA</t>
  </si>
  <si>
    <t>EXT20-00078167</t>
  </si>
  <si>
    <t>JUZGADO CINCUENTA Y CUATRO ADMINISTRATIVO DE BOGOTA</t>
  </si>
  <si>
    <t>EXT20-00078183</t>
  </si>
  <si>
    <t>EXT20-00053419</t>
  </si>
  <si>
    <t>EXT20-00054248</t>
  </si>
  <si>
    <t>EXT20-00090356</t>
  </si>
  <si>
    <t>ANDRES BARRIOS GONZALEZ</t>
  </si>
  <si>
    <t>EXT19-00143280</t>
  </si>
  <si>
    <t>JUZGADO VEINTIDOS ADMINISTRATIVO ORAL DE BOGOTA</t>
  </si>
  <si>
    <t>EXT20-00072882</t>
  </si>
  <si>
    <t>EXT20-00082609</t>
  </si>
  <si>
    <t>MARITZA RODRIGUEZ GOMEZ</t>
  </si>
  <si>
    <t>EXT20-00091533</t>
  </si>
  <si>
    <t>11 001 3335 018 2014 00259 00</t>
  </si>
  <si>
    <t>EXT20-00091128</t>
  </si>
  <si>
    <t>EXT20-00089402</t>
  </si>
  <si>
    <t>EXT20-00065201</t>
  </si>
  <si>
    <t>EXT20-00065441</t>
  </si>
  <si>
    <t>EXT20-00065799</t>
  </si>
  <si>
    <t>CESAR AUGUSTO VILLALBA RODRIGUEZ</t>
  </si>
  <si>
    <t>EXT20-00064540</t>
  </si>
  <si>
    <t>73 001 3333 003 02014 00269 01</t>
  </si>
  <si>
    <t>JUZGADO TERCERO ADMINISTRATIVO ORAL DE IBAGUÉ</t>
  </si>
  <si>
    <t>EXT20-00065771</t>
  </si>
  <si>
    <t>EXT20-00067149</t>
  </si>
  <si>
    <t>EXT18-00058990
EXT18-00050193
EXT18-00062424
EXT18-00067616
EXT18-00069262
EXT18-00091386
EXT18-00105390
EXT19-00008123
EXT19-00022549
EXT19-00087864
EXT19-00137048
EXT20-00005541
EXT20-00035985
EXT20-00050510
EXT20-00052609
EXT20-00068113</t>
  </si>
  <si>
    <t>28/06/2018
05/06/2018
09/07/2018
19/07/2018
25/07/2018
14/09/2018
17/10/2018
28/01/2019
26/02/2019
31/07/2019
20/01/2020
14/05/2020
15/07/2020
23/07/2020
21/09/2020</t>
  </si>
  <si>
    <t>jun-2018
jun-2018
jul-2018
jul-2018
jul-2018
sep-2018
oct-2018
ene-2019
feb-19
jul-19
ene-20
may-20
jul-20
jul-20
sep-20</t>
  </si>
  <si>
    <t>ABOGADO
ABOGADO
BENEFICIARIO
BENEFICIARIO
ABOGADO
BENEFICIARIO
ABOGADO 
APODERADO
BENEFICIARIO
JUZGADO
ABOGADO
BENEFICIARIO
BENEFICIARIO
BENEFICIARIO
BENEFICIARIO</t>
  </si>
  <si>
    <t>ALLEGA DOCUMENTOS.
SOLICITUD DE PAGO.
DERECHO DE PETICION.
DERECHO DE PETICION.
DERECHO DE PETICION.
SOLCITUD INFORMACION ESTADO DE PAGO.
DERECHO DE PETICION.
DERECHO DE PETICION.
INFORMACION PROCESO PAGO
Solicitud de informacion
Solicitud estado pago
Solicitud estado pago
Solicitud estado pago
Solicitud estado pago
Solicitud estado pago</t>
  </si>
  <si>
    <t>EXT20-00069794</t>
  </si>
  <si>
    <t>EXT20-00070846</t>
  </si>
  <si>
    <t>EXT18-00068523
EXT18-00024327</t>
  </si>
  <si>
    <t>JUZGADO DE FAMILIA
JUZGADO DE FAMILIA</t>
  </si>
  <si>
    <t>23/07/2018
20/03/2018</t>
  </si>
  <si>
    <t>jul-18
mar-18</t>
  </si>
  <si>
    <t>EJECUTIVO DE ALIMENTOS
EMBARGO DINEROS</t>
  </si>
  <si>
    <t>EXT20-00070852</t>
  </si>
  <si>
    <t>MEM20-00020900</t>
  </si>
  <si>
    <t>CONTROL INTERNO DISCIPLINARIO</t>
  </si>
  <si>
    <t>EXT20-00071676</t>
  </si>
  <si>
    <t>EXT18-00093850
EXT18-00094994
EXT18-00119213
EXT18-00132323
EXT20-00007601
EXT20-00075414</t>
  </si>
  <si>
    <t>20/09/2018
24/09/2018
22/11/2018
19/12/2018
27/01/2020
19/10/2020</t>
  </si>
  <si>
    <t>sep-18
sep-18
nov-18
dic-18
ene-20
oct-20</t>
  </si>
  <si>
    <t>BENEFICIARIA
ABOGADO
PROCURADURIA
BENEFICIARIA
BENEFICIARIOS</t>
  </si>
  <si>
    <t>DERECHO DE PETICION
SOLICITUD INFORMACION ESTADO DE PAGO
ALLEGA DOCUMENTOS
INFORME SOBRE PAGO DE SENTENCIA
Solicitud estado pago
NO acuerdo de pago</t>
  </si>
  <si>
    <t>EXT20-00075993</t>
  </si>
  <si>
    <t>3/04/2020
09/05/2020
28/07/2020
20/10/2020</t>
  </si>
  <si>
    <t>abr-20
may-20
jul-20
oct-20</t>
  </si>
  <si>
    <t>EXT20-00029261
EXT20-00034280
EXT20-00053777
EXT20-00075917</t>
  </si>
  <si>
    <t>BENEFICIARIO
ABOGADA
ABOGADA
ABOGADA</t>
  </si>
  <si>
    <t>SOLICITUD DE INFORMACION
Solicitud de informacion
Solicitud estado pago
SOLICITUD DE INFORMACION</t>
  </si>
  <si>
    <t>EXT20-00076713</t>
  </si>
  <si>
    <t>XIMENA ANDREA GAMBOA</t>
  </si>
  <si>
    <t>EXT20-00077104</t>
  </si>
  <si>
    <t>XIMENA ANDREA GAMBOA BOHORQUEZ</t>
  </si>
  <si>
    <t>23/010/2020</t>
  </si>
  <si>
    <t>EXT20-00078524</t>
  </si>
  <si>
    <t>EXT20-00080484</t>
  </si>
  <si>
    <t>EXT20-00079088</t>
  </si>
  <si>
    <t>1515-2017
1621-2020</t>
  </si>
  <si>
    <t>51.591.271
9.723.591</t>
  </si>
  <si>
    <t>28/09/2018
18/02/2020
15/07/2020</t>
  </si>
  <si>
    <t>sep-18
feb-20
jul-20</t>
  </si>
  <si>
    <t>EXT18-00098065
EXT20-00016688
EXT20-00050754</t>
  </si>
  <si>
    <t>SOLICITUD DE PAGO
Solicitud estado pago</t>
  </si>
  <si>
    <t>EXT20-00050754</t>
  </si>
  <si>
    <t>13/09/2018
12-03-2019
03/08/2020</t>
  </si>
  <si>
    <t>sep/18
mar/19
ago/20</t>
  </si>
  <si>
    <t>DIAN
ABOGADA
BENEFICIARIA</t>
  </si>
  <si>
    <t>Certificado no deuda
Allega documentos
Solicita documentos</t>
  </si>
  <si>
    <t>EXT20-00065349</t>
  </si>
  <si>
    <t>SOLICITA REVOCAR COMPENSACION</t>
  </si>
  <si>
    <t>EXT20-00063407 - EXT20-00071245</t>
  </si>
  <si>
    <t>EXT20-00079011</t>
  </si>
  <si>
    <t>Allega acuerdo pago</t>
  </si>
  <si>
    <t>EXT20-00080464</t>
  </si>
  <si>
    <t>EXT20-00080477</t>
  </si>
  <si>
    <t>EXT20-00050154
EXT20-00080025</t>
  </si>
  <si>
    <t>13/07/2020
03/11/2020</t>
  </si>
  <si>
    <t xml:space="preserve">BENEFICIARIO
BENEFICIARIO </t>
  </si>
  <si>
    <t>JOHN JAIRO MUÑOZ LOPEZ</t>
  </si>
  <si>
    <t>EXT20-00080300</t>
  </si>
  <si>
    <t>19 001 3333 006 2013 00384 00</t>
  </si>
  <si>
    <t>JUZGADO SEXTO ADMINISTRATIVO DE POPAYAN</t>
  </si>
  <si>
    <t>EXT20-00082410</t>
  </si>
  <si>
    <t>Alleda documentos</t>
  </si>
  <si>
    <t>JORGE IVAN GIRALDO GIRALDO</t>
  </si>
  <si>
    <t>EXT20-00084370</t>
  </si>
  <si>
    <t>EXT20-00084750</t>
  </si>
  <si>
    <t>EXT20-00084672</t>
  </si>
  <si>
    <t>EXT21-00000129</t>
  </si>
  <si>
    <t>Alleda acuerdo de pago</t>
  </si>
  <si>
    <t>EXT20-00084665</t>
  </si>
  <si>
    <t>EXT20-00085200</t>
  </si>
  <si>
    <t>EXT20-00085237
EXT20-00087174
EXT20-00089313</t>
  </si>
  <si>
    <t>20/11/2020
25/11/2020
02/12/2020</t>
  </si>
  <si>
    <t>nov/20
nov/20
dic/20</t>
  </si>
  <si>
    <t>Solicitud estado pago
Solicitud estado pago
Solicitud estado pago</t>
  </si>
  <si>
    <t xml:space="preserve">EXT20-00087255 </t>
  </si>
  <si>
    <t>EXT20-00088442</t>
  </si>
  <si>
    <t>EXT20-00088328</t>
  </si>
  <si>
    <t>ALLEGA RECIBO DE PAGO</t>
  </si>
  <si>
    <t>JONNY MANUEL HERRERA RIQUETT</t>
  </si>
  <si>
    <t>EXT20-00089235</t>
  </si>
  <si>
    <t>EXT20-00090396</t>
  </si>
  <si>
    <t>EXT20-00062205 - EXT20-00062649
EXT20-00091167</t>
  </si>
  <si>
    <t>1/09/2020
9/12/2020</t>
  </si>
  <si>
    <t>sep-20
dic-20</t>
  </si>
  <si>
    <t>ABOGADO 
ABOGADO</t>
  </si>
  <si>
    <t>Solicitud liquidacion
Allega documentos</t>
  </si>
  <si>
    <t>EXT20-00092211</t>
  </si>
  <si>
    <t>ABOGADA
JUZGADO
BENEFICIARIO
CESIONARIO
APODERADO 
ABOGADO</t>
  </si>
  <si>
    <t>EXT20-00094031</t>
  </si>
  <si>
    <t>EXT19-00035246
EXT19-00040871
EXT19-00056236
EXT19-00060075
EXT19-00101684
EXT19-00096158
EXT19-00097661
EXT19-00099846
EXT20-00006369
EXT20-00006949
EXT20-00008915
EXT20-00011124
EXT20-00092889</t>
  </si>
  <si>
    <t>29/03/2019
11/04/2019
21-05-2019
30/05/2019
02-09-2019
21/01/2020
22/01/2020
29-01-2020
04/02/2020
15/12/2020</t>
  </si>
  <si>
    <t>mar-19
abr-19
may-19
may-19
sep-19
ene-20
ene-20
ene-20
feb-20
dic-20</t>
  </si>
  <si>
    <t>ABOGADA
ABOGADA
BENEFICIARIO
BENEFICIARIO
BENEFICIARIO
BENEFICIARIO
BENEFICIARIO
PROTECCION
BENEFICIARIO
beneficiario</t>
  </si>
  <si>
    <t>Allega documentos
Solicitud estado pago.
Solicitud informacion
Solicitud informacion
Solicitud pago pensión
Solicitud de informacion
Solicitud de informacion
Solicitud documentos
Solicitud reliquidacion
Solicitud informacion</t>
  </si>
  <si>
    <t>EXT20-00095847</t>
  </si>
  <si>
    <t>JHON EDGAR GAMBOA PRADA</t>
  </si>
  <si>
    <t>68 001 3333 007 2016 00243 00</t>
  </si>
  <si>
    <t>PROCESO TERMINADO POR PAGO TOTAL SEGÚN SENTENCIA DEL 15/12/2020</t>
  </si>
  <si>
    <t>0295-20
0592-20</t>
  </si>
  <si>
    <t>$ 57.000.000
$ 229.656.025</t>
  </si>
  <si>
    <t>0593-2020</t>
  </si>
  <si>
    <t>0590-20</t>
  </si>
  <si>
    <t>1622-2020</t>
  </si>
  <si>
    <t>1620-2020</t>
  </si>
  <si>
    <t>1410-2020</t>
  </si>
  <si>
    <t>337883420
340760220</t>
  </si>
  <si>
    <t>26/11/2020
30/11/2020</t>
  </si>
  <si>
    <t>1649-2020</t>
  </si>
  <si>
    <t>1417-2020</t>
  </si>
  <si>
    <t>337877520
340759720</t>
  </si>
  <si>
    <t>1627-2020</t>
  </si>
  <si>
    <t>1644-2020</t>
  </si>
  <si>
    <t>1411-2020</t>
  </si>
  <si>
    <t>337879820
337948520</t>
  </si>
  <si>
    <t>24/11/2020
26/11/2020</t>
  </si>
  <si>
    <t>0792-15
0368-19
1626-20</t>
  </si>
  <si>
    <t>$ 106.277.842
$ 2.618.568
$ 15.920.900</t>
  </si>
  <si>
    <t>36458715
66968519
379594120</t>
  </si>
  <si>
    <t>11/12/2015
27/03/2019
24/12/2020</t>
  </si>
  <si>
    <t>dic-15
mar-19
dic.20</t>
  </si>
  <si>
    <t>1616-2020</t>
  </si>
  <si>
    <t>376083320
383993420</t>
  </si>
  <si>
    <t>23/12/2020
28/12/2020</t>
  </si>
  <si>
    <t>1624-2020</t>
  </si>
  <si>
    <t>1623-2020</t>
  </si>
  <si>
    <t>1419-2020</t>
  </si>
  <si>
    <t>337875620
337958220</t>
  </si>
  <si>
    <t>1643-2020</t>
  </si>
  <si>
    <t>1415-2020
1625-2020</t>
  </si>
  <si>
    <t>$ 201.354.710
$ 7.020.755</t>
  </si>
  <si>
    <t>353625920
379590320</t>
  </si>
  <si>
    <t>10/12/2020
24/12/2020</t>
  </si>
  <si>
    <t>dic-20
dic.20</t>
  </si>
  <si>
    <t>1646-2020</t>
  </si>
  <si>
    <t>1653-2020</t>
  </si>
  <si>
    <t>1412-2020
1618-2020</t>
  </si>
  <si>
    <t>$ 1.241.986.795
$ 848.672.662</t>
  </si>
  <si>
    <t>337892520
379567120</t>
  </si>
  <si>
    <t>26/11/2020
24/12/2020</t>
  </si>
  <si>
    <t>nov-20
dic-20</t>
  </si>
  <si>
    <t>1414-2020</t>
  </si>
  <si>
    <t>334208420
338655220</t>
  </si>
  <si>
    <t>25/11/2020
27/11/2020</t>
  </si>
  <si>
    <t>1628-2020</t>
  </si>
  <si>
    <t>1650-2020</t>
  </si>
  <si>
    <t>391761520
391753820</t>
  </si>
  <si>
    <t>30/12/2020
30/12/2020</t>
  </si>
  <si>
    <t>1420-2020</t>
  </si>
  <si>
    <t>2514318
379579720</t>
  </si>
  <si>
    <t>12/01/2018
24/12/2020</t>
  </si>
  <si>
    <t>ene-18
dic.20</t>
  </si>
  <si>
    <t>1648-2020</t>
  </si>
  <si>
    <t>1645-2020</t>
  </si>
  <si>
    <t>1629-2020</t>
  </si>
  <si>
    <t>1418-2020</t>
  </si>
  <si>
    <t>337873720
337963020</t>
  </si>
  <si>
    <t>1619-2020</t>
  </si>
  <si>
    <t>375331120
383999120</t>
  </si>
  <si>
    <t>1413-2020</t>
  </si>
  <si>
    <t>337865820
337960620</t>
  </si>
  <si>
    <t>1617-2020
1652-2020</t>
  </si>
  <si>
    <t>$ 194.030.960
$ 118.139.964</t>
  </si>
  <si>
    <t>379565620
391718720</t>
  </si>
  <si>
    <t>24/12/2020
30/12/2020</t>
  </si>
  <si>
    <t>dic-20
dic-20</t>
  </si>
  <si>
    <t>1651-2020</t>
  </si>
  <si>
    <t>1416-2020</t>
  </si>
  <si>
    <t>CON RESOLUCION 1647 DE 22-12-2020 SE PAGARON LOS HONORARIOS DE JESAEL GIRALDO &amp; GIRALDO. POR $ 556.349.967
SEGÚN RESOLUCION DE COMPENSACION 608-1457 DE 07-03-18 POR VALOR DE $6.914.963.043 ..
RESOLUCION 0632-002075 DE 16-04-18  RESUELVE RECURSO DE REPOSICION Y CONFIRMA RESOLUCION 632-002075..
ACUERDO CONCILIATORIO POR $8.473.709.470 + $1.778.397.786..
LAUDO ARBIRAL DE 08-11-18 QUE DENIEGA TODAS LAS PRETENSIONES Y CONDENA EN COSTAS Y AGENCIAS EN DERECHO A FAVOR DE LA UNP POR VALOR DE $2.641.192.960
SE DA RESPUESTA A JESAEL MEDIANTE OFI18-00017799 07/05/18 L
--OJO--AL MOMENTO DE PAGAR SE DEBE DESCONTAR EL VALOR DE LOS HONORARIOS DE LA FIRMA DE ABOGADOS  CORRESPONDIENTE A (366.000.229,42), LOS CUALES SE DEBEN CONSIGNAR DIRECTAMENTE A LA FIRMA.
FALLO CONSEJO DE ESTADO DE 28-03-2019 DECLARA INFUNDADO el recurso extraordinario de anulacion contra el laudo arbitral de 8-11-2018. Se condena en contas a favor de la UNP y en contra de la UTP33 equivalentes a 20 SMMLV.</t>
  </si>
  <si>
    <t>HERNAN ALONSO CASTAÑEDA GRACIANO</t>
  </si>
  <si>
    <t>08 001 2331 005 2014 01552 00</t>
  </si>
  <si>
    <t>05 001 2333 000 2015 01559 01</t>
  </si>
  <si>
    <t>|</t>
  </si>
  <si>
    <t>EXT21-00010193</t>
  </si>
  <si>
    <t>25 000 2326 000 2010 00731 01</t>
  </si>
  <si>
    <t>TRIBUNA ADMINISTRATIVO DE CUNDINAMARCA</t>
  </si>
  <si>
    <t>ROBER EDUARDO TORRES NAVARRO Y OTROS</t>
  </si>
  <si>
    <t>EFECTUO ACUERDO DE PAGO DECRETO 642 DE 2020</t>
  </si>
  <si>
    <t>ODEN DE PAGO PRESUPUESTAL</t>
  </si>
  <si>
    <t xml:space="preserve">POR RELIQUIDACION </t>
  </si>
  <si>
    <t>ALEJANDRO GONZALEZ TAMAYO</t>
  </si>
  <si>
    <t>MARIA IDALIA SALAZAR</t>
  </si>
  <si>
    <t>EXT15-00070211</t>
  </si>
  <si>
    <t>76 001 2333 000 2012 00488 00</t>
  </si>
  <si>
    <t>EN EL ANEXO ES EL REGISTRO 232</t>
  </si>
  <si>
    <t>LUZ BELEN RICARDO HERNANDEZ</t>
  </si>
  <si>
    <t>11 001 3335 015 2014 00101 00</t>
  </si>
  <si>
    <t>NO APARECE EN EL ANEXO, SE NOTIFICA AUTO DE OBEDEZCASE Y CUMPLASE, NO ALLEGAN FALLO</t>
  </si>
  <si>
    <t>JUZGADO QUINCE ADMINISTRATIVO DEL CIRCUITO DE BOGOTA</t>
  </si>
  <si>
    <t>JOSE IGNACIO SILVA RAMIREZ</t>
  </si>
  <si>
    <t>JOSE WILSON LOPEZ YEPES</t>
  </si>
  <si>
    <t>EXT17-00010182</t>
  </si>
  <si>
    <t>EXT14-00043433</t>
  </si>
  <si>
    <t>OFICIOS LTK
20/02/18 LTK</t>
  </si>
  <si>
    <t>25 000 2342 000 2013 04928 00</t>
  </si>
  <si>
    <t>EN EL ANEXO ES EL 525</t>
  </si>
  <si>
    <t>ORLANDO CONTRERAS AYALA</t>
  </si>
  <si>
    <t>NO APARECE EN EL ANEXO/
 (SE DA RESPUESTA MEDIANTE CORREO ELECTRONICO)A</t>
  </si>
  <si>
    <t>EXT17-00008420</t>
  </si>
  <si>
    <t>CORREO 
INFORMACION VIATICOS</t>
  </si>
  <si>
    <t>VIATICOS 2015
(SE DA RESPUESTA POR CORREO ELECTRONICO)
NO ESTA RELACIONADO EN LA LISTA DE AUTOS APROBADOS MEDIANTE CONCILIACION L</t>
  </si>
  <si>
    <t>CIRO GALINDO Y OTROS</t>
  </si>
  <si>
    <t>EXT17-00049830</t>
  </si>
  <si>
    <t>REMITE 
DOCUMENTO PARA REINTEGRO</t>
  </si>
  <si>
    <t>25 000 232 6000 2005 01477 01</t>
  </si>
  <si>
    <t xml:space="preserve">SE DA RESPUESTA MEDIANTE 
OFI17-00025349 18/07/17)A
MEDIANTE OFI17-00025349 DEL 18/07/17 SE REMITE POR CONPETENCIA AL MININTERIOR L.
</t>
  </si>
  <si>
    <t>PRUDENCIO SANCHEZ CAMAYO Y OTROS</t>
  </si>
  <si>
    <t>EXT17-00051451</t>
  </si>
  <si>
    <t>AUTO APRUEBA 
COSTAS Y AGENCIAS EN DERECHO</t>
  </si>
  <si>
    <t xml:space="preserve">19 001 3333 004 2013 00306 00 </t>
  </si>
  <si>
    <t>COSTAS A FAVOR DE LA UNP</t>
  </si>
  <si>
    <t>JUZGADO CUARTO 
ADMINISTRATIVO EN DESCONGESTION DEL CIRCUITO JUDICIAL DE POPAYAN</t>
  </si>
  <si>
    <t>MUERTE DE LA SEÑORA ALBA CECILIA QUIRA CALDON A CAUSA DE SER ATROPELLADA  CON EL VEHICULO CONDUCIDO POR EL EX SENADOR JESUS ENRIQUE PIÑACUE ACHICUE</t>
  </si>
  <si>
    <t>YOLANDA RUIZ CEBALLOS Y OTROS.
BERNARDO RUIZ CEBALLOS
MARIELA RUIZ CEBALLOS
LUZ MERY RUIZ DE GARCIA
HUMBERTO RUIZ CEBALLOS
NELSON RUIZ CEBALLOS
RUBIEL RUIZ CEBALLOS
NORFI RUIZ CEBALLOS</t>
  </si>
  <si>
    <t>24 470.629
7 527 043
24.487.390
41.892.551
7.505.143
7.524.004
7.526.999
24.478.200</t>
  </si>
  <si>
    <t>MAURICIO GOMEZ ARANGO</t>
  </si>
  <si>
    <t>EXT16-00070756</t>
  </si>
  <si>
    <t>NOTIFICACION CONCILIACION</t>
  </si>
  <si>
    <t>EXT16-00078740</t>
  </si>
  <si>
    <t>NOTIFICACION DE MEMORIAL</t>
  </si>
  <si>
    <t>EXT16-00079829</t>
  </si>
  <si>
    <t>CITACION AUDIENCIA DE CONCILIACION</t>
  </si>
  <si>
    <t>EXT16-00078993</t>
  </si>
  <si>
    <t>EXT17-00069977</t>
  </si>
  <si>
    <t>EXT17-00069285</t>
  </si>
  <si>
    <t>NOTIFICA ADMISION</t>
  </si>
  <si>
    <t>OFICIOS LTK
02/02/18 LTK</t>
  </si>
  <si>
    <t>63 001 3333 004 2016 00503 00</t>
  </si>
  <si>
    <t>CARLOS ARTURO CARVAJAL RIVERA</t>
  </si>
  <si>
    <t>11 001 3342 055 2017 00339 00</t>
  </si>
  <si>
    <t>JUZGADO CINCUENTA Y CINCO ADMINISTRATIVO SECCION SEGUNDA DE BOGOTA- ORAL</t>
  </si>
  <si>
    <t>GERMAN ANTONIO TUBERQUIA PETRO</t>
  </si>
  <si>
    <t>EXT17-00083368</t>
  </si>
  <si>
    <t>EXT17-00072862</t>
  </si>
  <si>
    <t>05/06/2018 SE ENCUENTRA EL EXPENDIENTE FISICO EN UNP YL LIQUIDADO UNP
ENTREGADO POR LTK 25-07-2018</t>
  </si>
  <si>
    <t>05 001 3333 016 2014 00161 00</t>
  </si>
  <si>
    <t>EN EL ANEXO ES EL 625</t>
  </si>
  <si>
    <t>JUZGADO DIECISEIS ADMINISTRATIVO ORAL DE MEDELLIN</t>
  </si>
  <si>
    <t>EXT15-00072086</t>
  </si>
  <si>
    <t>08&amp;06/2016</t>
  </si>
  <si>
    <t>EXT16-00043405</t>
  </si>
  <si>
    <t>EXT15-00049919</t>
  </si>
  <si>
    <t>CONSTANCIA NOTIFICACIÓN</t>
  </si>
  <si>
    <t>11 001 3335 705 2014 00130 00</t>
  </si>
  <si>
    <t>EN EL ANEXO SE ENCUENTRA EN EL ANEXO 19 CON EL PROCESO No. 110013335019 2014 00169 00
21/02/18 SE CONSULTA PROCESO: AUTO QUE TERMINA PROCESO POR DESISTIMIENTO 07/06/16; ARCHIVO DEFINITIVO 31/10/16 L</t>
  </si>
  <si>
    <t>MARY LUZ RUDA CARDONA Y OTROS
TOMAS PRECIADO RUDA
JUAN ESTEBAN PRECIADO PINTO
MARIA EDILMA VALENCIA HERRERA
ANA CRISTINA GRAJALES VALENCIA
OLGA LUCIA PRECIADO VALENCIA
ORLANDO PRECIADO VALENCIA
OSCAR PRECIADO VALENCIA
MARIO PRECIADO VALENCIA</t>
  </si>
  <si>
    <t>42.014.385
1.237.936
25.014.061
42.030.603
42.089.249
18.509.352
10.124.657
10.132.360</t>
  </si>
  <si>
    <t>DIEGO ALEXANDER RODRIGUEZ</t>
  </si>
  <si>
    <t>EXT17-00067513</t>
  </si>
  <si>
    <t>63 001 3333 004 2016 00454 00</t>
  </si>
  <si>
    <t>JUZGADO 4 ADMINISTRATIVO DE ARMENIA- ORAL</t>
  </si>
  <si>
    <t>MUERTE POR FALTA DE ADOPCION DE MEDIDAS DE PROTECCION Y SEGURIDAD</t>
  </si>
  <si>
    <t>MYRIAM VARGAS GARZON</t>
  </si>
  <si>
    <t>REMISION PARA LA PONAL</t>
  </si>
  <si>
    <t>11 001 3335 012 2014 00323 00</t>
  </si>
  <si>
    <t>REMISION PONAL</t>
  </si>
  <si>
    <t>NO SE ENCUENTRA EN LOS ANEXOS
EL DEMANDADO ES LA PONAL</t>
  </si>
  <si>
    <t>LUIS GUILLERMO POVEDA DELGADO</t>
  </si>
  <si>
    <t>11 001 3335 706 2014 00076 02</t>
  </si>
  <si>
    <t xml:space="preserve">NO SE ENCUENTRA EN LOS ANEXOS
EN LA SENTENCIA DE SEGUNDA INSTANCIA LA ENTIDAD DEMANDADA ES LA FIDUPREVISORA - RELIQUIDACION DE LAS PRESTACIONES SOCIALES DE EX SERVIDOR DEL EXTINGUIDO DAS CON INCLUSION DE LA PRIMA DE RIESGO
SE ELIMINÓ DE LA BASE POR SOLO CONTAR CON PRIMERA INSTANCIA.   25-07-2018
</t>
  </si>
  <si>
    <t>RODOLFO VARGAS LOPEZ</t>
  </si>
  <si>
    <t>25 000 2342 000 2014 02651 00</t>
  </si>
  <si>
    <t>SE ELIMINÓ DE LA BASE POR SOLO CONTAR CON PRIMERA INSTANCIA.   17-07-2018</t>
  </si>
  <si>
    <t>JUZGADO 54 ADMINISTRATIVO DE BOGOTA- ORAL</t>
  </si>
  <si>
    <t>NRD-HORAS EXTRAS</t>
  </si>
  <si>
    <t>68 001 3333 005 2015 00295 00</t>
  </si>
  <si>
    <t>JUZGADO 5 ADMINISTRATIVO DE BUCARAMANGA- ORAL</t>
  </si>
  <si>
    <t>22/03/2017</t>
  </si>
  <si>
    <t>ANDRES AUGUSTO BERNAL LEURO</t>
  </si>
  <si>
    <t>GREYDA COLMENARES URIBE</t>
  </si>
  <si>
    <t>11 001 3335 025 2014 00073 00</t>
  </si>
  <si>
    <t>JUZGADO 57 ADMINISTRATIVO DE BOGOTA- ORAL</t>
  </si>
  <si>
    <t>13/02/2018</t>
  </si>
  <si>
    <t>AURA TERESA SIERRA ARGUELLO</t>
  </si>
  <si>
    <t>FERNANDO ALVAREZ ECHEVERRY</t>
  </si>
  <si>
    <t>11 001 3335 025 2014 00210 00</t>
  </si>
  <si>
    <t>JUZGADO 25 ADMINISTRATIVO SECCION SEGUNDA DE BOGOTA- ORAL</t>
  </si>
  <si>
    <t>02/09/2015</t>
  </si>
  <si>
    <t>CARLOS ALBERTO IBARGUE VALOY</t>
  </si>
  <si>
    <t>JORGE EDISON PORTOCARRERO BANGUERA</t>
  </si>
  <si>
    <t>76 001 3333 001 2015 00231 00</t>
  </si>
  <si>
    <t>JUZGADO 1 ADMINISTRATIVO DE CALI- ORAL</t>
  </si>
  <si>
    <t>12/12/2017</t>
  </si>
  <si>
    <t>11001333571820140009500</t>
  </si>
  <si>
    <t>JUZGADO 18 ADMINISTRATIVO DE DESCONGESTION DE BOGOTA SECCION SEGUNDA - ORAL</t>
  </si>
  <si>
    <t>DIEGO ARMANDO ACOSTA BONILLA</t>
  </si>
  <si>
    <t>41001333300520150002900</t>
  </si>
  <si>
    <t>JUZGADO 5 ADMINISTRATIVO DE NEIVA- ORAL</t>
  </si>
  <si>
    <t>12/10/2017</t>
  </si>
  <si>
    <t>05001333300720140103400</t>
  </si>
  <si>
    <t>JUZGADO 7 ADMINISTRATIVO DE MEDELLIN- ORAL</t>
  </si>
  <si>
    <t>EDUARD ANDRES GOMEZ CARDENAS</t>
  </si>
  <si>
    <t>11001333500720130066200</t>
  </si>
  <si>
    <t>JUZGADO 7 ADMINISTRATIVO SECCION SEGUNDA DE BOGOTA- ORAL</t>
  </si>
  <si>
    <t>24/08/2015</t>
  </si>
  <si>
    <t>EDWIN LEONARDO BERNAL RIVERA</t>
  </si>
  <si>
    <t>66001233300020160026100</t>
  </si>
  <si>
    <t>DESPACHO SIN SECCIONES DEL TRIBUNAL ADMINISTRATIVO DE RISARALDA- ORAL</t>
  </si>
  <si>
    <t>09/08/2017</t>
  </si>
  <si>
    <t>ELI ANTONIO FABRA CONDE</t>
  </si>
  <si>
    <t>05001333300420130016801</t>
  </si>
  <si>
    <t>JUZGADO 4 ADMINISTRATIVO DE MEDELLIN- ORAL</t>
  </si>
  <si>
    <t>30/09/2016</t>
  </si>
  <si>
    <t xml:space="preserve">EMERSON DE JESUS BUELVAS LAMBERTINEZ </t>
  </si>
  <si>
    <t>05001333300920130009900</t>
  </si>
  <si>
    <t>JUZGADO 9 ADMINISTRATIVO DE MEDELLIN- ORAL</t>
  </si>
  <si>
    <t>13/05/2016</t>
  </si>
  <si>
    <t>RAUL IGNACIO MOLANO FRANCO</t>
  </si>
  <si>
    <t>11001333502920130069600</t>
  </si>
  <si>
    <t>JUZGADO 29 ADMINISTRATIVO SECCION SEGUNDA DE BOGOTA- ORAL</t>
  </si>
  <si>
    <t>28/10/2016</t>
  </si>
  <si>
    <t>05001333301620140039600</t>
  </si>
  <si>
    <t>JUZGADO 16 ADMINISTRATIVO DE MEDELLIN- ORAL</t>
  </si>
  <si>
    <t>19/01/2018</t>
  </si>
  <si>
    <t>JOSE ALIRIO JIMENEZ PATIÑO</t>
  </si>
  <si>
    <t>11001333502420120019500</t>
  </si>
  <si>
    <t>JUZGADO 24 ADMINISTRATIVO SECCION SEGUNDA DE BOGOTA- ORAL</t>
  </si>
  <si>
    <t>19/12/2017</t>
  </si>
  <si>
    <t>GERMAN VALENCIA GOMEZ</t>
  </si>
  <si>
    <t>76001233300020140020400</t>
  </si>
  <si>
    <t>HECTOR HENRY RAMIREZ GOMEZ</t>
  </si>
  <si>
    <t>05001333302620130009100</t>
  </si>
  <si>
    <t>JUZGADO 26 ADMINISTRATIVO DE MEDELLIN- ORAL</t>
  </si>
  <si>
    <t>07/03/2016</t>
  </si>
  <si>
    <t>HUMBERTO ANTONIO ROQUEME GABALO</t>
  </si>
  <si>
    <t>05001333301220140062900</t>
  </si>
  <si>
    <t>JUZGADO 12 ADMINISTRATIVO DE MEDELLIN- ORAL</t>
  </si>
  <si>
    <t>14/07/2017</t>
  </si>
  <si>
    <t>JHON JAIRO MUÑOZ LOPEZ</t>
  </si>
  <si>
    <t>EXT16-00037879</t>
  </si>
  <si>
    <t>EXT16-00049759</t>
  </si>
  <si>
    <t>19 001 3331 006 2013 00384 00</t>
  </si>
  <si>
    <t>JUZGADO 6 ADMINISTRATIVO DE POPAYAN- ORAL</t>
  </si>
  <si>
    <t>18/05/2016</t>
  </si>
  <si>
    <t>JONATHAN GAMBOA GARCIA</t>
  </si>
  <si>
    <t>11001333501520130036800</t>
  </si>
  <si>
    <t>JUZGADO 15 ADMINISTRATIVO SECCION SEGUNDA DE BOGOTA- ORAL</t>
  </si>
  <si>
    <t>07/09/2015</t>
  </si>
  <si>
    <t>JORGE ENRIQUE GUTIERREZ ESPINOSA</t>
  </si>
  <si>
    <t>DIEGO FERNANDO OSORIO</t>
  </si>
  <si>
    <t>76001333301020130004600</t>
  </si>
  <si>
    <t>JUZGADO 10 ADMINISTRATIVO DE CALI- ORAL</t>
  </si>
  <si>
    <t>19001333100620130040200</t>
  </si>
  <si>
    <t>23/05/2016</t>
  </si>
  <si>
    <t>JORGE RINCON CASTAÑEDA</t>
  </si>
  <si>
    <t>05001333300720140103900</t>
  </si>
  <si>
    <t>JOSE DANIEL RAMIREZ PINZON</t>
  </si>
  <si>
    <t>68001333301320150021200</t>
  </si>
  <si>
    <t>JUZGADO 13 ADMINISTRATIVO DE BUCARAMANGA- ORAL</t>
  </si>
  <si>
    <t>18/11/2016</t>
  </si>
  <si>
    <t>73001333300920140032800</t>
  </si>
  <si>
    <t>JUZGADO 9 ADMINISTRATIVO DE IBAGUE- ORAL</t>
  </si>
  <si>
    <t>19/11/2015</t>
  </si>
  <si>
    <t>11001333502820130039700</t>
  </si>
  <si>
    <t>JUZGADO 28 ADMINISTRATIVO SECCION SEGUNDA DE BOGOTA- ORAL</t>
  </si>
  <si>
    <t>17/03/2017</t>
  </si>
  <si>
    <t>28/04/2016</t>
  </si>
  <si>
    <t>JUAN DAVID GARCIA SOSSA</t>
  </si>
  <si>
    <t>05001233300020130190700</t>
  </si>
  <si>
    <t>14/02/2018</t>
  </si>
  <si>
    <t>JUAN DIEGO MIRANDA</t>
  </si>
  <si>
    <t>05001333300720130010101</t>
  </si>
  <si>
    <t>26/04/2016</t>
  </si>
  <si>
    <t>JUZGADO 1 ADMINISTRATIVO ORAL DE MEDELLIN</t>
  </si>
  <si>
    <t>JUAN JULIO SEPULVEDA AGUDELO</t>
  </si>
  <si>
    <t>05001333302620130098200</t>
  </si>
  <si>
    <t>JUAN RAUL ORTIZ RODRIGUEZ</t>
  </si>
  <si>
    <t>05001333302820130077600</t>
  </si>
  <si>
    <t>JUZGADO 28 ADMINISTRATIVO DE MEDELLIN- ORAL</t>
  </si>
  <si>
    <t>14/02/2017</t>
  </si>
  <si>
    <t>JULIAN ROMAN OVIEDO</t>
  </si>
  <si>
    <t>17001333300120130010100</t>
  </si>
  <si>
    <t>JUZGADO 1 ADMINISTRATIVO DE MANIZALES- ORAL</t>
  </si>
  <si>
    <t>JULIO AVELLA GARCIA Y OTROS</t>
  </si>
  <si>
    <t>GUSTAVO GALLON GIRALDO</t>
  </si>
  <si>
    <t>11001333603220130033500</t>
  </si>
  <si>
    <t>JUZGADO 60 ADMINISTRATIVO SECCION TERCERA DE BOGOTA- ORAL</t>
  </si>
  <si>
    <t>02/11/2017</t>
  </si>
  <si>
    <t>JUSTINIANO PATIÑO GONZALEZ</t>
  </si>
  <si>
    <t>GUILLERMO LEON GOMEZ PELAEZ</t>
  </si>
  <si>
    <t>76001233300020130118700</t>
  </si>
  <si>
    <t>DESPACHO SIN SECCIONES DEL TRIBUNAL ADMINISTRATIVO DE VALLE DEL CAUCA- ORAL</t>
  </si>
  <si>
    <t>04/06/2016</t>
  </si>
  <si>
    <t>11001333502020150025100</t>
  </si>
  <si>
    <t>JUZGADO 20 ADMINISTRATIVO SECCION SEGUNDA DE BOGOTA- ORAL</t>
  </si>
  <si>
    <t>28/02/2017</t>
  </si>
  <si>
    <t>LIBARDO ENRIQUE GRANADOS OSORIO</t>
  </si>
  <si>
    <t>05001333300520130017300</t>
  </si>
  <si>
    <t>JUZGADO 5 ADMINISTRATIVO DE MEDELLIN- ORAL</t>
  </si>
  <si>
    <t>28/03/2017</t>
  </si>
  <si>
    <t>05001233300020150155200</t>
  </si>
  <si>
    <t>DESPACHO SIN SECCIONES DEL TRIBUNAL ADMINISTRATIVO DE ANTIOQUIA- ORAL</t>
  </si>
  <si>
    <t>03/08/2017</t>
  </si>
  <si>
    <t>LUIS CARLOS GALLEGO LIZARAZO</t>
  </si>
  <si>
    <t>76001333300120150001500</t>
  </si>
  <si>
    <t>LUIS CARLOS HERRERA CALDERON</t>
  </si>
  <si>
    <t>MANUEL MAURICIO DE ALBA FONTALVO</t>
  </si>
  <si>
    <t>08001233100520140066600</t>
  </si>
  <si>
    <t>LUIS FERNANDO MORALES MORALES</t>
  </si>
  <si>
    <t>17001233300020120014001</t>
  </si>
  <si>
    <t>DESPACHO SIN SECCIONES DEL TRIBUNAL ADMINISTRATIVO DE CALDAS- ORAL</t>
  </si>
  <si>
    <t>19/10/2016</t>
  </si>
  <si>
    <t>76001233300020120028600</t>
  </si>
  <si>
    <t>12/07/2016</t>
  </si>
  <si>
    <t>MARIA FANNY OSSA GALLEGO</t>
  </si>
  <si>
    <t>05001333300720130010200</t>
  </si>
  <si>
    <t>09/12/2014</t>
  </si>
  <si>
    <t>11001333501820140025900</t>
  </si>
  <si>
    <t>JUZGADO 18 ADMINISTRATIVO SECCION SEGUNDA DE BOGOTA- ORAL</t>
  </si>
  <si>
    <t>31/08/2015</t>
  </si>
  <si>
    <t>25000234200020120119300</t>
  </si>
  <si>
    <t>DESPACHO SECCION SEGUNDA DEL TRIBUNAL ADMINISTRATIVO DE CUNDINAMARCA - ORAL</t>
  </si>
  <si>
    <t>26/01/2017</t>
  </si>
  <si>
    <t>MONICA PAOLA SIERRA PINEDA</t>
  </si>
  <si>
    <t>11001333500920140035200</t>
  </si>
  <si>
    <t>JUZGADO 9 ADMINISTRATIVO SECCION SEGUNDA DE BOGOTA- ORAL</t>
  </si>
  <si>
    <t>15/07/2016</t>
  </si>
  <si>
    <t>NALFIDO ANTONIO JIMENEZ HOYOS</t>
  </si>
  <si>
    <t>05001333300420130016900</t>
  </si>
  <si>
    <t>16/12/2015</t>
  </si>
  <si>
    <t>05001333302920150102500</t>
  </si>
  <si>
    <t>JUZGADO 29 ADMINISTRATIVO DE MEDELLIN- ORAL</t>
  </si>
  <si>
    <t>15/01/2018</t>
  </si>
  <si>
    <t>63001233300020140020400</t>
  </si>
  <si>
    <t>TRIBUNAL ADMINISTRATIVO DE QUINDIO- ORAL</t>
  </si>
  <si>
    <t>19/08/2016</t>
  </si>
  <si>
    <t>17001333300220140016400</t>
  </si>
  <si>
    <t>NOEL ANDREY CARTAGENA SUAREZ</t>
  </si>
  <si>
    <t>73001333300420150033100</t>
  </si>
  <si>
    <t>JUZGADO 4 ADMINISTRATIVO DE IBAGUE- ORAL</t>
  </si>
  <si>
    <t>73001333300820140072200</t>
  </si>
  <si>
    <t>JUZGADO 8 ADMINISTRATIVO DE IBAGUE- ORAL</t>
  </si>
  <si>
    <t>OBER AUGUSTO GAÑAN GAÑAN</t>
  </si>
  <si>
    <t>CANDIDA ECHEVERRI HOYOS</t>
  </si>
  <si>
    <t>FRANCISCO ALBERTO GIRALDO LUNA</t>
  </si>
  <si>
    <t>EXT18-00079277</t>
  </si>
  <si>
    <t>05 001 3333 023 2017 00139 00</t>
  </si>
  <si>
    <t>NO TIENE DOCUMENTOS ALLEGADOS COMO PRUEBA</t>
  </si>
  <si>
    <t>JUZGADO VEINTITRES ADMINISTRATIVO DE MEDELLIN- ORAL</t>
  </si>
  <si>
    <t>MUERTE DE CIVIL POR GRUPO ARMADO ILEGAL</t>
  </si>
  <si>
    <t xml:space="preserve">SAUL ERNESTO OSUNA GARZON
ADRIANA CALLE AGUILAR
DANIELA OSUNA CALLE
SOFIA ESPERANZA OSUNA GARZON
OSWALDO OSUNA GARZON 
ADRIANA OSUNA GARZON
AIDEE OSUNA GARZON
DIANA MARCELA OSUNA GARZON
OMAIRA OLANO BARRETO
EMERSON CARDOZA PALENCIA
OSCAR ANDRES CARDOZA OLANO
JUAN DAVID CARDOZA OLANO
ANA MILENA OLANO BARRETO
EISENOVER OLANO BARRETO
BLANCA LILIA BARRETO RINCON
ELISEO OLANO ARBOLEDA
JOHANY OLANO BARRETO
MARIA DIOSELINA LEON DE BERMUDEZ
DANIEL FELIPE NEME BERMUDEZ
JOSUE ROSELINO BERMUDEZ RODRIGUEZ
JOSUE HERNAN BERMUDEZ LEON
AYDA JOHANNA BERMUDEZ LEON
DAISSY YANIRA BERMUDEZ LEON
LEONARDO ALFONSO BERMUDEZ LEON
SANDRA SOFIA BERMUDEZ LEON
</t>
  </si>
  <si>
    <t>CARLOS MAURICIO AGUDELO VALLEJO</t>
  </si>
  <si>
    <t>EXT18-00072001</t>
  </si>
  <si>
    <t>11  001  3336 033 2014 00057 01</t>
  </si>
  <si>
    <t>ADMITE APELACION</t>
  </si>
  <si>
    <t>JUZGADO SESENTA Y UNO ADMINISTRATIVO DEL CIRCUITO JUDICIAL DE BOGOTA - SECCION TERCERA</t>
  </si>
  <si>
    <t>05 001 3333 004 2013 00652 00</t>
  </si>
  <si>
    <t>11 001 3335 029 2013 00198 00</t>
  </si>
  <si>
    <t>02/10/2017</t>
  </si>
  <si>
    <t>PEDRO ANTONIO GARZON CABEZAS</t>
  </si>
  <si>
    <t>CARLOS HERNAN RIAÑO ORDOÑEZ</t>
  </si>
  <si>
    <t>25 000 2342 000 2013 05724 00</t>
  </si>
  <si>
    <t>23 001 2333 000 2012 00066 00</t>
  </si>
  <si>
    <t>DESPACHO SIN SECCIONES DEL TRIBUNAL ADMINISTRATIVO DE CORDOBA- ORAL</t>
  </si>
  <si>
    <t>RUSBELI ESCOBAR OSORIO
HENRI MANUEL CERVANTES SOLANO
MERLEIDIS DEL CARMEN CERVANTES SOLANO
DOMINGO ANTONIO CERVANTES SOLANO
GERONIMO MANUEL CERVANTES SOLANO
LUZ MARINA CERVANTES SOLANO</t>
  </si>
  <si>
    <t xml:space="preserve">
24.652.749
11 032 609
25.857.993
6.891.642
11.031.317
34.994.414</t>
  </si>
  <si>
    <t>JOSE LUIS VIVEROS ABISAMBRA</t>
  </si>
  <si>
    <t>05 001 3333 006 2016 00686 00</t>
  </si>
  <si>
    <t>JUZGADO 6 ADMINISTRATIVO DE MEDELLIN- ORAL</t>
  </si>
  <si>
    <t>05 001 3333 005 2014 00164 00</t>
  </si>
  <si>
    <t>05 001 3333 018 2015 01182 00</t>
  </si>
  <si>
    <t>JUZGADO 18 ADMINISTRATIVO DE MEDELLIN- ORAL</t>
  </si>
  <si>
    <t>23/10/2017</t>
  </si>
  <si>
    <t>05 001 3333 007 2017 00331 00</t>
  </si>
  <si>
    <t>05 001 3333 004 2014 01022 00</t>
  </si>
  <si>
    <t>VICTOR MANUEL DIAZ MORA</t>
  </si>
  <si>
    <t>DIEGO JARAMILLO GIRALDO</t>
  </si>
  <si>
    <t>25 000 2325 000 2013 00324 00</t>
  </si>
  <si>
    <t>06/04/2017</t>
  </si>
  <si>
    <t>VICTOR MANUEL HURTADO DIAZ</t>
  </si>
  <si>
    <t>76 001 2333 000 2012 00695 01</t>
  </si>
  <si>
    <t>WILLIAM EDUARDO CASALLAS HUERTAS</t>
  </si>
  <si>
    <t>11 001 3335 019 2014 00218 00</t>
  </si>
  <si>
    <t>11 001 3335 023 2012 00213 00</t>
  </si>
  <si>
    <t>JUZGADO 23 ADMINISTRATIVO SECCION SEGUNDA DE BOGOTA- ORAL</t>
  </si>
  <si>
    <t>24/10/2017</t>
  </si>
  <si>
    <t>WILLIAM RODOLFO RENGIFO</t>
  </si>
  <si>
    <t>19 001 2333 004 2014 00240 00</t>
  </si>
  <si>
    <t>DESPACHO 4 SIN SECCIONES DEL TRIBUNAL ADMINISTRATIVO DE CAUCA- ORAL</t>
  </si>
  <si>
    <t>WILSON DE JESUS ZAPATA GOEZ</t>
  </si>
  <si>
    <t>05 001 3333 012 2014 00658 00</t>
  </si>
  <si>
    <t>11/04/2018</t>
  </si>
  <si>
    <t>YONI FERNANDO HOMEN DORADO</t>
  </si>
  <si>
    <t>MARTHA LUCIA CANO RAMIREZ</t>
  </si>
  <si>
    <t>76 001 2300 000 2012 00331 00</t>
  </si>
  <si>
    <t>JHON JAIRO ALZATE ARANGO</t>
  </si>
  <si>
    <t>08 001 2333 005 2014 00201 00</t>
  </si>
  <si>
    <t>NO ESTA EN EL DECRETO 1303</t>
  </si>
  <si>
    <t>LUIS FABIAN SIERRA GUTIERREZ</t>
  </si>
  <si>
    <t>41 001 3331 003 2011 00089 00</t>
  </si>
  <si>
    <t>EN EL DECRETO ES EL 201</t>
  </si>
  <si>
    <t>JUZGADO CUARTO ADMINISTRATIVO DE DESCONGESTION DE NEIVA</t>
  </si>
  <si>
    <t>IRENE DEL CARMEN GUTIERREZ Y OTROS</t>
  </si>
  <si>
    <t>CARLOS ANDRES CALDERON CARRERA</t>
  </si>
  <si>
    <t>41 001 3331 003 2007 00130 00</t>
  </si>
  <si>
    <t xml:space="preserve">DAS, MININTERIOR, MINJUSTICIA, MINDEFENSA, POLICIA NACIONAL </t>
  </si>
  <si>
    <t>MUERTE A MANOS DEL INTEGRANTES DE GRUPO ARMADO AL MARGEN DE LA LEY</t>
  </si>
  <si>
    <t>NERLY ESMITH SUAREZ ZAPATA</t>
  </si>
  <si>
    <t>50 001 3331 002 2011 00409 00</t>
  </si>
  <si>
    <t>JUZGADO PRIMERO ADMINISTRATIVO DE DESCONGESTION DEL CIRCUITO DE VILLAVICENCIO</t>
  </si>
  <si>
    <t>FALTA DE ADOPCION DE MEDIDAS DE PROTECCION</t>
  </si>
  <si>
    <t>JHON BRANFOR BUENAVENTURA ROMERO</t>
  </si>
  <si>
    <t>11 001 3331 015 2012 00121 01</t>
  </si>
  <si>
    <t>EN EL DECRETO ES EL 20</t>
  </si>
  <si>
    <t>JUZGADO PRIMERO ADMINISTRATIVO DE DESCONGESTION DEL CIRCUITO JUDICIAL DE BOGOTA- SECCION SEGUNDA</t>
  </si>
  <si>
    <t>NRD-REINTEGRO AL CARGO</t>
  </si>
  <si>
    <t>JOSE FABIAN URREGO SIERRA</t>
  </si>
  <si>
    <t>11 001 3335 716 2014 00134 00</t>
  </si>
  <si>
    <t>JUZGADO CINCUENTA Y CINCO ADMINISTRATIVO DEL CIRCUITO JUDICIAL DE BOGOTA- SECCION SEGUNDA</t>
  </si>
  <si>
    <t>DAS en supresion, ANDJE, UNP.</t>
  </si>
  <si>
    <t>MARIO SERGIO GARCIA</t>
  </si>
  <si>
    <t>JOSE RAFAEL RUIZ MINDIOLA</t>
  </si>
  <si>
    <t>20 001 3333 003 2012 00100 00</t>
  </si>
  <si>
    <t>EN EL ANEXO ES EL 356</t>
  </si>
  <si>
    <t>DAS, en supresion, UNP sucesor procesal</t>
  </si>
  <si>
    <t>LINA MARIA OROZCO ZAPATA</t>
  </si>
  <si>
    <t>76 001 2331 000 2012 00335 00</t>
  </si>
  <si>
    <t>EN EL ANEXO ES EL 310</t>
  </si>
  <si>
    <t>TRIBUNAL CONTENCIOSO ADMINISTRATIVO DEL VALLE DEL CAUCA- SALA DE DESCONGESTION</t>
  </si>
  <si>
    <t>11 001 3335 012 2014 00185 00</t>
  </si>
  <si>
    <t>11 001 3335 012 2013 00528 00</t>
  </si>
  <si>
    <t>JUZGADO DOCE ADMINISTRATIVO DE ORALIDAD DEL CIRCUITO DE BOGOTA, SECCION SEGUNDA</t>
  </si>
  <si>
    <t>25-052018</t>
  </si>
  <si>
    <t>ROBINSON CORREDOR PEREZ Y OTROS
CORTES PACHECO HORTENCIA   RUBIANO CALDERON MATILDE      CALDERON DE LOSADA MATILDE      PEREZ RAMOS FABIOLA                CORREDOR PEREZ NORMA      CORREDOR PEREZ MARIA         CORREDOR PEREZ CLAUDIA</t>
  </si>
  <si>
    <t xml:space="preserve">7.717.517
26.575.894
4.938.402 
26.435.250
36.154.858 
36.067.441
21.032.821
1.080.360.928 </t>
  </si>
  <si>
    <t>JORGE LUIS RODRIGUEZ IGLESIAS</t>
  </si>
  <si>
    <t>41 001 3331 001 2010 00431 00</t>
  </si>
  <si>
    <t>JUZGADO CUARTO ADMINISTRATIVO DEL CIRCUITO JUDICIAL DE NEIVA</t>
  </si>
  <si>
    <t>MININTERIOR, MINDEFENSA, POLICIA NACIONAL.
MININTERIOR-UNP patrimonialmente responsable.</t>
  </si>
  <si>
    <t>INCUMPLIMIENTO DEL DEBER DE PROTECCION Y SEGURIDAD POR PARTE DEL ESTADO</t>
  </si>
  <si>
    <t>OLGA DE JESUS GIRALDO ARIAS Y OTROS
DAVID ALBERTO GOEZ GIRALDO
YANET ALEXANDRA GOEZ GIRALDO
TATIANA CRISTINA GOEZ GIRALDO</t>
  </si>
  <si>
    <t xml:space="preserve">
98.666.194
43.599.571
1.152.437.642</t>
  </si>
  <si>
    <t>WALTER RAUL MEJIA CARDONA</t>
  </si>
  <si>
    <t>05 001 3333 016 2013 00271 00</t>
  </si>
  <si>
    <t>UNP,MINDEFENSA, MININTERIOR, POLICIA,  FISCALIA.</t>
  </si>
  <si>
    <t>NAYIVI CORDOBA QUEJADA  Y OTROS
ROBLEDO  SOCORRO 
MOYA LARA LUIS ENRIQUE 
BORJA DIAZ JOVITA
MENA MURILLO FRANCISCA
BLANDON MENA INELSA
BLANDON MENA GRACIANO
BLANDON MENA SUNILDA
MOYA CORDOBA YIRLEYSIS
MOYA CORDOBA LUIS MANUEL 
MOYA CORDOBA YILIHANA</t>
  </si>
  <si>
    <t xml:space="preserve">26.379.332
26.378.809 
12.001.754 
 26.380.588
         26.380.687 
 1.075.089.366
 82.210.009 
 21.881.406 
 128.004.148
 193.531.990
 1.030.490.532 
     </t>
  </si>
  <si>
    <t>CARLOS HERNANDO ESPINOSA MADRID</t>
  </si>
  <si>
    <t xml:space="preserve">                                                                                                                                                                                                                                                                                                                                                                                                                                                                                                                                                                                                                                                                                                                                                                                                                                                                                                                                                                                                                                                                                                                                                                                                                                                                                                                                                                                                                                                                                                                                                                                                                                                                                                                                                                                                                                                                                                                                                                                                                                                  </t>
  </si>
  <si>
    <t>27 001 3331 702 2012 00036 00</t>
  </si>
  <si>
    <t>JUZGADO QUINTO ADMINISTRATIVO DE DESCONGESTION DE QUIBDO</t>
  </si>
  <si>
    <t>UNP,MINDEFENSA, MININTERIOR, ARMADA NACIONAL, EJERCITO, POLICIA, PROCURADORIA GENERAL, DEFENSORIA, FISCALIA.</t>
  </si>
  <si>
    <t>MUERTE DE CIVIL POR GRUPO ARMADO ILEGAL -FARC</t>
  </si>
  <si>
    <t>JULIO ENRIQUE VARGAS CABANZO</t>
  </si>
  <si>
    <t>11 001 3335 716 2014 00098 00</t>
  </si>
  <si>
    <t>EN EL DECRETO 1303 (CONCILIACIONES PREJUDICIALES) ES EL 13</t>
  </si>
  <si>
    <t>JUZGADO CINCUENTA Y CINCO ADMINSTRATIVO DEL CIRCUITO JUDICIAL DEL BOGOTA-  SECCION SEGUNDA</t>
  </si>
  <si>
    <t>DAS en supresion, UNP sucesor procesal, ANDJE</t>
  </si>
  <si>
    <t>08 001 2333 001 2013 00074 00</t>
  </si>
  <si>
    <t>EN EL ANEXO ES EL 596 - 653</t>
  </si>
  <si>
    <t>TRIBUNAL ADMINISTRATIVO DEL ATLANTICO SALA DE ORALIDAD A.</t>
  </si>
  <si>
    <t>EINER LUIS CARDENAS RODRIGUEZ</t>
  </si>
  <si>
    <t>08 001 2331 001 2013 00439 00</t>
  </si>
  <si>
    <t>EN EL ANEXO ES EL 595 - 651</t>
  </si>
  <si>
    <t>TRIBUNA ADMINISTRATIVO DEL ATLANTICO SALA DE ORALIDAD</t>
  </si>
  <si>
    <t>DAS en supresion,</t>
  </si>
  <si>
    <t>OSCAR IVAN BELLO CANCINO</t>
  </si>
  <si>
    <t>11 001 3335 008 2012 00216 00</t>
  </si>
  <si>
    <t>JUZGADO OCTAVO ADMINISTRATIVO DE ORALIDAD DEL CIRCUITO JUDICIAL DE BOGOTA</t>
  </si>
  <si>
    <t>OMAR ENRIQUE PEDRAZA NARVAEZ</t>
  </si>
  <si>
    <t>20 001 3333 003 2012 00163 00</t>
  </si>
  <si>
    <t>EN EL ANEXO ES EL 532</t>
  </si>
  <si>
    <t>68 001 2333 000 2014 00405 00</t>
  </si>
  <si>
    <t>RONALD RAMOS VILLAREAL</t>
  </si>
  <si>
    <t>76 001 3333 014 2014 00278 00</t>
  </si>
  <si>
    <t>JUZGADO CATORCE ADMINISTRATIVO DEL CIRCUITO DE CALI</t>
  </si>
  <si>
    <t>13 001 3333 004 2014 00081 00</t>
  </si>
  <si>
    <t>EN EL ANEXO ES EL 664</t>
  </si>
  <si>
    <t>JUZGADO CUARTO ADMINISTRATIVO ORAL DEL CIRCUITO DE CARTAGENA</t>
  </si>
  <si>
    <t>EN EL ANEXO ES EL 438</t>
  </si>
  <si>
    <t>JUZGADO DECIMO ADMINISTRATIVO ORAL DEL CIRCUITO DE MEDELLIN</t>
  </si>
  <si>
    <t xml:space="preserve">DIANA MARIA NENGARAVE PALACIO
SIAGAMA NENGARAVE JHAN
SIAGAMA NENGARAVE JESSICA - 
SIAGAMA NENGARAVE DORIS
SIAGAMA SIAGAMA ALBERTO
SIAGAMA NENGARAVE JHON JARVIN
SIAGAMA NENGARAVE TATIANA
SIAGAMA NENGARAVE JIMENA
</t>
  </si>
  <si>
    <t xml:space="preserve">24.791.649
1.004.966.166 
 1.004.965.222
1.004.965.223 
  4.460.162 
1.090.122.703 
 1.090.122.789 
 1.090.122.852 </t>
  </si>
  <si>
    <t>CRISTINA MARIA GOMEZ RAMIREZ</t>
  </si>
  <si>
    <t>66 001 3333 751 2015 00356 00</t>
  </si>
  <si>
    <t>JUZGADO QUINTO ADMINISTRATIVO DEL CIRCUITO DE PEREIRA</t>
  </si>
  <si>
    <t>UNP, FISCALIA, POLICIA, MINDEFENSA, MINEDUCACION</t>
  </si>
  <si>
    <t>13 001 3333 013 2014 00050 00</t>
  </si>
  <si>
    <t>EN EL ANEXO ES EL 665</t>
  </si>
  <si>
    <t>JUZGADO DECIMO TERCERO ADMINISTRATIVO DEL CIRCUITO DE CARTAGENA</t>
  </si>
  <si>
    <t>LEON QUIJANO GONZALEZ</t>
  </si>
  <si>
    <t>EN EL ANEXO ES EL 160</t>
  </si>
  <si>
    <t>JUZGADO VEINTICUATRO ADMINISTRATIVO DE ORALIDAD DE BOGOTA</t>
  </si>
  <si>
    <t>DEYANIRA TERESA PEREZ ARRIETA</t>
  </si>
  <si>
    <t>08 001 2331 005 2014 00521 00</t>
  </si>
  <si>
    <t>TRIBUNAL ADMINISTRATIVO DEL ATLANTICO DE ORALIDAD</t>
  </si>
  <si>
    <t>JHON ALEXANDER AYA DELGADILLO</t>
  </si>
  <si>
    <t>73 001 3333 004 2014 00341 00</t>
  </si>
  <si>
    <t>JUZGADO CUARTO ADMINISTRATIVO DEL CIRCUITO DEL IBAGUE</t>
  </si>
  <si>
    <t>76 001 2331 000 2011 01736 00</t>
  </si>
  <si>
    <t>EN EL ANEXO ES EL 233</t>
  </si>
  <si>
    <t>GIOVANI ARANGO CUARTAS</t>
  </si>
  <si>
    <t>05 001 3333 007 2013 01009 00</t>
  </si>
  <si>
    <t>JAIME TEODORO OLIVEROS GARZON</t>
  </si>
  <si>
    <t>73 001 3333 007 2014 00652 00</t>
  </si>
  <si>
    <t>GUSTAVO ALONSO MARIN PATIÑO</t>
  </si>
  <si>
    <t>05 001 2333 000 2014 00137 00</t>
  </si>
  <si>
    <t>EN EL DECRETO 1303 ES EL 543</t>
  </si>
  <si>
    <t>TRIBUNAL ADMINISTRATIVO DE ANTIOQUIA- SALA TERCERA DE ORALIDAD</t>
  </si>
  <si>
    <t>JAIME RODRIGUEZ PRIETO</t>
  </si>
  <si>
    <t>05 001 3333 029 2013 00986 00</t>
  </si>
  <si>
    <t xml:space="preserve">                                                                                                                                                                                                                                                                                                                                                                                                                                                                                                                                                                                                                                                                                                                                                                                                                                                                             </t>
  </si>
  <si>
    <t>11 001 3335 014 2014 00190 00</t>
  </si>
  <si>
    <t>JUZGADO CATORCE ADMINISTRATIVO ORAL DE BOGOTA</t>
  </si>
  <si>
    <t>05 001 2331 000 2011 01288 00</t>
  </si>
  <si>
    <t>EN EL DECRETO 1303 ES EL 447</t>
  </si>
  <si>
    <t>TRIBUNAL ADMINISTRATIVO DE ANTIOQUIA- SUBSECCION LABORAL</t>
  </si>
  <si>
    <t>68 001 2333 000 2012 00051 00</t>
  </si>
  <si>
    <t>EN EL DECRETO 1303 ES EL 63</t>
  </si>
  <si>
    <t>TRIBUNA ADMINISTRATIVO DE ORALIDAD DE SANTANDER</t>
  </si>
  <si>
    <t>13 001 3331 004 2012 00106 00</t>
  </si>
  <si>
    <t>JUZGADO DECIMO ADMINISTRATIVO MIXTO DEL CIRCUITO JUDICIAL DE CARTAGENA DE INDIAS</t>
  </si>
  <si>
    <t>11 001 3335 019 2013 00297 00</t>
  </si>
  <si>
    <t>EN EL DECRETO 1303 ES EL 508</t>
  </si>
  <si>
    <t>JUZGADO CINCUENTA Y SEIS ADMINISTRATIVO DE BOGOTA</t>
  </si>
  <si>
    <t>EN EL DECRETO 1303 ES EL 8</t>
  </si>
  <si>
    <t>TRIBUNAL ADMINISTRATIVO DE CUNDINAMARCA- SECCION SEGUNDA- SUBSECCION B.</t>
  </si>
  <si>
    <t>EXT18-00091974</t>
  </si>
  <si>
    <t>11 001 3335 009 2014 00352 00</t>
  </si>
  <si>
    <t>NO SE ENCUENTRA EN LOS ANEXOS 
MEDIANTE OFI18-00041953 SE DA RESPUESTA AL EXT18-00091974  F.</t>
  </si>
  <si>
    <t>11 001 3335 023 2014 00118 00</t>
  </si>
  <si>
    <t>NO SE ENCUENTRA EN LOS ANEXOS
JUZGADO CONDENA A LA UNP EDNA ME  LA ENTREGA</t>
  </si>
  <si>
    <t>JUAN ANDRES MANJARRES CONRADO</t>
  </si>
  <si>
    <t>47 001 3333 003 2013 00025 00</t>
  </si>
  <si>
    <t>JUZGADO TERCERO
 ADMINISTRATIVO DE SANTA MARTA</t>
  </si>
  <si>
    <t>869-A</t>
  </si>
  <si>
    <t>JOSE RODRIGO RUBIO GUTIERREZ</t>
  </si>
  <si>
    <t>NORMA BAQUERO DIAZ</t>
  </si>
  <si>
    <t>EXT18-00107585</t>
  </si>
  <si>
    <t>73 001 3333 003 2014 00108 00</t>
  </si>
  <si>
    <t>JUZGADO TERCERO ADMINISTRATIVO ORAL DEL CIRCUITO DE IBAGUE</t>
  </si>
  <si>
    <t>HUGO ENRIQUE PEDROZA MEDINA</t>
  </si>
  <si>
    <t>EXT18-00114309</t>
  </si>
  <si>
    <t>EMIRO MANUEL ORTIZ ESPAÑA</t>
  </si>
  <si>
    <t>47 001 3333 006 2014 00273 00</t>
  </si>
  <si>
    <t>JUZGADO SEXTO ADMINISTRATIVO DEL CIRCUITO DE SANTA MARTA</t>
  </si>
  <si>
    <t>DAS Y OTROS</t>
  </si>
  <si>
    <t>UNION TEMPORAL RGV 2017</t>
  </si>
  <si>
    <t>25 000 2336 000 2020 00063 00</t>
  </si>
  <si>
    <t>Tribunal aprueba acuerdo conciliatorio celebrado el 12 de febrero ante la procuraduria 136 judicial II para asuntos administrativos.</t>
  </si>
  <si>
    <t>EXT17-00004049
EXT17-00014424</t>
  </si>
  <si>
    <t>23/01/2017
28/02/2017</t>
  </si>
  <si>
    <t>ene-17
feb-17</t>
  </si>
  <si>
    <t>Solicitud de pago
PETICION</t>
  </si>
  <si>
    <t xml:space="preserve">EN EL DECRETO ES EL 56
(SE DA RESPUESTA MEDIANTE OFI17-00025383 18/07/17)A
OFI18-00043649 03/10/18  L.
</t>
  </si>
  <si>
    <t>JHON HAROLD JARAMILLO COTRINA</t>
  </si>
  <si>
    <t>EXT21-00031883</t>
  </si>
  <si>
    <t>76 001 2331 000 2012 00170 01</t>
  </si>
  <si>
    <t>TRIBUNAL ADMINISTRATIVO DEL ARCHIPIELAGO DE SAN ANDRES, PROVIDENCIA Y SANTA CATALINA</t>
  </si>
  <si>
    <t>EN EL DECRETO 1303 ES EL 307</t>
  </si>
  <si>
    <t>EXT21-00016293</t>
  </si>
  <si>
    <t>Solicitud pago proceso ejecutivo</t>
  </si>
  <si>
    <t>EXT21-00016803</t>
  </si>
  <si>
    <t>EXT20-00026326
EXT21-00017152</t>
  </si>
  <si>
    <t>17/03/2020
mar/21</t>
  </si>
  <si>
    <t>17/03/2020
03/03/2021</t>
  </si>
  <si>
    <t>BENEFICIARIO
ABOGADO</t>
  </si>
  <si>
    <t>Solicitud estado pago
Solicitud estado pago</t>
  </si>
  <si>
    <t>EXT21-00017352</t>
  </si>
  <si>
    <t>EXT21-00017357</t>
  </si>
  <si>
    <t>JUZGADO NOVENO ADMINISTRATIVO DE IBAGUE</t>
  </si>
  <si>
    <t>TRIBUNA AMINISTRATIVO DEL TOLIMA</t>
  </si>
  <si>
    <t>OBLIGACIONES DE HACER</t>
  </si>
  <si>
    <t>NO SE ENCUENTRA EN EL DECRETO 1303</t>
  </si>
  <si>
    <t>EXT21-00019487</t>
  </si>
  <si>
    <t>EXT20-00016688
EXT20-00050754
EXT21-00017545
EXT21-00017843</t>
  </si>
  <si>
    <t>18/02/20202
15/07/2020
4/03/2021
05-03-2021</t>
  </si>
  <si>
    <t>feb-20
jul-20
mar-21
mar-21</t>
  </si>
  <si>
    <t>ABOGADA
ABOGADA
BENEFICIARIO
BENEFICARIO</t>
  </si>
  <si>
    <t>Solicitud estado pago
Solicitud estado pago
Solicitud estado pago
Solicitud estado pago</t>
  </si>
  <si>
    <t>EXT21-00033261</t>
  </si>
  <si>
    <t>Tribunal aprueba el 05-03-2021 acuerdo conciliatorio celebrado el 12 de febrero 2020 ante la procuraduria 136 judicial II para asuntos administrativos.</t>
  </si>
  <si>
    <t>901.103.372-6</t>
  </si>
  <si>
    <t>EXT21-00020589</t>
  </si>
  <si>
    <t>GERENTE</t>
  </si>
  <si>
    <t>EXT21-00038185</t>
  </si>
  <si>
    <t>19 001 2333 000 2014 00240 01</t>
  </si>
  <si>
    <t>YOHN CARLOS CUELLAR GOMEZ</t>
  </si>
  <si>
    <t>EXT21-00040035</t>
  </si>
  <si>
    <t>FALLO A FAVOR DE LA UNP</t>
  </si>
  <si>
    <t>EXT17-00037180</t>
  </si>
  <si>
    <t>EXT21-00043992</t>
  </si>
  <si>
    <t>LUIS JOBANY OVIDIO DUCUARA</t>
  </si>
  <si>
    <t>EXT21-00017364</t>
  </si>
  <si>
    <t>73 001 3333 008 2013 00925 00</t>
  </si>
  <si>
    <t>JUZGADO OCTAVO ORAL ADMINISTRATIVO DE IBAGUE</t>
  </si>
  <si>
    <t>EXT21-00016891</t>
  </si>
  <si>
    <t>EXT20-00068424
EXT20-00071654
EXT20-00074444
EXT20-00076159
EXT21-00019228</t>
  </si>
  <si>
    <t>22/09/2020
02/10/2020
14/10/2020
20/10/2020
10/03/2021</t>
  </si>
  <si>
    <t>sep-20
oct-20
oct-20
oct-20
mar-21</t>
  </si>
  <si>
    <t>BENEFICIARIO
BENEFICIARIO
BENEFICIARIO
BENEFICIARIO
Beneficiario</t>
  </si>
  <si>
    <t>Solicitud de informacion 
Solicitud de informacion
Solicitud de informacion
Solicitud de informacion
Solicitud estado pago</t>
  </si>
  <si>
    <t>EXT21-00021467</t>
  </si>
  <si>
    <t>EXT21-00023538</t>
  </si>
  <si>
    <t>EXT20-00022410
EXT20-00065819
EXT20-00050754
EXT21-00021581</t>
  </si>
  <si>
    <t>5/03/2020
14/09/2020
15/07/2020
17/03/2021</t>
  </si>
  <si>
    <t>mar-20
sep-20
jul-20
mar-21</t>
  </si>
  <si>
    <t>ABOGADO
BENEFICIARIO
ABOGADA
BENEFICIARIO</t>
  </si>
  <si>
    <t>ALLEGA DOCUMENTOS
SOLICITUD DE INFORMACION
Solicitud estado pago
Solicitud de documentos</t>
  </si>
  <si>
    <t>EXT21-00022677</t>
  </si>
  <si>
    <t>EXT21-00022858</t>
  </si>
  <si>
    <t>23-03-20212</t>
  </si>
  <si>
    <t>EXT21-00022873</t>
  </si>
  <si>
    <t>17 001 3333 001 2013 00101 00</t>
  </si>
  <si>
    <t>EN EL DECRETO 1303 ES EL 408</t>
  </si>
  <si>
    <t>JUZGADO SEXTO ADMINISTRATIVO DE MANIZALEZ</t>
  </si>
  <si>
    <t>EXT19-00116841
EXT20-00016688
EXT20-00049776
EXT20-00050754
EXT21-00022932</t>
  </si>
  <si>
    <t>2/10/2019
18/02/2020
13/07/2020
15/07/2020
23/03/2021</t>
  </si>
  <si>
    <t>oct-19
feb-20
jul-20
jul-20
mar-21</t>
  </si>
  <si>
    <t>BENEFICIARIO
ABOGADA
BENEFICIARIO
ABOGADA
BENEFICIARIO</t>
  </si>
  <si>
    <t>SOLICITUD ESTADO DEL PAGO
SOLICITUD ESTADO DEL PAGO
Solicitud estado pago
Solicitud estado pago
Solicitud estado pago</t>
  </si>
  <si>
    <t>EXT21-00019964</t>
  </si>
  <si>
    <t>MEM21-00007765</t>
  </si>
  <si>
    <t>CONTROL INTERNO</t>
  </si>
  <si>
    <t>EXT21-00025093</t>
  </si>
  <si>
    <t>EXT21-00025313</t>
  </si>
  <si>
    <t>17/07/2020
10/08/2020
31/03/2021</t>
  </si>
  <si>
    <t>jul-20
ago-20
mar-21</t>
  </si>
  <si>
    <t>EXT20-00051452
EXT20-00056916
EXT21-00025313</t>
  </si>
  <si>
    <t>BENEFICIARIO
BENEFICIARIO 
ABOGADA</t>
  </si>
  <si>
    <t>Solicitud estado pago
Solicitud estado pago
Solicitud de informacion</t>
  </si>
  <si>
    <t>EXT21-00025644</t>
  </si>
  <si>
    <t>25 000 2342 000 2017 03529 00</t>
  </si>
  <si>
    <t>EXT21-00025786</t>
  </si>
  <si>
    <t>EXT21-00030912</t>
  </si>
  <si>
    <t>JAIME ALVIS VARON</t>
  </si>
  <si>
    <t>EXT21-00026282</t>
  </si>
  <si>
    <t>73 001 3333 001 2013 01124 00</t>
  </si>
  <si>
    <t>JUZGADO PRIMERO ADMINISTRATIVO DEL CIRCUITO DE IBAGUE</t>
  </si>
  <si>
    <t>18/10/2018
15-02-2019
18-03-2019
12/08/2019
7/09/2020
07/04/2021</t>
  </si>
  <si>
    <t>oct-18
feb-19
mar-19
ago-19
sep-20
abr-21</t>
  </si>
  <si>
    <t>EXT18-00106021
EXT19-00016878
EXT19-00030196
EXT19-00091865
EXT20-00064201
EXT21-00026653</t>
  </si>
  <si>
    <t>ABOGADO
ABOGADO
ABOGADO
ABOGADO
ABOGADO 
BENEFICIARIO</t>
  </si>
  <si>
    <t>SOLICITUD INFORMACION ESTADO DE PAGO
SOLICITUD ESTADO DE PAGO
ALLEGA DOCUMENTOS
SOLICITUD ESTADO DEL PAGO
SOLICITUD DE INFORMACIÓN TRAMITE DE PAGO 
Solicita documentos</t>
  </si>
  <si>
    <t>GONZALO PALACIO SALAZAR</t>
  </si>
  <si>
    <t>EXT21-00027373</t>
  </si>
  <si>
    <t>EDGAR GONZALEZ MADRID</t>
  </si>
  <si>
    <t>EXT21-00027399</t>
  </si>
  <si>
    <t>76 001 2333 005 2012 00615 00</t>
  </si>
  <si>
    <t>EXT21-00027154</t>
  </si>
  <si>
    <t>EXT21-00027849</t>
  </si>
  <si>
    <t>EXT21-00033619</t>
  </si>
  <si>
    <t>ESTANISLAO ARIZA SUAREZ</t>
  </si>
  <si>
    <t>EXT21-00029359</t>
  </si>
  <si>
    <t>JORGE LUIS QUINTERO GOMEZ</t>
  </si>
  <si>
    <t>68 001 3333 001 2013 00483 01</t>
  </si>
  <si>
    <t>JUZGADO PRIMERO ADMINISTRATIVO ORAL DE BUCARAMANGA</t>
  </si>
  <si>
    <t>CARLOS MARIO TORRES GALEANO</t>
  </si>
  <si>
    <t>EXT21-00031539</t>
  </si>
  <si>
    <t>05 001 333 025 2013 00940 00</t>
  </si>
  <si>
    <t>JUZGADO ADMINISTRATIVO ORAL DE MEDELLIN</t>
  </si>
  <si>
    <t>EXT21-00031903</t>
  </si>
  <si>
    <t>EXT21-00031906</t>
  </si>
  <si>
    <t>EXT21-00031911</t>
  </si>
  <si>
    <t>EXT21-00031683</t>
  </si>
  <si>
    <t>0489-21</t>
  </si>
  <si>
    <t>EXT18-00070905
EXT18-00079539
EXT18-00080143
EXT18-00080454
EXT18-00083662
EXT19-00014945
EXT19-00116047
EXT20-00024594
EXT20-00056927
EXT21-00034465</t>
  </si>
  <si>
    <t>30/07/2018
17/08/2018
21/08/2018
21/08/2018
29/08/2018
12/02/2019
01/10/2019
11/03/2020
10/08/2020
03/05/2021</t>
  </si>
  <si>
    <t>jul-2018
ago-2018
ago-2018
ago-2018
ago-2018
feb-18
oct-19
nov-20
ago-20
may-21</t>
  </si>
  <si>
    <t>ROSAURA CORDOBA CACERES Y OTROS
FRANCISCO JAVIER RENGIFO SANCHEZ
FRANCISCO JAVIER RENGIFO SANCHEZ
FRANCISCO JAVIER RENGIFO SANCHEZ
FRANCISCO JAVIER RENGIFO SANCHEZ
Beneficiario
Beneficiario
Beneficiario
Beneficiario
Abogado</t>
  </si>
  <si>
    <t>DERECHO DE PETICION
RESPUESTA OFICIO
RESPUESTA OFICIO
RESPUESTA OFICIO
RESPUESTA OFICIO
Solicitud de Informacion
Solicitud estado pago
Solicitud de documentos
Solicitud estado pago
Solicita documento</t>
  </si>
  <si>
    <t>EXT21-00034974</t>
  </si>
  <si>
    <t>EXT17-00069334
EXT17-00099431
EXT16-00089537
EXT17-00022951
EXT17-00030532
EXT18-00016034
EXT18-00039527
EXT21-00035869</t>
  </si>
  <si>
    <t>08/09/2017
18/12/2017
18/11/2016
30/11/2017
26/04/2017
22/02/2018
04/05/2018
07/05/2021</t>
  </si>
  <si>
    <t>sep-17
dic-17
nov-16
nov-17
abr-17
feb-18
may-18
may-21</t>
  </si>
  <si>
    <t>ABOGADA
ABOGADA
CONSEJO DE ESTADO
SOLICITUD CUMPLIMIENTO DE SENTENCIA
SOLICITUD DE CUMPLIMIENTO
ABOGADA
ABOGADA
ABOGADA</t>
  </si>
  <si>
    <t>RATIFICACION 
SOLICITUD DE PAGO
RATIFICACION SOLICITUD DE CUMPLIMIENTO DE SENTENCIA
COMUNICACIÓN
ABOGADA
ABOGADA
RATIFICA SOLICITUD DE CUMPLIMIENTO 
CUMPLIMIENTO DE SENTENCIA
Solicitud estado pago</t>
  </si>
  <si>
    <t>CARLOS ALBERTO IBARGUEN VALOY</t>
  </si>
  <si>
    <t>EXT21-00035986</t>
  </si>
  <si>
    <t>JUZGADO PRIMERO ADMINISTRATIVO ORAL DE CALI</t>
  </si>
  <si>
    <t>EXT21-00035993</t>
  </si>
  <si>
    <t>11 001 3335 022 2012 00372 00</t>
  </si>
  <si>
    <t>EXT21-00028055
EXT21-00036858</t>
  </si>
  <si>
    <t>12/04/2021
11/05/2021</t>
  </si>
  <si>
    <t>abr-21
may-21</t>
  </si>
  <si>
    <t>SOLICITA DOCUMENTOS
Solicitud documentos</t>
  </si>
  <si>
    <t>EXT21-00037606</t>
  </si>
  <si>
    <t>EXT21-00039279</t>
  </si>
  <si>
    <t>Solicitud reliquidacion</t>
  </si>
  <si>
    <t>EXT18-00069144
EXT18-00076443
EXT18-00091794
EXT19-00007847
EXT19-00090106
EXT19-00096451
EXT20-00077838
EXT21-00018214
EXT21-00040155</t>
  </si>
  <si>
    <t>24/07/2018
10/08/2018
17/09/2018
25/01/2019
06/08/2019
21/08/2019
26/10/2020
08/03/2021
21/05/2021</t>
  </si>
  <si>
    <t>jul-18
ago-18
sep-18
ene-19
ago-19
ago-19
oct-20
mar-21
may-21</t>
  </si>
  <si>
    <t>BENEFICIARIO
BENEFICIARIO
LUIS JOSE DURAN LOZANO
BENEFICIARIO
ABOGADO
BENEFICIARIO
LUIS JOSE DURAN LOZANO
Luis Jose Duran.
BENEFICIARIO</t>
  </si>
  <si>
    <t>DERECHO DE PETICION
ALLEGA DOCUMENTOS
DERECHO DE PETICION
SOLICITUD DE ESTADO DE PAGO
SOLICITUD ESTADO DEL PAGO
Solicitud estado del pago
Solicitud estado pago
Solicitud documentos</t>
  </si>
  <si>
    <t>EXT21-00041141</t>
  </si>
  <si>
    <t>EXT21-00041447</t>
  </si>
  <si>
    <t>EXT21-00041854</t>
  </si>
  <si>
    <t>Solicitud documentos</t>
  </si>
  <si>
    <t>EXT21-00042187</t>
  </si>
  <si>
    <t>NORBERTO RAMOS CLAROS</t>
  </si>
  <si>
    <t>EXT21-00043336</t>
  </si>
  <si>
    <t>OSCAR CONDE ORTIZ</t>
  </si>
  <si>
    <t>18 001 3331 001 2006 00533 00</t>
  </si>
  <si>
    <t>JUZGADO SEGUNDO ADMINISTRATIVO DE DESCONGESTION DE FLORECIA</t>
  </si>
  <si>
    <t>TRIBUNAL ADMINISTRATIVO SALA TRANSITORIA</t>
  </si>
  <si>
    <t>JORGE EDILBERTO MORA POVEDA</t>
  </si>
  <si>
    <t>EXT21-00044000</t>
  </si>
  <si>
    <t>76 001 3333 011 2013 00368 00</t>
  </si>
  <si>
    <t>JUZGADO ONCE ADMINISTRATIVO ORAL DE CALI</t>
  </si>
  <si>
    <t>EXT21-00044352</t>
  </si>
  <si>
    <t>JEANNETTE FERNANDEZ MAYA Y OTROS</t>
  </si>
  <si>
    <t>EXT21-00044771</t>
  </si>
  <si>
    <t>11 001 3343 060 2018 00002 00</t>
  </si>
  <si>
    <t>ALEJANDRO BOTERO VILLEGAS</t>
  </si>
  <si>
    <t>JUZGADO SESENTA ADMINISTRATIVO DE BOGOTA</t>
  </si>
  <si>
    <t>EXT20-00045557
EXT21-00046604</t>
  </si>
  <si>
    <t>24/06/2020
15/06/2021</t>
  </si>
  <si>
    <t>jun-20
jun-21</t>
  </si>
  <si>
    <t>VICTOR ALFONSO JIMENEZ DOMINGUEZ</t>
  </si>
  <si>
    <t>EXT21-00046303</t>
  </si>
  <si>
    <t>11 001 3335 028 2015 00231 00</t>
  </si>
  <si>
    <t>JUZGADO VENTIOCHO ORAL DE BOGOTA</t>
  </si>
  <si>
    <t>EXT21-00046998</t>
  </si>
  <si>
    <t>ALLEGA ACUERDO DE PAGO</t>
  </si>
  <si>
    <t>EXT21-00051913</t>
  </si>
  <si>
    <t>ABOGADA: MARCELA PATRICIA CEBALLOS</t>
  </si>
  <si>
    <t>RESPUESTA A SOLICITUD OFI21-00019630</t>
  </si>
  <si>
    <t>EXT21-00047091 EXT21-00048230</t>
  </si>
  <si>
    <t>15/06/2021 18/06/2021</t>
  </si>
  <si>
    <t>junio/2021 junio/2021</t>
  </si>
  <si>
    <t>ABOGADO ABOGADO</t>
  </si>
  <si>
    <t>EXT21-00048136 - 
EXT21-00048268</t>
  </si>
  <si>
    <t xml:space="preserve">SOLICITUD CUMPLIMIENTO AUTO PROBATORIO LIQUIDACION. 
DERECHO DE PETICIÓN SOLICITUD PAGO SENTENCIA. </t>
  </si>
  <si>
    <t>ABOGADO
ABOGADO</t>
  </si>
  <si>
    <t>17/06/2021
18/06/2021</t>
  </si>
  <si>
    <t>06/2021
06/2021</t>
  </si>
  <si>
    <t>ALLEGA DOCUMENTOS.
SOLICITUD TURNO Y PAGO SENTENCIA.</t>
  </si>
  <si>
    <t>EXT19-00100395
EXT21-00049623</t>
  </si>
  <si>
    <t>29/08/2019
23/06/2021</t>
  </si>
  <si>
    <t>EXT21-00050232</t>
  </si>
  <si>
    <t>EXT21-00050771</t>
  </si>
  <si>
    <t>SOLICITUD DE PAGO ACUERDO CONCILIACIÓN.</t>
  </si>
  <si>
    <t>SOLICITUD DE PAGO 
ACUERDO CONCILIACIÓN.</t>
  </si>
  <si>
    <t>EXT21-00050675</t>
  </si>
  <si>
    <t>EXT21-00051505</t>
  </si>
  <si>
    <t>EXT21-00052146</t>
  </si>
  <si>
    <t>SOLICITUD PAGO DE SENTENCIA.</t>
  </si>
  <si>
    <t xml:space="preserve">EXT20-00016688
EXT20-00050754
EXT21-00034480
EXT21-00037257
EXT21-00053693
</t>
  </si>
  <si>
    <t>ABOGADA
ABOGADA
BENEFICIARIO
BENEFICIARIO
BENEFICIARIO</t>
  </si>
  <si>
    <t>feb-20
jul-20
may-21
may-21
jul-2021</t>
  </si>
  <si>
    <t>18/02/2020
15/07/2020
03/05/2021
12/05/2021
07/07/2021</t>
  </si>
  <si>
    <t>SOLICITUD ESTADO PAGO
Solicitud estado pago
Solicitud estado pago
Solicitud estado pago
RECLAMACIÓN PAGO SENTENCIA JUDICIAL</t>
  </si>
  <si>
    <t>GERMÁN VALENCIA GÓMEZ</t>
  </si>
  <si>
    <t>JOHN ALEXANDER AYA DELGADILLO</t>
  </si>
  <si>
    <t>EXT21-00053011</t>
  </si>
  <si>
    <t>RESOLUCIÓN 486 DE 2021</t>
  </si>
  <si>
    <t>Correo: suasesorlegal01@yahoo.com
Fecha: 28-06-2021</t>
  </si>
  <si>
    <t>RESOLUCIÓN 487 DE 2021</t>
  </si>
  <si>
    <t>Correo: joalipa@yahoo.es
Fecha: 28/06/2021</t>
  </si>
  <si>
    <t>RESOLUCION 488 DE 2021</t>
  </si>
  <si>
    <t>Correo: rcuellar@cr-abogados.com
Fecha: 28/06/2021</t>
  </si>
  <si>
    <t>REMITE: FALLO TRIBUNAL, COSEJO DE ESTADO Y CONSTANCIA EJECUTORIA.</t>
  </si>
  <si>
    <t>20707/2021</t>
  </si>
  <si>
    <t>Correo: joalipa@yahoo.es
Fecha: 24/02/2021</t>
  </si>
  <si>
    <t xml:space="preserve">Correo:vperezgomez@hotmail.com 
Fecha:28-06-2021 </t>
  </si>
  <si>
    <t>RESOLUCIÓN 490 DE 2021</t>
  </si>
  <si>
    <t>Correo: joaljipa@yahoo.es
Fecha: 28-06-2021</t>
  </si>
  <si>
    <t>Fondo de Pensiones PORVENIR</t>
  </si>
  <si>
    <t>Resolución 632 de 2021
Resolución 485 de 2021</t>
  </si>
  <si>
    <t>108.675.112
214.517.087</t>
  </si>
  <si>
    <t>Correo: alejandro0522@hotmail.com
Fecha: 28-06-2021
Correo: alejandro0522@hotmail.com
Fecha: 28-06-2021</t>
  </si>
  <si>
    <t>Resolución 633 de 2021</t>
  </si>
  <si>
    <t>Correo: clinicajuridica@une.net.co
Fecha: 28/06/2021</t>
  </si>
  <si>
    <t xml:space="preserve">EPS sanitas
Administradora Colombiana de Pensiones Colpenciones </t>
  </si>
  <si>
    <t>4.746.921
6.076.059</t>
  </si>
  <si>
    <t>Resolución 635 de 2021</t>
  </si>
  <si>
    <t>CESAR AUGUSTO TORES ESPINEL</t>
  </si>
  <si>
    <t xml:space="preserve">Juzgado Cincuenta y Cinco (55) Administrativo del Circuito Judicial de Bogotá </t>
  </si>
  <si>
    <t>Tribunal Administrativo de Cundinamarca Sección Segunda- Subsección F</t>
  </si>
  <si>
    <t>NULIIDAD Y RESTABLECIMIENTO DEL DERECHO</t>
  </si>
  <si>
    <t>DEPARTAMENTO ADMINISTRATIVO DE SEGURIDAD DAS- UNIDAD NACIONAL DE PROTECCIÓN</t>
  </si>
  <si>
    <t>11001333571620140009801</t>
  </si>
  <si>
    <t xml:space="preserve">EXT21-00060936 </t>
  </si>
  <si>
    <t>COMUNICACIÓN SENTENCIA </t>
  </si>
  <si>
    <t>Luis Fernando Morales Morales</t>
  </si>
  <si>
    <t xml:space="preserve">17001-23-33-000-2012-00140-02 </t>
  </si>
  <si>
    <t>CONSEJO DE ESTADO SALA DE LO CONTENCIOSO-ADMINISTRATIVO
SECCIÓN SEGUNDA SUBSECCIÓN B</t>
  </si>
  <si>
    <t>Tribunal Administrativo de Caldas</t>
  </si>
  <si>
    <t xml:space="preserve">Ober Augusto Gañán Gañán </t>
  </si>
  <si>
    <t xml:space="preserve">17001-23-33-000-2012-00136-02 </t>
  </si>
  <si>
    <t>CONSEJO DE ESTADO
SALA DE LO CONTENCIOSO ADMINISTRATIVO SECCIÓN SEGUNDA</t>
  </si>
  <si>
    <t xml:space="preserve">EXT21-00058928 </t>
  </si>
  <si>
    <t xml:space="preserve">EXT21-00058932 </t>
  </si>
  <si>
    <t>ARNOL VESGA MARTINEZ</t>
  </si>
  <si>
    <t xml:space="preserve">19001 33 31 004 2013 00392 01 </t>
  </si>
  <si>
    <t xml:space="preserve">NACIÓN – DAS EN SUPRESIÓN – AGENCIA NACIONAL DE DEFENSA JURÍDICA DEL ESTADO – UNIDAD NACIONAL DE PROTECCIÓN y PATRIMONIO AUTÓNOMO P.A.P. FIDUPREVISORA S.A., DEFENSA JURÍDICA DEL EXTINTO DEPARTAMENTO ADMINISTRATIVO DE SEGURIDAD – DAS Y SU FONDO ROTATORIO </t>
  </si>
  <si>
    <t>Juzgado Cuarto Administrativo del Circuito de Popayán</t>
  </si>
  <si>
    <t>EXT21-00064800</t>
  </si>
  <si>
    <t>Juzgado Cuarto Administrativo de Circuito de Popayán</t>
  </si>
  <si>
    <t>HÉCTOR FABIO IDÁRRAGA FRANCO</t>
  </si>
  <si>
    <t>Consejo de Estado</t>
  </si>
  <si>
    <t>76001-23-33-000-2013-00410-01 (1553-2014)</t>
  </si>
  <si>
    <t>Tribunal Administrativo del Valle del Cauca</t>
  </si>
  <si>
    <t>CONSEJO DE ESTADO
SALA DE LO CONTENCIOSO ADMINISTRATIVO
SECCIÓN SEGUNDA – SUBSECCIÓN A</t>
  </si>
  <si>
    <t>UNIDAD NACIONAL DE PROTECCIÓN -UNP – SUCESORA PROCESAL DEL DEPARTAMENTO ADMINISTRATIVO DE SEGURIDAD DAS</t>
  </si>
  <si>
    <t>EXT21-00072174</t>
  </si>
  <si>
    <t>Septiembre</t>
  </si>
  <si>
    <t>11001333501520170021501</t>
  </si>
  <si>
    <t xml:space="preserve">TRIBUNAL ADMINISTRATIVO DE CUNDINAMARCA SECCIÓN SEGUNDA SUBSECCIÓN F  </t>
  </si>
  <si>
    <t>Juzgado (15) Administrativo de oralidad del Circuito Judicial de Bogotá</t>
  </si>
  <si>
    <t>UNIDAD NACIONAAL DE PROTECCION</t>
  </si>
  <si>
    <t>Abogado</t>
  </si>
  <si>
    <t>Solicitud de pago</t>
  </si>
  <si>
    <t>EXT21-00072039      EXT21-00072318</t>
  </si>
  <si>
    <t>junio</t>
  </si>
  <si>
    <t>JULIO</t>
  </si>
  <si>
    <t>EXT21-00058947</t>
  </si>
  <si>
    <t>HECTOR PERDOMO GAVIRIA Y OTROS</t>
  </si>
  <si>
    <t>EXT21-00054493</t>
  </si>
  <si>
    <t>EXT21-00061129</t>
  </si>
  <si>
    <t>EXT21-00061051</t>
  </si>
  <si>
    <t>ALEX WILFRED CASTELLAR DONADO</t>
  </si>
  <si>
    <t>EXT21-00062790</t>
  </si>
  <si>
    <t>LUIS FELIPE BERNAL Y OTROS</t>
  </si>
  <si>
    <t>GERARDO RINCON USCATEGUI</t>
  </si>
  <si>
    <t>EXT21-00063763</t>
  </si>
  <si>
    <t>WILLIAM HERNAN REINA ZUÑIGA</t>
  </si>
  <si>
    <t>EXT21-00066790</t>
  </si>
  <si>
    <t>31/03/2021                25-08-21</t>
  </si>
  <si>
    <t>31/03/2021                           8-21</t>
  </si>
  <si>
    <t xml:space="preserve">EXT21-00025313       EXT21-00069179              </t>
  </si>
  <si>
    <t>ABOGADA         BENEFICIARIO</t>
  </si>
  <si>
    <t>HECTOR FABIAN RUIS CASTRO</t>
  </si>
  <si>
    <t>JORGE PORTOCARRERO BANGUERA</t>
  </si>
  <si>
    <t>EXT21-00068364</t>
  </si>
  <si>
    <t xml:space="preserve">RONALD RAMOS VILLAREAL </t>
  </si>
  <si>
    <t>EXT21-00068360</t>
  </si>
  <si>
    <t>EXT18-00104919
EXT19-00055146
EXT19-00094181 
EXT21-00068792</t>
  </si>
  <si>
    <t>ABOGADO
ABOGADO
ABOGADO 
ABOGADO</t>
  </si>
  <si>
    <t xml:space="preserve">16/10/2018
17/05/2019  
15-08-2019  
25/8/2021              </t>
  </si>
  <si>
    <t>SANDRA MILENA ARIZA PINZON</t>
  </si>
  <si>
    <t>EXT21-00056008</t>
  </si>
  <si>
    <t>EXT20-00029001</t>
  </si>
  <si>
    <t>EXT21-00083817</t>
  </si>
  <si>
    <t>Petición</t>
  </si>
  <si>
    <t>EXT21-00077718</t>
  </si>
  <si>
    <t xml:space="preserve">Petición </t>
  </si>
  <si>
    <t>EXT21-00075748</t>
  </si>
  <si>
    <t>Soliictud de pago de acuerdo</t>
  </si>
  <si>
    <t>EXT21-00072041 - EXT21-00072314</t>
  </si>
  <si>
    <t>EXT18-00058944
EXT18-00111212
EXT19-00005878
EXT19-00056776
EXT19-00056810
EXT19-00062344
EXT20-00042242
EXT20-00083573
EXT20-00087601
EXT20-00088629
EXT21-00025443
EXT21-00050880
EXT21-00071242</t>
  </si>
  <si>
    <t>28/06/2018
30/10/2018
21/01/2019
22/05/2019
22/05/2019
04/06/2019
10/06/2020
13/11/2020
26/11/2020
01/12/2020
31/03/2021
28/06/2021
1/09/2021</t>
  </si>
  <si>
    <t>jun-18
oct-18
ene-19
may-19
may-19
jun-19
jun-20
nov-20
nov-20
dic-20
mar-21
jun-21
Sep-21</t>
  </si>
  <si>
    <t>BENEFICIARIO
ABOGADO
BENEFICIARIO
BENEFICIARIO
BENEFICIARIO
BENEFICIARIO
BENEFICIARIO
BENEFICIARIO
BENEFICIARIO
BENEFICIARIO
BENEFICIARIO
BENEFICIARIO
BENEFICIARIO</t>
  </si>
  <si>
    <t>ALLEGA DOCUMENTOS...
DERECHO DE PETICION...
DERECHO DE PETICION...
ALLEGA DOCUMENTOS...
SOLICITUD ESTADO DEL PAGO...
ALLEGA DOCUMENTOS…
Solicitud estado pago
Allega documentos
Solicitud estado pago
Solicitud estado pago
Solicitud de estado pago.
PETICIÓN</t>
  </si>
  <si>
    <t>EXT19-00049779
EXT19-00050408
EXT20-00004707
EXT20-00042637
EXT20-00048240
EXT20-00092591
EXT20-00092591EXT19-00049779
EXT19-00050408
EXT20-00004707
EXT21-00063978 - EXT21-00063980</t>
  </si>
  <si>
    <t>8/05/2019
8/05/2019
16/01/2020
11-06-2020
06/07/2020
14/12/2020
10/08/2021</t>
  </si>
  <si>
    <t>may-19
may-19
ene-20
jun-20
jul-20
dic-20
AGO-21</t>
  </si>
  <si>
    <t>ABOGADO
BENEFICIARIO
BENEFICIARIO
BENEFICIARIO
ABOGADO
ABOGADO
BENEFICIARIO</t>
  </si>
  <si>
    <t>Solicitud estado pago
Solicitud estado pago
Solicitud estado pago
Solicitud estado pago
Solicitud estado pago
Allega documentos
Solicitud estado pago</t>
  </si>
  <si>
    <t>EXT21-00074035 - EXT21-00078150</t>
  </si>
  <si>
    <t>Beneficiario</t>
  </si>
  <si>
    <t>EXT21-00078100</t>
  </si>
  <si>
    <t>EXT21-00071699</t>
  </si>
  <si>
    <t>HECTOR FABIO IDARRAGA FRANCO</t>
  </si>
  <si>
    <t xml:space="preserve">EXT21-00082905                                            </t>
  </si>
  <si>
    <t xml:space="preserve">PETICIÓN </t>
  </si>
  <si>
    <t>EXT21-00023792   EXT21-00083851 - EXT21-00083853</t>
  </si>
  <si>
    <t>BENEFICIARIO                                                                                                                                                                   BENEFICIARIO</t>
  </si>
  <si>
    <t>23/02/18 LTK
ENTREGADOS 
7-10-21</t>
  </si>
  <si>
    <t>EXT21-00085409</t>
  </si>
  <si>
    <t xml:space="preserve">EXT21-00068076 - 
EXT21-00086385 - EXT21-00088851
</t>
  </si>
  <si>
    <t>ABOGADO
ABOGADO</t>
  </si>
  <si>
    <t>SOLICITUD DE CUMPLIMIENTO
PETICIÓN</t>
  </si>
  <si>
    <t>23/08/2021
14-10-21</t>
  </si>
  <si>
    <t>1/08/2021
10-21</t>
  </si>
  <si>
    <t>JUAN MANUEL PERDOMO</t>
  </si>
  <si>
    <t>EXT21-00089982</t>
  </si>
  <si>
    <t>EXT21-00095025</t>
  </si>
  <si>
    <t>SOLICITUD DE INFORMACIÓN</t>
  </si>
  <si>
    <t>EXT20-00064716
EXT21-00095888 - EXT21-00095889</t>
  </si>
  <si>
    <t>44083
11-11-21</t>
  </si>
  <si>
    <t>9/09/2020
11-21</t>
  </si>
  <si>
    <t>BENEFICIARIO 
APODERADO</t>
  </si>
  <si>
    <t xml:space="preserve">SOLICITUD DE CUMPLIMIENTO
ESTADO DE PAGO
</t>
  </si>
  <si>
    <t>KELLY PATRICIA GARCIA SARMIENTO</t>
  </si>
  <si>
    <t>IVETH CRISTINA PEREZ SIMMONS</t>
  </si>
  <si>
    <t>EXT21-00096589</t>
  </si>
  <si>
    <t>EXT21-00099018 - EXT21-00099614</t>
  </si>
  <si>
    <t>ESTADO DE PAGO</t>
  </si>
  <si>
    <t xml:space="preserve">EXT21-00050996
EXT21-00051586
EXT21-00099018 - EXT21-00099614
</t>
  </si>
  <si>
    <t>ABOGADA
ABOGADA
ABOGADA</t>
  </si>
  <si>
    <t xml:space="preserve">28/06/2021
29/06/2021
11-21
</t>
  </si>
  <si>
    <t>28/06/2021
29/06/2021
22-11-21</t>
  </si>
  <si>
    <t>SOLICITUD INFORME LIQUIDACIONES PAGO SENTENCIA
SOLICITUD INFORMACIÓN</t>
  </si>
  <si>
    <t>SOLICITUD INFORMACIÓN</t>
  </si>
  <si>
    <t>EXT21-00099790</t>
  </si>
  <si>
    <t>EXT21-00083211</t>
  </si>
  <si>
    <t>CARLOS MAURICIO PIEDRAHITA BUSTOS</t>
  </si>
  <si>
    <t>EXT21-00085686</t>
  </si>
  <si>
    <t xml:space="preserve">BONIFACIO MEDINA VALENCIA </t>
  </si>
  <si>
    <t xml:space="preserve">250002325000201200298 00 </t>
  </si>
  <si>
    <t>13-10-221</t>
  </si>
  <si>
    <t>EXT21-00101052</t>
  </si>
  <si>
    <t>EXT21-00101921</t>
  </si>
  <si>
    <t>ESTADO DE PAGO DE SENTENCIA</t>
  </si>
  <si>
    <t>EXT21-00104394</t>
  </si>
  <si>
    <t>EXT21-00107059</t>
  </si>
  <si>
    <t xml:space="preserve">EXT18-00090717
EXT19-00028119
EXT20-00055231
</t>
  </si>
  <si>
    <t>EXT18-00111319
EXT20-00044592
EXT20-00044594
EXT21-00106264</t>
  </si>
  <si>
    <t>DEFENSORIA
ABOGADO
ABOGADO
ABOGADO</t>
  </si>
  <si>
    <t>SOLICITUD DE PAGO
Solicitud de reliquidacion
Allega documentos
PETICIÓN</t>
  </si>
  <si>
    <t>30/10/2019
19/06/2020
19/06/2020
15-12-21</t>
  </si>
  <si>
    <t>oct-18
jun-20
jun-20
12-21</t>
  </si>
  <si>
    <t>ELKIN OJEDA FERNANDEZ</t>
  </si>
  <si>
    <t>EXT21-00107992</t>
  </si>
  <si>
    <t>EXT21-00108000</t>
  </si>
  <si>
    <t>EXT21-00083285</t>
  </si>
  <si>
    <t>SOLICITUD DE CANCELACIÓN DE ACUERDO</t>
  </si>
  <si>
    <t>EXT18-00050891
EXT19-00099972
EXT19-00146382
EXT20-00041952
EXT21-00106768</t>
  </si>
  <si>
    <t>6/06/2018
28/08/2019
19/12/2019
09/06/2020
16-12-21</t>
  </si>
  <si>
    <t>jun-18
ago-19
dic-19
jun-20
DIC-21</t>
  </si>
  <si>
    <t>ABOGADO
ABOGADO
ABOGADA
BENEFICIARIO
ABOGADA</t>
  </si>
  <si>
    <t>SOLICITUD DE PAGO
Sustituye poder.
Allega poderes
Solicitud estado pago
ESTADO DE PAGO</t>
  </si>
  <si>
    <t>EXT21-00106521</t>
  </si>
  <si>
    <t>JUZGADOS ADMINISTRATIVOS DE BOGOTA</t>
  </si>
  <si>
    <t xml:space="preserve">COMUNICACIÓN DE SENTENCIA </t>
  </si>
  <si>
    <t>EXT21-00109657</t>
  </si>
  <si>
    <t>DERECHO DE PETICIÓN</t>
  </si>
  <si>
    <t>EXT21-00109683</t>
  </si>
  <si>
    <t xml:space="preserve">EXT20-00027070
EXT20-00069246
EXT20-00077306
EXT20-00078768
EXT20-00084180
EXT21-00106900
EXT22-00000770
</t>
  </si>
  <si>
    <t xml:space="preserve">BENEFICIARIO
BENEFICIARIO
BENEFICIARIO
BENEFICIARIO
BENEFICIARIO
BENEFICIARIO
BENEFICIARIO
</t>
  </si>
  <si>
    <t>Solicitud estado pago
Solicitud estado pago
Solicitud estado pago
Solicitud estado pago
Solicitud estado pago
ALLEGA CERTIFICACIÓN
SOLICITUD DE ESTADO DE PAGO</t>
  </si>
  <si>
    <t>19/03/2020
24/09/2020
23/10/2020
28/10/2020
17/11/2020
16-12-21
3-1-2022</t>
  </si>
  <si>
    <t xml:space="preserve">mar-20
sep-20
oct-20
oct-20
nov-20
dic-21
1-22
</t>
  </si>
  <si>
    <t>EXT19-00025075
EXT19-00092444
EXT21-00031773
EXT22-00000918</t>
  </si>
  <si>
    <t>mar-19
ago-19
abr-21
ene-22</t>
  </si>
  <si>
    <t>4/03/2019
13/08/2019
23/04/2021
05-01-2022</t>
  </si>
  <si>
    <t>BENEFICIARIO
MINHACIENDA
BENEFICIARIO
BENEFICIARIO</t>
  </si>
  <si>
    <t>SOLICITUD ESTADO DEL PAGO
SOLICITUD ESTADO DEL PAGO
Solicitud estado pago
SOLICITUD DE ESTADO DE PAGO</t>
  </si>
  <si>
    <t>EXT21-00109433</t>
  </si>
  <si>
    <t>EXT22-00001422</t>
  </si>
  <si>
    <t xml:space="preserve">JOEL ANTONIO VARELA </t>
  </si>
  <si>
    <t>EXT22--00010733</t>
  </si>
  <si>
    <t>COMUNICACIÓN DE SENTENCA</t>
  </si>
  <si>
    <t>PEDRO ANTONIO GARZON</t>
  </si>
  <si>
    <t>EXT22-0004478
EXT22.0003688</t>
  </si>
  <si>
    <t xml:space="preserve">EXT19-00101707
EXT19-00096440
EXT19-00146668
EXT20-00005060
EXT20-00061616
EXT20-00092679
EXT22-00012281
</t>
  </si>
  <si>
    <t>sep-19
ago-19
dic-19
ene-20
ago-20
dic-20
feb-2022</t>
  </si>
  <si>
    <t>2/09/2019
21/08/2019
19/12/2019
17/01/2020
27/08/2020
14/12/2020
3-2-22</t>
  </si>
  <si>
    <t xml:space="preserve">Solicitud estado pago.
Solicitud informacion
Allego documentos.
Solicitud estado pago
Solicitud informacion
estado de pago </t>
  </si>
  <si>
    <t>EXT22-00012595 - EXT22-00012610</t>
  </si>
  <si>
    <t>EXT22-00012602</t>
  </si>
  <si>
    <t>EXT22-00012867</t>
  </si>
  <si>
    <t>EXT22-00014738 - EXT22-00015963</t>
  </si>
  <si>
    <t>PETICIÓN</t>
  </si>
  <si>
    <t>EXT22-00015852</t>
  </si>
  <si>
    <t>EXT22-00018225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</si>
</sst>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4" formatCode="_(&quot;$&quot;\ * #,##0.00_);_(&quot;$&quot;\ * \(#,##0.00\);_(&quot;$&quot;\ * &quot;-&quot;??_);_(@_)"/>
    <numFmt numFmtId="43" formatCode="_(* #,##0.00_);_(* \(#,##0.00\);_(* &quot;-&quot;??_);_(@_)"/>
    <numFmt numFmtId="164" formatCode="_-* #,##0.00_-;\-* #,##0.00_-;_-* &quot;-&quot;??_-;_-@_-"/>
    <numFmt numFmtId="165" formatCode="_-* #,##0.00\ _€_-;\-* #,##0.00\ _€_-;_-* &quot;-&quot;??\ _€_-;_-@_-"/>
    <numFmt numFmtId="166" formatCode="&quot;$&quot;\ #,##0"/>
    <numFmt numFmtId="167" formatCode="&quot;$&quot;\ #,##0.00"/>
    <numFmt numFmtId="168" formatCode="_-&quot;$&quot;* #,##0_-;\-&quot;$&quot;* #,##0_-;_-&quot;$&quot;* &quot;-&quot;??_-;_-@_-"/>
    <numFmt numFmtId="169" formatCode="d/mm/yyyy;@"/>
    <numFmt numFmtId="170" formatCode="&quot;$&quot;#,##0"/>
    <numFmt numFmtId="171" formatCode="_(* #,##0_);_(* \(#,##0\);_(* &quot;-&quot;??_);_(@_)"/>
    <numFmt numFmtId="172" formatCode="dd/mm/yyyy;@"/>
  </numFmts>
  <fonts count="42">
    <font>
      <sz val="11"/>
      <color theme="1"/>
      <name val="Calibri"/>
      <family val="2"/>
      <scheme val="minor"/>
    </font>
    <font>
      <sz val="11"/>
      <color theme="1"/>
      <name val="Calibri"/>
      <family val="2"/>
      <scheme val="minor"/>
    </font>
    <font>
      <u/>
      <sz val="11"/>
      <color theme="10"/>
      <name val="Calibri"/>
      <family val="2"/>
      <scheme val="minor"/>
    </font>
    <font>
      <b/>
      <sz val="10"/>
      <color theme="1"/>
      <name val="Arial"/>
      <family val="2"/>
    </font>
    <font>
      <sz val="10"/>
      <color theme="1"/>
      <name val="Arial"/>
      <family val="2"/>
    </font>
    <font>
      <b/>
      <sz val="9"/>
      <name val="Arial Narrow"/>
      <family val="2"/>
    </font>
    <font>
      <b/>
      <sz val="9"/>
      <name val="Calibri"/>
      <family val="2"/>
      <scheme val="minor"/>
    </font>
    <font>
      <b/>
      <sz val="9"/>
      <color theme="1"/>
      <name val="Arial Narrow"/>
      <family val="2"/>
    </font>
    <font>
      <b/>
      <sz val="8"/>
      <name val="Arial Narrow"/>
      <family val="2"/>
    </font>
    <font>
      <sz val="9"/>
      <color theme="1"/>
      <name val="Arial Narrow"/>
      <family val="2"/>
    </font>
    <font>
      <sz val="9"/>
      <name val="Arial Narrow"/>
      <family val="2"/>
    </font>
    <font>
      <sz val="9"/>
      <name val="Calibri"/>
      <family val="2"/>
      <scheme val="minor"/>
    </font>
    <font>
      <b/>
      <sz val="14"/>
      <color theme="1"/>
      <name val="Calibri"/>
      <family val="2"/>
      <scheme val="minor"/>
    </font>
    <font>
      <sz val="9"/>
      <color theme="1"/>
      <name val="Calibri"/>
      <family val="2"/>
      <scheme val="minor"/>
    </font>
    <font>
      <sz val="10"/>
      <color indexed="8"/>
      <name val="Arial"/>
      <family val="2"/>
    </font>
    <font>
      <b/>
      <sz val="10"/>
      <name val="Calibri"/>
      <family val="2"/>
      <scheme val="minor"/>
    </font>
    <font>
      <sz val="9"/>
      <color indexed="8"/>
      <name val="Arial Narrow"/>
      <family val="2"/>
    </font>
    <font>
      <sz val="9"/>
      <color rgb="FFFF0000"/>
      <name val="Arial Narrow"/>
      <family val="2"/>
    </font>
    <font>
      <u/>
      <sz val="9"/>
      <color theme="10"/>
      <name val="Arial Narrow"/>
      <family val="2"/>
    </font>
    <font>
      <sz val="10"/>
      <color indexed="8"/>
      <name val="MS Sans Serif"/>
      <family val="2"/>
    </font>
    <font>
      <u/>
      <sz val="9"/>
      <name val="Arial Narrow"/>
      <family val="2"/>
    </font>
    <font>
      <sz val="10"/>
      <color theme="1"/>
      <name val="Calibri"/>
      <family val="2"/>
      <scheme val="minor"/>
    </font>
    <font>
      <sz val="9"/>
      <color rgb="FF000000"/>
      <name val="Arial Narrow"/>
      <family val="2"/>
    </font>
    <font>
      <sz val="9"/>
      <color theme="1" tint="0.14999847407452621"/>
      <name val="Arial Narrow"/>
      <family val="2"/>
    </font>
    <font>
      <sz val="11"/>
      <color theme="1"/>
      <name val="Times New Roman"/>
      <family val="1"/>
    </font>
    <font>
      <b/>
      <sz val="11"/>
      <color rgb="FFFF0000"/>
      <name val="Arial Narrow"/>
      <family val="2"/>
    </font>
    <font>
      <sz val="6"/>
      <color theme="1"/>
      <name val="Arial"/>
      <family val="2"/>
    </font>
    <font>
      <sz val="9"/>
      <color theme="1"/>
      <name val="Arial"/>
      <family val="2"/>
    </font>
    <font>
      <b/>
      <sz val="12"/>
      <color theme="1"/>
      <name val="Calibri"/>
      <family val="2"/>
      <scheme val="minor"/>
    </font>
    <font>
      <b/>
      <sz val="9"/>
      <color rgb="FFFFFF00"/>
      <name val="Arial Narrow"/>
      <family val="2"/>
    </font>
    <font>
      <sz val="11"/>
      <name val="Arial Narrow"/>
      <family val="2"/>
    </font>
    <font>
      <sz val="8"/>
      <color rgb="FF000000"/>
      <name val="Arial Narrow"/>
      <family val="2"/>
    </font>
    <font>
      <u/>
      <sz val="9"/>
      <color theme="10"/>
      <name val="Calibri"/>
      <family val="2"/>
      <scheme val="minor"/>
    </font>
    <font>
      <sz val="11"/>
      <color theme="1"/>
      <name val="Arial Narrow"/>
      <family val="2"/>
    </font>
    <font>
      <b/>
      <sz val="9"/>
      <color theme="1"/>
      <name val="Calibri"/>
      <family val="2"/>
      <scheme val="minor"/>
    </font>
    <font>
      <sz val="18"/>
      <color theme="1"/>
      <name val="Calibri"/>
      <family val="2"/>
      <scheme val="minor"/>
    </font>
    <font>
      <sz val="8"/>
      <name val="Arial Narrow"/>
      <family val="2"/>
    </font>
    <font>
      <sz val="7"/>
      <color theme="1"/>
      <name val="Calibri"/>
      <family val="2"/>
      <scheme val="minor"/>
    </font>
    <font>
      <sz val="11"/>
      <color rgb="FF000000"/>
      <name val="Times New Roman"/>
      <family val="1"/>
    </font>
    <font>
      <b/>
      <sz val="11"/>
      <color rgb="FF000000"/>
      <name val="CenturyGothic-Bold"/>
    </font>
    <font>
      <b/>
      <sz val="9"/>
      <color rgb="FF000000"/>
      <name val="CenturyGothic-Bold"/>
    </font>
    <font>
      <sz val="11"/>
      <name val="Calibri"/>
      <family val="2"/>
      <scheme val="minor"/>
    </font>
  </fonts>
  <fills count="25">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rgb="FF9933FF"/>
        <bgColor indexed="64"/>
      </patternFill>
    </fill>
    <fill>
      <patternFill patternType="solid">
        <fgColor rgb="FFFF0000"/>
        <bgColor indexed="64"/>
      </patternFill>
    </fill>
    <fill>
      <patternFill patternType="solid">
        <fgColor theme="5" tint="0.79998168889431442"/>
        <bgColor indexed="64"/>
      </patternFill>
    </fill>
    <fill>
      <patternFill patternType="solid">
        <fgColor rgb="FF00B050"/>
        <bgColor indexed="64"/>
      </patternFill>
    </fill>
    <fill>
      <patternFill patternType="solid">
        <fgColor rgb="FFFFFF99"/>
        <bgColor indexed="64"/>
      </patternFill>
    </fill>
    <fill>
      <patternFill patternType="solid">
        <fgColor theme="8" tint="-0.24994659260841701"/>
        <bgColor indexed="64"/>
      </patternFill>
    </fill>
    <fill>
      <patternFill patternType="solid">
        <fgColor rgb="FF0070C0"/>
        <bgColor indexed="64"/>
      </patternFill>
    </fill>
    <fill>
      <patternFill patternType="solid">
        <fgColor rgb="FF99FFCC"/>
        <bgColor indexed="64"/>
      </patternFill>
    </fill>
    <fill>
      <patternFill patternType="solid">
        <fgColor theme="5"/>
        <bgColor indexed="64"/>
      </patternFill>
    </fill>
    <fill>
      <patternFill patternType="solid">
        <fgColor theme="7" tint="0.79998168889431442"/>
        <bgColor indexed="64"/>
      </patternFill>
    </fill>
    <fill>
      <patternFill patternType="solid">
        <fgColor theme="6" tint="-0.249977111117893"/>
        <bgColor indexed="64"/>
      </patternFill>
    </fill>
    <fill>
      <patternFill patternType="solid">
        <fgColor theme="4" tint="0.59999389629810485"/>
        <bgColor indexed="64"/>
      </patternFill>
    </fill>
    <fill>
      <patternFill patternType="solid">
        <fgColor rgb="FF9900FF"/>
        <bgColor indexed="64"/>
      </patternFill>
    </fill>
    <fill>
      <patternFill patternType="solid">
        <fgColor theme="5"/>
        <bgColor theme="0" tint="-0.14999847407452621"/>
      </patternFill>
    </fill>
    <fill>
      <patternFill patternType="solid">
        <fgColor theme="7" tint="-0.249977111117893"/>
        <bgColor indexed="64"/>
      </patternFill>
    </fill>
    <fill>
      <patternFill patternType="solid">
        <fgColor rgb="FF92D050"/>
        <bgColor indexed="64"/>
      </patternFill>
    </fill>
    <fill>
      <patternFill patternType="solid">
        <fgColor theme="7" tint="0.79998168889431442"/>
        <bgColor theme="0" tint="-0.14999847407452621"/>
      </patternFill>
    </fill>
    <fill>
      <patternFill patternType="solid">
        <fgColor theme="7" tint="0.59999389629810485"/>
        <bgColor indexed="64"/>
      </patternFill>
    </fill>
    <fill>
      <patternFill patternType="solid">
        <fgColor rgb="FF00B0F0"/>
        <bgColor indexed="64"/>
      </patternFill>
    </fill>
    <fill>
      <patternFill patternType="solid">
        <fgColor theme="9" tint="-0.249977111117893"/>
        <bgColor indexed="64"/>
      </patternFill>
    </fill>
    <fill>
      <patternFill patternType="solid">
        <fgColor rgb="FFFFC000"/>
        <bgColor indexed="64"/>
      </patternFill>
    </fill>
  </fills>
  <borders count="3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auto="1"/>
      </top>
      <bottom style="thin">
        <color indexed="64"/>
      </bottom>
      <diagonal/>
    </border>
    <border>
      <left style="thin">
        <color indexed="64"/>
      </left>
      <right style="thin">
        <color indexed="64"/>
      </right>
      <top/>
      <bottom/>
      <diagonal/>
    </border>
    <border>
      <left/>
      <right style="thin">
        <color indexed="64"/>
      </right>
      <top style="thin">
        <color auto="1"/>
      </top>
      <bottom style="thin">
        <color auto="1"/>
      </bottom>
      <diagonal/>
    </border>
    <border>
      <left style="thin">
        <color auto="1"/>
      </left>
      <right style="thin">
        <color indexed="64"/>
      </right>
      <top/>
      <bottom style="thin">
        <color auto="1"/>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top style="thin">
        <color auto="1"/>
      </top>
      <bottom style="thin">
        <color auto="1"/>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top/>
      <bottom/>
      <diagonal/>
    </border>
    <border>
      <left style="medium">
        <color indexed="64"/>
      </left>
      <right/>
      <top/>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top/>
      <bottom style="medium">
        <color indexed="64"/>
      </bottom>
      <diagonal/>
    </border>
    <border>
      <left/>
      <right style="medium">
        <color indexed="64"/>
      </right>
      <top style="medium">
        <color indexed="64"/>
      </top>
      <bottom style="medium">
        <color indexed="64"/>
      </bottom>
      <diagonal/>
    </border>
    <border>
      <left/>
      <right/>
      <top style="medium">
        <color indexed="64"/>
      </top>
      <bottom/>
      <diagonal/>
    </border>
    <border>
      <left style="thin">
        <color indexed="64"/>
      </left>
      <right/>
      <top style="medium">
        <color indexed="64"/>
      </top>
      <bottom/>
      <diagonal/>
    </border>
    <border>
      <left/>
      <right style="medium">
        <color indexed="64"/>
      </right>
      <top style="medium">
        <color indexed="64"/>
      </top>
      <bottom/>
      <diagonal/>
    </border>
    <border>
      <left style="thin">
        <color indexed="64"/>
      </left>
      <right style="thin">
        <color indexed="64"/>
      </right>
      <top style="medium">
        <color indexed="64"/>
      </top>
      <bottom style="double">
        <color indexed="64"/>
      </bottom>
      <diagonal/>
    </border>
    <border>
      <left style="thin">
        <color indexed="64"/>
      </left>
      <right style="thin">
        <color indexed="64"/>
      </right>
      <top style="thin">
        <color indexed="64"/>
      </top>
      <bottom/>
      <diagonal/>
    </border>
  </borders>
  <cellStyleXfs count="13">
    <xf numFmtId="0" fontId="0"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2" fillId="0" borderId="0" applyNumberFormat="0" applyFill="0" applyBorder="0" applyAlignment="0" applyProtection="0"/>
    <xf numFmtId="0" fontId="14" fillId="0" borderId="0"/>
    <xf numFmtId="165" fontId="1" fillId="0" borderId="0" applyFont="0" applyFill="0" applyBorder="0" applyAlignment="0" applyProtection="0"/>
    <xf numFmtId="165" fontId="1" fillId="0" borderId="0" applyFont="0" applyFill="0" applyBorder="0" applyAlignment="0" applyProtection="0"/>
    <xf numFmtId="0" fontId="19" fillId="0" borderId="0"/>
    <xf numFmtId="43" fontId="1" fillId="0" borderId="0" applyFont="0" applyFill="0" applyBorder="0" applyAlignment="0" applyProtection="0"/>
    <xf numFmtId="0" fontId="21" fillId="9" borderId="1">
      <alignment horizontal="left"/>
    </xf>
    <xf numFmtId="0" fontId="19" fillId="0" borderId="0"/>
    <xf numFmtId="164" fontId="1" fillId="0" borderId="0" applyFont="0" applyFill="0" applyBorder="0" applyAlignment="0" applyProtection="0"/>
  </cellStyleXfs>
  <cellXfs count="1004">
    <xf numFmtId="0" fontId="0" fillId="0" borderId="0" xfId="0"/>
    <xf numFmtId="0" fontId="0" fillId="2" borderId="0" xfId="0" applyFill="1"/>
    <xf numFmtId="0" fontId="5" fillId="2" borderId="1" xfId="0" applyNumberFormat="1" applyFont="1" applyFill="1" applyBorder="1" applyAlignment="1">
      <alignment horizontal="center" vertical="center" wrapText="1"/>
    </xf>
    <xf numFmtId="3" fontId="5" fillId="2" borderId="1" xfId="0" applyNumberFormat="1" applyFont="1" applyFill="1" applyBorder="1" applyAlignment="1">
      <alignment horizontal="center" vertical="center" wrapText="1"/>
    </xf>
    <xf numFmtId="0" fontId="6" fillId="2" borderId="1" xfId="0" applyNumberFormat="1" applyFont="1" applyFill="1" applyBorder="1" applyAlignment="1">
      <alignment horizontal="center" vertical="center"/>
    </xf>
    <xf numFmtId="14" fontId="5" fillId="2" borderId="1" xfId="0" applyNumberFormat="1" applyFont="1" applyFill="1" applyBorder="1" applyAlignment="1">
      <alignment horizontal="center" vertical="center" wrapText="1"/>
    </xf>
    <xf numFmtId="17" fontId="5" fillId="2" borderId="1" xfId="0" applyNumberFormat="1" applyFont="1" applyFill="1" applyBorder="1" applyAlignment="1">
      <alignment horizontal="center" vertical="center" wrapText="1"/>
    </xf>
    <xf numFmtId="2" fontId="5" fillId="2" borderId="1" xfId="0" applyNumberFormat="1" applyFont="1" applyFill="1" applyBorder="1" applyAlignment="1">
      <alignment horizontal="center" vertical="center" wrapText="1"/>
    </xf>
    <xf numFmtId="0" fontId="5" fillId="2" borderId="1" xfId="0" applyNumberFormat="1" applyFont="1" applyFill="1" applyBorder="1" applyAlignment="1">
      <alignment horizontal="center" vertical="center"/>
    </xf>
    <xf numFmtId="166" fontId="5" fillId="2" borderId="1" xfId="0" applyNumberFormat="1" applyFont="1" applyFill="1" applyBorder="1" applyAlignment="1">
      <alignment horizontal="center" vertical="center" wrapText="1"/>
    </xf>
    <xf numFmtId="1" fontId="5" fillId="2" borderId="1" xfId="0" applyNumberFormat="1" applyFont="1" applyFill="1" applyBorder="1" applyAlignment="1">
      <alignment horizontal="center" vertical="center" wrapText="1"/>
    </xf>
    <xf numFmtId="0" fontId="7" fillId="2" borderId="1" xfId="0" applyNumberFormat="1" applyFont="1" applyFill="1" applyBorder="1" applyAlignment="1">
      <alignment horizontal="center" vertical="center" wrapText="1"/>
    </xf>
    <xf numFmtId="2" fontId="8" fillId="2" borderId="1" xfId="0" applyNumberFormat="1" applyFont="1" applyFill="1" applyBorder="1" applyAlignment="1">
      <alignment horizontal="center" vertical="center" wrapText="1"/>
    </xf>
    <xf numFmtId="167" fontId="5" fillId="2" borderId="1" xfId="0" applyNumberFormat="1" applyFont="1" applyFill="1" applyBorder="1" applyAlignment="1">
      <alignment horizontal="center" vertical="center" wrapText="1"/>
    </xf>
    <xf numFmtId="0" fontId="6" fillId="2" borderId="1" xfId="0" applyFont="1" applyFill="1" applyBorder="1" applyAlignment="1">
      <alignment horizontal="center" vertical="center" wrapText="1"/>
    </xf>
    <xf numFmtId="0" fontId="6" fillId="2" borderId="1" xfId="0" applyFont="1" applyFill="1" applyBorder="1" applyAlignment="1">
      <alignment horizontal="center" vertical="center"/>
    </xf>
    <xf numFmtId="14" fontId="9" fillId="3" borderId="1" xfId="0" applyNumberFormat="1" applyFont="1" applyFill="1" applyBorder="1" applyAlignment="1">
      <alignment horizontal="left" vertical="top" wrapText="1"/>
    </xf>
    <xf numFmtId="0" fontId="10" fillId="2" borderId="1" xfId="0" applyNumberFormat="1" applyFont="1" applyFill="1" applyBorder="1" applyAlignment="1">
      <alignment horizontal="left" vertical="top" wrapText="1"/>
    </xf>
    <xf numFmtId="3" fontId="10" fillId="2" borderId="1" xfId="0" applyNumberFormat="1" applyFont="1" applyFill="1" applyBorder="1" applyAlignment="1">
      <alignment horizontal="right" vertical="top" wrapText="1"/>
    </xf>
    <xf numFmtId="0" fontId="11" fillId="2" borderId="1" xfId="0" applyNumberFormat="1" applyFont="1" applyFill="1" applyBorder="1" applyAlignment="1">
      <alignment vertical="top" wrapText="1"/>
    </xf>
    <xf numFmtId="14" fontId="10" fillId="2" borderId="1" xfId="0" applyNumberFormat="1" applyFont="1" applyFill="1" applyBorder="1" applyAlignment="1">
      <alignment horizontal="left" vertical="top" wrapText="1"/>
    </xf>
    <xf numFmtId="17" fontId="10" fillId="2" borderId="1" xfId="0" applyNumberFormat="1" applyFont="1" applyFill="1" applyBorder="1" applyAlignment="1">
      <alignment horizontal="left" vertical="top" wrapText="1"/>
    </xf>
    <xf numFmtId="2" fontId="10" fillId="2" borderId="1" xfId="0" applyNumberFormat="1" applyFont="1" applyFill="1" applyBorder="1" applyAlignment="1">
      <alignment horizontal="left" vertical="top" wrapText="1"/>
    </xf>
    <xf numFmtId="17" fontId="10" fillId="2" borderId="1" xfId="0" applyNumberFormat="1" applyFont="1" applyFill="1" applyBorder="1" applyAlignment="1">
      <alignment horizontal="left" vertical="top"/>
    </xf>
    <xf numFmtId="0" fontId="9" fillId="2" borderId="1" xfId="0" applyFont="1" applyFill="1" applyBorder="1" applyAlignment="1">
      <alignment horizontal="left" vertical="top" wrapText="1"/>
    </xf>
    <xf numFmtId="0" fontId="9" fillId="0" borderId="1" xfId="0" applyFont="1" applyBorder="1" applyAlignment="1">
      <alignment horizontal="left" vertical="top" wrapText="1"/>
    </xf>
    <xf numFmtId="1" fontId="10" fillId="2" borderId="1" xfId="0" applyNumberFormat="1" applyFont="1" applyFill="1" applyBorder="1" applyAlignment="1">
      <alignment horizontal="left" vertical="top" wrapText="1"/>
    </xf>
    <xf numFmtId="14" fontId="10" fillId="3" borderId="1" xfId="0" applyNumberFormat="1" applyFont="1" applyFill="1" applyBorder="1" applyAlignment="1">
      <alignment horizontal="left" vertical="top" wrapText="1"/>
    </xf>
    <xf numFmtId="166" fontId="10" fillId="2" borderId="1" xfId="0" applyNumberFormat="1" applyFont="1" applyFill="1" applyBorder="1" applyAlignment="1">
      <alignment horizontal="right" vertical="top" wrapText="1"/>
    </xf>
    <xf numFmtId="1" fontId="10" fillId="2" borderId="1" xfId="0" applyNumberFormat="1" applyFont="1" applyFill="1" applyBorder="1" applyAlignment="1">
      <alignment horizontal="right" vertical="top" wrapText="1"/>
    </xf>
    <xf numFmtId="17" fontId="9" fillId="2" borderId="1" xfId="0" applyNumberFormat="1" applyFont="1" applyFill="1" applyBorder="1" applyAlignment="1">
      <alignment horizontal="left" vertical="top" wrapText="1"/>
    </xf>
    <xf numFmtId="0" fontId="9" fillId="2" borderId="1" xfId="0" applyNumberFormat="1" applyFont="1" applyFill="1" applyBorder="1" applyAlignment="1">
      <alignment horizontal="left" vertical="top" wrapText="1"/>
    </xf>
    <xf numFmtId="0" fontId="11" fillId="2" borderId="1" xfId="0" applyFont="1" applyFill="1" applyBorder="1" applyAlignment="1">
      <alignment horizontal="center" vertical="center"/>
    </xf>
    <xf numFmtId="0" fontId="9" fillId="5" borderId="1" xfId="0" applyFont="1" applyFill="1" applyBorder="1" applyAlignment="1">
      <alignment horizontal="center" vertical="top" wrapText="1"/>
    </xf>
    <xf numFmtId="0" fontId="10" fillId="5" borderId="1" xfId="0" applyNumberFormat="1" applyFont="1" applyFill="1" applyBorder="1" applyAlignment="1">
      <alignment horizontal="left" vertical="top" wrapText="1"/>
    </xf>
    <xf numFmtId="3" fontId="10" fillId="5" borderId="1" xfId="0" applyNumberFormat="1" applyFont="1" applyFill="1" applyBorder="1" applyAlignment="1">
      <alignment horizontal="right" vertical="top" wrapText="1"/>
    </xf>
    <xf numFmtId="0" fontId="11" fillId="5" borderId="1" xfId="0" applyNumberFormat="1" applyFont="1" applyFill="1" applyBorder="1" applyAlignment="1">
      <alignment vertical="top" wrapText="1"/>
    </xf>
    <xf numFmtId="14" fontId="10" fillId="5" borderId="1" xfId="0" applyNumberFormat="1" applyFont="1" applyFill="1" applyBorder="1" applyAlignment="1">
      <alignment horizontal="left" vertical="top" wrapText="1"/>
    </xf>
    <xf numFmtId="17" fontId="10" fillId="5" borderId="1" xfId="0" applyNumberFormat="1" applyFont="1" applyFill="1" applyBorder="1" applyAlignment="1">
      <alignment horizontal="left" vertical="top" wrapText="1"/>
    </xf>
    <xf numFmtId="2" fontId="10" fillId="5" borderId="1" xfId="0" applyNumberFormat="1" applyFont="1" applyFill="1" applyBorder="1" applyAlignment="1">
      <alignment horizontal="left" vertical="top" wrapText="1"/>
    </xf>
    <xf numFmtId="17" fontId="10" fillId="5" borderId="1" xfId="0" applyNumberFormat="1" applyFont="1" applyFill="1" applyBorder="1" applyAlignment="1">
      <alignment horizontal="left" vertical="top"/>
    </xf>
    <xf numFmtId="1" fontId="10" fillId="5" borderId="1" xfId="0" applyNumberFormat="1" applyFont="1" applyFill="1" applyBorder="1" applyAlignment="1">
      <alignment horizontal="left" vertical="top" wrapText="1"/>
    </xf>
    <xf numFmtId="0" fontId="9" fillId="5" borderId="1" xfId="0" applyNumberFormat="1" applyFont="1" applyFill="1" applyBorder="1" applyAlignment="1">
      <alignment horizontal="left" vertical="top" wrapText="1"/>
    </xf>
    <xf numFmtId="166" fontId="9" fillId="5" borderId="1" xfId="0" applyNumberFormat="1" applyFont="1" applyFill="1" applyBorder="1" applyAlignment="1">
      <alignment horizontal="right" vertical="top" wrapText="1"/>
    </xf>
    <xf numFmtId="1" fontId="10" fillId="5" borderId="1" xfId="0" applyNumberFormat="1" applyFont="1" applyFill="1" applyBorder="1" applyAlignment="1">
      <alignment horizontal="right" vertical="top" wrapText="1"/>
    </xf>
    <xf numFmtId="17" fontId="9" fillId="5" borderId="1" xfId="0" applyNumberFormat="1" applyFont="1" applyFill="1" applyBorder="1" applyAlignment="1">
      <alignment horizontal="left" vertical="top" wrapText="1"/>
    </xf>
    <xf numFmtId="2" fontId="9" fillId="5" borderId="1" xfId="0" applyNumberFormat="1" applyFont="1" applyFill="1" applyBorder="1" applyAlignment="1">
      <alignment horizontal="left" vertical="top" wrapText="1"/>
    </xf>
    <xf numFmtId="167" fontId="9" fillId="5" borderId="1" xfId="0" applyNumberFormat="1" applyFont="1" applyFill="1" applyBorder="1" applyAlignment="1">
      <alignment horizontal="left" vertical="top" wrapText="1"/>
    </xf>
    <xf numFmtId="1" fontId="9" fillId="5" borderId="1" xfId="0" applyNumberFormat="1" applyFont="1" applyFill="1" applyBorder="1" applyAlignment="1">
      <alignment horizontal="left" vertical="top" wrapText="1"/>
    </xf>
    <xf numFmtId="14" fontId="9" fillId="5" borderId="1" xfId="0" applyNumberFormat="1" applyFont="1" applyFill="1" applyBorder="1" applyAlignment="1">
      <alignment horizontal="left" vertical="top" wrapText="1"/>
    </xf>
    <xf numFmtId="17" fontId="9" fillId="5" borderId="2" xfId="0" applyNumberFormat="1" applyFont="1" applyFill="1" applyBorder="1" applyAlignment="1">
      <alignment horizontal="left" vertical="top" wrapText="1"/>
    </xf>
    <xf numFmtId="167" fontId="10" fillId="5" borderId="1" xfId="0" applyNumberFormat="1" applyFont="1" applyFill="1" applyBorder="1" applyAlignment="1">
      <alignment horizontal="left" vertical="top" wrapText="1"/>
    </xf>
    <xf numFmtId="17" fontId="10" fillId="5" borderId="2" xfId="0" applyNumberFormat="1" applyFont="1" applyFill="1" applyBorder="1" applyAlignment="1">
      <alignment horizontal="left" vertical="top" wrapText="1"/>
    </xf>
    <xf numFmtId="0" fontId="9" fillId="5" borderId="1" xfId="0" applyFont="1" applyFill="1" applyBorder="1" applyAlignment="1">
      <alignment horizontal="left" vertical="top" wrapText="1"/>
    </xf>
    <xf numFmtId="1" fontId="9" fillId="5" borderId="1" xfId="0" applyNumberFormat="1" applyFont="1" applyFill="1" applyBorder="1" applyAlignment="1">
      <alignment horizontal="right" vertical="top" wrapText="1"/>
    </xf>
    <xf numFmtId="0" fontId="9" fillId="0" borderId="1" xfId="0" applyFont="1" applyFill="1" applyBorder="1" applyAlignment="1">
      <alignment horizontal="left" vertical="top" wrapText="1"/>
    </xf>
    <xf numFmtId="0" fontId="0" fillId="2" borderId="1" xfId="0" applyFill="1" applyBorder="1"/>
    <xf numFmtId="0" fontId="9" fillId="6" borderId="1" xfId="0" applyFont="1" applyFill="1" applyBorder="1" applyAlignment="1">
      <alignment horizontal="center" vertical="top" wrapText="1"/>
    </xf>
    <xf numFmtId="0" fontId="10" fillId="6" borderId="1" xfId="0" applyNumberFormat="1" applyFont="1" applyFill="1" applyBorder="1" applyAlignment="1">
      <alignment horizontal="left" vertical="top" wrapText="1"/>
    </xf>
    <xf numFmtId="3" fontId="10" fillId="6" borderId="1" xfId="0" applyNumberFormat="1" applyFont="1" applyFill="1" applyBorder="1" applyAlignment="1">
      <alignment horizontal="right" vertical="top" wrapText="1"/>
    </xf>
    <xf numFmtId="14" fontId="10" fillId="6" borderId="1" xfId="0" applyNumberFormat="1" applyFont="1" applyFill="1" applyBorder="1" applyAlignment="1">
      <alignment horizontal="left" vertical="top" wrapText="1"/>
    </xf>
    <xf numFmtId="17" fontId="10" fillId="6" borderId="1" xfId="0" applyNumberFormat="1" applyFont="1" applyFill="1" applyBorder="1" applyAlignment="1">
      <alignment horizontal="left" vertical="top" wrapText="1"/>
    </xf>
    <xf numFmtId="2" fontId="10" fillId="6" borderId="1" xfId="0" applyNumberFormat="1" applyFont="1" applyFill="1" applyBorder="1" applyAlignment="1">
      <alignment horizontal="left" vertical="top" wrapText="1"/>
    </xf>
    <xf numFmtId="17" fontId="10" fillId="6" borderId="1" xfId="0" applyNumberFormat="1" applyFont="1" applyFill="1" applyBorder="1" applyAlignment="1">
      <alignment horizontal="left" vertical="top"/>
    </xf>
    <xf numFmtId="14" fontId="9" fillId="6" borderId="1" xfId="0" applyNumberFormat="1" applyFont="1" applyFill="1" applyBorder="1" applyAlignment="1">
      <alignment horizontal="left" vertical="top" wrapText="1"/>
    </xf>
    <xf numFmtId="0" fontId="9" fillId="6" borderId="1" xfId="0" applyFont="1" applyFill="1" applyBorder="1" applyAlignment="1">
      <alignment horizontal="left" vertical="top" wrapText="1"/>
    </xf>
    <xf numFmtId="1" fontId="10" fillId="6" borderId="1" xfId="0" applyNumberFormat="1" applyFont="1" applyFill="1" applyBorder="1" applyAlignment="1">
      <alignment horizontal="left" vertical="top" wrapText="1"/>
    </xf>
    <xf numFmtId="166" fontId="10" fillId="6" borderId="1" xfId="0" applyNumberFormat="1" applyFont="1" applyFill="1" applyBorder="1" applyAlignment="1">
      <alignment horizontal="right" vertical="top" wrapText="1"/>
    </xf>
    <xf numFmtId="1" fontId="10" fillId="6" borderId="1" xfId="0" applyNumberFormat="1" applyFont="1" applyFill="1" applyBorder="1" applyAlignment="1">
      <alignment horizontal="right" vertical="top" wrapText="1"/>
    </xf>
    <xf numFmtId="17" fontId="9" fillId="6" borderId="1" xfId="0" applyNumberFormat="1" applyFont="1" applyFill="1" applyBorder="1" applyAlignment="1">
      <alignment horizontal="left" vertical="top" wrapText="1"/>
    </xf>
    <xf numFmtId="0" fontId="9" fillId="6" borderId="1" xfId="0" applyNumberFormat="1" applyFont="1" applyFill="1" applyBorder="1" applyAlignment="1">
      <alignment horizontal="left" vertical="top" wrapText="1"/>
    </xf>
    <xf numFmtId="167" fontId="10" fillId="6" borderId="1" xfId="0" applyNumberFormat="1" applyFont="1" applyFill="1" applyBorder="1" applyAlignment="1">
      <alignment horizontal="left" vertical="top" wrapText="1"/>
    </xf>
    <xf numFmtId="17" fontId="10" fillId="6" borderId="2" xfId="0" applyNumberFormat="1" applyFont="1" applyFill="1" applyBorder="1" applyAlignment="1">
      <alignment horizontal="left" vertical="top" wrapText="1"/>
    </xf>
    <xf numFmtId="0" fontId="10" fillId="5" borderId="1" xfId="0" applyFont="1" applyFill="1" applyBorder="1" applyAlignment="1">
      <alignment horizontal="left" vertical="top" wrapText="1"/>
    </xf>
    <xf numFmtId="166" fontId="10" fillId="5" borderId="1" xfId="0" applyNumberFormat="1" applyFont="1" applyFill="1" applyBorder="1" applyAlignment="1">
      <alignment horizontal="right" vertical="top" wrapText="1"/>
    </xf>
    <xf numFmtId="0" fontId="10" fillId="7" borderId="1" xfId="0" applyNumberFormat="1" applyFont="1" applyFill="1" applyBorder="1" applyAlignment="1">
      <alignment horizontal="left" vertical="top" wrapText="1"/>
    </xf>
    <xf numFmtId="3" fontId="10" fillId="7" borderId="1" xfId="0" applyNumberFormat="1" applyFont="1" applyFill="1" applyBorder="1" applyAlignment="1">
      <alignment horizontal="right" vertical="top" wrapText="1"/>
    </xf>
    <xf numFmtId="14" fontId="10" fillId="7" borderId="1" xfId="0" applyNumberFormat="1" applyFont="1" applyFill="1" applyBorder="1" applyAlignment="1">
      <alignment horizontal="left" vertical="top" wrapText="1"/>
    </xf>
    <xf numFmtId="17" fontId="10" fillId="7" borderId="1" xfId="0" applyNumberFormat="1" applyFont="1" applyFill="1" applyBorder="1" applyAlignment="1">
      <alignment horizontal="left" vertical="top" wrapText="1"/>
    </xf>
    <xf numFmtId="2" fontId="10" fillId="7" borderId="1" xfId="0" applyNumberFormat="1" applyFont="1" applyFill="1" applyBorder="1" applyAlignment="1">
      <alignment horizontal="left" vertical="top" wrapText="1"/>
    </xf>
    <xf numFmtId="17" fontId="10" fillId="7" borderId="1" xfId="0" applyNumberFormat="1" applyFont="1" applyFill="1" applyBorder="1" applyAlignment="1">
      <alignment horizontal="left" vertical="top"/>
    </xf>
    <xf numFmtId="1" fontId="10" fillId="7" borderId="1" xfId="0" applyNumberFormat="1" applyFont="1" applyFill="1" applyBorder="1" applyAlignment="1">
      <alignment horizontal="left" vertical="top" wrapText="1"/>
    </xf>
    <xf numFmtId="166" fontId="10" fillId="7" borderId="1" xfId="0" applyNumberFormat="1" applyFont="1" applyFill="1" applyBorder="1" applyAlignment="1">
      <alignment horizontal="right" vertical="top" wrapText="1"/>
    </xf>
    <xf numFmtId="1" fontId="10" fillId="7" borderId="1" xfId="0" applyNumberFormat="1" applyFont="1" applyFill="1" applyBorder="1" applyAlignment="1">
      <alignment horizontal="right" vertical="top" wrapText="1"/>
    </xf>
    <xf numFmtId="17" fontId="9" fillId="7" borderId="1" xfId="0" applyNumberFormat="1" applyFont="1" applyFill="1" applyBorder="1" applyAlignment="1">
      <alignment horizontal="left" vertical="top" wrapText="1"/>
    </xf>
    <xf numFmtId="0" fontId="9" fillId="7" borderId="1" xfId="0" applyNumberFormat="1" applyFont="1" applyFill="1" applyBorder="1" applyAlignment="1">
      <alignment horizontal="left" vertical="top" wrapText="1"/>
    </xf>
    <xf numFmtId="167" fontId="10" fillId="7" borderId="1" xfId="0" applyNumberFormat="1" applyFont="1" applyFill="1" applyBorder="1" applyAlignment="1">
      <alignment horizontal="left" vertical="top" wrapText="1"/>
    </xf>
    <xf numFmtId="17" fontId="10" fillId="7" borderId="2" xfId="0" applyNumberFormat="1" applyFont="1" applyFill="1" applyBorder="1" applyAlignment="1">
      <alignment horizontal="left" vertical="top" wrapText="1"/>
    </xf>
    <xf numFmtId="0" fontId="9" fillId="7" borderId="1" xfId="0" applyFont="1" applyFill="1" applyBorder="1" applyAlignment="1">
      <alignment horizontal="center" vertical="top" wrapText="1"/>
    </xf>
    <xf numFmtId="2" fontId="9" fillId="7" borderId="1" xfId="0" applyNumberFormat="1" applyFont="1" applyFill="1" applyBorder="1" applyAlignment="1">
      <alignment horizontal="left" vertical="top" wrapText="1"/>
    </xf>
    <xf numFmtId="0" fontId="9" fillId="7" borderId="1" xfId="0" applyFont="1" applyFill="1" applyBorder="1" applyAlignment="1">
      <alignment horizontal="left" vertical="top" wrapText="1"/>
    </xf>
    <xf numFmtId="3" fontId="10" fillId="6" borderId="1" xfId="9" applyNumberFormat="1" applyFont="1" applyFill="1" applyBorder="1" applyAlignment="1">
      <alignment horizontal="right" vertical="top" wrapText="1"/>
    </xf>
    <xf numFmtId="2" fontId="9" fillId="6" borderId="1" xfId="0" applyNumberFormat="1" applyFont="1" applyFill="1" applyBorder="1" applyAlignment="1">
      <alignment horizontal="left" vertical="top" wrapText="1"/>
    </xf>
    <xf numFmtId="1" fontId="9" fillId="6" borderId="1" xfId="0" applyNumberFormat="1" applyFont="1" applyFill="1" applyBorder="1" applyAlignment="1">
      <alignment horizontal="right" vertical="top" wrapText="1"/>
    </xf>
    <xf numFmtId="0" fontId="10" fillId="5" borderId="1" xfId="3" applyNumberFormat="1" applyFont="1" applyFill="1" applyBorder="1" applyAlignment="1">
      <alignment horizontal="left" vertical="top" wrapText="1"/>
    </xf>
    <xf numFmtId="0" fontId="9" fillId="7" borderId="1" xfId="0" applyFont="1" applyFill="1" applyBorder="1" applyAlignment="1">
      <alignment vertical="top" wrapText="1"/>
    </xf>
    <xf numFmtId="0" fontId="9" fillId="2" borderId="1" xfId="0" applyFont="1" applyFill="1" applyBorder="1" applyAlignment="1">
      <alignment horizontal="center" vertical="top" wrapText="1"/>
    </xf>
    <xf numFmtId="167" fontId="10" fillId="2" borderId="1" xfId="0" applyNumberFormat="1" applyFont="1" applyFill="1" applyBorder="1" applyAlignment="1">
      <alignment horizontal="left" vertical="top" wrapText="1"/>
    </xf>
    <xf numFmtId="0" fontId="17" fillId="6" borderId="1" xfId="0" applyNumberFormat="1" applyFont="1" applyFill="1" applyBorder="1" applyAlignment="1">
      <alignment horizontal="left" vertical="top" wrapText="1"/>
    </xf>
    <xf numFmtId="2" fontId="17" fillId="6" borderId="1" xfId="0" applyNumberFormat="1" applyFont="1" applyFill="1" applyBorder="1" applyAlignment="1">
      <alignment horizontal="left" vertical="top" wrapText="1"/>
    </xf>
    <xf numFmtId="0" fontId="9" fillId="8" borderId="1" xfId="0" applyFont="1" applyFill="1" applyBorder="1" applyAlignment="1">
      <alignment horizontal="center" vertical="top" wrapText="1"/>
    </xf>
    <xf numFmtId="0" fontId="9" fillId="6" borderId="1" xfId="0" applyFont="1" applyFill="1" applyBorder="1" applyAlignment="1">
      <alignment vertical="top" wrapText="1"/>
    </xf>
    <xf numFmtId="0" fontId="10" fillId="7" borderId="1" xfId="0" applyFont="1" applyFill="1" applyBorder="1" applyAlignment="1">
      <alignment horizontal="left" vertical="top" wrapText="1"/>
    </xf>
    <xf numFmtId="0" fontId="10" fillId="7" borderId="1" xfId="0" applyNumberFormat="1" applyFont="1" applyFill="1" applyBorder="1" applyAlignment="1">
      <alignment horizontal="left" vertical="top"/>
    </xf>
    <xf numFmtId="3" fontId="10" fillId="6" borderId="1" xfId="7" applyNumberFormat="1" applyFont="1" applyFill="1" applyBorder="1" applyAlignment="1">
      <alignment horizontal="right" vertical="top" wrapText="1"/>
    </xf>
    <xf numFmtId="0" fontId="10" fillId="10" borderId="1" xfId="0" applyNumberFormat="1" applyFont="1" applyFill="1" applyBorder="1" applyAlignment="1">
      <alignment horizontal="left" vertical="top" wrapText="1"/>
    </xf>
    <xf numFmtId="14" fontId="10" fillId="10" borderId="1" xfId="0" applyNumberFormat="1" applyFont="1" applyFill="1" applyBorder="1" applyAlignment="1">
      <alignment horizontal="left" vertical="top" wrapText="1"/>
    </xf>
    <xf numFmtId="17" fontId="10" fillId="10" borderId="1" xfId="0" applyNumberFormat="1" applyFont="1" applyFill="1" applyBorder="1" applyAlignment="1">
      <alignment horizontal="left" vertical="top" wrapText="1"/>
    </xf>
    <xf numFmtId="2" fontId="10" fillId="10" borderId="1" xfId="0" applyNumberFormat="1" applyFont="1" applyFill="1" applyBorder="1" applyAlignment="1">
      <alignment horizontal="left" vertical="top" wrapText="1"/>
    </xf>
    <xf numFmtId="17" fontId="10" fillId="10" borderId="1" xfId="0" applyNumberFormat="1" applyFont="1" applyFill="1" applyBorder="1" applyAlignment="1">
      <alignment horizontal="left" vertical="top"/>
    </xf>
    <xf numFmtId="0" fontId="9" fillId="10" borderId="1" xfId="0" applyFont="1" applyFill="1" applyBorder="1" applyAlignment="1">
      <alignment horizontal="left" vertical="top" wrapText="1"/>
    </xf>
    <xf numFmtId="166" fontId="10" fillId="10" borderId="1" xfId="0" applyNumberFormat="1" applyFont="1" applyFill="1" applyBorder="1" applyAlignment="1">
      <alignment horizontal="right" vertical="top" wrapText="1"/>
    </xf>
    <xf numFmtId="1" fontId="10" fillId="10" borderId="1" xfId="0" applyNumberFormat="1" applyFont="1" applyFill="1" applyBorder="1" applyAlignment="1">
      <alignment horizontal="right" vertical="top" wrapText="1"/>
    </xf>
    <xf numFmtId="0" fontId="9" fillId="10" borderId="1" xfId="0" applyNumberFormat="1" applyFont="1" applyFill="1" applyBorder="1" applyAlignment="1">
      <alignment horizontal="left" vertical="top" wrapText="1"/>
    </xf>
    <xf numFmtId="167" fontId="10" fillId="10" borderId="1" xfId="0" applyNumberFormat="1" applyFont="1" applyFill="1" applyBorder="1" applyAlignment="1">
      <alignment horizontal="left" vertical="top" wrapText="1"/>
    </xf>
    <xf numFmtId="1" fontId="10" fillId="10" borderId="1" xfId="0" applyNumberFormat="1" applyFont="1" applyFill="1" applyBorder="1" applyAlignment="1">
      <alignment horizontal="left" vertical="top" wrapText="1"/>
    </xf>
    <xf numFmtId="17" fontId="10" fillId="10" borderId="2" xfId="0" applyNumberFormat="1" applyFont="1" applyFill="1" applyBorder="1" applyAlignment="1">
      <alignment horizontal="left" vertical="top" wrapText="1"/>
    </xf>
    <xf numFmtId="0" fontId="10" fillId="6" borderId="1" xfId="0" applyFont="1" applyFill="1" applyBorder="1" applyAlignment="1">
      <alignment horizontal="left" vertical="top" wrapText="1"/>
    </xf>
    <xf numFmtId="0" fontId="10" fillId="6" borderId="1" xfId="0" applyNumberFormat="1" applyFont="1" applyFill="1" applyBorder="1" applyAlignment="1">
      <alignment horizontal="left" vertical="center"/>
    </xf>
    <xf numFmtId="0" fontId="10" fillId="6" borderId="1" xfId="0" applyNumberFormat="1" applyFont="1" applyFill="1" applyBorder="1" applyAlignment="1">
      <alignment horizontal="left" vertical="top"/>
    </xf>
    <xf numFmtId="0" fontId="17" fillId="5" borderId="1" xfId="0" applyNumberFormat="1" applyFont="1" applyFill="1" applyBorder="1" applyAlignment="1">
      <alignment horizontal="left" vertical="top" wrapText="1"/>
    </xf>
    <xf numFmtId="169" fontId="10" fillId="6" borderId="1" xfId="0" applyNumberFormat="1" applyFont="1" applyFill="1" applyBorder="1" applyAlignment="1">
      <alignment horizontal="left" vertical="top" wrapText="1"/>
    </xf>
    <xf numFmtId="170" fontId="10" fillId="6" borderId="1" xfId="0" applyNumberFormat="1" applyFont="1" applyFill="1" applyBorder="1" applyAlignment="1">
      <alignment horizontal="right" vertical="top" wrapText="1"/>
    </xf>
    <xf numFmtId="0" fontId="9" fillId="10" borderId="1" xfId="0" applyFont="1" applyFill="1" applyBorder="1" applyAlignment="1">
      <alignment horizontal="center" vertical="top" wrapText="1"/>
    </xf>
    <xf numFmtId="3" fontId="10" fillId="10" borderId="1" xfId="0" applyNumberFormat="1" applyFont="1" applyFill="1" applyBorder="1" applyAlignment="1">
      <alignment horizontal="right" vertical="top" wrapText="1"/>
    </xf>
    <xf numFmtId="3" fontId="10" fillId="6" borderId="1" xfId="0" applyNumberFormat="1" applyFont="1" applyFill="1" applyBorder="1" applyAlignment="1">
      <alignment vertical="top" wrapText="1"/>
    </xf>
    <xf numFmtId="0" fontId="10" fillId="2" borderId="1" xfId="0" applyFont="1" applyFill="1" applyBorder="1" applyAlignment="1">
      <alignment horizontal="left" vertical="top" wrapText="1"/>
    </xf>
    <xf numFmtId="3" fontId="10" fillId="0" borderId="1" xfId="0" applyNumberFormat="1" applyFont="1" applyFill="1" applyBorder="1" applyAlignment="1">
      <alignment horizontal="right" vertical="top" wrapText="1"/>
    </xf>
    <xf numFmtId="14" fontId="10" fillId="0" borderId="1" xfId="0" applyNumberFormat="1" applyFont="1" applyFill="1" applyBorder="1" applyAlignment="1">
      <alignment horizontal="left" vertical="top" wrapText="1"/>
    </xf>
    <xf numFmtId="17" fontId="10" fillId="0" borderId="1" xfId="0" applyNumberFormat="1" applyFont="1" applyFill="1" applyBorder="1" applyAlignment="1">
      <alignment horizontal="left" vertical="top" wrapText="1"/>
    </xf>
    <xf numFmtId="0" fontId="10" fillId="0" borderId="1" xfId="0" applyFont="1" applyFill="1" applyBorder="1" applyAlignment="1">
      <alignment horizontal="left" vertical="top" wrapText="1"/>
    </xf>
    <xf numFmtId="169" fontId="10" fillId="0" borderId="1" xfId="0" applyNumberFormat="1" applyFont="1" applyFill="1" applyBorder="1" applyAlignment="1">
      <alignment horizontal="left" vertical="top" wrapText="1"/>
    </xf>
    <xf numFmtId="170" fontId="10" fillId="0" borderId="1" xfId="0" applyNumberFormat="1" applyFont="1" applyFill="1" applyBorder="1" applyAlignment="1">
      <alignment horizontal="right" vertical="top" wrapText="1"/>
    </xf>
    <xf numFmtId="0" fontId="10" fillId="0" borderId="1" xfId="0" applyFont="1" applyFill="1" applyBorder="1" applyAlignment="1">
      <alignment horizontal="center" vertical="top" wrapText="1"/>
    </xf>
    <xf numFmtId="17" fontId="10" fillId="2" borderId="2" xfId="0" applyNumberFormat="1" applyFont="1" applyFill="1" applyBorder="1" applyAlignment="1">
      <alignment horizontal="left" vertical="top" wrapText="1"/>
    </xf>
    <xf numFmtId="3" fontId="9" fillId="5" borderId="1" xfId="0" applyNumberFormat="1" applyFont="1" applyFill="1" applyBorder="1" applyAlignment="1">
      <alignment horizontal="right" vertical="top"/>
    </xf>
    <xf numFmtId="3" fontId="9" fillId="5" borderId="1" xfId="0" applyNumberFormat="1" applyFont="1" applyFill="1" applyBorder="1" applyAlignment="1">
      <alignment horizontal="right" vertical="top" wrapText="1"/>
    </xf>
    <xf numFmtId="17" fontId="9" fillId="5" borderId="1" xfId="0" applyNumberFormat="1" applyFont="1" applyFill="1" applyBorder="1" applyAlignment="1">
      <alignment horizontal="left" vertical="top"/>
    </xf>
    <xf numFmtId="166" fontId="10" fillId="5" borderId="2" xfId="0" applyNumberFormat="1" applyFont="1" applyFill="1" applyBorder="1" applyAlignment="1">
      <alignment horizontal="right" vertical="top" wrapText="1"/>
    </xf>
    <xf numFmtId="3" fontId="22" fillId="5" borderId="1" xfId="0" applyNumberFormat="1" applyFont="1" applyFill="1" applyBorder="1" applyAlignment="1">
      <alignment horizontal="right" vertical="top" wrapText="1"/>
    </xf>
    <xf numFmtId="166" fontId="10" fillId="6" borderId="1" xfId="0" applyNumberFormat="1" applyFont="1" applyFill="1" applyBorder="1" applyAlignment="1">
      <alignment horizontal="right" vertical="top"/>
    </xf>
    <xf numFmtId="0" fontId="10" fillId="0" borderId="1" xfId="0" applyNumberFormat="1" applyFont="1" applyBorder="1" applyAlignment="1">
      <alignment horizontal="left" vertical="top" wrapText="1"/>
    </xf>
    <xf numFmtId="3" fontId="10" fillId="0" borderId="1" xfId="0" applyNumberFormat="1" applyFont="1" applyBorder="1" applyAlignment="1">
      <alignment horizontal="right" vertical="top" wrapText="1"/>
    </xf>
    <xf numFmtId="14" fontId="10" fillId="0" borderId="1" xfId="0" applyNumberFormat="1" applyFont="1" applyBorder="1" applyAlignment="1">
      <alignment horizontal="left" vertical="top" wrapText="1"/>
    </xf>
    <xf numFmtId="17" fontId="10" fillId="0" borderId="1" xfId="0" applyNumberFormat="1" applyFont="1" applyBorder="1" applyAlignment="1">
      <alignment horizontal="left" vertical="top" wrapText="1"/>
    </xf>
    <xf numFmtId="2" fontId="10" fillId="0" borderId="1" xfId="0" applyNumberFormat="1" applyFont="1" applyBorder="1" applyAlignment="1">
      <alignment horizontal="left" vertical="top" wrapText="1"/>
    </xf>
    <xf numFmtId="17" fontId="10" fillId="0" borderId="1" xfId="0" applyNumberFormat="1" applyFont="1" applyBorder="1" applyAlignment="1">
      <alignment horizontal="left" vertical="top"/>
    </xf>
    <xf numFmtId="14" fontId="9" fillId="0" borderId="1" xfId="0" applyNumberFormat="1" applyFont="1" applyBorder="1" applyAlignment="1">
      <alignment horizontal="left" vertical="top" wrapText="1"/>
    </xf>
    <xf numFmtId="0" fontId="10" fillId="0" borderId="1" xfId="0" applyFont="1" applyBorder="1" applyAlignment="1">
      <alignment horizontal="left" vertical="top" wrapText="1"/>
    </xf>
    <xf numFmtId="166" fontId="10" fillId="0" borderId="1" xfId="0" applyNumberFormat="1" applyFont="1" applyBorder="1" applyAlignment="1">
      <alignment horizontal="right" vertical="top" wrapText="1"/>
    </xf>
    <xf numFmtId="1" fontId="10" fillId="0" borderId="1" xfId="0" applyNumberFormat="1" applyFont="1" applyBorder="1" applyAlignment="1">
      <alignment horizontal="right" vertical="top" wrapText="1"/>
    </xf>
    <xf numFmtId="0" fontId="9" fillId="0" borderId="1" xfId="0" applyNumberFormat="1" applyFont="1" applyBorder="1" applyAlignment="1">
      <alignment horizontal="left" vertical="top" wrapText="1"/>
    </xf>
    <xf numFmtId="167" fontId="10" fillId="0" borderId="1" xfId="0" applyNumberFormat="1" applyFont="1" applyBorder="1" applyAlignment="1">
      <alignment horizontal="left" vertical="top" wrapText="1"/>
    </xf>
    <xf numFmtId="1" fontId="10" fillId="0" borderId="1" xfId="0" applyNumberFormat="1" applyFont="1" applyBorder="1" applyAlignment="1">
      <alignment horizontal="left" vertical="top" wrapText="1"/>
    </xf>
    <xf numFmtId="17" fontId="10" fillId="0" borderId="2" xfId="0" applyNumberFormat="1" applyFont="1" applyBorder="1" applyAlignment="1">
      <alignment horizontal="left" vertical="top" wrapText="1"/>
    </xf>
    <xf numFmtId="0" fontId="5" fillId="2" borderId="1" xfId="0" applyNumberFormat="1" applyFont="1" applyFill="1" applyBorder="1" applyAlignment="1">
      <alignment horizontal="left" vertical="top" wrapText="1"/>
    </xf>
    <xf numFmtId="2" fontId="5" fillId="2" borderId="1" xfId="0" applyNumberFormat="1" applyFont="1" applyFill="1" applyBorder="1" applyAlignment="1">
      <alignment horizontal="left" vertical="top" wrapText="1"/>
    </xf>
    <xf numFmtId="2" fontId="9" fillId="0" borderId="1" xfId="0" applyNumberFormat="1" applyFont="1" applyBorder="1" applyAlignment="1">
      <alignment horizontal="left" vertical="top" wrapText="1"/>
    </xf>
    <xf numFmtId="0" fontId="10" fillId="0" borderId="1" xfId="0" applyNumberFormat="1" applyFont="1" applyFill="1" applyBorder="1" applyAlignment="1">
      <alignment horizontal="left" vertical="top" wrapText="1"/>
    </xf>
    <xf numFmtId="166" fontId="10" fillId="2" borderId="1" xfId="0" applyNumberFormat="1" applyFont="1" applyFill="1" applyBorder="1" applyAlignment="1">
      <alignment horizontal="right" vertical="top"/>
    </xf>
    <xf numFmtId="0" fontId="9" fillId="3" borderId="1" xfId="0" applyFont="1" applyFill="1" applyBorder="1" applyAlignment="1">
      <alignment horizontal="left" vertical="top"/>
    </xf>
    <xf numFmtId="3" fontId="9" fillId="0" borderId="1" xfId="0" applyNumberFormat="1" applyFont="1" applyBorder="1" applyAlignment="1">
      <alignment horizontal="right" vertical="top" wrapText="1"/>
    </xf>
    <xf numFmtId="0" fontId="9" fillId="0" borderId="1" xfId="0" applyNumberFormat="1" applyFont="1" applyBorder="1" applyAlignment="1">
      <alignment vertical="top" wrapText="1"/>
    </xf>
    <xf numFmtId="3" fontId="9" fillId="6" borderId="1" xfId="0" applyNumberFormat="1" applyFont="1" applyFill="1" applyBorder="1" applyAlignment="1">
      <alignment horizontal="right" vertical="top" wrapText="1"/>
    </xf>
    <xf numFmtId="0" fontId="10" fillId="6" borderId="0" xfId="0" applyNumberFormat="1" applyFont="1" applyFill="1" applyBorder="1" applyAlignment="1">
      <alignment horizontal="left" vertical="top" wrapText="1"/>
    </xf>
    <xf numFmtId="2" fontId="22" fillId="6" borderId="1" xfId="0" applyNumberFormat="1" applyFont="1" applyFill="1" applyBorder="1" applyAlignment="1">
      <alignment horizontal="left" vertical="top" wrapText="1"/>
    </xf>
    <xf numFmtId="17" fontId="10" fillId="5" borderId="0" xfId="0" applyNumberFormat="1" applyFont="1" applyFill="1" applyBorder="1" applyAlignment="1">
      <alignment horizontal="left" vertical="top" wrapText="1"/>
    </xf>
    <xf numFmtId="0" fontId="10" fillId="5" borderId="2" xfId="0" applyNumberFormat="1" applyFont="1" applyFill="1" applyBorder="1" applyAlignment="1">
      <alignment horizontal="left" vertical="top" wrapText="1"/>
    </xf>
    <xf numFmtId="2" fontId="10" fillId="5" borderId="2" xfId="0" applyNumberFormat="1" applyFont="1" applyFill="1" applyBorder="1" applyAlignment="1">
      <alignment horizontal="left" vertical="top" wrapText="1"/>
    </xf>
    <xf numFmtId="14" fontId="10" fillId="6" borderId="1" xfId="0" applyNumberFormat="1" applyFont="1" applyFill="1" applyBorder="1" applyAlignment="1">
      <alignment horizontal="left" vertical="top"/>
    </xf>
    <xf numFmtId="0" fontId="10" fillId="6" borderId="1" xfId="0" applyNumberFormat="1" applyFont="1" applyFill="1" applyBorder="1" applyAlignment="1">
      <alignment vertical="top" wrapText="1"/>
    </xf>
    <xf numFmtId="14" fontId="10" fillId="3" borderId="1" xfId="0" applyNumberFormat="1" applyFont="1" applyFill="1" applyBorder="1" applyAlignment="1">
      <alignment horizontal="left" vertical="top"/>
    </xf>
    <xf numFmtId="0" fontId="10" fillId="0" borderId="1" xfId="0" applyNumberFormat="1" applyFont="1" applyBorder="1" applyAlignment="1">
      <alignment horizontal="left" vertical="top"/>
    </xf>
    <xf numFmtId="14" fontId="10" fillId="0" borderId="1" xfId="0" applyNumberFormat="1" applyFont="1" applyBorder="1" applyAlignment="1">
      <alignment horizontal="left" vertical="top"/>
    </xf>
    <xf numFmtId="2" fontId="10" fillId="0" borderId="1" xfId="0" applyNumberFormat="1" applyFont="1" applyBorder="1" applyAlignment="1">
      <alignment horizontal="left" vertical="top"/>
    </xf>
    <xf numFmtId="0" fontId="10" fillId="0" borderId="1" xfId="0" applyFont="1" applyBorder="1" applyAlignment="1">
      <alignment horizontal="left" vertical="top"/>
    </xf>
    <xf numFmtId="166" fontId="10" fillId="0" borderId="1" xfId="0" applyNumberFormat="1" applyFont="1" applyBorder="1" applyAlignment="1">
      <alignment horizontal="right" vertical="top"/>
    </xf>
    <xf numFmtId="1" fontId="10" fillId="0" borderId="1" xfId="0" applyNumberFormat="1" applyFont="1" applyBorder="1" applyAlignment="1">
      <alignment horizontal="right" vertical="top"/>
    </xf>
    <xf numFmtId="0" fontId="9" fillId="0" borderId="1" xfId="0" applyNumberFormat="1" applyFont="1" applyBorder="1" applyAlignment="1">
      <alignment horizontal="left" vertical="top"/>
    </xf>
    <xf numFmtId="167" fontId="10" fillId="0" borderId="1" xfId="0" applyNumberFormat="1" applyFont="1" applyBorder="1" applyAlignment="1">
      <alignment horizontal="left" vertical="top"/>
    </xf>
    <xf numFmtId="1" fontId="10" fillId="0" borderId="1" xfId="0" applyNumberFormat="1" applyFont="1" applyBorder="1" applyAlignment="1">
      <alignment horizontal="left" vertical="top"/>
    </xf>
    <xf numFmtId="17" fontId="10" fillId="0" borderId="2" xfId="0" applyNumberFormat="1" applyFont="1" applyBorder="1" applyAlignment="1">
      <alignment horizontal="left" vertical="top"/>
    </xf>
    <xf numFmtId="2" fontId="10" fillId="6" borderId="1" xfId="0" applyNumberFormat="1" applyFont="1" applyFill="1" applyBorder="1" applyAlignment="1">
      <alignment horizontal="left" vertical="top"/>
    </xf>
    <xf numFmtId="0" fontId="10" fillId="6" borderId="1" xfId="0" applyFont="1" applyFill="1" applyBorder="1" applyAlignment="1">
      <alignment horizontal="left" vertical="top"/>
    </xf>
    <xf numFmtId="1" fontId="10" fillId="6" borderId="1" xfId="0" applyNumberFormat="1" applyFont="1" applyFill="1" applyBorder="1" applyAlignment="1">
      <alignment horizontal="right" vertical="top"/>
    </xf>
    <xf numFmtId="0" fontId="9" fillId="6" borderId="1" xfId="0" applyNumberFormat="1" applyFont="1" applyFill="1" applyBorder="1" applyAlignment="1">
      <alignment horizontal="left" vertical="top"/>
    </xf>
    <xf numFmtId="167" fontId="10" fillId="6" borderId="1" xfId="0" applyNumberFormat="1" applyFont="1" applyFill="1" applyBorder="1" applyAlignment="1">
      <alignment horizontal="left" vertical="top"/>
    </xf>
    <xf numFmtId="1" fontId="10" fillId="6" borderId="1" xfId="0" applyNumberFormat="1" applyFont="1" applyFill="1" applyBorder="1" applyAlignment="1">
      <alignment horizontal="left" vertical="top"/>
    </xf>
    <xf numFmtId="17" fontId="10" fillId="6" borderId="2" xfId="0" applyNumberFormat="1" applyFont="1" applyFill="1" applyBorder="1" applyAlignment="1">
      <alignment horizontal="left" vertical="top"/>
    </xf>
    <xf numFmtId="0" fontId="10" fillId="2" borderId="1" xfId="0" applyNumberFormat="1" applyFont="1" applyFill="1" applyBorder="1" applyAlignment="1">
      <alignment horizontal="left" vertical="center"/>
    </xf>
    <xf numFmtId="0" fontId="9" fillId="0" borderId="1" xfId="0" applyNumberFormat="1" applyFont="1" applyFill="1" applyBorder="1" applyAlignment="1">
      <alignment horizontal="left" vertical="top" wrapText="1"/>
    </xf>
    <xf numFmtId="14" fontId="9" fillId="3" borderId="1" xfId="0" applyNumberFormat="1" applyFont="1" applyFill="1" applyBorder="1" applyAlignment="1">
      <alignment horizontal="left" vertical="top"/>
    </xf>
    <xf numFmtId="0" fontId="9" fillId="0" borderId="1" xfId="0" applyFont="1" applyBorder="1" applyAlignment="1">
      <alignment vertical="top" wrapText="1"/>
    </xf>
    <xf numFmtId="0" fontId="9" fillId="2" borderId="1" xfId="0" applyFont="1" applyFill="1" applyBorder="1" applyAlignment="1">
      <alignment vertical="top" wrapText="1"/>
    </xf>
    <xf numFmtId="2" fontId="10" fillId="2" borderId="1" xfId="0" applyNumberFormat="1" applyFont="1" applyFill="1" applyBorder="1" applyAlignment="1">
      <alignment horizontal="left" vertical="top"/>
    </xf>
    <xf numFmtId="0" fontId="10" fillId="2" borderId="1" xfId="0" applyFont="1" applyFill="1" applyBorder="1" applyAlignment="1">
      <alignment horizontal="left" vertical="top"/>
    </xf>
    <xf numFmtId="1" fontId="10" fillId="2" borderId="1" xfId="0" applyNumberFormat="1" applyFont="1" applyFill="1" applyBorder="1" applyAlignment="1">
      <alignment horizontal="right" vertical="top"/>
    </xf>
    <xf numFmtId="0" fontId="9" fillId="2" borderId="1" xfId="0" applyNumberFormat="1" applyFont="1" applyFill="1" applyBorder="1" applyAlignment="1">
      <alignment horizontal="left" vertical="top"/>
    </xf>
    <xf numFmtId="167" fontId="10" fillId="2" borderId="1" xfId="0" applyNumberFormat="1" applyFont="1" applyFill="1" applyBorder="1" applyAlignment="1">
      <alignment horizontal="left" vertical="top"/>
    </xf>
    <xf numFmtId="1" fontId="10" fillId="2" borderId="1" xfId="0" applyNumberFormat="1" applyFont="1" applyFill="1" applyBorder="1" applyAlignment="1">
      <alignment horizontal="left" vertical="top"/>
    </xf>
    <xf numFmtId="17" fontId="10" fillId="2" borderId="2" xfId="0" applyNumberFormat="1" applyFont="1" applyFill="1" applyBorder="1" applyAlignment="1">
      <alignment horizontal="left" vertical="top"/>
    </xf>
    <xf numFmtId="0" fontId="9" fillId="2" borderId="1" xfId="0" applyFont="1" applyFill="1" applyBorder="1" applyAlignment="1">
      <alignment horizontal="left" vertical="top"/>
    </xf>
    <xf numFmtId="0" fontId="10" fillId="2" borderId="1" xfId="0" applyNumberFormat="1" applyFont="1" applyFill="1" applyBorder="1" applyAlignment="1">
      <alignment horizontal="center" vertical="top" wrapText="1"/>
    </xf>
    <xf numFmtId="0" fontId="9" fillId="5" borderId="1" xfId="0" applyFont="1" applyFill="1" applyBorder="1" applyAlignment="1">
      <alignment horizontal="left" vertical="top"/>
    </xf>
    <xf numFmtId="14" fontId="10" fillId="5" borderId="1" xfId="0" applyNumberFormat="1" applyFont="1" applyFill="1" applyBorder="1" applyAlignment="1">
      <alignment horizontal="left" vertical="top"/>
    </xf>
    <xf numFmtId="2" fontId="10" fillId="5" borderId="1" xfId="0" applyNumberFormat="1" applyFont="1" applyFill="1" applyBorder="1" applyAlignment="1">
      <alignment horizontal="left" vertical="top"/>
    </xf>
    <xf numFmtId="0" fontId="10" fillId="5" borderId="1" xfId="0" applyNumberFormat="1" applyFont="1" applyFill="1" applyBorder="1" applyAlignment="1">
      <alignment horizontal="left" vertical="top"/>
    </xf>
    <xf numFmtId="0" fontId="10" fillId="5" borderId="1" xfId="0" applyFont="1" applyFill="1" applyBorder="1" applyAlignment="1">
      <alignment horizontal="left" vertical="top"/>
    </xf>
    <xf numFmtId="0" fontId="10" fillId="5" borderId="1" xfId="0" applyNumberFormat="1" applyFont="1" applyFill="1" applyBorder="1" applyAlignment="1">
      <alignment horizontal="left" vertical="center"/>
    </xf>
    <xf numFmtId="166" fontId="10" fillId="5" borderId="1" xfId="0" applyNumberFormat="1" applyFont="1" applyFill="1" applyBorder="1" applyAlignment="1">
      <alignment horizontal="right" vertical="top"/>
    </xf>
    <xf numFmtId="1" fontId="10" fillId="5" borderId="1" xfId="0" applyNumberFormat="1" applyFont="1" applyFill="1" applyBorder="1" applyAlignment="1">
      <alignment horizontal="right" vertical="top"/>
    </xf>
    <xf numFmtId="0" fontId="9" fillId="5" borderId="1" xfId="0" applyNumberFormat="1" applyFont="1" applyFill="1" applyBorder="1" applyAlignment="1">
      <alignment horizontal="left" vertical="top"/>
    </xf>
    <xf numFmtId="167" fontId="10" fillId="5" borderId="1" xfId="0" applyNumberFormat="1" applyFont="1" applyFill="1" applyBorder="1" applyAlignment="1">
      <alignment horizontal="left" vertical="top"/>
    </xf>
    <xf numFmtId="1" fontId="10" fillId="5" borderId="1" xfId="0" applyNumberFormat="1" applyFont="1" applyFill="1" applyBorder="1" applyAlignment="1">
      <alignment horizontal="left" vertical="top"/>
    </xf>
    <xf numFmtId="17" fontId="10" fillId="5" borderId="2" xfId="0" applyNumberFormat="1" applyFont="1" applyFill="1" applyBorder="1" applyAlignment="1">
      <alignment horizontal="left" vertical="top"/>
    </xf>
    <xf numFmtId="0" fontId="10" fillId="6" borderId="1" xfId="0" applyNumberFormat="1" applyFont="1" applyFill="1" applyBorder="1" applyAlignment="1">
      <alignment horizontal="center" vertical="top"/>
    </xf>
    <xf numFmtId="49" fontId="9" fillId="6" borderId="1" xfId="0" applyNumberFormat="1" applyFont="1" applyFill="1" applyBorder="1" applyAlignment="1">
      <alignment horizontal="left" vertical="top"/>
    </xf>
    <xf numFmtId="49" fontId="9" fillId="2" borderId="1" xfId="0" applyNumberFormat="1" applyFont="1" applyFill="1" applyBorder="1" applyAlignment="1">
      <alignment horizontal="left" vertical="top"/>
    </xf>
    <xf numFmtId="1" fontId="0" fillId="2" borderId="1" xfId="0" applyNumberFormat="1" applyFill="1" applyBorder="1"/>
    <xf numFmtId="0" fontId="0" fillId="2" borderId="2" xfId="0" applyFill="1" applyBorder="1"/>
    <xf numFmtId="0" fontId="0" fillId="0" borderId="1" xfId="0" applyBorder="1"/>
    <xf numFmtId="49" fontId="9" fillId="0" borderId="1" xfId="0" applyNumberFormat="1" applyFont="1" applyBorder="1" applyAlignment="1">
      <alignment horizontal="left" vertical="top"/>
    </xf>
    <xf numFmtId="1" fontId="0" fillId="0" borderId="1" xfId="0" applyNumberFormat="1" applyBorder="1"/>
    <xf numFmtId="0" fontId="0" fillId="0" borderId="2" xfId="0" applyBorder="1"/>
    <xf numFmtId="0" fontId="0" fillId="3" borderId="1" xfId="0" applyFill="1" applyBorder="1"/>
    <xf numFmtId="0" fontId="10" fillId="11" borderId="1" xfId="0" applyNumberFormat="1" applyFont="1" applyFill="1" applyBorder="1" applyAlignment="1">
      <alignment horizontal="left" vertical="top" wrapText="1"/>
    </xf>
    <xf numFmtId="17" fontId="10" fillId="11" borderId="1" xfId="0" applyNumberFormat="1" applyFont="1" applyFill="1" applyBorder="1" applyAlignment="1">
      <alignment horizontal="left" vertical="top"/>
    </xf>
    <xf numFmtId="2" fontId="10" fillId="11" borderId="1" xfId="0" applyNumberFormat="1" applyFont="1" applyFill="1" applyBorder="1" applyAlignment="1">
      <alignment horizontal="left" vertical="top" wrapText="1"/>
    </xf>
    <xf numFmtId="0" fontId="9" fillId="11" borderId="1" xfId="0" applyFont="1" applyFill="1" applyBorder="1" applyAlignment="1">
      <alignment horizontal="left" vertical="top"/>
    </xf>
    <xf numFmtId="0" fontId="9" fillId="11" borderId="1" xfId="0" applyFont="1" applyFill="1" applyBorder="1" applyAlignment="1">
      <alignment horizontal="left" vertical="top" wrapText="1"/>
    </xf>
    <xf numFmtId="0" fontId="0" fillId="6" borderId="1" xfId="0" applyFill="1" applyBorder="1"/>
    <xf numFmtId="1" fontId="0" fillId="6" borderId="1" xfId="0" applyNumberFormat="1" applyFill="1" applyBorder="1"/>
    <xf numFmtId="0" fontId="0" fillId="6" borderId="2" xfId="0" applyFill="1" applyBorder="1"/>
    <xf numFmtId="14" fontId="11" fillId="0" borderId="1" xfId="0" applyNumberFormat="1" applyFont="1" applyBorder="1" applyAlignment="1">
      <alignment horizontal="left" vertical="top"/>
    </xf>
    <xf numFmtId="17" fontId="11" fillId="0" borderId="1" xfId="0" applyNumberFormat="1" applyFont="1" applyBorder="1" applyAlignment="1">
      <alignment horizontal="left" vertical="top"/>
    </xf>
    <xf numFmtId="2" fontId="11" fillId="0" borderId="1" xfId="0" applyNumberFormat="1" applyFont="1" applyBorder="1" applyAlignment="1">
      <alignment horizontal="left" vertical="top"/>
    </xf>
    <xf numFmtId="0" fontId="11" fillId="0" borderId="1" xfId="0" applyNumberFormat="1" applyFont="1" applyBorder="1" applyAlignment="1">
      <alignment horizontal="left" vertical="top"/>
    </xf>
    <xf numFmtId="0" fontId="11" fillId="0" borderId="1" xfId="0" applyFont="1" applyBorder="1" applyAlignment="1">
      <alignment horizontal="left" vertical="top"/>
    </xf>
    <xf numFmtId="0" fontId="11" fillId="2" borderId="1" xfId="0" applyNumberFormat="1" applyFont="1" applyFill="1" applyBorder="1" applyAlignment="1">
      <alignment horizontal="left" vertical="top"/>
    </xf>
    <xf numFmtId="0" fontId="11" fillId="2" borderId="1" xfId="0" applyNumberFormat="1" applyFont="1" applyFill="1" applyBorder="1" applyAlignment="1">
      <alignment horizontal="left" vertical="center"/>
    </xf>
    <xf numFmtId="14" fontId="11" fillId="3" borderId="1" xfId="0" applyNumberFormat="1" applyFont="1" applyFill="1" applyBorder="1" applyAlignment="1">
      <alignment horizontal="left" vertical="top"/>
    </xf>
    <xf numFmtId="166" fontId="11" fillId="0" borderId="1" xfId="0" applyNumberFormat="1" applyFont="1" applyBorder="1" applyAlignment="1">
      <alignment horizontal="right" vertical="top"/>
    </xf>
    <xf numFmtId="1" fontId="11" fillId="0" borderId="1" xfId="0" applyNumberFormat="1" applyFont="1" applyBorder="1" applyAlignment="1">
      <alignment horizontal="right" vertical="top"/>
    </xf>
    <xf numFmtId="0" fontId="0" fillId="0" borderId="1" xfId="0" applyNumberFormat="1" applyBorder="1" applyAlignment="1">
      <alignment horizontal="left" vertical="top"/>
    </xf>
    <xf numFmtId="167" fontId="11" fillId="0" borderId="1" xfId="0" applyNumberFormat="1" applyFont="1" applyBorder="1" applyAlignment="1">
      <alignment horizontal="left" vertical="top"/>
    </xf>
    <xf numFmtId="1" fontId="11" fillId="0" borderId="1" xfId="0" applyNumberFormat="1" applyFont="1" applyBorder="1" applyAlignment="1">
      <alignment horizontal="left" vertical="top"/>
    </xf>
    <xf numFmtId="17" fontId="11" fillId="0" borderId="2" xfId="0" applyNumberFormat="1" applyFont="1" applyBorder="1" applyAlignment="1">
      <alignment horizontal="left" vertical="top"/>
    </xf>
    <xf numFmtId="0" fontId="11" fillId="0" borderId="1" xfId="0" applyNumberFormat="1" applyFont="1" applyBorder="1" applyAlignment="1">
      <alignment vertical="top"/>
    </xf>
    <xf numFmtId="49" fontId="9" fillId="2" borderId="1" xfId="0" applyNumberFormat="1" applyFont="1" applyFill="1" applyBorder="1" applyAlignment="1">
      <alignment vertical="top" wrapText="1"/>
    </xf>
    <xf numFmtId="0" fontId="11" fillId="0" borderId="1" xfId="0" applyNumberFormat="1" applyFont="1" applyBorder="1" applyAlignment="1">
      <alignment horizontal="left" vertical="top" wrapText="1"/>
    </xf>
    <xf numFmtId="14" fontId="11" fillId="2" borderId="1" xfId="0" applyNumberFormat="1" applyFont="1" applyFill="1" applyBorder="1" applyAlignment="1">
      <alignment horizontal="left" vertical="top"/>
    </xf>
    <xf numFmtId="17" fontId="11" fillId="2" borderId="1" xfId="0" applyNumberFormat="1" applyFont="1" applyFill="1" applyBorder="1" applyAlignment="1">
      <alignment horizontal="left" vertical="top"/>
    </xf>
    <xf numFmtId="2" fontId="11" fillId="2" borderId="1" xfId="0" applyNumberFormat="1" applyFont="1" applyFill="1" applyBorder="1" applyAlignment="1">
      <alignment horizontal="left" vertical="top"/>
    </xf>
    <xf numFmtId="0" fontId="11" fillId="2" borderId="1" xfId="0" applyFont="1" applyFill="1" applyBorder="1" applyAlignment="1">
      <alignment horizontal="left" vertical="top"/>
    </xf>
    <xf numFmtId="0" fontId="0" fillId="2" borderId="1" xfId="0" applyNumberFormat="1" applyFill="1" applyBorder="1" applyAlignment="1">
      <alignment horizontal="left" vertical="top"/>
    </xf>
    <xf numFmtId="167" fontId="11" fillId="2" borderId="1" xfId="0" applyNumberFormat="1" applyFont="1" applyFill="1" applyBorder="1" applyAlignment="1">
      <alignment horizontal="left" vertical="top"/>
    </xf>
    <xf numFmtId="1" fontId="11" fillId="2" borderId="1" xfId="0" applyNumberFormat="1" applyFont="1" applyFill="1" applyBorder="1" applyAlignment="1">
      <alignment horizontal="left" vertical="top"/>
    </xf>
    <xf numFmtId="17" fontId="11" fillId="2" borderId="2" xfId="0" applyNumberFormat="1" applyFont="1" applyFill="1" applyBorder="1" applyAlignment="1">
      <alignment horizontal="left" vertical="top"/>
    </xf>
    <xf numFmtId="0" fontId="10" fillId="0" borderId="1" xfId="0" applyNumberFormat="1" applyFont="1" applyBorder="1" applyAlignment="1">
      <alignment horizontal="left" vertical="center" wrapText="1"/>
    </xf>
    <xf numFmtId="0" fontId="0" fillId="3" borderId="0" xfId="0" applyFill="1"/>
    <xf numFmtId="1" fontId="0" fillId="0" borderId="0" xfId="0" applyNumberFormat="1"/>
    <xf numFmtId="0" fontId="3" fillId="0" borderId="11" xfId="0" applyFont="1" applyBorder="1" applyAlignment="1">
      <alignment horizontal="left" vertical="center"/>
    </xf>
    <xf numFmtId="0" fontId="3" fillId="0" borderId="1" xfId="0" applyFont="1" applyBorder="1" applyAlignment="1">
      <alignment horizontal="left" vertical="center"/>
    </xf>
    <xf numFmtId="0" fontId="3" fillId="0" borderId="14" xfId="0" applyFont="1" applyBorder="1" applyAlignment="1">
      <alignment horizontal="left" vertical="center"/>
    </xf>
    <xf numFmtId="0" fontId="3" fillId="0" borderId="15" xfId="0" applyFont="1" applyBorder="1" applyAlignment="1">
      <alignment horizontal="left" vertical="center"/>
    </xf>
    <xf numFmtId="0" fontId="4" fillId="0" borderId="15" xfId="0" applyFont="1" applyBorder="1" applyAlignment="1">
      <alignment vertical="center"/>
    </xf>
    <xf numFmtId="0" fontId="27" fillId="0" borderId="17" xfId="0" applyFont="1" applyBorder="1"/>
    <xf numFmtId="0" fontId="12" fillId="0" borderId="0" xfId="0" applyFont="1" applyBorder="1" applyAlignment="1">
      <alignment horizontal="center"/>
    </xf>
    <xf numFmtId="0" fontId="0" fillId="0" borderId="21" xfId="0" applyBorder="1" applyAlignment="1"/>
    <xf numFmtId="0" fontId="0" fillId="4" borderId="22" xfId="0" applyFill="1" applyBorder="1"/>
    <xf numFmtId="0" fontId="0" fillId="6" borderId="22" xfId="0" applyFill="1" applyBorder="1"/>
    <xf numFmtId="0" fontId="0" fillId="6" borderId="23" xfId="0" applyFill="1" applyBorder="1"/>
    <xf numFmtId="0" fontId="0" fillId="0" borderId="21" xfId="0" applyBorder="1"/>
    <xf numFmtId="0" fontId="0" fillId="7" borderId="22" xfId="0" applyFill="1" applyBorder="1"/>
    <xf numFmtId="0" fontId="0" fillId="7" borderId="0" xfId="0" applyFill="1" applyBorder="1"/>
    <xf numFmtId="0" fontId="0" fillId="7" borderId="23" xfId="0" applyFill="1" applyBorder="1"/>
    <xf numFmtId="0" fontId="0" fillId="10" borderId="24" xfId="0" applyFill="1" applyBorder="1"/>
    <xf numFmtId="0" fontId="0" fillId="10" borderId="23" xfId="0" applyFill="1" applyBorder="1"/>
    <xf numFmtId="0" fontId="0" fillId="4" borderId="20" xfId="0" applyFill="1" applyBorder="1"/>
    <xf numFmtId="0" fontId="0" fillId="10" borderId="25" xfId="0" applyFill="1" applyBorder="1"/>
    <xf numFmtId="0" fontId="0" fillId="0" borderId="21" xfId="0" applyFill="1" applyBorder="1"/>
    <xf numFmtId="0" fontId="0" fillId="5" borderId="22" xfId="0" applyFill="1" applyBorder="1"/>
    <xf numFmtId="0" fontId="0" fillId="5" borderId="25" xfId="0" applyFill="1" applyBorder="1"/>
    <xf numFmtId="0" fontId="0" fillId="11" borderId="20" xfId="0" applyFill="1" applyBorder="1"/>
    <xf numFmtId="0" fontId="0" fillId="11" borderId="26" xfId="0" applyFill="1" applyBorder="1"/>
    <xf numFmtId="0" fontId="0" fillId="11" borderId="25" xfId="0" applyFill="1" applyBorder="1"/>
    <xf numFmtId="0" fontId="0" fillId="2" borderId="20" xfId="0" applyFill="1" applyBorder="1"/>
    <xf numFmtId="0" fontId="0" fillId="2" borderId="26" xfId="0" applyFill="1" applyBorder="1"/>
    <xf numFmtId="0" fontId="0" fillId="2" borderId="25" xfId="0" applyFill="1" applyBorder="1"/>
    <xf numFmtId="0" fontId="28" fillId="0" borderId="0" xfId="0" applyFont="1" applyAlignment="1">
      <alignment horizontal="center" vertical="center"/>
    </xf>
    <xf numFmtId="17" fontId="10" fillId="7" borderId="0" xfId="0" applyNumberFormat="1" applyFont="1" applyFill="1" applyBorder="1" applyAlignment="1">
      <alignment horizontal="left" vertical="top"/>
    </xf>
    <xf numFmtId="2" fontId="10" fillId="6" borderId="0" xfId="0" applyNumberFormat="1" applyFont="1" applyFill="1" applyBorder="1" applyAlignment="1">
      <alignment horizontal="left" vertical="top" wrapText="1"/>
    </xf>
    <xf numFmtId="0" fontId="10" fillId="6" borderId="4" xfId="0" applyNumberFormat="1" applyFont="1" applyFill="1" applyBorder="1" applyAlignment="1">
      <alignment horizontal="left" vertical="top" wrapText="1"/>
    </xf>
    <xf numFmtId="0" fontId="22" fillId="6" borderId="1" xfId="0" applyFont="1" applyFill="1" applyBorder="1" applyAlignment="1">
      <alignment horizontal="left" vertical="top"/>
    </xf>
    <xf numFmtId="0" fontId="10" fillId="6" borderId="1" xfId="0" applyNumberFormat="1" applyFont="1" applyFill="1" applyBorder="1" applyAlignment="1">
      <alignment vertical="top"/>
    </xf>
    <xf numFmtId="2" fontId="10" fillId="7" borderId="1" xfId="4" applyNumberFormat="1" applyFont="1" applyFill="1" applyBorder="1" applyAlignment="1">
      <alignment horizontal="left" vertical="top" wrapText="1"/>
    </xf>
    <xf numFmtId="0" fontId="9" fillId="12" borderId="1" xfId="0" applyFont="1" applyFill="1" applyBorder="1" applyAlignment="1">
      <alignment horizontal="center" vertical="top" wrapText="1"/>
    </xf>
    <xf numFmtId="0" fontId="10" fillId="12" borderId="1" xfId="0" applyNumberFormat="1" applyFont="1" applyFill="1" applyBorder="1" applyAlignment="1">
      <alignment horizontal="left" vertical="top" wrapText="1"/>
    </xf>
    <xf numFmtId="3" fontId="10" fillId="12" borderId="1" xfId="0" applyNumberFormat="1" applyFont="1" applyFill="1" applyBorder="1" applyAlignment="1">
      <alignment horizontal="right" vertical="top" wrapText="1"/>
    </xf>
    <xf numFmtId="14" fontId="10" fillId="12" borderId="1" xfId="0" applyNumberFormat="1" applyFont="1" applyFill="1" applyBorder="1" applyAlignment="1">
      <alignment horizontal="left" vertical="top" wrapText="1"/>
    </xf>
    <xf numFmtId="17" fontId="10" fillId="12" borderId="1" xfId="0" applyNumberFormat="1" applyFont="1" applyFill="1" applyBorder="1" applyAlignment="1">
      <alignment horizontal="left" vertical="top" wrapText="1"/>
    </xf>
    <xf numFmtId="2" fontId="10" fillId="12" borderId="1" xfId="0" applyNumberFormat="1" applyFont="1" applyFill="1" applyBorder="1" applyAlignment="1">
      <alignment horizontal="left" vertical="top" wrapText="1"/>
    </xf>
    <xf numFmtId="17" fontId="10" fillId="12" borderId="1" xfId="0" applyNumberFormat="1" applyFont="1" applyFill="1" applyBorder="1" applyAlignment="1">
      <alignment horizontal="left" vertical="top"/>
    </xf>
    <xf numFmtId="0" fontId="9" fillId="12" borderId="1" xfId="0" applyNumberFormat="1" applyFont="1" applyFill="1" applyBorder="1" applyAlignment="1">
      <alignment horizontal="left" vertical="top" wrapText="1"/>
    </xf>
    <xf numFmtId="1" fontId="10" fillId="12" borderId="1" xfId="0" applyNumberFormat="1" applyFont="1" applyFill="1" applyBorder="1" applyAlignment="1">
      <alignment horizontal="left" vertical="top" wrapText="1"/>
    </xf>
    <xf numFmtId="14" fontId="9" fillId="12" borderId="1" xfId="0" applyNumberFormat="1" applyFont="1" applyFill="1" applyBorder="1" applyAlignment="1">
      <alignment horizontal="left" vertical="top" wrapText="1"/>
    </xf>
    <xf numFmtId="166" fontId="9" fillId="12" borderId="1" xfId="0" applyNumberFormat="1" applyFont="1" applyFill="1" applyBorder="1" applyAlignment="1">
      <alignment horizontal="right" vertical="top" wrapText="1"/>
    </xf>
    <xf numFmtId="1" fontId="9" fillId="12" borderId="1" xfId="0" applyNumberFormat="1" applyFont="1" applyFill="1" applyBorder="1" applyAlignment="1">
      <alignment horizontal="right" vertical="top" wrapText="1"/>
    </xf>
    <xf numFmtId="2" fontId="9" fillId="12" borderId="1" xfId="0" applyNumberFormat="1" applyFont="1" applyFill="1" applyBorder="1" applyAlignment="1">
      <alignment horizontal="left" vertical="top" wrapText="1"/>
    </xf>
    <xf numFmtId="167" fontId="9" fillId="12" borderId="1" xfId="0" applyNumberFormat="1" applyFont="1" applyFill="1" applyBorder="1" applyAlignment="1">
      <alignment horizontal="left" vertical="top" wrapText="1"/>
    </xf>
    <xf numFmtId="1" fontId="9" fillId="12" borderId="1" xfId="0" applyNumberFormat="1" applyFont="1" applyFill="1" applyBorder="1" applyAlignment="1">
      <alignment horizontal="left" vertical="top" wrapText="1"/>
    </xf>
    <xf numFmtId="17" fontId="9" fillId="12" borderId="2" xfId="0" applyNumberFormat="1" applyFont="1" applyFill="1" applyBorder="1" applyAlignment="1">
      <alignment horizontal="left" vertical="top" wrapText="1"/>
    </xf>
    <xf numFmtId="166" fontId="10" fillId="12" borderId="1" xfId="0" applyNumberFormat="1" applyFont="1" applyFill="1" applyBorder="1" applyAlignment="1">
      <alignment horizontal="right" vertical="top" wrapText="1"/>
    </xf>
    <xf numFmtId="1" fontId="10" fillId="12" borderId="1" xfId="0" applyNumberFormat="1" applyFont="1" applyFill="1" applyBorder="1" applyAlignment="1">
      <alignment horizontal="right" vertical="top" wrapText="1"/>
    </xf>
    <xf numFmtId="17" fontId="9" fillId="12" borderId="1" xfId="0" applyNumberFormat="1" applyFont="1" applyFill="1" applyBorder="1" applyAlignment="1">
      <alignment horizontal="left" vertical="top" wrapText="1"/>
    </xf>
    <xf numFmtId="0" fontId="9" fillId="12" borderId="1" xfId="0" applyFont="1" applyFill="1" applyBorder="1" applyAlignment="1">
      <alignment horizontal="left" vertical="top" wrapText="1"/>
    </xf>
    <xf numFmtId="167" fontId="10" fillId="12" borderId="1" xfId="0" applyNumberFormat="1" applyFont="1" applyFill="1" applyBorder="1" applyAlignment="1">
      <alignment horizontal="left" vertical="top" wrapText="1"/>
    </xf>
    <xf numFmtId="17" fontId="10" fillId="12" borderId="2" xfId="0" applyNumberFormat="1" applyFont="1" applyFill="1" applyBorder="1" applyAlignment="1">
      <alignment horizontal="left" vertical="top" wrapText="1"/>
    </xf>
    <xf numFmtId="3" fontId="10" fillId="12" borderId="1" xfId="4" applyNumberFormat="1" applyFont="1" applyFill="1" applyBorder="1" applyAlignment="1">
      <alignment horizontal="right" vertical="top" wrapText="1"/>
    </xf>
    <xf numFmtId="14" fontId="10" fillId="12" borderId="1" xfId="5" applyNumberFormat="1" applyFont="1" applyFill="1" applyBorder="1" applyAlignment="1">
      <alignment horizontal="left" vertical="top" wrapText="1"/>
    </xf>
    <xf numFmtId="0" fontId="2" fillId="12" borderId="1" xfId="4" applyNumberFormat="1" applyFill="1" applyBorder="1" applyAlignment="1">
      <alignment horizontal="left" vertical="top" wrapText="1"/>
    </xf>
    <xf numFmtId="3" fontId="9" fillId="12" borderId="1" xfId="0" applyNumberFormat="1" applyFont="1" applyFill="1" applyBorder="1" applyAlignment="1">
      <alignment horizontal="right" vertical="top" wrapText="1"/>
    </xf>
    <xf numFmtId="0" fontId="10" fillId="12" borderId="1" xfId="0" applyFont="1" applyFill="1" applyBorder="1" applyAlignment="1">
      <alignment horizontal="left" vertical="top" wrapText="1"/>
    </xf>
    <xf numFmtId="3" fontId="16" fillId="12" borderId="1" xfId="6" applyNumberFormat="1" applyFont="1" applyFill="1" applyBorder="1" applyAlignment="1">
      <alignment horizontal="right" vertical="top" wrapText="1"/>
    </xf>
    <xf numFmtId="14" fontId="16" fillId="12" borderId="1" xfId="5" applyNumberFormat="1" applyFont="1" applyFill="1" applyBorder="1" applyAlignment="1">
      <alignment horizontal="left" vertical="top" wrapText="1"/>
    </xf>
    <xf numFmtId="0" fontId="17" fillId="12" borderId="1" xfId="0" applyNumberFormat="1" applyFont="1" applyFill="1" applyBorder="1" applyAlignment="1">
      <alignment horizontal="left" vertical="top" wrapText="1"/>
    </xf>
    <xf numFmtId="0" fontId="10" fillId="12" borderId="1" xfId="0" applyNumberFormat="1" applyFont="1" applyFill="1" applyBorder="1" applyAlignment="1">
      <alignment horizontal="left" vertical="top"/>
    </xf>
    <xf numFmtId="166" fontId="9" fillId="12" borderId="1" xfId="2" applyNumberFormat="1" applyFont="1" applyFill="1" applyBorder="1" applyAlignment="1">
      <alignment horizontal="right" vertical="top" wrapText="1"/>
    </xf>
    <xf numFmtId="166" fontId="10" fillId="12" borderId="1" xfId="0" applyNumberFormat="1" applyFont="1" applyFill="1" applyBorder="1" applyAlignment="1">
      <alignment horizontal="left" vertical="top" wrapText="1"/>
    </xf>
    <xf numFmtId="3" fontId="10" fillId="12" borderId="1" xfId="7" applyNumberFormat="1" applyFont="1" applyFill="1" applyBorder="1" applyAlignment="1">
      <alignment horizontal="right" vertical="top" wrapText="1"/>
    </xf>
    <xf numFmtId="2" fontId="10" fillId="12" borderId="1" xfId="0" applyNumberFormat="1" applyFont="1" applyFill="1" applyBorder="1" applyAlignment="1">
      <alignment horizontal="left" vertical="top"/>
    </xf>
    <xf numFmtId="0" fontId="18" fillId="12" borderId="1" xfId="4" applyNumberFormat="1" applyFont="1" applyFill="1" applyBorder="1" applyAlignment="1">
      <alignment horizontal="left" vertical="top" wrapText="1"/>
    </xf>
    <xf numFmtId="3" fontId="10" fillId="12" borderId="1" xfId="8" applyNumberFormat="1" applyFont="1" applyFill="1" applyBorder="1" applyAlignment="1" applyProtection="1">
      <alignment horizontal="right" vertical="top" wrapText="1"/>
    </xf>
    <xf numFmtId="166" fontId="9" fillId="12" borderId="1" xfId="0" applyNumberFormat="1" applyFont="1" applyFill="1" applyBorder="1" applyAlignment="1">
      <alignment horizontal="left" vertical="top" wrapText="1"/>
    </xf>
    <xf numFmtId="1" fontId="10" fillId="12" borderId="1" xfId="1" applyNumberFormat="1" applyFont="1" applyFill="1" applyBorder="1" applyAlignment="1">
      <alignment horizontal="right" vertical="top" wrapText="1"/>
    </xf>
    <xf numFmtId="2" fontId="10" fillId="12" borderId="1" xfId="4" applyNumberFormat="1" applyFont="1" applyFill="1" applyBorder="1" applyAlignment="1">
      <alignment horizontal="left" vertical="top" wrapText="1"/>
    </xf>
    <xf numFmtId="0" fontId="10" fillId="12" borderId="1" xfId="4" applyNumberFormat="1" applyFont="1" applyFill="1" applyBorder="1" applyAlignment="1">
      <alignment horizontal="left" vertical="top" wrapText="1"/>
    </xf>
    <xf numFmtId="17" fontId="10" fillId="12" borderId="0" xfId="0" applyNumberFormat="1" applyFont="1" applyFill="1" applyBorder="1" applyAlignment="1">
      <alignment horizontal="left" vertical="top"/>
    </xf>
    <xf numFmtId="3" fontId="10" fillId="12" borderId="1" xfId="9" applyNumberFormat="1" applyFont="1" applyFill="1" applyBorder="1" applyAlignment="1">
      <alignment horizontal="right" vertical="top" wrapText="1"/>
    </xf>
    <xf numFmtId="3" fontId="10" fillId="12" borderId="1" xfId="7" applyNumberFormat="1" applyFont="1" applyFill="1" applyBorder="1" applyAlignment="1" applyProtection="1">
      <alignment horizontal="right" vertical="top" wrapText="1"/>
      <protection locked="0"/>
    </xf>
    <xf numFmtId="2" fontId="10" fillId="12" borderId="1" xfId="0" applyNumberFormat="1" applyFont="1" applyFill="1" applyBorder="1" applyAlignment="1" applyProtection="1">
      <alignment horizontal="left" vertical="top" wrapText="1"/>
      <protection locked="0"/>
    </xf>
    <xf numFmtId="14" fontId="5" fillId="12" borderId="1" xfId="0" applyNumberFormat="1" applyFont="1" applyFill="1" applyBorder="1" applyAlignment="1">
      <alignment horizontal="left" vertical="top" wrapText="1"/>
    </xf>
    <xf numFmtId="14" fontId="2" fillId="12" borderId="1" xfId="4" applyNumberFormat="1" applyFill="1" applyBorder="1" applyAlignment="1">
      <alignment horizontal="left" vertical="top" wrapText="1"/>
    </xf>
    <xf numFmtId="0" fontId="18" fillId="12" borderId="1" xfId="4" quotePrefix="1" applyNumberFormat="1" applyFont="1" applyFill="1" applyBorder="1" applyAlignment="1">
      <alignment horizontal="left" vertical="top" wrapText="1"/>
    </xf>
    <xf numFmtId="14" fontId="10" fillId="12" borderId="1" xfId="0" applyNumberFormat="1" applyFont="1" applyFill="1" applyBorder="1" applyAlignment="1">
      <alignment horizontal="left" vertical="top"/>
    </xf>
    <xf numFmtId="0" fontId="10" fillId="12" borderId="0" xfId="0" applyNumberFormat="1" applyFont="1" applyFill="1" applyBorder="1" applyAlignment="1">
      <alignment horizontal="left" vertical="top" wrapText="1"/>
    </xf>
    <xf numFmtId="0" fontId="10" fillId="12" borderId="1" xfId="0" applyFont="1" applyFill="1" applyBorder="1" applyAlignment="1">
      <alignment horizontal="left" vertical="top"/>
    </xf>
    <xf numFmtId="167" fontId="10" fillId="12" borderId="1" xfId="0" applyNumberFormat="1" applyFont="1" applyFill="1" applyBorder="1" applyAlignment="1">
      <alignment horizontal="left" vertical="top"/>
    </xf>
    <xf numFmtId="1" fontId="10" fillId="12" borderId="1" xfId="0" applyNumberFormat="1" applyFont="1" applyFill="1" applyBorder="1" applyAlignment="1">
      <alignment horizontal="left" vertical="top"/>
    </xf>
    <xf numFmtId="17" fontId="10" fillId="12" borderId="2" xfId="0" applyNumberFormat="1" applyFont="1" applyFill="1" applyBorder="1" applyAlignment="1">
      <alignment horizontal="left" vertical="top"/>
    </xf>
    <xf numFmtId="166" fontId="10" fillId="12" borderId="1" xfId="0" applyNumberFormat="1" applyFont="1" applyFill="1" applyBorder="1" applyAlignment="1">
      <alignment horizontal="right" vertical="top"/>
    </xf>
    <xf numFmtId="1" fontId="10" fillId="12" borderId="1" xfId="0" applyNumberFormat="1" applyFont="1" applyFill="1" applyBorder="1" applyAlignment="1">
      <alignment horizontal="right" vertical="top"/>
    </xf>
    <xf numFmtId="0" fontId="9" fillId="12" borderId="5" xfId="0" applyNumberFormat="1" applyFont="1" applyFill="1" applyBorder="1" applyAlignment="1">
      <alignment horizontal="left" vertical="top" wrapText="1"/>
    </xf>
    <xf numFmtId="0" fontId="9" fillId="12" borderId="1" xfId="0" applyNumberFormat="1" applyFont="1" applyFill="1" applyBorder="1" applyAlignment="1">
      <alignment horizontal="left" vertical="top"/>
    </xf>
    <xf numFmtId="0" fontId="10" fillId="12" borderId="1" xfId="0" applyNumberFormat="1" applyFont="1" applyFill="1" applyBorder="1" applyAlignment="1">
      <alignment vertical="top" wrapText="1"/>
    </xf>
    <xf numFmtId="0" fontId="10" fillId="12" borderId="1" xfId="0" applyNumberFormat="1" applyFont="1" applyFill="1" applyBorder="1" applyAlignment="1">
      <alignment horizontal="left" vertical="center"/>
    </xf>
    <xf numFmtId="2" fontId="9" fillId="12" borderId="1" xfId="0" applyNumberFormat="1" applyFont="1" applyFill="1" applyBorder="1" applyAlignment="1">
      <alignment horizontal="left" vertical="top"/>
    </xf>
    <xf numFmtId="1" fontId="9" fillId="12" borderId="1" xfId="0" applyNumberFormat="1" applyFont="1" applyFill="1" applyBorder="1" applyAlignment="1">
      <alignment horizontal="right" vertical="top"/>
    </xf>
    <xf numFmtId="14" fontId="9" fillId="12" borderId="1" xfId="0" applyNumberFormat="1" applyFont="1" applyFill="1" applyBorder="1" applyAlignment="1">
      <alignment horizontal="left" vertical="top"/>
    </xf>
    <xf numFmtId="17" fontId="9" fillId="12" borderId="1" xfId="0" applyNumberFormat="1" applyFont="1" applyFill="1" applyBorder="1" applyAlignment="1">
      <alignment horizontal="left" vertical="top"/>
    </xf>
    <xf numFmtId="2" fontId="10" fillId="12" borderId="0" xfId="0" applyNumberFormat="1" applyFont="1" applyFill="1" applyBorder="1" applyAlignment="1">
      <alignment horizontal="left" vertical="top" wrapText="1"/>
    </xf>
    <xf numFmtId="1" fontId="18" fillId="12" borderId="1" xfId="4" applyNumberFormat="1" applyFont="1" applyFill="1" applyBorder="1" applyAlignment="1">
      <alignment horizontal="left" vertical="top" wrapText="1"/>
    </xf>
    <xf numFmtId="17" fontId="10" fillId="12" borderId="1" xfId="4" applyNumberFormat="1" applyFont="1" applyFill="1" applyBorder="1" applyAlignment="1">
      <alignment horizontal="left" vertical="top" wrapText="1"/>
    </xf>
    <xf numFmtId="17" fontId="20" fillId="12" borderId="1" xfId="4" applyNumberFormat="1" applyFont="1" applyFill="1" applyBorder="1" applyAlignment="1">
      <alignment horizontal="left" vertical="top" wrapText="1"/>
    </xf>
    <xf numFmtId="2" fontId="20" fillId="12" borderId="1" xfId="4" applyNumberFormat="1" applyFont="1" applyFill="1" applyBorder="1" applyAlignment="1">
      <alignment horizontal="left" vertical="top" wrapText="1"/>
    </xf>
    <xf numFmtId="0" fontId="20" fillId="12" borderId="1" xfId="4" applyNumberFormat="1" applyFont="1" applyFill="1" applyBorder="1" applyAlignment="1">
      <alignment horizontal="left" vertical="top" wrapText="1"/>
    </xf>
    <xf numFmtId="14" fontId="20" fillId="12" borderId="1" xfId="4" applyNumberFormat="1" applyFont="1" applyFill="1" applyBorder="1" applyAlignment="1">
      <alignment horizontal="left" vertical="top" wrapText="1"/>
    </xf>
    <xf numFmtId="17" fontId="10" fillId="12" borderId="0" xfId="0" applyNumberFormat="1" applyFont="1" applyFill="1" applyBorder="1" applyAlignment="1">
      <alignment horizontal="left" vertical="top" wrapText="1"/>
    </xf>
    <xf numFmtId="17" fontId="11" fillId="12" borderId="1" xfId="0" applyNumberFormat="1" applyFont="1" applyFill="1" applyBorder="1" applyAlignment="1">
      <alignment horizontal="left" vertical="top"/>
    </xf>
    <xf numFmtId="14" fontId="10" fillId="12" borderId="1" xfId="4" applyNumberFormat="1" applyFont="1" applyFill="1" applyBorder="1" applyAlignment="1">
      <alignment horizontal="left" vertical="top" wrapText="1"/>
    </xf>
    <xf numFmtId="0" fontId="10" fillId="2" borderId="0" xfId="0" applyNumberFormat="1" applyFont="1" applyFill="1" applyBorder="1" applyAlignment="1">
      <alignment horizontal="left" vertical="top" wrapText="1"/>
    </xf>
    <xf numFmtId="0" fontId="0" fillId="0" borderId="0" xfId="0" applyAlignment="1">
      <alignment wrapText="1"/>
    </xf>
    <xf numFmtId="0" fontId="3" fillId="0" borderId="1" xfId="0" applyFont="1" applyBorder="1" applyAlignment="1">
      <alignment horizontal="left" vertical="center" wrapText="1"/>
    </xf>
    <xf numFmtId="0" fontId="3" fillId="0" borderId="15" xfId="0" applyFont="1" applyBorder="1" applyAlignment="1">
      <alignment horizontal="left" vertical="center" wrapText="1"/>
    </xf>
    <xf numFmtId="0" fontId="0" fillId="2" borderId="1" xfId="0" applyFill="1" applyBorder="1" applyAlignment="1">
      <alignment wrapText="1"/>
    </xf>
    <xf numFmtId="0" fontId="11" fillId="2" borderId="1" xfId="0" applyNumberFormat="1" applyFont="1" applyFill="1" applyBorder="1" applyAlignment="1">
      <alignment horizontal="left" vertical="top" wrapText="1"/>
    </xf>
    <xf numFmtId="0" fontId="4" fillId="0" borderId="15" xfId="0" applyFont="1" applyBorder="1" applyAlignment="1">
      <alignment vertical="center" wrapText="1"/>
    </xf>
    <xf numFmtId="0" fontId="0" fillId="0" borderId="1" xfId="0" applyBorder="1" applyAlignment="1">
      <alignment wrapText="1"/>
    </xf>
    <xf numFmtId="0" fontId="0" fillId="6" borderId="1" xfId="0" applyFill="1" applyBorder="1" applyAlignment="1">
      <alignment wrapText="1"/>
    </xf>
    <xf numFmtId="17" fontId="10" fillId="13" borderId="1" xfId="0" applyNumberFormat="1" applyFont="1" applyFill="1" applyBorder="1" applyAlignment="1">
      <alignment horizontal="left" vertical="top" wrapText="1"/>
    </xf>
    <xf numFmtId="0" fontId="9" fillId="13" borderId="1" xfId="0" applyFont="1" applyFill="1" applyBorder="1" applyAlignment="1">
      <alignment horizontal="left" vertical="top" wrapText="1"/>
    </xf>
    <xf numFmtId="0" fontId="10" fillId="13" borderId="1" xfId="0" applyNumberFormat="1" applyFont="1" applyFill="1" applyBorder="1" applyAlignment="1">
      <alignment horizontal="left" vertical="top" wrapText="1"/>
    </xf>
    <xf numFmtId="14" fontId="10" fillId="13" borderId="1" xfId="0" applyNumberFormat="1" applyFont="1" applyFill="1" applyBorder="1" applyAlignment="1">
      <alignment horizontal="left" vertical="top" wrapText="1"/>
    </xf>
    <xf numFmtId="2" fontId="10" fillId="13" borderId="1" xfId="0" applyNumberFormat="1" applyFont="1" applyFill="1" applyBorder="1" applyAlignment="1">
      <alignment horizontal="left" vertical="top" wrapText="1"/>
    </xf>
    <xf numFmtId="14" fontId="9" fillId="2" borderId="1" xfId="0" applyNumberFormat="1" applyFont="1" applyFill="1" applyBorder="1" applyAlignment="1">
      <alignment horizontal="left" vertical="top"/>
    </xf>
    <xf numFmtId="0" fontId="0" fillId="5" borderId="28" xfId="0" applyFill="1" applyBorder="1"/>
    <xf numFmtId="0" fontId="0" fillId="14" borderId="1" xfId="0" applyFill="1" applyBorder="1"/>
    <xf numFmtId="0" fontId="9" fillId="2" borderId="3" xfId="0" applyFont="1" applyFill="1" applyBorder="1" applyAlignment="1">
      <alignment horizontal="left" vertical="top" wrapText="1"/>
    </xf>
    <xf numFmtId="0" fontId="9" fillId="0" borderId="1" xfId="0" applyFont="1" applyBorder="1" applyAlignment="1">
      <alignment wrapText="1"/>
    </xf>
    <xf numFmtId="170" fontId="7" fillId="2" borderId="1" xfId="0" applyNumberFormat="1" applyFont="1" applyFill="1" applyBorder="1" applyAlignment="1">
      <alignment horizontal="center" vertical="center" wrapText="1"/>
    </xf>
    <xf numFmtId="170" fontId="10" fillId="12" borderId="1" xfId="0" applyNumberFormat="1" applyFont="1" applyFill="1" applyBorder="1" applyAlignment="1">
      <alignment horizontal="right" vertical="top" wrapText="1"/>
    </xf>
    <xf numFmtId="170" fontId="10" fillId="5" borderId="1" xfId="0" applyNumberFormat="1" applyFont="1" applyFill="1" applyBorder="1" applyAlignment="1">
      <alignment horizontal="right" vertical="top" wrapText="1"/>
    </xf>
    <xf numFmtId="170" fontId="0" fillId="0" borderId="1" xfId="0" applyNumberFormat="1" applyBorder="1" applyAlignment="1">
      <alignment horizontal="right" vertical="top"/>
    </xf>
    <xf numFmtId="170" fontId="0" fillId="0" borderId="0" xfId="0" applyNumberFormat="1" applyAlignment="1">
      <alignment horizontal="right" vertical="top"/>
    </xf>
    <xf numFmtId="0" fontId="9" fillId="12" borderId="1" xfId="0" applyNumberFormat="1" applyFont="1" applyFill="1" applyBorder="1" applyAlignment="1">
      <alignment horizontal="right" vertical="top" wrapText="1"/>
    </xf>
    <xf numFmtId="0" fontId="9" fillId="5" borderId="1" xfId="0" applyNumberFormat="1" applyFont="1" applyFill="1" applyBorder="1" applyAlignment="1">
      <alignment horizontal="right" vertical="top" wrapText="1"/>
    </xf>
    <xf numFmtId="170" fontId="10" fillId="12" borderId="1" xfId="4" applyNumberFormat="1" applyFont="1" applyFill="1" applyBorder="1" applyAlignment="1">
      <alignment horizontal="right" vertical="top" wrapText="1"/>
    </xf>
    <xf numFmtId="170" fontId="30" fillId="12" borderId="1" xfId="4" applyNumberFormat="1" applyFont="1" applyFill="1" applyBorder="1" applyAlignment="1">
      <alignment horizontal="right" vertical="top" wrapText="1"/>
    </xf>
    <xf numFmtId="0" fontId="30" fillId="12" borderId="1" xfId="4" applyNumberFormat="1" applyFont="1" applyFill="1" applyBorder="1" applyAlignment="1">
      <alignment horizontal="left" vertical="top" wrapText="1"/>
    </xf>
    <xf numFmtId="170" fontId="10" fillId="2" borderId="1" xfId="0" applyNumberFormat="1" applyFont="1" applyFill="1" applyBorder="1" applyAlignment="1">
      <alignment horizontal="right" vertical="top" wrapText="1"/>
    </xf>
    <xf numFmtId="170" fontId="10" fillId="7" borderId="1" xfId="0" applyNumberFormat="1" applyFont="1" applyFill="1" applyBorder="1" applyAlignment="1">
      <alignment horizontal="right" vertical="top" wrapText="1"/>
    </xf>
    <xf numFmtId="170" fontId="10" fillId="10" borderId="1" xfId="0" applyNumberFormat="1" applyFont="1" applyFill="1" applyBorder="1" applyAlignment="1">
      <alignment horizontal="right" vertical="top" wrapText="1"/>
    </xf>
    <xf numFmtId="170" fontId="10" fillId="0" borderId="1" xfId="0" applyNumberFormat="1" applyFont="1" applyBorder="1" applyAlignment="1">
      <alignment horizontal="right" vertical="top" wrapText="1"/>
    </xf>
    <xf numFmtId="170" fontId="10" fillId="0" borderId="1" xfId="0" applyNumberFormat="1" applyFont="1" applyBorder="1" applyAlignment="1">
      <alignment horizontal="right" vertical="top"/>
    </xf>
    <xf numFmtId="170" fontId="10" fillId="12" borderId="1" xfId="0" applyNumberFormat="1" applyFont="1" applyFill="1" applyBorder="1" applyAlignment="1">
      <alignment horizontal="right" vertical="top"/>
    </xf>
    <xf numFmtId="170" fontId="10" fillId="6" borderId="1" xfId="0" applyNumberFormat="1" applyFont="1" applyFill="1" applyBorder="1" applyAlignment="1">
      <alignment horizontal="right" vertical="top"/>
    </xf>
    <xf numFmtId="170" fontId="10" fillId="2" borderId="1" xfId="0" applyNumberFormat="1" applyFont="1" applyFill="1" applyBorder="1" applyAlignment="1">
      <alignment horizontal="right" vertical="top"/>
    </xf>
    <xf numFmtId="170" fontId="10" fillId="5" borderId="1" xfId="0" applyNumberFormat="1" applyFont="1" applyFill="1" applyBorder="1" applyAlignment="1">
      <alignment horizontal="right" vertical="top"/>
    </xf>
    <xf numFmtId="170" fontId="30" fillId="2" borderId="1" xfId="0" applyNumberFormat="1" applyFont="1" applyFill="1" applyBorder="1" applyAlignment="1">
      <alignment horizontal="right" vertical="top"/>
    </xf>
    <xf numFmtId="0" fontId="30" fillId="2" borderId="1" xfId="0" applyFont="1" applyFill="1" applyBorder="1"/>
    <xf numFmtId="170" fontId="30" fillId="0" borderId="1" xfId="0" applyNumberFormat="1" applyFont="1" applyBorder="1" applyAlignment="1">
      <alignment horizontal="right" vertical="top"/>
    </xf>
    <xf numFmtId="0" fontId="30" fillId="0" borderId="1" xfId="0" applyFont="1" applyBorder="1"/>
    <xf numFmtId="170" fontId="30" fillId="6" borderId="1" xfId="0" applyNumberFormat="1" applyFont="1" applyFill="1" applyBorder="1" applyAlignment="1">
      <alignment horizontal="right" vertical="top"/>
    </xf>
    <xf numFmtId="0" fontId="30" fillId="6" borderId="1" xfId="0" applyFont="1" applyFill="1" applyBorder="1"/>
    <xf numFmtId="0" fontId="30" fillId="0" borderId="1" xfId="0" applyNumberFormat="1" applyFont="1" applyBorder="1" applyAlignment="1">
      <alignment horizontal="left" vertical="top"/>
    </xf>
    <xf numFmtId="0" fontId="30" fillId="2" borderId="1" xfId="0" applyNumberFormat="1" applyFont="1" applyFill="1" applyBorder="1" applyAlignment="1">
      <alignment horizontal="left" vertical="top"/>
    </xf>
    <xf numFmtId="14" fontId="30" fillId="12" borderId="1" xfId="4" applyNumberFormat="1" applyFont="1" applyFill="1" applyBorder="1" applyAlignment="1">
      <alignment horizontal="left" vertical="top" wrapText="1"/>
    </xf>
    <xf numFmtId="170" fontId="10" fillId="12" borderId="1" xfId="4" quotePrefix="1" applyNumberFormat="1" applyFont="1" applyFill="1" applyBorder="1" applyAlignment="1">
      <alignment horizontal="right" vertical="top" wrapText="1"/>
    </xf>
    <xf numFmtId="0" fontId="10" fillId="12" borderId="1" xfId="4" quotePrefix="1" applyNumberFormat="1" applyFont="1" applyFill="1" applyBorder="1" applyAlignment="1">
      <alignment horizontal="left" vertical="top" wrapText="1"/>
    </xf>
    <xf numFmtId="3" fontId="10" fillId="2" borderId="1" xfId="0" applyNumberFormat="1" applyFont="1" applyFill="1" applyBorder="1" applyAlignment="1">
      <alignment horizontal="right" vertical="top" wrapText="1"/>
    </xf>
    <xf numFmtId="14" fontId="9" fillId="2" borderId="1" xfId="0" applyNumberFormat="1" applyFont="1" applyFill="1" applyBorder="1" applyAlignment="1">
      <alignment horizontal="left" vertical="top" wrapText="1"/>
    </xf>
    <xf numFmtId="0" fontId="10" fillId="2" borderId="1" xfId="0" applyNumberFormat="1" applyFont="1" applyFill="1" applyBorder="1" applyAlignment="1">
      <alignment horizontal="left" vertical="top"/>
    </xf>
    <xf numFmtId="0" fontId="10" fillId="2" borderId="1" xfId="0" applyNumberFormat="1" applyFont="1" applyFill="1" applyBorder="1" applyAlignment="1">
      <alignment horizontal="left" vertical="top" wrapText="1"/>
    </xf>
    <xf numFmtId="14" fontId="10" fillId="2" borderId="1" xfId="0" applyNumberFormat="1" applyFont="1" applyFill="1" applyBorder="1" applyAlignment="1">
      <alignment horizontal="left" vertical="top" wrapText="1"/>
    </xf>
    <xf numFmtId="0" fontId="9" fillId="0" borderId="1" xfId="0" applyFont="1" applyBorder="1" applyAlignment="1">
      <alignment horizontal="left" vertical="top" wrapText="1"/>
    </xf>
    <xf numFmtId="0" fontId="9" fillId="6" borderId="1" xfId="0" applyFont="1" applyFill="1" applyBorder="1" applyAlignment="1">
      <alignment horizontal="left" vertical="top" wrapText="1"/>
    </xf>
    <xf numFmtId="14" fontId="10" fillId="2" borderId="1" xfId="0" applyNumberFormat="1" applyFont="1" applyFill="1" applyBorder="1" applyAlignment="1">
      <alignment horizontal="left" vertical="top"/>
    </xf>
    <xf numFmtId="49" fontId="9" fillId="2" borderId="1" xfId="0" applyNumberFormat="1" applyFont="1" applyFill="1" applyBorder="1" applyAlignment="1">
      <alignment horizontal="left" vertical="top" wrapText="1"/>
    </xf>
    <xf numFmtId="0" fontId="9" fillId="2" borderId="1" xfId="0" applyFont="1" applyFill="1" applyBorder="1" applyAlignment="1">
      <alignment horizontal="left" vertical="top" wrapText="1"/>
    </xf>
    <xf numFmtId="0" fontId="31" fillId="12" borderId="1" xfId="0" applyFont="1" applyFill="1" applyBorder="1" applyAlignment="1">
      <alignment horizontal="left" vertical="top" wrapText="1"/>
    </xf>
    <xf numFmtId="0" fontId="22" fillId="12" borderId="1" xfId="0" applyFont="1" applyFill="1" applyBorder="1" applyAlignment="1">
      <alignment horizontal="left" vertical="top" wrapText="1"/>
    </xf>
    <xf numFmtId="0" fontId="10" fillId="12" borderId="2" xfId="0" applyNumberFormat="1" applyFont="1" applyFill="1" applyBorder="1" applyAlignment="1">
      <alignment horizontal="left" vertical="top" wrapText="1"/>
    </xf>
    <xf numFmtId="2" fontId="9" fillId="12" borderId="4" xfId="0" applyNumberFormat="1" applyFont="1" applyFill="1" applyBorder="1" applyAlignment="1">
      <alignment horizontal="left" vertical="top" wrapText="1"/>
    </xf>
    <xf numFmtId="2" fontId="10" fillId="12" borderId="4" xfId="0" applyNumberFormat="1" applyFont="1" applyFill="1" applyBorder="1" applyAlignment="1">
      <alignment horizontal="left" vertical="top" wrapText="1"/>
    </xf>
    <xf numFmtId="0" fontId="32" fillId="12" borderId="1" xfId="4" applyNumberFormat="1" applyFont="1" applyFill="1" applyBorder="1" applyAlignment="1">
      <alignment horizontal="right" vertical="top" wrapText="1"/>
    </xf>
    <xf numFmtId="0" fontId="9" fillId="6" borderId="1" xfId="0" applyNumberFormat="1" applyFont="1" applyFill="1" applyBorder="1" applyAlignment="1">
      <alignment vertical="top" wrapText="1"/>
    </xf>
    <xf numFmtId="0" fontId="9" fillId="2" borderId="1" xfId="0" applyNumberFormat="1" applyFont="1" applyFill="1" applyBorder="1" applyAlignment="1">
      <alignment vertical="top" wrapText="1"/>
    </xf>
    <xf numFmtId="0" fontId="10" fillId="10" borderId="1" xfId="0" applyNumberFormat="1" applyFont="1" applyFill="1" applyBorder="1" applyAlignment="1">
      <alignment vertical="top" wrapText="1"/>
    </xf>
    <xf numFmtId="0" fontId="10" fillId="0" borderId="1" xfId="0" applyNumberFormat="1" applyFont="1" applyBorder="1" applyAlignment="1">
      <alignment vertical="top" wrapText="1"/>
    </xf>
    <xf numFmtId="0" fontId="10" fillId="2" borderId="1" xfId="0" applyNumberFormat="1" applyFont="1" applyFill="1" applyBorder="1" applyAlignment="1">
      <alignment vertical="top" wrapText="1"/>
    </xf>
    <xf numFmtId="0" fontId="10" fillId="5" borderId="1" xfId="0" applyNumberFormat="1" applyFont="1" applyFill="1" applyBorder="1" applyAlignment="1">
      <alignment vertical="top" wrapText="1"/>
    </xf>
    <xf numFmtId="0" fontId="10" fillId="7" borderId="1" xfId="0" applyNumberFormat="1" applyFont="1" applyFill="1" applyBorder="1" applyAlignment="1">
      <alignment vertical="top" wrapText="1"/>
    </xf>
    <xf numFmtId="0" fontId="10" fillId="0" borderId="1" xfId="0" applyFont="1" applyFill="1" applyBorder="1" applyAlignment="1">
      <alignment vertical="top" wrapText="1"/>
    </xf>
    <xf numFmtId="0" fontId="9" fillId="12" borderId="1" xfId="0" applyNumberFormat="1" applyFont="1" applyFill="1" applyBorder="1" applyAlignment="1">
      <alignment vertical="top" wrapText="1"/>
    </xf>
    <xf numFmtId="0" fontId="17" fillId="2" borderId="1" xfId="0" applyNumberFormat="1" applyFont="1" applyFill="1" applyBorder="1" applyAlignment="1">
      <alignment horizontal="left" vertical="top" wrapText="1"/>
    </xf>
    <xf numFmtId="0" fontId="0" fillId="12" borderId="22" xfId="0" applyFill="1" applyBorder="1"/>
    <xf numFmtId="0" fontId="0" fillId="12" borderId="20" xfId="0" applyFill="1" applyBorder="1"/>
    <xf numFmtId="0" fontId="0" fillId="12" borderId="0" xfId="0" applyFill="1" applyBorder="1"/>
    <xf numFmtId="0" fontId="13" fillId="2" borderId="1" xfId="0" applyNumberFormat="1" applyFont="1" applyFill="1" applyBorder="1" applyAlignment="1">
      <alignment horizontal="right" vertical="top"/>
    </xf>
    <xf numFmtId="0" fontId="13" fillId="0" borderId="1" xfId="0" applyNumberFormat="1" applyFont="1" applyBorder="1" applyAlignment="1">
      <alignment horizontal="right" vertical="top"/>
    </xf>
    <xf numFmtId="0" fontId="13" fillId="6" borderId="1" xfId="0" applyNumberFormat="1" applyFont="1" applyFill="1" applyBorder="1" applyAlignment="1">
      <alignment horizontal="right" vertical="top"/>
    </xf>
    <xf numFmtId="0" fontId="13" fillId="0" borderId="0" xfId="0" applyNumberFormat="1" applyFont="1" applyAlignment="1">
      <alignment horizontal="right" vertical="top"/>
    </xf>
    <xf numFmtId="0" fontId="32" fillId="12" borderId="18" xfId="4" applyNumberFormat="1" applyFont="1" applyFill="1" applyBorder="1" applyAlignment="1">
      <alignment horizontal="right" vertical="top" wrapText="1"/>
    </xf>
    <xf numFmtId="0" fontId="30" fillId="12" borderId="1" xfId="4" applyFont="1" applyFill="1" applyBorder="1" applyAlignment="1">
      <alignment horizontal="center" vertical="top" wrapText="1"/>
    </xf>
    <xf numFmtId="0" fontId="2" fillId="12" borderId="1" xfId="4" applyFill="1" applyBorder="1" applyAlignment="1">
      <alignment horizontal="center" vertical="top" wrapText="1"/>
    </xf>
    <xf numFmtId="0" fontId="30" fillId="12" borderId="1" xfId="4" applyFont="1" applyFill="1" applyBorder="1" applyAlignment="1">
      <alignment horizontal="left" vertical="top" wrapText="1"/>
    </xf>
    <xf numFmtId="0" fontId="2" fillId="12" borderId="1" xfId="4" applyFill="1" applyBorder="1" applyAlignment="1">
      <alignment horizontal="left" vertical="top" wrapText="1"/>
    </xf>
    <xf numFmtId="1" fontId="11" fillId="2" borderId="1" xfId="0" applyNumberFormat="1" applyFont="1" applyFill="1" applyBorder="1" applyAlignment="1">
      <alignment horizontal="center" vertical="center"/>
    </xf>
    <xf numFmtId="170" fontId="2" fillId="12" borderId="1" xfId="4" applyNumberFormat="1" applyFill="1" applyBorder="1" applyAlignment="1">
      <alignment horizontal="right" vertical="top" wrapText="1"/>
    </xf>
    <xf numFmtId="170" fontId="32" fillId="12" borderId="1" xfId="4" applyNumberFormat="1" applyFont="1" applyFill="1" applyBorder="1" applyAlignment="1">
      <alignment horizontal="right" vertical="top" wrapText="1"/>
    </xf>
    <xf numFmtId="0" fontId="13" fillId="12" borderId="1" xfId="0" applyNumberFormat="1" applyFont="1" applyFill="1" applyBorder="1" applyAlignment="1">
      <alignment horizontal="right" vertical="top" wrapText="1"/>
    </xf>
    <xf numFmtId="0" fontId="13" fillId="2" borderId="1" xfId="0" applyNumberFormat="1" applyFont="1" applyFill="1" applyBorder="1" applyAlignment="1">
      <alignment horizontal="right" vertical="top" wrapText="1"/>
    </xf>
    <xf numFmtId="0" fontId="13" fillId="5" borderId="1" xfId="0" applyNumberFormat="1" applyFont="1" applyFill="1" applyBorder="1" applyAlignment="1">
      <alignment horizontal="right" vertical="top" wrapText="1"/>
    </xf>
    <xf numFmtId="0" fontId="13" fillId="6" borderId="1" xfId="0" applyNumberFormat="1" applyFont="1" applyFill="1" applyBorder="1" applyAlignment="1">
      <alignment horizontal="right" vertical="top" wrapText="1"/>
    </xf>
    <xf numFmtId="0" fontId="13" fillId="7" borderId="1" xfId="0" applyNumberFormat="1" applyFont="1" applyFill="1" applyBorder="1" applyAlignment="1">
      <alignment horizontal="right" vertical="top" wrapText="1"/>
    </xf>
    <xf numFmtId="0" fontId="11" fillId="12" borderId="1" xfId="0" applyNumberFormat="1" applyFont="1" applyFill="1" applyBorder="1" applyAlignment="1">
      <alignment horizontal="right" vertical="top" wrapText="1"/>
    </xf>
    <xf numFmtId="0" fontId="13" fillId="10" borderId="1" xfId="0" applyNumberFormat="1" applyFont="1" applyFill="1" applyBorder="1" applyAlignment="1">
      <alignment horizontal="right" vertical="top" wrapText="1"/>
    </xf>
    <xf numFmtId="0" fontId="11" fillId="5" borderId="1" xfId="0" applyNumberFormat="1" applyFont="1" applyFill="1" applyBorder="1" applyAlignment="1">
      <alignment horizontal="right" vertical="top" wrapText="1"/>
    </xf>
    <xf numFmtId="0" fontId="11" fillId="0" borderId="1" xfId="0" applyNumberFormat="1" applyFont="1" applyFill="1" applyBorder="1" applyAlignment="1">
      <alignment horizontal="right" vertical="top" wrapText="1"/>
    </xf>
    <xf numFmtId="0" fontId="32" fillId="12" borderId="1" xfId="4" quotePrefix="1" applyNumberFormat="1" applyFont="1" applyFill="1" applyBorder="1" applyAlignment="1">
      <alignment horizontal="right" vertical="top" wrapText="1"/>
    </xf>
    <xf numFmtId="0" fontId="13" fillId="0" borderId="1" xfId="0" applyNumberFormat="1" applyFont="1" applyBorder="1" applyAlignment="1">
      <alignment horizontal="right" vertical="top" wrapText="1"/>
    </xf>
    <xf numFmtId="0" fontId="13" fillId="5" borderId="1" xfId="0" applyNumberFormat="1" applyFont="1" applyFill="1" applyBorder="1" applyAlignment="1">
      <alignment horizontal="right" vertical="top"/>
    </xf>
    <xf numFmtId="0" fontId="5" fillId="15" borderId="1" xfId="0" applyNumberFormat="1" applyFont="1" applyFill="1" applyBorder="1" applyAlignment="1">
      <alignment horizontal="center" vertical="center" wrapText="1"/>
    </xf>
    <xf numFmtId="0" fontId="10" fillId="15" borderId="1" xfId="0" applyNumberFormat="1" applyFont="1" applyFill="1" applyBorder="1" applyAlignment="1">
      <alignment horizontal="left" vertical="top" wrapText="1"/>
    </xf>
    <xf numFmtId="0" fontId="9" fillId="15" borderId="1" xfId="0" applyNumberFormat="1" applyFont="1" applyFill="1" applyBorder="1" applyAlignment="1">
      <alignment horizontal="left" vertical="top" wrapText="1"/>
    </xf>
    <xf numFmtId="0" fontId="17" fillId="15" borderId="1" xfId="0" applyNumberFormat="1" applyFont="1" applyFill="1" applyBorder="1" applyAlignment="1">
      <alignment horizontal="left" vertical="top" wrapText="1"/>
    </xf>
    <xf numFmtId="0" fontId="10" fillId="15" borderId="2" xfId="0" applyNumberFormat="1" applyFont="1" applyFill="1" applyBorder="1" applyAlignment="1">
      <alignment horizontal="left" vertical="top" wrapText="1"/>
    </xf>
    <xf numFmtId="0" fontId="10" fillId="15" borderId="1" xfId="0" applyNumberFormat="1" applyFont="1" applyFill="1" applyBorder="1" applyAlignment="1">
      <alignment horizontal="left" vertical="top"/>
    </xf>
    <xf numFmtId="0" fontId="10" fillId="15" borderId="1" xfId="0" applyNumberFormat="1" applyFont="1" applyFill="1" applyBorder="1" applyAlignment="1">
      <alignment horizontal="center" vertical="top" wrapText="1"/>
    </xf>
    <xf numFmtId="14" fontId="10" fillId="15" borderId="1" xfId="0" applyNumberFormat="1" applyFont="1" applyFill="1" applyBorder="1" applyAlignment="1">
      <alignment horizontal="center" vertical="top" wrapText="1"/>
    </xf>
    <xf numFmtId="0" fontId="17" fillId="15" borderId="1" xfId="0" applyNumberFormat="1" applyFont="1" applyFill="1" applyBorder="1" applyAlignment="1">
      <alignment horizontal="center" vertical="top" wrapText="1"/>
    </xf>
    <xf numFmtId="0" fontId="9" fillId="15" borderId="1" xfId="0" applyNumberFormat="1" applyFont="1" applyFill="1" applyBorder="1" applyAlignment="1">
      <alignment horizontal="center" vertical="top" wrapText="1"/>
    </xf>
    <xf numFmtId="0" fontId="10" fillId="15" borderId="1" xfId="0" applyFont="1" applyFill="1" applyBorder="1" applyAlignment="1">
      <alignment horizontal="center" vertical="top" wrapText="1"/>
    </xf>
    <xf numFmtId="0" fontId="10" fillId="15" borderId="1" xfId="0" applyNumberFormat="1" applyFont="1" applyFill="1" applyBorder="1" applyAlignment="1">
      <alignment horizontal="center" vertical="top"/>
    </xf>
    <xf numFmtId="0" fontId="33" fillId="15" borderId="1" xfId="0" applyFont="1" applyFill="1" applyBorder="1" applyAlignment="1">
      <alignment vertical="top"/>
    </xf>
    <xf numFmtId="14" fontId="10" fillId="15" borderId="1" xfId="0" applyNumberFormat="1" applyFont="1" applyFill="1" applyBorder="1" applyAlignment="1">
      <alignment horizontal="center" vertical="top"/>
    </xf>
    <xf numFmtId="0" fontId="33" fillId="15" borderId="0" xfId="0" applyFont="1" applyFill="1" applyAlignment="1">
      <alignment horizontal="center" vertical="top"/>
    </xf>
    <xf numFmtId="14" fontId="9" fillId="15" borderId="1" xfId="0" applyNumberFormat="1" applyFont="1" applyFill="1" applyBorder="1" applyAlignment="1">
      <alignment horizontal="center" vertical="top"/>
    </xf>
    <xf numFmtId="0" fontId="9" fillId="15" borderId="1" xfId="0" applyFont="1" applyFill="1" applyBorder="1" applyAlignment="1">
      <alignment horizontal="center" vertical="top"/>
    </xf>
    <xf numFmtId="14" fontId="9" fillId="15" borderId="1" xfId="0" applyNumberFormat="1" applyFont="1" applyFill="1" applyBorder="1" applyAlignment="1">
      <alignment horizontal="center" vertical="top" wrapText="1"/>
    </xf>
    <xf numFmtId="14" fontId="9" fillId="0" borderId="1" xfId="0" applyNumberFormat="1" applyFont="1" applyBorder="1" applyAlignment="1">
      <alignment horizontal="justify" vertical="center" wrapText="1"/>
    </xf>
    <xf numFmtId="0" fontId="9" fillId="0" borderId="1" xfId="0" applyFont="1" applyBorder="1" applyAlignment="1">
      <alignment horizontal="justify" vertical="top" wrapText="1"/>
    </xf>
    <xf numFmtId="0" fontId="34" fillId="0" borderId="0" xfId="0" applyFont="1" applyAlignment="1">
      <alignment horizontal="center" vertical="center" wrapText="1"/>
    </xf>
    <xf numFmtId="0" fontId="13" fillId="0" borderId="0" xfId="0" applyFont="1"/>
    <xf numFmtId="0" fontId="13" fillId="2" borderId="0" xfId="0" applyFont="1" applyFill="1"/>
    <xf numFmtId="14" fontId="13" fillId="0" borderId="0" xfId="0" applyNumberFormat="1" applyFont="1" applyAlignment="1">
      <alignment horizontal="center" vertical="top"/>
    </xf>
    <xf numFmtId="14" fontId="13" fillId="2" borderId="0" xfId="0" applyNumberFormat="1" applyFont="1" applyFill="1"/>
    <xf numFmtId="14" fontId="13" fillId="0" borderId="0" xfId="0" applyNumberFormat="1" applyFont="1"/>
    <xf numFmtId="0" fontId="9" fillId="0" borderId="1" xfId="0" applyFont="1" applyBorder="1" applyAlignment="1">
      <alignment vertical="top"/>
    </xf>
    <xf numFmtId="14" fontId="9" fillId="2" borderId="1" xfId="0" applyNumberFormat="1" applyFont="1" applyFill="1" applyBorder="1" applyAlignment="1">
      <alignment horizontal="justify" vertical="top" wrapText="1"/>
    </xf>
    <xf numFmtId="0" fontId="9" fillId="6" borderId="1" xfId="0" applyFont="1" applyFill="1" applyBorder="1" applyAlignment="1">
      <alignment horizontal="justify" vertical="top" wrapText="1"/>
    </xf>
    <xf numFmtId="2" fontId="5" fillId="6" borderId="1" xfId="0" applyNumberFormat="1" applyFont="1" applyFill="1" applyBorder="1" applyAlignment="1">
      <alignment horizontal="left" vertical="top" wrapText="1"/>
    </xf>
    <xf numFmtId="0" fontId="9" fillId="3" borderId="1" xfId="0" applyFont="1" applyFill="1" applyBorder="1" applyAlignment="1">
      <alignment horizontal="center" vertical="top" wrapText="1"/>
    </xf>
    <xf numFmtId="0" fontId="9" fillId="16" borderId="1" xfId="0" applyFont="1" applyFill="1" applyBorder="1" applyAlignment="1">
      <alignment horizontal="center" vertical="top" wrapText="1"/>
    </xf>
    <xf numFmtId="2" fontId="10" fillId="0" borderId="1" xfId="0" applyNumberFormat="1" applyFont="1" applyFill="1" applyBorder="1" applyAlignment="1">
      <alignment horizontal="left" vertical="top" wrapText="1"/>
    </xf>
    <xf numFmtId="0" fontId="9" fillId="0" borderId="1" xfId="0" applyFont="1" applyBorder="1"/>
    <xf numFmtId="0" fontId="9" fillId="0" borderId="1" xfId="0" applyFont="1" applyFill="1" applyBorder="1"/>
    <xf numFmtId="14" fontId="9" fillId="0" borderId="1" xfId="0" applyNumberFormat="1" applyFont="1" applyBorder="1" applyAlignment="1">
      <alignment wrapText="1"/>
    </xf>
    <xf numFmtId="14" fontId="10" fillId="15" borderId="1" xfId="0" applyNumberFormat="1" applyFont="1" applyFill="1" applyBorder="1" applyAlignment="1">
      <alignment horizontal="left" vertical="top"/>
    </xf>
    <xf numFmtId="0" fontId="0" fillId="12" borderId="0" xfId="0" applyFill="1"/>
    <xf numFmtId="0" fontId="9" fillId="12" borderId="1" xfId="0" applyFont="1" applyFill="1" applyBorder="1" applyAlignment="1">
      <alignment horizontal="left" vertical="top"/>
    </xf>
    <xf numFmtId="14" fontId="11" fillId="12" borderId="1" xfId="0" applyNumberFormat="1" applyFont="1" applyFill="1" applyBorder="1" applyAlignment="1">
      <alignment horizontal="left" vertical="top"/>
    </xf>
    <xf numFmtId="2" fontId="11" fillId="12" borderId="1" xfId="0" applyNumberFormat="1" applyFont="1" applyFill="1" applyBorder="1" applyAlignment="1">
      <alignment horizontal="left" vertical="top"/>
    </xf>
    <xf numFmtId="0" fontId="11" fillId="12" borderId="1" xfId="0" applyNumberFormat="1" applyFont="1" applyFill="1" applyBorder="1" applyAlignment="1">
      <alignment horizontal="left" vertical="top"/>
    </xf>
    <xf numFmtId="0" fontId="11" fillId="12" borderId="1" xfId="0" applyNumberFormat="1" applyFont="1" applyFill="1" applyBorder="1" applyAlignment="1">
      <alignment horizontal="left" vertical="top" wrapText="1"/>
    </xf>
    <xf numFmtId="0" fontId="11" fillId="12" borderId="1" xfId="0" applyFont="1" applyFill="1" applyBorder="1" applyAlignment="1">
      <alignment horizontal="left" vertical="top"/>
    </xf>
    <xf numFmtId="0" fontId="11" fillId="12" borderId="1" xfId="0" applyNumberFormat="1" applyFont="1" applyFill="1" applyBorder="1" applyAlignment="1">
      <alignment horizontal="left" vertical="center"/>
    </xf>
    <xf numFmtId="49" fontId="9" fillId="12" borderId="1" xfId="0" applyNumberFormat="1" applyFont="1" applyFill="1" applyBorder="1" applyAlignment="1">
      <alignment horizontal="left" vertical="top"/>
    </xf>
    <xf numFmtId="0" fontId="13" fillId="12" borderId="1" xfId="0" applyNumberFormat="1" applyFont="1" applyFill="1" applyBorder="1" applyAlignment="1">
      <alignment horizontal="right" vertical="top"/>
    </xf>
    <xf numFmtId="49" fontId="10" fillId="12" borderId="1" xfId="0" applyNumberFormat="1" applyFont="1" applyFill="1" applyBorder="1" applyAlignment="1">
      <alignment vertical="top"/>
    </xf>
    <xf numFmtId="49" fontId="9" fillId="12" borderId="1" xfId="0" applyNumberFormat="1" applyFont="1" applyFill="1" applyBorder="1" applyAlignment="1">
      <alignment vertical="top"/>
    </xf>
    <xf numFmtId="49" fontId="9" fillId="12" borderId="1" xfId="0" applyNumberFormat="1" applyFont="1" applyFill="1" applyBorder="1" applyAlignment="1">
      <alignment vertical="top" wrapText="1"/>
    </xf>
    <xf numFmtId="167" fontId="11" fillId="12" borderId="1" xfId="0" applyNumberFormat="1" applyFont="1" applyFill="1" applyBorder="1" applyAlignment="1">
      <alignment horizontal="left" vertical="top"/>
    </xf>
    <xf numFmtId="1" fontId="11" fillId="12" borderId="1" xfId="0" applyNumberFormat="1" applyFont="1" applyFill="1" applyBorder="1" applyAlignment="1">
      <alignment horizontal="left" vertical="top"/>
    </xf>
    <xf numFmtId="17" fontId="11" fillId="12" borderId="2" xfId="0" applyNumberFormat="1" applyFont="1" applyFill="1" applyBorder="1" applyAlignment="1">
      <alignment horizontal="left" vertical="top"/>
    </xf>
    <xf numFmtId="14" fontId="10" fillId="15" borderId="1" xfId="0" applyNumberFormat="1" applyFont="1" applyFill="1" applyBorder="1" applyAlignment="1">
      <alignment horizontal="left" vertical="top" wrapText="1"/>
    </xf>
    <xf numFmtId="0" fontId="0" fillId="15" borderId="0" xfId="0" applyFill="1"/>
    <xf numFmtId="14" fontId="5" fillId="3" borderId="1" xfId="0" applyNumberFormat="1" applyFont="1" applyFill="1" applyBorder="1" applyAlignment="1">
      <alignment horizontal="center" vertical="center" wrapText="1"/>
    </xf>
    <xf numFmtId="170" fontId="30" fillId="12" borderId="1" xfId="0" applyNumberFormat="1" applyFont="1" applyFill="1" applyBorder="1" applyAlignment="1">
      <alignment horizontal="right" vertical="top"/>
    </xf>
    <xf numFmtId="0" fontId="30" fillId="12" borderId="1" xfId="0" applyNumberFormat="1" applyFont="1" applyFill="1" applyBorder="1" applyAlignment="1">
      <alignment horizontal="left" vertical="top"/>
    </xf>
    <xf numFmtId="0" fontId="0" fillId="12" borderId="1" xfId="0" applyNumberFormat="1" applyFill="1" applyBorder="1" applyAlignment="1">
      <alignment horizontal="left" vertical="top"/>
    </xf>
    <xf numFmtId="0" fontId="2" fillId="12" borderId="1" xfId="4" applyNumberFormat="1" applyFill="1" applyBorder="1" applyAlignment="1">
      <alignment horizontal="right" vertical="top" wrapText="1"/>
    </xf>
    <xf numFmtId="166" fontId="11" fillId="5" borderId="1" xfId="0" applyNumberFormat="1" applyFont="1" applyFill="1" applyBorder="1" applyAlignment="1">
      <alignment horizontal="right" vertical="top"/>
    </xf>
    <xf numFmtId="0" fontId="9" fillId="2" borderId="0" xfId="0" applyFont="1" applyFill="1" applyBorder="1" applyAlignment="1">
      <alignment horizontal="left" vertical="top" wrapText="1"/>
    </xf>
    <xf numFmtId="168" fontId="10" fillId="12" borderId="1" xfId="2" applyNumberFormat="1" applyFont="1" applyFill="1" applyBorder="1" applyAlignment="1">
      <alignment horizontal="right" vertical="top" wrapText="1"/>
    </xf>
    <xf numFmtId="14" fontId="10" fillId="17" borderId="1" xfId="0" applyNumberFormat="1" applyFont="1" applyFill="1" applyBorder="1" applyAlignment="1">
      <alignment horizontal="left" vertical="top" wrapText="1"/>
    </xf>
    <xf numFmtId="0" fontId="10" fillId="17" borderId="1" xfId="0" applyNumberFormat="1" applyFont="1" applyFill="1" applyBorder="1" applyAlignment="1">
      <alignment horizontal="left" vertical="top" wrapText="1"/>
    </xf>
    <xf numFmtId="0" fontId="9" fillId="12" borderId="1" xfId="0" applyFont="1" applyFill="1" applyBorder="1" applyAlignment="1">
      <alignment vertical="top" wrapText="1"/>
    </xf>
    <xf numFmtId="3" fontId="10" fillId="12" borderId="1" xfId="0" applyNumberFormat="1" applyFont="1" applyFill="1" applyBorder="1" applyAlignment="1" applyProtection="1">
      <alignment horizontal="right" vertical="top" wrapText="1"/>
    </xf>
    <xf numFmtId="17" fontId="10" fillId="2" borderId="0" xfId="0" applyNumberFormat="1" applyFont="1" applyFill="1" applyBorder="1" applyAlignment="1">
      <alignment horizontal="left" vertical="top" wrapText="1"/>
    </xf>
    <xf numFmtId="14" fontId="10" fillId="12" borderId="1" xfId="0" applyNumberFormat="1" applyFont="1" applyFill="1" applyBorder="1" applyAlignment="1">
      <alignment horizontal="center" vertical="top" wrapText="1"/>
    </xf>
    <xf numFmtId="17" fontId="9" fillId="2" borderId="1" xfId="0" applyNumberFormat="1" applyFont="1" applyFill="1" applyBorder="1" applyAlignment="1">
      <alignment horizontal="left" vertical="top"/>
    </xf>
    <xf numFmtId="0" fontId="0" fillId="12" borderId="1" xfId="0" applyFill="1" applyBorder="1"/>
    <xf numFmtId="3" fontId="10" fillId="12" borderId="1" xfId="9" applyNumberFormat="1" applyFont="1" applyFill="1" applyBorder="1" applyAlignment="1" applyProtection="1">
      <alignment horizontal="right" vertical="top" wrapText="1"/>
      <protection locked="0"/>
    </xf>
    <xf numFmtId="0" fontId="0" fillId="12" borderId="1" xfId="0" applyFill="1" applyBorder="1" applyAlignment="1">
      <alignment wrapText="1"/>
    </xf>
    <xf numFmtId="0" fontId="30" fillId="12" borderId="1" xfId="0" applyFont="1" applyFill="1" applyBorder="1"/>
    <xf numFmtId="1" fontId="0" fillId="12" borderId="1" xfId="0" applyNumberFormat="1" applyFill="1" applyBorder="1"/>
    <xf numFmtId="0" fontId="0" fillId="12" borderId="2" xfId="0" applyFill="1" applyBorder="1"/>
    <xf numFmtId="0" fontId="35" fillId="0" borderId="0" xfId="0" applyFont="1"/>
    <xf numFmtId="0" fontId="9" fillId="6" borderId="1" xfId="0" applyFont="1" applyFill="1" applyBorder="1" applyAlignment="1">
      <alignment horizontal="left" vertical="top"/>
    </xf>
    <xf numFmtId="14" fontId="9" fillId="6" borderId="1" xfId="0" applyNumberFormat="1" applyFont="1" applyFill="1" applyBorder="1" applyAlignment="1">
      <alignment horizontal="left" vertical="top"/>
    </xf>
    <xf numFmtId="169" fontId="5" fillId="2" borderId="1" xfId="0" applyNumberFormat="1" applyFont="1" applyFill="1" applyBorder="1" applyAlignment="1">
      <alignment horizontal="center" vertical="center" wrapText="1"/>
    </xf>
    <xf numFmtId="169" fontId="10" fillId="2" borderId="1" xfId="0" applyNumberFormat="1" applyFont="1" applyFill="1" applyBorder="1" applyAlignment="1">
      <alignment horizontal="left" vertical="top"/>
    </xf>
    <xf numFmtId="17" fontId="7" fillId="12" borderId="2" xfId="0" applyNumberFormat="1" applyFont="1" applyFill="1" applyBorder="1" applyAlignment="1">
      <alignment horizontal="left" vertical="top" wrapText="1"/>
    </xf>
    <xf numFmtId="0" fontId="10" fillId="12" borderId="1" xfId="0" applyNumberFormat="1" applyFont="1" applyFill="1" applyBorder="1" applyAlignment="1">
      <alignment horizontal="center" vertical="top" wrapText="1"/>
    </xf>
    <xf numFmtId="0" fontId="9" fillId="18" borderId="1" xfId="0" applyFont="1" applyFill="1" applyBorder="1" applyAlignment="1">
      <alignment horizontal="center" vertical="top" wrapText="1"/>
    </xf>
    <xf numFmtId="0" fontId="10" fillId="18" borderId="1" xfId="0" applyNumberFormat="1" applyFont="1" applyFill="1" applyBorder="1" applyAlignment="1">
      <alignment horizontal="left" vertical="top" wrapText="1"/>
    </xf>
    <xf numFmtId="3" fontId="10" fillId="18" borderId="1" xfId="9" applyNumberFormat="1" applyFont="1" applyFill="1" applyBorder="1" applyAlignment="1">
      <alignment horizontal="right" vertical="top" wrapText="1"/>
    </xf>
    <xf numFmtId="0" fontId="10" fillId="18" borderId="1" xfId="0" applyNumberFormat="1" applyFont="1" applyFill="1" applyBorder="1" applyAlignment="1">
      <alignment vertical="top" wrapText="1"/>
    </xf>
    <xf numFmtId="14" fontId="10" fillId="18" borderId="1" xfId="0" applyNumberFormat="1" applyFont="1" applyFill="1" applyBorder="1" applyAlignment="1">
      <alignment horizontal="left" vertical="top" wrapText="1"/>
    </xf>
    <xf numFmtId="17" fontId="10" fillId="18" borderId="1" xfId="0" applyNumberFormat="1" applyFont="1" applyFill="1" applyBorder="1" applyAlignment="1">
      <alignment horizontal="left" vertical="top" wrapText="1"/>
    </xf>
    <xf numFmtId="2" fontId="10" fillId="18" borderId="1" xfId="0" applyNumberFormat="1" applyFont="1" applyFill="1" applyBorder="1" applyAlignment="1">
      <alignment horizontal="left" vertical="top" wrapText="1"/>
    </xf>
    <xf numFmtId="17" fontId="10" fillId="18" borderId="1" xfId="0" applyNumberFormat="1" applyFont="1" applyFill="1" applyBorder="1" applyAlignment="1">
      <alignment horizontal="left" vertical="top"/>
    </xf>
    <xf numFmtId="1" fontId="10" fillId="18" borderId="1" xfId="0" applyNumberFormat="1" applyFont="1" applyFill="1" applyBorder="1" applyAlignment="1">
      <alignment horizontal="left" vertical="top" wrapText="1"/>
    </xf>
    <xf numFmtId="0" fontId="10" fillId="18" borderId="1" xfId="0" applyNumberFormat="1" applyFont="1" applyFill="1" applyBorder="1" applyAlignment="1">
      <alignment horizontal="center" vertical="top" wrapText="1"/>
    </xf>
    <xf numFmtId="166" fontId="10" fillId="18" borderId="1" xfId="0" applyNumberFormat="1" applyFont="1" applyFill="1" applyBorder="1" applyAlignment="1">
      <alignment horizontal="right" vertical="top" wrapText="1"/>
    </xf>
    <xf numFmtId="1" fontId="10" fillId="18" borderId="1" xfId="0" applyNumberFormat="1" applyFont="1" applyFill="1" applyBorder="1" applyAlignment="1">
      <alignment horizontal="right" vertical="top" wrapText="1"/>
    </xf>
    <xf numFmtId="17" fontId="9" fillId="18" borderId="1" xfId="0" applyNumberFormat="1" applyFont="1" applyFill="1" applyBorder="1" applyAlignment="1">
      <alignment horizontal="left" vertical="top" wrapText="1"/>
    </xf>
    <xf numFmtId="0" fontId="13" fillId="18" borderId="1" xfId="0" applyNumberFormat="1" applyFont="1" applyFill="1" applyBorder="1" applyAlignment="1">
      <alignment horizontal="right" vertical="top" wrapText="1"/>
    </xf>
    <xf numFmtId="170" fontId="10" fillId="18" borderId="1" xfId="0" applyNumberFormat="1" applyFont="1" applyFill="1" applyBorder="1" applyAlignment="1">
      <alignment horizontal="right" vertical="top" wrapText="1"/>
    </xf>
    <xf numFmtId="0" fontId="9" fillId="18" borderId="1" xfId="0" applyNumberFormat="1" applyFont="1" applyFill="1" applyBorder="1" applyAlignment="1">
      <alignment horizontal="left" vertical="top" wrapText="1"/>
    </xf>
    <xf numFmtId="2" fontId="9" fillId="18" borderId="1" xfId="0" applyNumberFormat="1" applyFont="1" applyFill="1" applyBorder="1" applyAlignment="1">
      <alignment horizontal="left" vertical="top" wrapText="1"/>
    </xf>
    <xf numFmtId="167" fontId="9" fillId="18" borderId="1" xfId="0" applyNumberFormat="1" applyFont="1" applyFill="1" applyBorder="1" applyAlignment="1">
      <alignment horizontal="left" vertical="top" wrapText="1"/>
    </xf>
    <xf numFmtId="1" fontId="9" fillId="18" borderId="1" xfId="0" applyNumberFormat="1" applyFont="1" applyFill="1" applyBorder="1" applyAlignment="1">
      <alignment horizontal="left" vertical="top" wrapText="1"/>
    </xf>
    <xf numFmtId="14" fontId="9" fillId="18" borderId="1" xfId="0" applyNumberFormat="1" applyFont="1" applyFill="1" applyBorder="1" applyAlignment="1">
      <alignment horizontal="left" vertical="top" wrapText="1"/>
    </xf>
    <xf numFmtId="17" fontId="9" fillId="18" borderId="2" xfId="0" applyNumberFormat="1" applyFont="1" applyFill="1" applyBorder="1" applyAlignment="1">
      <alignment horizontal="left" vertical="top" wrapText="1"/>
    </xf>
    <xf numFmtId="3" fontId="10" fillId="18" borderId="1" xfId="0" applyNumberFormat="1" applyFont="1" applyFill="1" applyBorder="1" applyAlignment="1">
      <alignment horizontal="right" vertical="top" wrapText="1"/>
    </xf>
    <xf numFmtId="0" fontId="5" fillId="18" borderId="1" xfId="0" applyNumberFormat="1" applyFont="1" applyFill="1" applyBorder="1" applyAlignment="1">
      <alignment horizontal="left" vertical="top" wrapText="1"/>
    </xf>
    <xf numFmtId="167" fontId="10" fillId="18" borderId="1" xfId="0" applyNumberFormat="1" applyFont="1" applyFill="1" applyBorder="1" applyAlignment="1">
      <alignment horizontal="left" vertical="top" wrapText="1"/>
    </xf>
    <xf numFmtId="17" fontId="10" fillId="18" borderId="2" xfId="0" applyNumberFormat="1" applyFont="1" applyFill="1" applyBorder="1" applyAlignment="1">
      <alignment horizontal="left" vertical="top" wrapText="1"/>
    </xf>
    <xf numFmtId="1" fontId="5" fillId="0" borderId="1" xfId="0" applyNumberFormat="1" applyFont="1" applyFill="1" applyBorder="1" applyAlignment="1">
      <alignment horizontal="center" vertical="center" wrapText="1"/>
    </xf>
    <xf numFmtId="14" fontId="5" fillId="12" borderId="1" xfId="0" applyNumberFormat="1" applyFont="1" applyFill="1" applyBorder="1" applyAlignment="1">
      <alignment horizontal="center" vertical="center" wrapText="1"/>
    </xf>
    <xf numFmtId="0" fontId="10" fillId="0" borderId="15" xfId="0" applyFont="1" applyFill="1" applyBorder="1" applyAlignment="1">
      <alignment horizontal="center" vertical="center" wrapText="1"/>
    </xf>
    <xf numFmtId="0" fontId="13" fillId="0" borderId="0" xfId="0" applyFont="1" applyFill="1"/>
    <xf numFmtId="0" fontId="0" fillId="0" borderId="0" xfId="0" applyFill="1"/>
    <xf numFmtId="0" fontId="9" fillId="2" borderId="5" xfId="0" applyFont="1" applyFill="1" applyBorder="1" applyAlignment="1">
      <alignment horizontal="center" vertical="top" wrapText="1"/>
    </xf>
    <xf numFmtId="0" fontId="10" fillId="0" borderId="5" xfId="0" applyNumberFormat="1" applyFont="1" applyBorder="1" applyAlignment="1">
      <alignment horizontal="left" vertical="center" wrapText="1"/>
    </xf>
    <xf numFmtId="3" fontId="10" fillId="0" borderId="5" xfId="0" applyNumberFormat="1" applyFont="1" applyBorder="1" applyAlignment="1">
      <alignment horizontal="right" vertical="top" wrapText="1"/>
    </xf>
    <xf numFmtId="0" fontId="11" fillId="0" borderId="5" xfId="0" applyNumberFormat="1" applyFont="1" applyBorder="1" applyAlignment="1">
      <alignment vertical="top"/>
    </xf>
    <xf numFmtId="14" fontId="10" fillId="0" borderId="5" xfId="0" applyNumberFormat="1" applyFont="1" applyBorder="1" applyAlignment="1">
      <alignment horizontal="left" vertical="top" wrapText="1"/>
    </xf>
    <xf numFmtId="17" fontId="10" fillId="0" borderId="5" xfId="0" applyNumberFormat="1" applyFont="1" applyBorder="1" applyAlignment="1">
      <alignment horizontal="left" vertical="top"/>
    </xf>
    <xf numFmtId="2" fontId="10" fillId="0" borderId="5" xfId="0" applyNumberFormat="1" applyFont="1" applyBorder="1" applyAlignment="1">
      <alignment horizontal="left" vertical="top" wrapText="1"/>
    </xf>
    <xf numFmtId="0" fontId="10" fillId="0" borderId="5" xfId="0" applyNumberFormat="1" applyFont="1" applyBorder="1" applyAlignment="1">
      <alignment horizontal="left" vertical="top" wrapText="1"/>
    </xf>
    <xf numFmtId="14" fontId="10" fillId="0" borderId="5" xfId="0" applyNumberFormat="1" applyFont="1" applyBorder="1" applyAlignment="1">
      <alignment horizontal="left" vertical="top"/>
    </xf>
    <xf numFmtId="2" fontId="10" fillId="0" borderId="5" xfId="0" applyNumberFormat="1" applyFont="1" applyBorder="1" applyAlignment="1">
      <alignment horizontal="left" vertical="top"/>
    </xf>
    <xf numFmtId="0" fontId="10" fillId="0" borderId="5" xfId="0" applyNumberFormat="1" applyFont="1" applyBorder="1" applyAlignment="1">
      <alignment horizontal="left" vertical="top"/>
    </xf>
    <xf numFmtId="0" fontId="10" fillId="0" borderId="5" xfId="0" applyFont="1" applyBorder="1" applyAlignment="1">
      <alignment horizontal="left" vertical="top"/>
    </xf>
    <xf numFmtId="0" fontId="10" fillId="2" borderId="5" xfId="0" applyNumberFormat="1" applyFont="1" applyFill="1" applyBorder="1" applyAlignment="1">
      <alignment horizontal="left" vertical="top"/>
    </xf>
    <xf numFmtId="0" fontId="10" fillId="15" borderId="5" xfId="0" applyNumberFormat="1" applyFont="1" applyFill="1" applyBorder="1" applyAlignment="1">
      <alignment horizontal="center" vertical="top"/>
    </xf>
    <xf numFmtId="0" fontId="10" fillId="2" borderId="5" xfId="0" applyNumberFormat="1" applyFont="1" applyFill="1" applyBorder="1" applyAlignment="1">
      <alignment horizontal="left" vertical="center"/>
    </xf>
    <xf numFmtId="166" fontId="10" fillId="0" borderId="5" xfId="0" applyNumberFormat="1" applyFont="1" applyBorder="1" applyAlignment="1">
      <alignment horizontal="right" vertical="top"/>
    </xf>
    <xf numFmtId="1" fontId="10" fillId="0" borderId="5" xfId="0" applyNumberFormat="1" applyFont="1" applyBorder="1" applyAlignment="1">
      <alignment horizontal="right" vertical="top"/>
    </xf>
    <xf numFmtId="0" fontId="9" fillId="0" borderId="5" xfId="0" applyNumberFormat="1" applyFont="1" applyBorder="1" applyAlignment="1">
      <alignment horizontal="right" vertical="top"/>
    </xf>
    <xf numFmtId="170" fontId="9" fillId="0" borderId="5" xfId="0" applyNumberFormat="1" applyFont="1" applyBorder="1" applyAlignment="1">
      <alignment horizontal="right" vertical="top"/>
    </xf>
    <xf numFmtId="0" fontId="9" fillId="0" borderId="5" xfId="0" applyNumberFormat="1" applyFont="1" applyBorder="1" applyAlignment="1">
      <alignment horizontal="left" vertical="top"/>
    </xf>
    <xf numFmtId="167" fontId="10" fillId="0" borderId="5" xfId="0" applyNumberFormat="1" applyFont="1" applyBorder="1" applyAlignment="1">
      <alignment horizontal="left" vertical="top"/>
    </xf>
    <xf numFmtId="1" fontId="10" fillId="0" borderId="5" xfId="0" applyNumberFormat="1" applyFont="1" applyBorder="1" applyAlignment="1">
      <alignment horizontal="left" vertical="top"/>
    </xf>
    <xf numFmtId="0" fontId="11" fillId="0" borderId="1" xfId="0" applyFont="1" applyBorder="1" applyAlignment="1">
      <alignment horizontal="center" vertical="top"/>
    </xf>
    <xf numFmtId="0" fontId="11" fillId="0" borderId="1" xfId="0" applyNumberFormat="1" applyFont="1" applyBorder="1" applyAlignment="1">
      <alignment horizontal="left" vertical="center" wrapText="1"/>
    </xf>
    <xf numFmtId="3" fontId="11" fillId="0" borderId="1" xfId="0" applyNumberFormat="1" applyFont="1" applyBorder="1" applyAlignment="1">
      <alignment horizontal="right" vertical="top" wrapText="1"/>
    </xf>
    <xf numFmtId="14" fontId="11" fillId="0" borderId="1" xfId="0" applyNumberFormat="1" applyFont="1" applyBorder="1" applyAlignment="1">
      <alignment horizontal="left" vertical="top" wrapText="1"/>
    </xf>
    <xf numFmtId="2" fontId="11" fillId="0" borderId="1" xfId="0" applyNumberFormat="1" applyFont="1" applyBorder="1" applyAlignment="1">
      <alignment horizontal="left" vertical="top" wrapText="1"/>
    </xf>
    <xf numFmtId="17" fontId="10" fillId="0" borderId="1" xfId="0" applyNumberFormat="1" applyFont="1" applyFill="1" applyBorder="1" applyAlignment="1">
      <alignment horizontal="left" vertical="top"/>
    </xf>
    <xf numFmtId="172" fontId="28" fillId="0" borderId="0" xfId="0" applyNumberFormat="1" applyFont="1" applyAlignment="1">
      <alignment horizontal="center" vertical="center"/>
    </xf>
    <xf numFmtId="172" fontId="10" fillId="5" borderId="1" xfId="0" applyNumberFormat="1" applyFont="1" applyFill="1" applyBorder="1" applyAlignment="1">
      <alignment horizontal="left" vertical="top" wrapText="1"/>
    </xf>
    <xf numFmtId="172" fontId="10" fillId="12" borderId="1" xfId="0" applyNumberFormat="1" applyFont="1" applyFill="1" applyBorder="1" applyAlignment="1">
      <alignment horizontal="left" vertical="top" wrapText="1"/>
    </xf>
    <xf numFmtId="172" fontId="10" fillId="2" borderId="1" xfId="0" applyNumberFormat="1" applyFont="1" applyFill="1" applyBorder="1" applyAlignment="1">
      <alignment horizontal="left" vertical="top" wrapText="1"/>
    </xf>
    <xf numFmtId="172" fontId="10" fillId="7" borderId="1" xfId="0" applyNumberFormat="1" applyFont="1" applyFill="1" applyBorder="1" applyAlignment="1">
      <alignment horizontal="left" vertical="top" wrapText="1"/>
    </xf>
    <xf numFmtId="172" fontId="10" fillId="6" borderId="1" xfId="0" applyNumberFormat="1" applyFont="1" applyFill="1" applyBorder="1" applyAlignment="1">
      <alignment horizontal="left" vertical="top" wrapText="1"/>
    </xf>
    <xf numFmtId="172" fontId="10" fillId="0" borderId="1" xfId="0" applyNumberFormat="1" applyFont="1" applyBorder="1" applyAlignment="1">
      <alignment horizontal="left" vertical="top" wrapText="1"/>
    </xf>
    <xf numFmtId="172" fontId="9" fillId="2" borderId="1" xfId="0" applyNumberFormat="1" applyFont="1" applyFill="1" applyBorder="1" applyAlignment="1">
      <alignment horizontal="left" vertical="top" wrapText="1"/>
    </xf>
    <xf numFmtId="172" fontId="10" fillId="0" borderId="1" xfId="0" applyNumberFormat="1" applyFont="1" applyBorder="1" applyAlignment="1">
      <alignment horizontal="left" vertical="top"/>
    </xf>
    <xf numFmtId="172" fontId="10" fillId="10" borderId="1" xfId="0" applyNumberFormat="1" applyFont="1" applyFill="1" applyBorder="1" applyAlignment="1">
      <alignment horizontal="left" vertical="top" wrapText="1"/>
    </xf>
    <xf numFmtId="172" fontId="10" fillId="0" borderId="1" xfId="0" applyNumberFormat="1" applyFont="1" applyFill="1" applyBorder="1" applyAlignment="1">
      <alignment horizontal="left" vertical="top" wrapText="1"/>
    </xf>
    <xf numFmtId="172" fontId="9" fillId="7" borderId="1" xfId="0" applyNumberFormat="1" applyFont="1" applyFill="1" applyBorder="1" applyAlignment="1">
      <alignment horizontal="left" vertical="top" wrapText="1"/>
    </xf>
    <xf numFmtId="172" fontId="9" fillId="5" borderId="1" xfId="0" applyNumberFormat="1" applyFont="1" applyFill="1" applyBorder="1" applyAlignment="1">
      <alignment horizontal="left" vertical="top" wrapText="1"/>
    </xf>
    <xf numFmtId="172" fontId="9" fillId="0" borderId="1" xfId="0" applyNumberFormat="1" applyFont="1" applyBorder="1" applyAlignment="1">
      <alignment horizontal="left" vertical="top" wrapText="1"/>
    </xf>
    <xf numFmtId="172" fontId="9" fillId="6" borderId="1" xfId="0" applyNumberFormat="1" applyFont="1" applyFill="1" applyBorder="1" applyAlignment="1">
      <alignment horizontal="left" vertical="top" wrapText="1"/>
    </xf>
    <xf numFmtId="172" fontId="10" fillId="5" borderId="1" xfId="0" applyNumberFormat="1" applyFont="1" applyFill="1" applyBorder="1" applyAlignment="1">
      <alignment horizontal="left" vertical="top"/>
    </xf>
    <xf numFmtId="172" fontId="9" fillId="12" borderId="1" xfId="0" applyNumberFormat="1" applyFont="1" applyFill="1" applyBorder="1" applyAlignment="1">
      <alignment horizontal="left" vertical="top" wrapText="1"/>
    </xf>
    <xf numFmtId="172" fontId="10" fillId="6" borderId="1" xfId="0" applyNumberFormat="1" applyFont="1" applyFill="1" applyBorder="1" applyAlignment="1">
      <alignment horizontal="left" vertical="top"/>
    </xf>
    <xf numFmtId="172" fontId="9" fillId="10" borderId="1" xfId="0" applyNumberFormat="1" applyFont="1" applyFill="1" applyBorder="1" applyAlignment="1">
      <alignment horizontal="left" vertical="top" wrapText="1"/>
    </xf>
    <xf numFmtId="172" fontId="10" fillId="2" borderId="1" xfId="0" applyNumberFormat="1" applyFont="1" applyFill="1" applyBorder="1" applyAlignment="1">
      <alignment horizontal="left" vertical="top"/>
    </xf>
    <xf numFmtId="172" fontId="10" fillId="12" borderId="1" xfId="4" applyNumberFormat="1" applyFont="1" applyFill="1" applyBorder="1" applyAlignment="1">
      <alignment horizontal="left" vertical="top" wrapText="1"/>
    </xf>
    <xf numFmtId="172" fontId="10" fillId="11" borderId="1" xfId="0" applyNumberFormat="1" applyFont="1" applyFill="1" applyBorder="1" applyAlignment="1">
      <alignment horizontal="left" vertical="top" wrapText="1"/>
    </xf>
    <xf numFmtId="172" fontId="9" fillId="11" borderId="1" xfId="0" applyNumberFormat="1" applyFont="1" applyFill="1" applyBorder="1" applyAlignment="1">
      <alignment horizontal="left" vertical="top"/>
    </xf>
    <xf numFmtId="172" fontId="9" fillId="13" borderId="1" xfId="0" applyNumberFormat="1" applyFont="1" applyFill="1" applyBorder="1" applyAlignment="1">
      <alignment horizontal="left" vertical="top" wrapText="1"/>
    </xf>
    <xf numFmtId="172" fontId="9" fillId="2" borderId="1" xfId="0" applyNumberFormat="1" applyFont="1" applyFill="1" applyBorder="1" applyAlignment="1">
      <alignment horizontal="left" vertical="top"/>
    </xf>
    <xf numFmtId="172" fontId="0" fillId="0" borderId="0" xfId="0" applyNumberFormat="1"/>
    <xf numFmtId="17" fontId="28" fillId="0" borderId="0" xfId="0" applyNumberFormat="1" applyFont="1" applyAlignment="1">
      <alignment horizontal="center" vertical="center"/>
    </xf>
    <xf numFmtId="17" fontId="0" fillId="0" borderId="0" xfId="0" applyNumberFormat="1"/>
    <xf numFmtId="2" fontId="10" fillId="6" borderId="0" xfId="0" applyNumberFormat="1" applyFont="1" applyFill="1" applyBorder="1" applyAlignment="1">
      <alignment horizontal="left" vertical="top"/>
    </xf>
    <xf numFmtId="14" fontId="10" fillId="13" borderId="0" xfId="0" applyNumberFormat="1" applyFont="1" applyFill="1" applyBorder="1" applyAlignment="1">
      <alignment horizontal="left" vertical="top" wrapText="1"/>
    </xf>
    <xf numFmtId="14" fontId="10" fillId="2" borderId="3" xfId="0" applyNumberFormat="1" applyFont="1" applyFill="1" applyBorder="1" applyAlignment="1">
      <alignment horizontal="left" vertical="top" wrapText="1"/>
    </xf>
    <xf numFmtId="0" fontId="0" fillId="0" borderId="0" xfId="0" applyBorder="1"/>
    <xf numFmtId="14" fontId="9" fillId="0" borderId="29" xfId="0" applyNumberFormat="1" applyFont="1" applyFill="1" applyBorder="1" applyAlignment="1">
      <alignment horizontal="center" vertical="center" wrapText="1"/>
    </xf>
    <xf numFmtId="0" fontId="9" fillId="19" borderId="1" xfId="0" applyFont="1" applyFill="1" applyBorder="1" applyAlignment="1">
      <alignment horizontal="center" vertical="top" wrapText="1"/>
    </xf>
    <xf numFmtId="0" fontId="10" fillId="19" borderId="1" xfId="0" applyNumberFormat="1" applyFont="1" applyFill="1" applyBorder="1" applyAlignment="1">
      <alignment horizontal="left" vertical="top" wrapText="1"/>
    </xf>
    <xf numFmtId="3" fontId="10" fillId="19" borderId="1" xfId="0" applyNumberFormat="1" applyFont="1" applyFill="1" applyBorder="1" applyAlignment="1">
      <alignment horizontal="right" vertical="top" wrapText="1"/>
    </xf>
    <xf numFmtId="0" fontId="10" fillId="19" borderId="1" xfId="0" applyNumberFormat="1" applyFont="1" applyFill="1" applyBorder="1" applyAlignment="1">
      <alignment vertical="top" wrapText="1"/>
    </xf>
    <xf numFmtId="14" fontId="10" fillId="19" borderId="1" xfId="0" applyNumberFormat="1" applyFont="1" applyFill="1" applyBorder="1" applyAlignment="1">
      <alignment horizontal="left" vertical="top" wrapText="1"/>
    </xf>
    <xf numFmtId="17" fontId="10" fillId="19" borderId="1" xfId="0" applyNumberFormat="1" applyFont="1" applyFill="1" applyBorder="1" applyAlignment="1">
      <alignment horizontal="left" vertical="top" wrapText="1"/>
    </xf>
    <xf numFmtId="2" fontId="10" fillId="19" borderId="1" xfId="0" applyNumberFormat="1" applyFont="1" applyFill="1" applyBorder="1" applyAlignment="1">
      <alignment horizontal="left" vertical="top" wrapText="1"/>
    </xf>
    <xf numFmtId="17" fontId="10" fillId="19" borderId="1" xfId="0" applyNumberFormat="1" applyFont="1" applyFill="1" applyBorder="1" applyAlignment="1">
      <alignment horizontal="left" vertical="top"/>
    </xf>
    <xf numFmtId="14" fontId="10" fillId="19" borderId="1" xfId="0" applyNumberFormat="1" applyFont="1" applyFill="1" applyBorder="1" applyAlignment="1">
      <alignment horizontal="center" vertical="top" wrapText="1"/>
    </xf>
    <xf numFmtId="0" fontId="9" fillId="19" borderId="1" xfId="0" applyNumberFormat="1" applyFont="1" applyFill="1" applyBorder="1" applyAlignment="1">
      <alignment horizontal="left" vertical="top" wrapText="1"/>
    </xf>
    <xf numFmtId="166" fontId="10" fillId="19" borderId="1" xfId="0" applyNumberFormat="1" applyFont="1" applyFill="1" applyBorder="1" applyAlignment="1">
      <alignment horizontal="right" vertical="top" wrapText="1"/>
    </xf>
    <xf numFmtId="1" fontId="10" fillId="19" borderId="1" xfId="0" applyNumberFormat="1" applyFont="1" applyFill="1" applyBorder="1" applyAlignment="1">
      <alignment horizontal="right" vertical="top" wrapText="1"/>
    </xf>
    <xf numFmtId="17" fontId="9" fillId="19" borderId="1" xfId="0" applyNumberFormat="1" applyFont="1" applyFill="1" applyBorder="1" applyAlignment="1">
      <alignment horizontal="left" vertical="top" wrapText="1"/>
    </xf>
    <xf numFmtId="0" fontId="13" fillId="19" borderId="1" xfId="0" applyNumberFormat="1" applyFont="1" applyFill="1" applyBorder="1" applyAlignment="1">
      <alignment horizontal="right" vertical="top" wrapText="1"/>
    </xf>
    <xf numFmtId="170" fontId="10" fillId="19" borderId="1" xfId="0" applyNumberFormat="1" applyFont="1" applyFill="1" applyBorder="1" applyAlignment="1">
      <alignment horizontal="right" vertical="top" wrapText="1"/>
    </xf>
    <xf numFmtId="167" fontId="10" fillId="19" borderId="1" xfId="0" applyNumberFormat="1" applyFont="1" applyFill="1" applyBorder="1" applyAlignment="1">
      <alignment horizontal="left" vertical="top" wrapText="1"/>
    </xf>
    <xf numFmtId="1" fontId="10" fillId="19" borderId="1" xfId="0" applyNumberFormat="1" applyFont="1" applyFill="1" applyBorder="1" applyAlignment="1">
      <alignment horizontal="left" vertical="top" wrapText="1"/>
    </xf>
    <xf numFmtId="17" fontId="10" fillId="19" borderId="2" xfId="0" applyNumberFormat="1" applyFont="1" applyFill="1" applyBorder="1" applyAlignment="1">
      <alignment horizontal="left" vertical="top" wrapText="1"/>
    </xf>
    <xf numFmtId="0" fontId="0" fillId="19" borderId="0" xfId="0" applyFill="1"/>
    <xf numFmtId="14" fontId="9" fillId="0" borderId="29" xfId="0" applyNumberFormat="1" applyFont="1" applyFill="1" applyBorder="1" applyAlignment="1">
      <alignment horizontal="left" vertical="center" wrapText="1"/>
    </xf>
    <xf numFmtId="14" fontId="10" fillId="0" borderId="1" xfId="0" applyNumberFormat="1" applyFont="1" applyFill="1" applyBorder="1" applyAlignment="1">
      <alignment horizontal="left" vertical="top"/>
    </xf>
    <xf numFmtId="2" fontId="10" fillId="0" borderId="1" xfId="0" applyNumberFormat="1" applyFont="1" applyFill="1" applyBorder="1" applyAlignment="1">
      <alignment horizontal="left" vertical="top"/>
    </xf>
    <xf numFmtId="0" fontId="10" fillId="0" borderId="1" xfId="0" applyNumberFormat="1" applyFont="1" applyFill="1" applyBorder="1" applyAlignment="1">
      <alignment horizontal="left" vertical="top"/>
    </xf>
    <xf numFmtId="170" fontId="0" fillId="0" borderId="0" xfId="0" applyNumberFormat="1"/>
    <xf numFmtId="0" fontId="0" fillId="0" borderId="0" xfId="0" applyAlignment="1">
      <alignment horizontal="center"/>
    </xf>
    <xf numFmtId="0" fontId="10" fillId="0" borderId="1" xfId="0" applyNumberFormat="1" applyFont="1" applyFill="1" applyBorder="1" applyAlignment="1">
      <alignment horizontal="left" vertical="center" wrapText="1"/>
    </xf>
    <xf numFmtId="0" fontId="9" fillId="12" borderId="1" xfId="0" applyFont="1" applyFill="1" applyBorder="1" applyAlignment="1">
      <alignment vertical="top"/>
    </xf>
    <xf numFmtId="0" fontId="10" fillId="12" borderId="1" xfId="0" applyFont="1" applyFill="1" applyBorder="1" applyAlignment="1">
      <alignment horizontal="center" vertical="top" wrapText="1"/>
    </xf>
    <xf numFmtId="2" fontId="10" fillId="12" borderId="1" xfId="7" applyNumberFormat="1" applyFont="1" applyFill="1" applyBorder="1" applyAlignment="1">
      <alignment horizontal="left" vertical="top" wrapText="1"/>
    </xf>
    <xf numFmtId="0" fontId="5" fillId="12" borderId="1" xfId="0" applyNumberFormat="1" applyFont="1" applyFill="1" applyBorder="1" applyAlignment="1">
      <alignment horizontal="left" vertical="top" wrapText="1"/>
    </xf>
    <xf numFmtId="0" fontId="10" fillId="0" borderId="3" xfId="0" applyNumberFormat="1" applyFont="1" applyFill="1" applyBorder="1" applyAlignment="1">
      <alignment horizontal="left" vertical="center" wrapText="1"/>
    </xf>
    <xf numFmtId="14" fontId="5" fillId="13" borderId="1" xfId="0" applyNumberFormat="1" applyFont="1" applyFill="1" applyBorder="1" applyAlignment="1">
      <alignment horizontal="center" vertical="center" wrapText="1"/>
    </xf>
    <xf numFmtId="14" fontId="9" fillId="13" borderId="1" xfId="0" applyNumberFormat="1" applyFont="1" applyFill="1" applyBorder="1" applyAlignment="1">
      <alignment horizontal="left" vertical="top" wrapText="1"/>
    </xf>
    <xf numFmtId="14" fontId="9" fillId="20" borderId="1" xfId="0" applyNumberFormat="1" applyFont="1" applyFill="1" applyBorder="1" applyAlignment="1">
      <alignment horizontal="left" vertical="top" wrapText="1"/>
    </xf>
    <xf numFmtId="0" fontId="9" fillId="13" borderId="1" xfId="0" applyFont="1" applyFill="1" applyBorder="1" applyAlignment="1">
      <alignment horizontal="left" vertical="top"/>
    </xf>
    <xf numFmtId="14" fontId="10" fillId="13" borderId="1" xfId="0" applyNumberFormat="1" applyFont="1" applyFill="1" applyBorder="1" applyAlignment="1">
      <alignment horizontal="left" vertical="top"/>
    </xf>
    <xf numFmtId="0" fontId="0" fillId="13" borderId="1" xfId="0" applyFill="1" applyBorder="1"/>
    <xf numFmtId="14" fontId="11" fillId="13" borderId="1" xfId="0" applyNumberFormat="1" applyFont="1" applyFill="1" applyBorder="1" applyAlignment="1">
      <alignment horizontal="left" vertical="top"/>
    </xf>
    <xf numFmtId="14" fontId="10" fillId="13" borderId="5" xfId="0" applyNumberFormat="1" applyFont="1" applyFill="1" applyBorder="1" applyAlignment="1">
      <alignment horizontal="left" vertical="top"/>
    </xf>
    <xf numFmtId="0" fontId="0" fillId="13" borderId="0" xfId="0" applyFill="1"/>
    <xf numFmtId="0" fontId="10" fillId="3" borderId="1" xfId="0" applyNumberFormat="1" applyFont="1" applyFill="1" applyBorder="1" applyAlignment="1">
      <alignment horizontal="left" vertical="top" wrapText="1"/>
    </xf>
    <xf numFmtId="3" fontId="10" fillId="3" borderId="1" xfId="0" applyNumberFormat="1" applyFont="1" applyFill="1" applyBorder="1" applyAlignment="1">
      <alignment horizontal="right" vertical="top" wrapText="1"/>
    </xf>
    <xf numFmtId="0" fontId="10" fillId="3" borderId="1" xfId="0" applyNumberFormat="1" applyFont="1" applyFill="1" applyBorder="1" applyAlignment="1">
      <alignment vertical="top" wrapText="1"/>
    </xf>
    <xf numFmtId="17" fontId="10" fillId="3" borderId="1" xfId="0" applyNumberFormat="1" applyFont="1" applyFill="1" applyBorder="1" applyAlignment="1">
      <alignment horizontal="left" vertical="top" wrapText="1"/>
    </xf>
    <xf numFmtId="2" fontId="10" fillId="3" borderId="1" xfId="0" applyNumberFormat="1" applyFont="1" applyFill="1" applyBorder="1" applyAlignment="1">
      <alignment horizontal="left" vertical="top" wrapText="1"/>
    </xf>
    <xf numFmtId="17" fontId="10" fillId="3" borderId="1" xfId="0" applyNumberFormat="1" applyFont="1" applyFill="1" applyBorder="1" applyAlignment="1">
      <alignment horizontal="left" vertical="top"/>
    </xf>
    <xf numFmtId="0" fontId="10" fillId="3" borderId="1" xfId="0" applyNumberFormat="1" applyFont="1" applyFill="1" applyBorder="1" applyAlignment="1">
      <alignment horizontal="left" vertical="top"/>
    </xf>
    <xf numFmtId="1" fontId="10" fillId="3" borderId="1" xfId="0" applyNumberFormat="1" applyFont="1" applyFill="1" applyBorder="1" applyAlignment="1">
      <alignment horizontal="left" vertical="top" wrapText="1"/>
    </xf>
    <xf numFmtId="14" fontId="10" fillId="3" borderId="1" xfId="0" applyNumberFormat="1" applyFont="1" applyFill="1" applyBorder="1" applyAlignment="1">
      <alignment horizontal="center" vertical="top" wrapText="1"/>
    </xf>
    <xf numFmtId="169" fontId="10" fillId="3" borderId="1" xfId="0" applyNumberFormat="1" applyFont="1" applyFill="1" applyBorder="1" applyAlignment="1">
      <alignment horizontal="left" vertical="top" wrapText="1"/>
    </xf>
    <xf numFmtId="166" fontId="10" fillId="3" borderId="1" xfId="0" applyNumberFormat="1" applyFont="1" applyFill="1" applyBorder="1" applyAlignment="1">
      <alignment horizontal="right" vertical="top" wrapText="1"/>
    </xf>
    <xf numFmtId="1" fontId="10" fillId="3" borderId="1" xfId="0" applyNumberFormat="1" applyFont="1" applyFill="1" applyBorder="1" applyAlignment="1">
      <alignment horizontal="right" vertical="top" wrapText="1"/>
    </xf>
    <xf numFmtId="17" fontId="9" fillId="3" borderId="1" xfId="0" applyNumberFormat="1" applyFont="1" applyFill="1" applyBorder="1" applyAlignment="1">
      <alignment horizontal="left" vertical="top" wrapText="1"/>
    </xf>
    <xf numFmtId="0" fontId="13" fillId="3" borderId="1" xfId="0" applyNumberFormat="1" applyFont="1" applyFill="1" applyBorder="1" applyAlignment="1">
      <alignment horizontal="right" vertical="top" wrapText="1"/>
    </xf>
    <xf numFmtId="170" fontId="10" fillId="3" borderId="1" xfId="0" applyNumberFormat="1" applyFont="1" applyFill="1" applyBorder="1" applyAlignment="1">
      <alignment horizontal="right" vertical="top" wrapText="1"/>
    </xf>
    <xf numFmtId="0" fontId="9" fillId="3" borderId="1" xfId="0" applyNumberFormat="1" applyFont="1" applyFill="1" applyBorder="1" applyAlignment="1">
      <alignment horizontal="left" vertical="top" wrapText="1"/>
    </xf>
    <xf numFmtId="167" fontId="10" fillId="3" borderId="1" xfId="0" applyNumberFormat="1" applyFont="1" applyFill="1" applyBorder="1" applyAlignment="1">
      <alignment horizontal="left" vertical="top" wrapText="1"/>
    </xf>
    <xf numFmtId="17" fontId="10" fillId="3" borderId="2" xfId="0" applyNumberFormat="1" applyFont="1" applyFill="1" applyBorder="1" applyAlignment="1">
      <alignment horizontal="left" vertical="top" wrapText="1"/>
    </xf>
    <xf numFmtId="0" fontId="10" fillId="3" borderId="1" xfId="0" applyFont="1" applyFill="1" applyBorder="1" applyAlignment="1">
      <alignment horizontal="left" vertical="top" wrapText="1"/>
    </xf>
    <xf numFmtId="0" fontId="10" fillId="3" borderId="1" xfId="0" applyNumberFormat="1" applyFont="1" applyFill="1" applyBorder="1" applyAlignment="1">
      <alignment horizontal="center" vertical="top" wrapText="1"/>
    </xf>
    <xf numFmtId="0" fontId="9" fillId="3" borderId="1" xfId="0" applyFont="1" applyFill="1" applyBorder="1" applyAlignment="1">
      <alignment horizontal="left" vertical="top" wrapText="1"/>
    </xf>
    <xf numFmtId="0" fontId="10" fillId="3" borderId="1" xfId="0" applyNumberFormat="1" applyFont="1" applyFill="1" applyBorder="1" applyAlignment="1">
      <alignment horizontal="left" vertical="center"/>
    </xf>
    <xf numFmtId="166" fontId="10" fillId="3" borderId="1" xfId="0" applyNumberFormat="1" applyFont="1" applyFill="1" applyBorder="1" applyAlignment="1">
      <alignment horizontal="right" vertical="top"/>
    </xf>
    <xf numFmtId="17" fontId="11" fillId="3" borderId="1" xfId="0" applyNumberFormat="1" applyFont="1" applyFill="1" applyBorder="1" applyAlignment="1">
      <alignment horizontal="left" vertical="top"/>
    </xf>
    <xf numFmtId="2" fontId="11" fillId="3" borderId="1" xfId="0" applyNumberFormat="1" applyFont="1" applyFill="1" applyBorder="1" applyAlignment="1">
      <alignment horizontal="left" vertical="top"/>
    </xf>
    <xf numFmtId="0" fontId="11" fillId="3" borderId="1" xfId="0" applyNumberFormat="1" applyFont="1" applyFill="1" applyBorder="1" applyAlignment="1">
      <alignment horizontal="left" vertical="top"/>
    </xf>
    <xf numFmtId="0" fontId="11" fillId="3" borderId="1" xfId="0" applyNumberFormat="1" applyFont="1" applyFill="1" applyBorder="1" applyAlignment="1">
      <alignment horizontal="left" vertical="top" wrapText="1"/>
    </xf>
    <xf numFmtId="0" fontId="11" fillId="3" borderId="1" xfId="0" applyFont="1" applyFill="1" applyBorder="1" applyAlignment="1">
      <alignment horizontal="left" vertical="top"/>
    </xf>
    <xf numFmtId="14" fontId="10" fillId="3" borderId="1" xfId="0" applyNumberFormat="1" applyFont="1" applyFill="1" applyBorder="1" applyAlignment="1">
      <alignment horizontal="center" vertical="top"/>
    </xf>
    <xf numFmtId="0" fontId="11" fillId="3" borderId="1" xfId="0" applyNumberFormat="1" applyFont="1" applyFill="1" applyBorder="1" applyAlignment="1">
      <alignment horizontal="left" vertical="center"/>
    </xf>
    <xf numFmtId="49" fontId="9" fillId="3" borderId="1" xfId="0" applyNumberFormat="1" applyFont="1" applyFill="1" applyBorder="1" applyAlignment="1">
      <alignment horizontal="left" vertical="top" wrapText="1"/>
    </xf>
    <xf numFmtId="2" fontId="10" fillId="3" borderId="1" xfId="0" applyNumberFormat="1" applyFont="1" applyFill="1" applyBorder="1" applyAlignment="1">
      <alignment horizontal="left" vertical="top"/>
    </xf>
    <xf numFmtId="1" fontId="10" fillId="3" borderId="1" xfId="0" applyNumberFormat="1" applyFont="1" applyFill="1" applyBorder="1" applyAlignment="1">
      <alignment horizontal="right" vertical="top"/>
    </xf>
    <xf numFmtId="17" fontId="9" fillId="3" borderId="1" xfId="0" applyNumberFormat="1" applyFont="1" applyFill="1" applyBorder="1" applyAlignment="1">
      <alignment horizontal="left" vertical="top"/>
    </xf>
    <xf numFmtId="0" fontId="13" fillId="3" borderId="1" xfId="0" applyNumberFormat="1" applyFont="1" applyFill="1" applyBorder="1" applyAlignment="1">
      <alignment horizontal="right" vertical="top"/>
    </xf>
    <xf numFmtId="170" fontId="30" fillId="3" borderId="1" xfId="0" applyNumberFormat="1" applyFont="1" applyFill="1" applyBorder="1" applyAlignment="1">
      <alignment horizontal="right" vertical="top"/>
    </xf>
    <xf numFmtId="0" fontId="30" fillId="3" borderId="1" xfId="0" applyNumberFormat="1" applyFont="1" applyFill="1" applyBorder="1" applyAlignment="1">
      <alignment horizontal="left" vertical="top"/>
    </xf>
    <xf numFmtId="0" fontId="0" fillId="3" borderId="1" xfId="0" applyNumberFormat="1" applyFill="1" applyBorder="1" applyAlignment="1">
      <alignment horizontal="left" vertical="top"/>
    </xf>
    <xf numFmtId="167" fontId="11" fillId="3" borderId="1" xfId="0" applyNumberFormat="1" applyFont="1" applyFill="1" applyBorder="1" applyAlignment="1">
      <alignment horizontal="left" vertical="top"/>
    </xf>
    <xf numFmtId="1" fontId="11" fillId="3" borderId="1" xfId="0" applyNumberFormat="1" applyFont="1" applyFill="1" applyBorder="1" applyAlignment="1">
      <alignment horizontal="left" vertical="top"/>
    </xf>
    <xf numFmtId="17" fontId="11" fillId="3" borderId="2" xfId="0" applyNumberFormat="1" applyFont="1" applyFill="1" applyBorder="1" applyAlignment="1">
      <alignment horizontal="left" vertical="top"/>
    </xf>
    <xf numFmtId="0" fontId="17" fillId="3" borderId="1" xfId="0" applyNumberFormat="1" applyFont="1" applyFill="1" applyBorder="1" applyAlignment="1">
      <alignment horizontal="left" vertical="top" wrapText="1"/>
    </xf>
    <xf numFmtId="2" fontId="17" fillId="3" borderId="1" xfId="0" applyNumberFormat="1" applyFont="1" applyFill="1" applyBorder="1" applyAlignment="1">
      <alignment horizontal="left" vertical="top" wrapText="1"/>
    </xf>
    <xf numFmtId="0" fontId="9" fillId="13" borderId="1" xfId="0" applyFont="1" applyFill="1" applyBorder="1" applyAlignment="1">
      <alignment horizontal="center" vertical="top" wrapText="1"/>
    </xf>
    <xf numFmtId="3" fontId="10" fillId="13" borderId="1" xfId="0" applyNumberFormat="1" applyFont="1" applyFill="1" applyBorder="1" applyAlignment="1">
      <alignment horizontal="right" vertical="top" wrapText="1"/>
    </xf>
    <xf numFmtId="0" fontId="10" fillId="13" borderId="1" xfId="0" applyNumberFormat="1" applyFont="1" applyFill="1" applyBorder="1" applyAlignment="1">
      <alignment vertical="top" wrapText="1"/>
    </xf>
    <xf numFmtId="17" fontId="10" fillId="13" borderId="1" xfId="0" applyNumberFormat="1" applyFont="1" applyFill="1" applyBorder="1" applyAlignment="1">
      <alignment horizontal="left" vertical="top"/>
    </xf>
    <xf numFmtId="1" fontId="10" fillId="13" borderId="1" xfId="0" applyNumberFormat="1" applyFont="1" applyFill="1" applyBorder="1" applyAlignment="1">
      <alignment horizontal="left" vertical="top" wrapText="1"/>
    </xf>
    <xf numFmtId="0" fontId="17" fillId="13" borderId="1" xfId="0" applyNumberFormat="1" applyFont="1" applyFill="1" applyBorder="1" applyAlignment="1">
      <alignment horizontal="left" vertical="top" wrapText="1"/>
    </xf>
    <xf numFmtId="2" fontId="17" fillId="13" borderId="1" xfId="0" applyNumberFormat="1" applyFont="1" applyFill="1" applyBorder="1" applyAlignment="1">
      <alignment horizontal="left" vertical="top" wrapText="1"/>
    </xf>
    <xf numFmtId="169" fontId="10" fillId="13" borderId="1" xfId="0" applyNumberFormat="1" applyFont="1" applyFill="1" applyBorder="1" applyAlignment="1">
      <alignment horizontal="left" vertical="top" wrapText="1"/>
    </xf>
    <xf numFmtId="166" fontId="10" fillId="13" borderId="1" xfId="0" applyNumberFormat="1" applyFont="1" applyFill="1" applyBorder="1" applyAlignment="1">
      <alignment horizontal="right" vertical="top" wrapText="1"/>
    </xf>
    <xf numFmtId="1" fontId="10" fillId="13" borderId="1" xfId="0" applyNumberFormat="1" applyFont="1" applyFill="1" applyBorder="1" applyAlignment="1">
      <alignment horizontal="right" vertical="top" wrapText="1"/>
    </xf>
    <xf numFmtId="17" fontId="9" fillId="13" borderId="1" xfId="0" applyNumberFormat="1" applyFont="1" applyFill="1" applyBorder="1" applyAlignment="1">
      <alignment horizontal="left" vertical="top" wrapText="1"/>
    </xf>
    <xf numFmtId="0" fontId="13" fillId="13" borderId="1" xfId="0" applyNumberFormat="1" applyFont="1" applyFill="1" applyBorder="1" applyAlignment="1">
      <alignment horizontal="right" vertical="top" wrapText="1"/>
    </xf>
    <xf numFmtId="170" fontId="10" fillId="13" borderId="1" xfId="0" applyNumberFormat="1" applyFont="1" applyFill="1" applyBorder="1" applyAlignment="1">
      <alignment horizontal="right" vertical="top" wrapText="1"/>
    </xf>
    <xf numFmtId="0" fontId="9" fillId="13" borderId="1" xfId="0" applyNumberFormat="1" applyFont="1" applyFill="1" applyBorder="1" applyAlignment="1">
      <alignment horizontal="left" vertical="top" wrapText="1"/>
    </xf>
    <xf numFmtId="167" fontId="10" fillId="13" borderId="1" xfId="0" applyNumberFormat="1" applyFont="1" applyFill="1" applyBorder="1" applyAlignment="1">
      <alignment horizontal="left" vertical="top" wrapText="1"/>
    </xf>
    <xf numFmtId="17" fontId="10" fillId="13" borderId="2" xfId="0" applyNumberFormat="1" applyFont="1" applyFill="1" applyBorder="1" applyAlignment="1">
      <alignment horizontal="left" vertical="top" wrapText="1"/>
    </xf>
    <xf numFmtId="0" fontId="10" fillId="13" borderId="1" xfId="0" applyFont="1" applyFill="1" applyBorder="1" applyAlignment="1">
      <alignment horizontal="left" vertical="top" wrapText="1"/>
    </xf>
    <xf numFmtId="0" fontId="10" fillId="13" borderId="1" xfId="0" applyFont="1" applyFill="1" applyBorder="1" applyAlignment="1">
      <alignment vertical="top" wrapText="1"/>
    </xf>
    <xf numFmtId="0" fontId="11" fillId="13" borderId="1" xfId="0" applyNumberFormat="1" applyFont="1" applyFill="1" applyBorder="1" applyAlignment="1">
      <alignment vertical="top" wrapText="1"/>
    </xf>
    <xf numFmtId="0" fontId="10" fillId="13" borderId="1" xfId="0" applyNumberFormat="1" applyFont="1" applyFill="1" applyBorder="1" applyAlignment="1">
      <alignment horizontal="center" vertical="top" wrapText="1"/>
    </xf>
    <xf numFmtId="166" fontId="10" fillId="13" borderId="1" xfId="0" applyNumberFormat="1" applyFont="1" applyFill="1" applyBorder="1" applyAlignment="1">
      <alignment horizontal="right" vertical="top"/>
    </xf>
    <xf numFmtId="14" fontId="11" fillId="13" borderId="1" xfId="0" applyNumberFormat="1" applyFont="1" applyFill="1" applyBorder="1" applyAlignment="1">
      <alignment horizontal="left" vertical="top" wrapText="1"/>
    </xf>
    <xf numFmtId="17" fontId="11" fillId="13" borderId="1" xfId="0" applyNumberFormat="1" applyFont="1" applyFill="1" applyBorder="1" applyAlignment="1">
      <alignment horizontal="left" vertical="top"/>
    </xf>
    <xf numFmtId="2" fontId="11" fillId="13" borderId="1" xfId="0" applyNumberFormat="1" applyFont="1" applyFill="1" applyBorder="1" applyAlignment="1">
      <alignment horizontal="left" vertical="top" wrapText="1"/>
    </xf>
    <xf numFmtId="2" fontId="9" fillId="13" borderId="1" xfId="0" applyNumberFormat="1" applyFont="1" applyFill="1" applyBorder="1" applyAlignment="1">
      <alignment horizontal="left" vertical="top" wrapText="1"/>
    </xf>
    <xf numFmtId="2" fontId="10" fillId="13" borderId="1" xfId="0" applyNumberFormat="1" applyFont="1" applyFill="1" applyBorder="1" applyAlignment="1">
      <alignment horizontal="left" vertical="top"/>
    </xf>
    <xf numFmtId="0" fontId="10" fillId="13" borderId="1" xfId="0" applyNumberFormat="1" applyFont="1" applyFill="1" applyBorder="1" applyAlignment="1">
      <alignment horizontal="left" vertical="top"/>
    </xf>
    <xf numFmtId="0" fontId="10" fillId="13" borderId="1" xfId="0" applyFont="1" applyFill="1" applyBorder="1" applyAlignment="1">
      <alignment horizontal="left" vertical="top"/>
    </xf>
    <xf numFmtId="0" fontId="10" fillId="13" borderId="1" xfId="0" applyNumberFormat="1" applyFont="1" applyFill="1" applyBorder="1" applyAlignment="1">
      <alignment horizontal="left" vertical="center"/>
    </xf>
    <xf numFmtId="49" fontId="9" fillId="13" borderId="1" xfId="0" applyNumberFormat="1" applyFont="1" applyFill="1" applyBorder="1" applyAlignment="1">
      <alignment horizontal="left" vertical="top"/>
    </xf>
    <xf numFmtId="0" fontId="10" fillId="13" borderId="1" xfId="0" applyNumberFormat="1" applyFont="1" applyFill="1" applyBorder="1" applyAlignment="1">
      <alignment horizontal="center" vertical="center" wrapText="1"/>
    </xf>
    <xf numFmtId="1" fontId="10" fillId="13" borderId="1" xfId="0" applyNumberFormat="1" applyFont="1" applyFill="1" applyBorder="1" applyAlignment="1">
      <alignment horizontal="right" vertical="top"/>
    </xf>
    <xf numFmtId="0" fontId="13" fillId="13" borderId="1" xfId="0" applyNumberFormat="1" applyFont="1" applyFill="1" applyBorder="1" applyAlignment="1">
      <alignment horizontal="right" vertical="top"/>
    </xf>
    <xf numFmtId="170" fontId="10" fillId="13" borderId="1" xfId="0" applyNumberFormat="1" applyFont="1" applyFill="1" applyBorder="1" applyAlignment="1">
      <alignment horizontal="right" vertical="top"/>
    </xf>
    <xf numFmtId="0" fontId="9" fillId="13" borderId="1" xfId="0" applyNumberFormat="1" applyFont="1" applyFill="1" applyBorder="1" applyAlignment="1">
      <alignment horizontal="left" vertical="top"/>
    </xf>
    <xf numFmtId="167" fontId="10" fillId="13" borderId="1" xfId="0" applyNumberFormat="1" applyFont="1" applyFill="1" applyBorder="1" applyAlignment="1">
      <alignment horizontal="left" vertical="top"/>
    </xf>
    <xf numFmtId="1" fontId="10" fillId="13" borderId="1" xfId="0" applyNumberFormat="1" applyFont="1" applyFill="1" applyBorder="1" applyAlignment="1">
      <alignment horizontal="left" vertical="top"/>
    </xf>
    <xf numFmtId="17" fontId="10" fillId="13" borderId="2" xfId="0" applyNumberFormat="1" applyFont="1" applyFill="1" applyBorder="1" applyAlignment="1">
      <alignment horizontal="left" vertical="top"/>
    </xf>
    <xf numFmtId="0" fontId="0" fillId="13" borderId="1" xfId="0" applyFill="1" applyBorder="1" applyAlignment="1">
      <alignment wrapText="1"/>
    </xf>
    <xf numFmtId="0" fontId="33" fillId="13" borderId="1" xfId="0" applyFont="1" applyFill="1" applyBorder="1" applyAlignment="1">
      <alignment vertical="top"/>
    </xf>
    <xf numFmtId="170" fontId="30" fillId="13" borderId="1" xfId="0" applyNumberFormat="1" applyFont="1" applyFill="1" applyBorder="1" applyAlignment="1">
      <alignment horizontal="right" vertical="top"/>
    </xf>
    <xf numFmtId="0" fontId="30" fillId="13" borderId="1" xfId="0" applyFont="1" applyFill="1" applyBorder="1"/>
    <xf numFmtId="1" fontId="0" fillId="13" borderId="1" xfId="0" applyNumberFormat="1" applyFill="1" applyBorder="1"/>
    <xf numFmtId="0" fontId="0" fillId="13" borderId="2" xfId="0" applyFill="1" applyBorder="1"/>
    <xf numFmtId="0" fontId="0" fillId="3" borderId="1" xfId="0" applyFill="1" applyBorder="1" applyAlignment="1">
      <alignment wrapText="1"/>
    </xf>
    <xf numFmtId="0" fontId="10" fillId="3" borderId="1" xfId="0" applyNumberFormat="1" applyFont="1" applyFill="1" applyBorder="1" applyAlignment="1">
      <alignment horizontal="center" vertical="top"/>
    </xf>
    <xf numFmtId="49" fontId="9" fillId="3" borderId="1" xfId="0" applyNumberFormat="1" applyFont="1" applyFill="1" applyBorder="1" applyAlignment="1">
      <alignment horizontal="left" vertical="top"/>
    </xf>
    <xf numFmtId="14" fontId="0" fillId="3" borderId="1" xfId="0" applyNumberFormat="1" applyFill="1" applyBorder="1"/>
    <xf numFmtId="0" fontId="30" fillId="3" borderId="1" xfId="0" applyFont="1" applyFill="1" applyBorder="1"/>
    <xf numFmtId="1" fontId="0" fillId="3" borderId="1" xfId="0" applyNumberFormat="1" applyFill="1" applyBorder="1"/>
    <xf numFmtId="0" fontId="0" fillId="3" borderId="2" xfId="0" applyFill="1" applyBorder="1"/>
    <xf numFmtId="0" fontId="10" fillId="3" borderId="1" xfId="0" applyFont="1" applyFill="1" applyBorder="1" applyAlignment="1">
      <alignment horizontal="left" vertical="top"/>
    </xf>
    <xf numFmtId="2" fontId="9" fillId="3" borderId="1" xfId="0" applyNumberFormat="1" applyFont="1" applyFill="1" applyBorder="1" applyAlignment="1">
      <alignment horizontal="left" vertical="top" wrapText="1"/>
    </xf>
    <xf numFmtId="170" fontId="10" fillId="3" borderId="1" xfId="0" applyNumberFormat="1" applyFont="1" applyFill="1" applyBorder="1" applyAlignment="1">
      <alignment horizontal="right" vertical="top"/>
    </xf>
    <xf numFmtId="0" fontId="9" fillId="3" borderId="1" xfId="0" applyNumberFormat="1" applyFont="1" applyFill="1" applyBorder="1" applyAlignment="1">
      <alignment horizontal="left" vertical="top"/>
    </xf>
    <xf numFmtId="167" fontId="10" fillId="3" borderId="1" xfId="0" applyNumberFormat="1" applyFont="1" applyFill="1" applyBorder="1" applyAlignment="1">
      <alignment horizontal="left" vertical="top"/>
    </xf>
    <xf numFmtId="1" fontId="10" fillId="3" borderId="1" xfId="0" applyNumberFormat="1" applyFont="1" applyFill="1" applyBorder="1" applyAlignment="1">
      <alignment horizontal="left" vertical="top"/>
    </xf>
    <xf numFmtId="17" fontId="10" fillId="3" borderId="2" xfId="0" applyNumberFormat="1" applyFont="1" applyFill="1" applyBorder="1" applyAlignment="1">
      <alignment horizontal="left" vertical="top"/>
    </xf>
    <xf numFmtId="0" fontId="9" fillId="3" borderId="1" xfId="0" applyFont="1" applyFill="1" applyBorder="1" applyAlignment="1">
      <alignment vertical="top" wrapText="1"/>
    </xf>
    <xf numFmtId="166" fontId="11" fillId="3" borderId="1" xfId="0" applyNumberFormat="1" applyFont="1" applyFill="1" applyBorder="1" applyAlignment="1">
      <alignment horizontal="right" vertical="top"/>
    </xf>
    <xf numFmtId="1" fontId="11" fillId="3" borderId="1" xfId="0" applyNumberFormat="1" applyFont="1" applyFill="1" applyBorder="1" applyAlignment="1">
      <alignment horizontal="right" vertical="top"/>
    </xf>
    <xf numFmtId="3" fontId="10" fillId="3" borderId="1" xfId="9" applyNumberFormat="1" applyFont="1" applyFill="1" applyBorder="1" applyAlignment="1">
      <alignment horizontal="right" vertical="top" wrapText="1"/>
    </xf>
    <xf numFmtId="0" fontId="9" fillId="3" borderId="1" xfId="0" applyNumberFormat="1" applyFont="1" applyFill="1" applyBorder="1" applyAlignment="1">
      <alignment vertical="top" wrapText="1"/>
    </xf>
    <xf numFmtId="171" fontId="23" fillId="3" borderId="1" xfId="1" applyNumberFormat="1" applyFont="1" applyFill="1" applyBorder="1" applyAlignment="1" applyProtection="1">
      <alignment horizontal="right" vertical="top"/>
      <protection locked="0"/>
    </xf>
    <xf numFmtId="0" fontId="36" fillId="3" borderId="1" xfId="0" applyNumberFormat="1" applyFont="1" applyFill="1" applyBorder="1" applyAlignment="1">
      <alignment horizontal="left" vertical="top" wrapText="1"/>
    </xf>
    <xf numFmtId="2" fontId="5" fillId="3" borderId="1" xfId="0" applyNumberFormat="1" applyFont="1" applyFill="1" applyBorder="1" applyAlignment="1">
      <alignment horizontal="left" vertical="top" wrapText="1"/>
    </xf>
    <xf numFmtId="49" fontId="9" fillId="3" borderId="1" xfId="0" applyNumberFormat="1" applyFont="1" applyFill="1" applyBorder="1" applyAlignment="1">
      <alignment vertical="top" wrapText="1"/>
    </xf>
    <xf numFmtId="3" fontId="10" fillId="3" borderId="1" xfId="9" applyNumberFormat="1" applyFont="1" applyFill="1" applyBorder="1" applyAlignment="1" applyProtection="1">
      <alignment horizontal="right" vertical="top" wrapText="1"/>
      <protection locked="0"/>
    </xf>
    <xf numFmtId="2" fontId="10" fillId="3" borderId="1" xfId="11" applyNumberFormat="1" applyFont="1" applyFill="1" applyBorder="1" applyAlignment="1" applyProtection="1">
      <alignment horizontal="left" vertical="top" wrapText="1"/>
      <protection locked="0"/>
    </xf>
    <xf numFmtId="0" fontId="32" fillId="3" borderId="1" xfId="4" applyNumberFormat="1" applyFont="1" applyFill="1" applyBorder="1" applyAlignment="1">
      <alignment horizontal="right" vertical="top" wrapText="1"/>
    </xf>
    <xf numFmtId="170" fontId="10" fillId="3" borderId="1" xfId="4" applyNumberFormat="1" applyFont="1" applyFill="1" applyBorder="1" applyAlignment="1">
      <alignment horizontal="right" vertical="top" wrapText="1"/>
    </xf>
    <xf numFmtId="0" fontId="10" fillId="3" borderId="1" xfId="4" applyNumberFormat="1" applyFont="1" applyFill="1" applyBorder="1" applyAlignment="1">
      <alignment horizontal="left" vertical="top" wrapText="1"/>
    </xf>
    <xf numFmtId="0" fontId="18" fillId="3" borderId="1" xfId="4" applyNumberFormat="1" applyFont="1" applyFill="1" applyBorder="1" applyAlignment="1">
      <alignment horizontal="left" vertical="top" wrapText="1"/>
    </xf>
    <xf numFmtId="3" fontId="9" fillId="3" borderId="1" xfId="0" applyNumberFormat="1" applyFont="1" applyFill="1" applyBorder="1" applyAlignment="1">
      <alignment horizontal="right" vertical="top" wrapText="1"/>
    </xf>
    <xf numFmtId="166" fontId="10" fillId="3" borderId="2" xfId="0" applyNumberFormat="1" applyFont="1" applyFill="1" applyBorder="1" applyAlignment="1">
      <alignment horizontal="right" vertical="top" wrapText="1"/>
    </xf>
    <xf numFmtId="3" fontId="10" fillId="3" borderId="1" xfId="7" applyNumberFormat="1" applyFont="1" applyFill="1" applyBorder="1" applyAlignment="1">
      <alignment horizontal="right" vertical="top" wrapText="1"/>
    </xf>
    <xf numFmtId="169" fontId="10" fillId="3" borderId="1" xfId="0" applyNumberFormat="1" applyFont="1" applyFill="1" applyBorder="1" applyAlignment="1">
      <alignment horizontal="center" vertical="top" wrapText="1"/>
    </xf>
    <xf numFmtId="0" fontId="10" fillId="3" borderId="1" xfId="0" applyFont="1" applyFill="1" applyBorder="1" applyAlignment="1">
      <alignment horizontal="center" vertical="top" wrapText="1"/>
    </xf>
    <xf numFmtId="0" fontId="11" fillId="3" borderId="1" xfId="0" applyNumberFormat="1" applyFont="1" applyFill="1" applyBorder="1" applyAlignment="1">
      <alignment horizontal="right" vertical="top" wrapText="1"/>
    </xf>
    <xf numFmtId="0" fontId="11" fillId="3" borderId="2" xfId="0" applyFont="1" applyFill="1" applyBorder="1" applyAlignment="1">
      <alignment horizontal="center" vertical="center"/>
    </xf>
    <xf numFmtId="3" fontId="23" fillId="3" borderId="1" xfId="1" applyNumberFormat="1" applyFont="1" applyFill="1" applyBorder="1" applyAlignment="1" applyProtection="1">
      <alignment horizontal="right" vertical="top" wrapText="1"/>
      <protection locked="0"/>
    </xf>
    <xf numFmtId="3" fontId="9" fillId="3" borderId="1" xfId="10" applyNumberFormat="1" applyFont="1" applyFill="1" applyBorder="1" applyAlignment="1">
      <alignment horizontal="right" vertical="top" wrapText="1"/>
    </xf>
    <xf numFmtId="0" fontId="9" fillId="3" borderId="1" xfId="0" applyFont="1" applyFill="1" applyBorder="1" applyAlignment="1">
      <alignment horizontal="center" vertical="top"/>
    </xf>
    <xf numFmtId="0" fontId="5" fillId="3" borderId="1" xfId="0" applyNumberFormat="1" applyFont="1" applyFill="1" applyBorder="1" applyAlignment="1">
      <alignment horizontal="left" vertical="top" wrapText="1"/>
    </xf>
    <xf numFmtId="0" fontId="10" fillId="3" borderId="1" xfId="0" applyNumberFormat="1" applyFont="1" applyFill="1" applyBorder="1" applyAlignment="1">
      <alignment horizontal="left" vertical="center" wrapText="1"/>
    </xf>
    <xf numFmtId="170" fontId="0" fillId="3" borderId="1" xfId="0" applyNumberFormat="1" applyFill="1" applyBorder="1" applyAlignment="1">
      <alignment horizontal="right" vertical="top"/>
    </xf>
    <xf numFmtId="0" fontId="0" fillId="21" borderId="27" xfId="0" applyFill="1" applyBorder="1"/>
    <xf numFmtId="0" fontId="0" fillId="21" borderId="22" xfId="0" applyFill="1" applyBorder="1"/>
    <xf numFmtId="0" fontId="0" fillId="21" borderId="25" xfId="0" applyFill="1" applyBorder="1"/>
    <xf numFmtId="0" fontId="0" fillId="0" borderId="0" xfId="0" applyFill="1" applyBorder="1"/>
    <xf numFmtId="0" fontId="5" fillId="2" borderId="1" xfId="0" applyFont="1" applyFill="1" applyBorder="1" applyAlignment="1">
      <alignment horizontal="center" vertical="center" wrapText="1"/>
    </xf>
    <xf numFmtId="0" fontId="5" fillId="22" borderId="1" xfId="0" applyFont="1" applyFill="1" applyBorder="1" applyAlignment="1">
      <alignment horizontal="center" vertical="center" wrapText="1"/>
    </xf>
    <xf numFmtId="0" fontId="7" fillId="2" borderId="1" xfId="0" applyFont="1" applyFill="1" applyBorder="1" applyAlignment="1">
      <alignment horizontal="center" vertical="center" wrapText="1"/>
    </xf>
    <xf numFmtId="0" fontId="11" fillId="0" borderId="0" xfId="0" applyFont="1" applyAlignment="1">
      <alignment horizontal="center" vertical="center" wrapText="1"/>
    </xf>
    <xf numFmtId="0" fontId="11" fillId="6" borderId="1" xfId="0" applyFont="1" applyFill="1" applyBorder="1" applyAlignment="1">
      <alignment vertical="top" wrapText="1"/>
    </xf>
    <xf numFmtId="0" fontId="10" fillId="22" borderId="1" xfId="0" applyFont="1" applyFill="1" applyBorder="1" applyAlignment="1">
      <alignment horizontal="left" vertical="top" wrapText="1"/>
    </xf>
    <xf numFmtId="0" fontId="17" fillId="6" borderId="1" xfId="0" applyFont="1" applyFill="1" applyBorder="1" applyAlignment="1">
      <alignment horizontal="left" vertical="top" wrapText="1"/>
    </xf>
    <xf numFmtId="0" fontId="11" fillId="2" borderId="0" xfId="0" applyFont="1" applyFill="1" applyAlignment="1">
      <alignment horizontal="center" vertical="center"/>
    </xf>
    <xf numFmtId="0" fontId="11" fillId="0" borderId="0" xfId="0" applyFont="1" applyAlignment="1">
      <alignment horizontal="center" vertical="center"/>
    </xf>
    <xf numFmtId="0" fontId="11" fillId="0" borderId="1" xfId="0" applyFont="1" applyBorder="1" applyAlignment="1">
      <alignment vertical="top" wrapText="1"/>
    </xf>
    <xf numFmtId="17" fontId="9" fillId="0" borderId="1" xfId="0" applyNumberFormat="1" applyFont="1" applyBorder="1" applyAlignment="1">
      <alignment horizontal="left" vertical="top" wrapText="1"/>
    </xf>
    <xf numFmtId="0" fontId="11" fillId="5" borderId="1" xfId="0" applyFont="1" applyFill="1" applyBorder="1" applyAlignment="1">
      <alignment vertical="top" wrapText="1"/>
    </xf>
    <xf numFmtId="0" fontId="9" fillId="6" borderId="1" xfId="0" applyFont="1" applyFill="1" applyBorder="1" applyAlignment="1">
      <alignment horizontal="center" vertical="center" wrapText="1"/>
    </xf>
    <xf numFmtId="3" fontId="11" fillId="6" borderId="1" xfId="0" applyNumberFormat="1" applyFont="1" applyFill="1" applyBorder="1" applyAlignment="1">
      <alignment horizontal="right" vertical="top"/>
    </xf>
    <xf numFmtId="0" fontId="11" fillId="0" borderId="1" xfId="0" applyFont="1" applyBorder="1" applyAlignment="1">
      <alignment horizontal="left" vertical="top" wrapText="1"/>
    </xf>
    <xf numFmtId="0" fontId="11" fillId="2" borderId="1" xfId="0" applyFont="1" applyFill="1" applyBorder="1" applyAlignment="1">
      <alignment vertical="top" wrapText="1"/>
    </xf>
    <xf numFmtId="2" fontId="9" fillId="2" borderId="1" xfId="0" applyNumberFormat="1" applyFont="1" applyFill="1" applyBorder="1" applyAlignment="1">
      <alignment horizontal="left" vertical="top" wrapText="1"/>
    </xf>
    <xf numFmtId="0" fontId="0" fillId="0" borderId="1" xfId="0" applyBorder="1" applyAlignment="1">
      <alignment vertical="top"/>
    </xf>
    <xf numFmtId="0" fontId="0" fillId="22" borderId="1" xfId="0" applyFill="1" applyBorder="1"/>
    <xf numFmtId="0" fontId="9" fillId="0" borderId="1" xfId="0" applyFont="1" applyBorder="1" applyAlignment="1">
      <alignment horizontal="left" vertical="top"/>
    </xf>
    <xf numFmtId="0" fontId="10" fillId="22" borderId="1" xfId="0" applyFont="1" applyFill="1" applyBorder="1" applyAlignment="1">
      <alignment horizontal="left" vertical="top"/>
    </xf>
    <xf numFmtId="0" fontId="10" fillId="0" borderId="1" xfId="0" applyFont="1" applyBorder="1" applyAlignment="1">
      <alignment horizontal="left" vertical="center" wrapText="1"/>
    </xf>
    <xf numFmtId="0" fontId="10" fillId="2" borderId="1" xfId="0" applyFont="1" applyFill="1" applyBorder="1" applyAlignment="1">
      <alignment horizontal="left" vertical="center" wrapText="1"/>
    </xf>
    <xf numFmtId="0" fontId="11" fillId="3" borderId="0" xfId="0" applyFont="1" applyFill="1" applyAlignment="1">
      <alignment horizontal="center" vertical="center"/>
    </xf>
    <xf numFmtId="0" fontId="9" fillId="0" borderId="1" xfId="0" applyFont="1" applyBorder="1" applyAlignment="1">
      <alignment horizontal="left" vertical="center" wrapText="1"/>
    </xf>
    <xf numFmtId="0" fontId="10" fillId="0" borderId="1" xfId="0" applyFont="1" applyBorder="1" applyAlignment="1">
      <alignment horizontal="center" vertical="center" wrapText="1"/>
    </xf>
    <xf numFmtId="49" fontId="9" fillId="0" borderId="1" xfId="0" applyNumberFormat="1" applyFont="1" applyBorder="1" applyAlignment="1">
      <alignment horizontal="left" vertical="top" wrapText="1"/>
    </xf>
    <xf numFmtId="0" fontId="10" fillId="6" borderId="1" xfId="0" applyFont="1" applyFill="1" applyBorder="1" applyAlignment="1">
      <alignment horizontal="left" vertical="center" wrapText="1"/>
    </xf>
    <xf numFmtId="0" fontId="11" fillId="6" borderId="0" xfId="0" applyFont="1" applyFill="1" applyAlignment="1">
      <alignment horizontal="center" vertical="center"/>
    </xf>
    <xf numFmtId="49" fontId="9" fillId="6" borderId="1" xfId="0" applyNumberFormat="1" applyFont="1" applyFill="1" applyBorder="1" applyAlignment="1">
      <alignment horizontal="left" vertical="top" wrapText="1"/>
    </xf>
    <xf numFmtId="0" fontId="11" fillId="2" borderId="1" xfId="0" applyFont="1" applyFill="1" applyBorder="1" applyAlignment="1">
      <alignment horizontal="left" vertical="center"/>
    </xf>
    <xf numFmtId="0" fontId="0" fillId="0" borderId="1" xfId="0" applyBorder="1" applyAlignment="1">
      <alignment horizontal="left" vertical="top"/>
    </xf>
    <xf numFmtId="0" fontId="11" fillId="23" borderId="0" xfId="0" applyFont="1" applyFill="1" applyAlignment="1">
      <alignment horizontal="center" vertical="center"/>
    </xf>
    <xf numFmtId="166" fontId="10" fillId="6" borderId="2" xfId="0" applyNumberFormat="1" applyFont="1" applyFill="1" applyBorder="1" applyAlignment="1">
      <alignment horizontal="right" vertical="top"/>
    </xf>
    <xf numFmtId="1" fontId="10" fillId="2" borderId="0" xfId="0" applyNumberFormat="1" applyFont="1" applyFill="1" applyBorder="1" applyAlignment="1">
      <alignment horizontal="left" vertical="top" wrapText="1"/>
    </xf>
    <xf numFmtId="0" fontId="10" fillId="13" borderId="0" xfId="0" applyNumberFormat="1" applyFont="1" applyFill="1" applyBorder="1" applyAlignment="1">
      <alignment horizontal="left" vertical="top" wrapText="1"/>
    </xf>
    <xf numFmtId="3" fontId="22" fillId="0" borderId="1" xfId="0" applyNumberFormat="1" applyFont="1" applyBorder="1" applyAlignment="1">
      <alignment vertical="top"/>
    </xf>
    <xf numFmtId="3" fontId="10" fillId="6" borderId="0" xfId="0" applyNumberFormat="1" applyFont="1" applyFill="1" applyBorder="1" applyAlignment="1">
      <alignment horizontal="right" vertical="top" wrapText="1"/>
    </xf>
    <xf numFmtId="17" fontId="10" fillId="6" borderId="0" xfId="0" applyNumberFormat="1" applyFont="1" applyFill="1" applyBorder="1" applyAlignment="1">
      <alignment horizontal="left" vertical="top" wrapText="1"/>
    </xf>
    <xf numFmtId="2" fontId="10" fillId="0" borderId="0" xfId="0" applyNumberFormat="1" applyFont="1" applyBorder="1" applyAlignment="1">
      <alignment horizontal="left" vertical="top" wrapText="1"/>
    </xf>
    <xf numFmtId="0" fontId="10" fillId="0" borderId="0" xfId="0" applyNumberFormat="1" applyFont="1" applyBorder="1" applyAlignment="1">
      <alignment horizontal="left" vertical="top" wrapText="1"/>
    </xf>
    <xf numFmtId="0" fontId="10" fillId="3" borderId="4" xfId="0" applyNumberFormat="1" applyFont="1" applyFill="1" applyBorder="1" applyAlignment="1">
      <alignment horizontal="left" vertical="top" wrapText="1"/>
    </xf>
    <xf numFmtId="0" fontId="10" fillId="6" borderId="3" xfId="0" applyNumberFormat="1" applyFont="1" applyFill="1" applyBorder="1" applyAlignment="1">
      <alignment horizontal="left" vertical="top" wrapText="1"/>
    </xf>
    <xf numFmtId="0" fontId="37" fillId="0" borderId="1" xfId="0" applyFont="1" applyBorder="1" applyAlignment="1">
      <alignment vertical="top" wrapText="1"/>
    </xf>
    <xf numFmtId="0" fontId="10" fillId="3" borderId="0" xfId="0" applyNumberFormat="1" applyFont="1" applyFill="1" applyBorder="1" applyAlignment="1">
      <alignment horizontal="left" vertical="top" wrapText="1"/>
    </xf>
    <xf numFmtId="14" fontId="10" fillId="3" borderId="0" xfId="0" applyNumberFormat="1" applyFont="1" applyFill="1" applyBorder="1" applyAlignment="1">
      <alignment horizontal="left" vertical="top" wrapText="1"/>
    </xf>
    <xf numFmtId="2" fontId="10" fillId="3" borderId="2" xfId="0" applyNumberFormat="1" applyFont="1" applyFill="1" applyBorder="1" applyAlignment="1">
      <alignment horizontal="left" vertical="top" wrapText="1"/>
    </xf>
    <xf numFmtId="166" fontId="10" fillId="13" borderId="2" xfId="0" applyNumberFormat="1" applyFont="1" applyFill="1" applyBorder="1" applyAlignment="1">
      <alignment horizontal="right" vertical="top" wrapText="1"/>
    </xf>
    <xf numFmtId="0" fontId="13" fillId="7" borderId="18" xfId="0" applyNumberFormat="1" applyFont="1" applyFill="1" applyBorder="1" applyAlignment="1">
      <alignment horizontal="right" vertical="top" wrapText="1"/>
    </xf>
    <xf numFmtId="0" fontId="13" fillId="6" borderId="18" xfId="0" applyNumberFormat="1" applyFont="1" applyFill="1" applyBorder="1" applyAlignment="1">
      <alignment horizontal="right" vertical="top" wrapText="1"/>
    </xf>
    <xf numFmtId="0" fontId="13" fillId="0" borderId="2" xfId="0" applyNumberFormat="1" applyFont="1" applyBorder="1" applyAlignment="1">
      <alignment horizontal="right" vertical="top"/>
    </xf>
    <xf numFmtId="0" fontId="13" fillId="3" borderId="18" xfId="0" applyNumberFormat="1" applyFont="1" applyFill="1" applyBorder="1" applyAlignment="1">
      <alignment horizontal="right" vertical="top" wrapText="1"/>
    </xf>
    <xf numFmtId="0" fontId="2" fillId="12" borderId="18" xfId="4" applyNumberFormat="1" applyFill="1" applyBorder="1" applyAlignment="1">
      <alignment horizontal="right" vertical="top" wrapText="1"/>
    </xf>
    <xf numFmtId="0" fontId="13" fillId="12" borderId="18" xfId="0" applyNumberFormat="1" applyFont="1" applyFill="1" applyBorder="1" applyAlignment="1">
      <alignment horizontal="right" vertical="top" wrapText="1"/>
    </xf>
    <xf numFmtId="0" fontId="13" fillId="6" borderId="5" xfId="0" applyNumberFormat="1" applyFont="1" applyFill="1" applyBorder="1" applyAlignment="1">
      <alignment horizontal="right" vertical="top" wrapText="1"/>
    </xf>
    <xf numFmtId="170" fontId="30" fillId="0" borderId="2" xfId="0" applyNumberFormat="1" applyFont="1" applyBorder="1" applyAlignment="1">
      <alignment horizontal="right" vertical="top"/>
    </xf>
    <xf numFmtId="170" fontId="10" fillId="3" borderId="4" xfId="0" applyNumberFormat="1" applyFont="1" applyFill="1" applyBorder="1" applyAlignment="1">
      <alignment horizontal="right" vertical="top" wrapText="1"/>
    </xf>
    <xf numFmtId="170" fontId="10" fillId="6" borderId="5" xfId="0" applyNumberFormat="1" applyFont="1" applyFill="1" applyBorder="1" applyAlignment="1">
      <alignment horizontal="right" vertical="top" wrapText="1"/>
    </xf>
    <xf numFmtId="0" fontId="30" fillId="0" borderId="2" xfId="0" applyNumberFormat="1" applyFont="1" applyBorder="1" applyAlignment="1">
      <alignment horizontal="left" vertical="top"/>
    </xf>
    <xf numFmtId="0" fontId="10" fillId="6" borderId="5" xfId="0" applyNumberFormat="1" applyFont="1" applyFill="1" applyBorder="1" applyAlignment="1">
      <alignment horizontal="left" vertical="top" wrapText="1"/>
    </xf>
    <xf numFmtId="0" fontId="0" fillId="0" borderId="2" xfId="0" applyNumberFormat="1" applyBorder="1" applyAlignment="1">
      <alignment horizontal="left" vertical="top"/>
    </xf>
    <xf numFmtId="0" fontId="9" fillId="3" borderId="4" xfId="0" applyNumberFormat="1" applyFont="1" applyFill="1" applyBorder="1" applyAlignment="1">
      <alignment horizontal="left" vertical="top" wrapText="1"/>
    </xf>
    <xf numFmtId="0" fontId="9" fillId="12" borderId="0" xfId="0" applyNumberFormat="1" applyFont="1" applyFill="1" applyBorder="1" applyAlignment="1">
      <alignment horizontal="left" vertical="top" wrapText="1"/>
    </xf>
    <xf numFmtId="0" fontId="22" fillId="12" borderId="1" xfId="0" applyFont="1" applyFill="1" applyBorder="1" applyAlignment="1">
      <alignment vertical="top" wrapText="1"/>
    </xf>
    <xf numFmtId="0" fontId="2" fillId="12" borderId="0" xfId="4" applyNumberFormat="1" applyFill="1" applyBorder="1" applyAlignment="1">
      <alignment horizontal="left" vertical="top" wrapText="1"/>
    </xf>
    <xf numFmtId="0" fontId="9" fillId="6" borderId="5" xfId="0" applyNumberFormat="1" applyFont="1" applyFill="1" applyBorder="1" applyAlignment="1">
      <alignment horizontal="left" vertical="top" wrapText="1"/>
    </xf>
    <xf numFmtId="2" fontId="11" fillId="0" borderId="2" xfId="0" applyNumberFormat="1" applyFont="1" applyBorder="1" applyAlignment="1">
      <alignment horizontal="left" vertical="top"/>
    </xf>
    <xf numFmtId="2" fontId="10" fillId="3" borderId="4" xfId="0" applyNumberFormat="1" applyFont="1" applyFill="1" applyBorder="1" applyAlignment="1">
      <alignment horizontal="left" vertical="top" wrapText="1"/>
    </xf>
    <xf numFmtId="0" fontId="11" fillId="2" borderId="2" xfId="0" applyFont="1" applyFill="1" applyBorder="1" applyAlignment="1">
      <alignment horizontal="center" vertical="center"/>
    </xf>
    <xf numFmtId="0" fontId="0" fillId="3" borderId="0" xfId="0" applyFill="1" applyAlignment="1">
      <alignment wrapText="1"/>
    </xf>
    <xf numFmtId="0" fontId="36" fillId="12" borderId="1" xfId="0" applyNumberFormat="1" applyFont="1" applyFill="1" applyBorder="1" applyAlignment="1">
      <alignment horizontal="left" vertical="top" wrapText="1"/>
    </xf>
    <xf numFmtId="2" fontId="11" fillId="3" borderId="1" xfId="0" applyNumberFormat="1" applyFont="1" applyFill="1" applyBorder="1" applyAlignment="1">
      <alignment horizontal="left" vertical="top" wrapText="1"/>
    </xf>
    <xf numFmtId="14" fontId="11" fillId="3" borderId="1" xfId="0" applyNumberFormat="1" applyFont="1" applyFill="1" applyBorder="1" applyAlignment="1">
      <alignment horizontal="left" vertical="top" wrapText="1"/>
    </xf>
    <xf numFmtId="17" fontId="11" fillId="3" borderId="1" xfId="0" applyNumberFormat="1" applyFont="1" applyFill="1" applyBorder="1" applyAlignment="1">
      <alignment horizontal="left" vertical="top" wrapText="1"/>
    </xf>
    <xf numFmtId="0" fontId="9" fillId="3" borderId="0" xfId="0" applyFont="1" applyFill="1" applyAlignment="1">
      <alignment horizontal="left" vertical="top" wrapText="1"/>
    </xf>
    <xf numFmtId="0" fontId="9" fillId="22" borderId="1" xfId="0" applyFont="1" applyFill="1" applyBorder="1" applyAlignment="1">
      <alignment horizontal="center" vertical="top" wrapText="1"/>
    </xf>
    <xf numFmtId="0" fontId="10" fillId="22" borderId="1" xfId="0" applyNumberFormat="1" applyFont="1" applyFill="1" applyBorder="1" applyAlignment="1">
      <alignment horizontal="left" vertical="top" wrapText="1"/>
    </xf>
    <xf numFmtId="3" fontId="10" fillId="22" borderId="1" xfId="0" applyNumberFormat="1" applyFont="1" applyFill="1" applyBorder="1" applyAlignment="1">
      <alignment horizontal="right" vertical="top" wrapText="1"/>
    </xf>
    <xf numFmtId="0" fontId="10" fillId="22" borderId="1" xfId="0" applyNumberFormat="1" applyFont="1" applyFill="1" applyBorder="1" applyAlignment="1">
      <alignment vertical="top" wrapText="1"/>
    </xf>
    <xf numFmtId="14" fontId="10" fillId="22" borderId="1" xfId="0" applyNumberFormat="1" applyFont="1" applyFill="1" applyBorder="1" applyAlignment="1">
      <alignment horizontal="left" vertical="top" wrapText="1"/>
    </xf>
    <xf numFmtId="17" fontId="10" fillId="22" borderId="1" xfId="0" applyNumberFormat="1" applyFont="1" applyFill="1" applyBorder="1" applyAlignment="1">
      <alignment horizontal="left" vertical="top" wrapText="1"/>
    </xf>
    <xf numFmtId="2" fontId="10" fillId="22" borderId="1" xfId="0" applyNumberFormat="1" applyFont="1" applyFill="1" applyBorder="1" applyAlignment="1">
      <alignment horizontal="left" vertical="top" wrapText="1"/>
    </xf>
    <xf numFmtId="17" fontId="10" fillId="22" borderId="1" xfId="0" applyNumberFormat="1" applyFont="1" applyFill="1" applyBorder="1" applyAlignment="1">
      <alignment horizontal="left" vertical="top"/>
    </xf>
    <xf numFmtId="14" fontId="10" fillId="22" borderId="1" xfId="0" applyNumberFormat="1" applyFont="1" applyFill="1" applyBorder="1" applyAlignment="1">
      <alignment horizontal="center" vertical="top" wrapText="1"/>
    </xf>
    <xf numFmtId="2" fontId="9" fillId="22" borderId="1" xfId="0" applyNumberFormat="1" applyFont="1" applyFill="1" applyBorder="1" applyAlignment="1">
      <alignment horizontal="left" vertical="top" wrapText="1"/>
    </xf>
    <xf numFmtId="166" fontId="10" fillId="22" borderId="1" xfId="0" applyNumberFormat="1" applyFont="1" applyFill="1" applyBorder="1" applyAlignment="1">
      <alignment horizontal="right" vertical="top" wrapText="1"/>
    </xf>
    <xf numFmtId="1" fontId="10" fillId="22" borderId="1" xfId="0" applyNumberFormat="1" applyFont="1" applyFill="1" applyBorder="1" applyAlignment="1">
      <alignment horizontal="right" vertical="top" wrapText="1"/>
    </xf>
    <xf numFmtId="17" fontId="9" fillId="22" borderId="1" xfId="0" applyNumberFormat="1" applyFont="1" applyFill="1" applyBorder="1" applyAlignment="1">
      <alignment horizontal="left" vertical="top" wrapText="1"/>
    </xf>
    <xf numFmtId="0" fontId="9" fillId="22" borderId="1" xfId="0" applyNumberFormat="1" applyFont="1" applyFill="1" applyBorder="1" applyAlignment="1">
      <alignment horizontal="left" vertical="top" wrapText="1"/>
    </xf>
    <xf numFmtId="167" fontId="10" fillId="22" borderId="1" xfId="0" applyNumberFormat="1" applyFont="1" applyFill="1" applyBorder="1" applyAlignment="1">
      <alignment horizontal="left" vertical="top" wrapText="1"/>
    </xf>
    <xf numFmtId="1" fontId="10" fillId="22" borderId="1" xfId="0" applyNumberFormat="1" applyFont="1" applyFill="1" applyBorder="1" applyAlignment="1">
      <alignment horizontal="left" vertical="top" wrapText="1"/>
    </xf>
    <xf numFmtId="17" fontId="10" fillId="22" borderId="2" xfId="0" applyNumberFormat="1" applyFont="1" applyFill="1" applyBorder="1" applyAlignment="1">
      <alignment horizontal="left" vertical="top" wrapText="1"/>
    </xf>
    <xf numFmtId="0" fontId="38" fillId="0" borderId="0" xfId="0" applyFont="1" applyAlignment="1">
      <alignment horizontal="justify" vertical="center"/>
    </xf>
    <xf numFmtId="1" fontId="10" fillId="0" borderId="1" xfId="0" applyNumberFormat="1" applyFont="1" applyFill="1" applyBorder="1" applyAlignment="1">
      <alignment horizontal="left" vertical="top" wrapText="1"/>
    </xf>
    <xf numFmtId="0" fontId="9" fillId="3" borderId="3" xfId="0" applyFont="1" applyFill="1" applyBorder="1" applyAlignment="1">
      <alignment horizontal="left" vertical="top" wrapText="1"/>
    </xf>
    <xf numFmtId="0" fontId="39" fillId="0" borderId="0" xfId="0" applyFont="1"/>
    <xf numFmtId="0" fontId="10" fillId="0" borderId="30" xfId="0" applyNumberFormat="1" applyFont="1" applyBorder="1" applyAlignment="1">
      <alignment horizontal="left" vertical="center" wrapText="1"/>
    </xf>
    <xf numFmtId="3" fontId="10" fillId="0" borderId="30" xfId="0" applyNumberFormat="1" applyFont="1" applyBorder="1" applyAlignment="1">
      <alignment horizontal="right" vertical="top" wrapText="1"/>
    </xf>
    <xf numFmtId="0" fontId="9" fillId="0" borderId="30" xfId="0" applyFont="1" applyBorder="1" applyAlignment="1">
      <alignment horizontal="left" vertical="top" wrapText="1"/>
    </xf>
    <xf numFmtId="14" fontId="9" fillId="0" borderId="30" xfId="0" applyNumberFormat="1" applyFont="1" applyBorder="1" applyAlignment="1">
      <alignment horizontal="left" vertical="top" wrapText="1"/>
    </xf>
    <xf numFmtId="17" fontId="10" fillId="2" borderId="30" xfId="0" applyNumberFormat="1" applyFont="1" applyFill="1" applyBorder="1" applyAlignment="1">
      <alignment horizontal="left" vertical="top" wrapText="1"/>
    </xf>
    <xf numFmtId="1" fontId="10" fillId="2" borderId="30" xfId="0" applyNumberFormat="1" applyFont="1" applyFill="1" applyBorder="1" applyAlignment="1">
      <alignment horizontal="left" vertical="top" wrapText="1"/>
    </xf>
    <xf numFmtId="14" fontId="10" fillId="2" borderId="30" xfId="0" applyNumberFormat="1" applyFont="1" applyFill="1" applyBorder="1" applyAlignment="1">
      <alignment horizontal="left" vertical="top" wrapText="1"/>
    </xf>
    <xf numFmtId="0" fontId="9" fillId="0" borderId="5" xfId="0" applyFont="1" applyBorder="1" applyAlignment="1">
      <alignment horizontal="left" vertical="top" wrapText="1"/>
    </xf>
    <xf numFmtId="14" fontId="9" fillId="0" borderId="5" xfId="0" applyNumberFormat="1" applyFont="1" applyBorder="1" applyAlignment="1">
      <alignment horizontal="left" vertical="top" wrapText="1"/>
    </xf>
    <xf numFmtId="17" fontId="10" fillId="2" borderId="5" xfId="0" applyNumberFormat="1" applyFont="1" applyFill="1" applyBorder="1" applyAlignment="1">
      <alignment horizontal="left" vertical="top" wrapText="1"/>
    </xf>
    <xf numFmtId="0" fontId="9" fillId="2" borderId="5" xfId="0" applyFont="1" applyFill="1" applyBorder="1" applyAlignment="1">
      <alignment horizontal="left" vertical="top" wrapText="1"/>
    </xf>
    <xf numFmtId="1" fontId="10" fillId="2" borderId="5" xfId="0" applyNumberFormat="1" applyFont="1" applyFill="1" applyBorder="1" applyAlignment="1">
      <alignment horizontal="left" vertical="top" wrapText="1"/>
    </xf>
    <xf numFmtId="14" fontId="10" fillId="2" borderId="5" xfId="0" applyNumberFormat="1" applyFont="1" applyFill="1" applyBorder="1" applyAlignment="1">
      <alignment horizontal="left" vertical="top" wrapText="1"/>
    </xf>
    <xf numFmtId="0" fontId="0" fillId="10" borderId="1" xfId="0" applyFill="1" applyBorder="1" applyAlignment="1">
      <alignment horizontal="center" vertical="center"/>
    </xf>
    <xf numFmtId="0" fontId="0" fillId="10" borderId="1" xfId="0" applyFill="1" applyBorder="1" applyAlignment="1">
      <alignment horizontal="center" vertical="center" wrapText="1"/>
    </xf>
    <xf numFmtId="14" fontId="9" fillId="10" borderId="1" xfId="0" applyNumberFormat="1" applyFont="1" applyFill="1" applyBorder="1" applyAlignment="1">
      <alignment horizontal="left" vertical="top" wrapText="1"/>
    </xf>
    <xf numFmtId="14" fontId="11" fillId="10" borderId="1" xfId="0" applyNumberFormat="1" applyFont="1" applyFill="1" applyBorder="1" applyAlignment="1">
      <alignment horizontal="left" vertical="top"/>
    </xf>
    <xf numFmtId="17" fontId="11" fillId="10" borderId="1" xfId="0" applyNumberFormat="1" applyFont="1" applyFill="1" applyBorder="1" applyAlignment="1">
      <alignment horizontal="left" vertical="top"/>
    </xf>
    <xf numFmtId="2" fontId="11" fillId="10" borderId="1" xfId="0" applyNumberFormat="1" applyFont="1" applyFill="1" applyBorder="1" applyAlignment="1">
      <alignment horizontal="left" vertical="top"/>
    </xf>
    <xf numFmtId="0" fontId="11" fillId="10" borderId="1" xfId="0" applyNumberFormat="1" applyFont="1" applyFill="1" applyBorder="1" applyAlignment="1">
      <alignment horizontal="left" vertical="top"/>
    </xf>
    <xf numFmtId="0" fontId="11" fillId="10" borderId="1" xfId="0" applyNumberFormat="1" applyFont="1" applyFill="1" applyBorder="1" applyAlignment="1">
      <alignment horizontal="left" vertical="top" wrapText="1"/>
    </xf>
    <xf numFmtId="0" fontId="11" fillId="10" borderId="1" xfId="0" applyFont="1" applyFill="1" applyBorder="1" applyAlignment="1">
      <alignment horizontal="left" vertical="top"/>
    </xf>
    <xf numFmtId="14" fontId="10" fillId="10" borderId="1" xfId="0" applyNumberFormat="1" applyFont="1" applyFill="1" applyBorder="1" applyAlignment="1">
      <alignment horizontal="left" vertical="top"/>
    </xf>
    <xf numFmtId="0" fontId="10" fillId="10" borderId="1" xfId="0" applyNumberFormat="1" applyFont="1" applyFill="1" applyBorder="1" applyAlignment="1">
      <alignment horizontal="left" vertical="top"/>
    </xf>
    <xf numFmtId="2" fontId="10" fillId="10" borderId="1" xfId="0" applyNumberFormat="1" applyFont="1" applyFill="1" applyBorder="1" applyAlignment="1">
      <alignment horizontal="left" vertical="top"/>
    </xf>
    <xf numFmtId="166" fontId="10" fillId="10" borderId="1" xfId="0" applyNumberFormat="1" applyFont="1" applyFill="1" applyBorder="1" applyAlignment="1">
      <alignment horizontal="right" vertical="top"/>
    </xf>
    <xf numFmtId="1" fontId="10" fillId="10" borderId="1" xfId="0" applyNumberFormat="1" applyFont="1" applyFill="1" applyBorder="1" applyAlignment="1">
      <alignment horizontal="right" vertical="top"/>
    </xf>
    <xf numFmtId="14" fontId="9" fillId="10" borderId="1" xfId="0" applyNumberFormat="1" applyFont="1" applyFill="1" applyBorder="1" applyAlignment="1">
      <alignment horizontal="left" vertical="top"/>
    </xf>
    <xf numFmtId="17" fontId="9" fillId="10" borderId="1" xfId="0" applyNumberFormat="1" applyFont="1" applyFill="1" applyBorder="1" applyAlignment="1">
      <alignment horizontal="left" vertical="top"/>
    </xf>
    <xf numFmtId="0" fontId="13" fillId="10" borderId="1" xfId="0" applyNumberFormat="1" applyFont="1" applyFill="1" applyBorder="1" applyAlignment="1">
      <alignment horizontal="right" vertical="top"/>
    </xf>
    <xf numFmtId="170" fontId="0" fillId="10" borderId="1" xfId="0" applyNumberFormat="1" applyFill="1" applyBorder="1" applyAlignment="1">
      <alignment horizontal="right" vertical="top"/>
    </xf>
    <xf numFmtId="0" fontId="0" fillId="10" borderId="1" xfId="0" applyNumberFormat="1" applyFill="1" applyBorder="1" applyAlignment="1">
      <alignment horizontal="left" vertical="top"/>
    </xf>
    <xf numFmtId="167" fontId="11" fillId="10" borderId="1" xfId="0" applyNumberFormat="1" applyFont="1" applyFill="1" applyBorder="1" applyAlignment="1">
      <alignment horizontal="left" vertical="top"/>
    </xf>
    <xf numFmtId="1" fontId="11" fillId="10" borderId="1" xfId="0" applyNumberFormat="1" applyFont="1" applyFill="1" applyBorder="1" applyAlignment="1">
      <alignment horizontal="left" vertical="top"/>
    </xf>
    <xf numFmtId="49" fontId="9" fillId="10" borderId="1" xfId="0" applyNumberFormat="1" applyFont="1" applyFill="1" applyBorder="1" applyAlignment="1">
      <alignment horizontal="center" vertical="center" wrapText="1"/>
    </xf>
    <xf numFmtId="0" fontId="10" fillId="10" borderId="1" xfId="0" applyNumberFormat="1" applyFont="1" applyFill="1" applyBorder="1" applyAlignment="1">
      <alignment horizontal="center" vertical="center"/>
    </xf>
    <xf numFmtId="0" fontId="9" fillId="10" borderId="1" xfId="0" applyFont="1" applyFill="1" applyBorder="1" applyAlignment="1">
      <alignment horizontal="center" vertical="center" wrapText="1"/>
    </xf>
    <xf numFmtId="14" fontId="9" fillId="10" borderId="1" xfId="0" applyNumberFormat="1" applyFont="1" applyFill="1" applyBorder="1" applyAlignment="1">
      <alignment horizontal="center" vertical="center" wrapText="1"/>
    </xf>
    <xf numFmtId="3" fontId="40" fillId="10" borderId="1" xfId="0" applyNumberFormat="1" applyFont="1" applyFill="1" applyBorder="1" applyAlignment="1">
      <alignment vertical="center" wrapText="1"/>
    </xf>
    <xf numFmtId="0" fontId="0" fillId="10" borderId="1" xfId="0" applyFill="1" applyBorder="1" applyAlignment="1">
      <alignment vertical="center"/>
    </xf>
    <xf numFmtId="0" fontId="0" fillId="10" borderId="1" xfId="0" applyFill="1" applyBorder="1" applyAlignment="1">
      <alignment vertical="center" wrapText="1"/>
    </xf>
    <xf numFmtId="14" fontId="9" fillId="10" borderId="30" xfId="0" applyNumberFormat="1" applyFont="1" applyFill="1" applyBorder="1" applyAlignment="1">
      <alignment vertical="center" wrapText="1"/>
    </xf>
    <xf numFmtId="17" fontId="10" fillId="10" borderId="30" xfId="0" applyNumberFormat="1" applyFont="1" applyFill="1" applyBorder="1" applyAlignment="1">
      <alignment vertical="center" wrapText="1"/>
    </xf>
    <xf numFmtId="14" fontId="0" fillId="0" borderId="0" xfId="0" applyNumberFormat="1"/>
    <xf numFmtId="0" fontId="0" fillId="0" borderId="1" xfId="0" applyBorder="1" applyAlignment="1">
      <alignment horizontal="center" vertical="center" wrapText="1"/>
    </xf>
    <xf numFmtId="0" fontId="0" fillId="3" borderId="1" xfId="0" applyFill="1" applyBorder="1" applyAlignment="1">
      <alignment horizontal="center" vertical="center" wrapText="1"/>
    </xf>
    <xf numFmtId="0" fontId="41" fillId="0" borderId="1" xfId="0" applyFont="1" applyBorder="1" applyAlignment="1">
      <alignment horizontal="center" vertical="center" wrapText="1"/>
    </xf>
    <xf numFmtId="0" fontId="0" fillId="24" borderId="1" xfId="0" applyFill="1" applyBorder="1" applyAlignment="1">
      <alignment horizontal="center" vertical="center" wrapText="1"/>
    </xf>
    <xf numFmtId="14" fontId="41" fillId="0" borderId="1" xfId="0" applyNumberFormat="1" applyFont="1" applyBorder="1" applyAlignment="1">
      <alignment horizontal="center" vertical="center" wrapText="1"/>
    </xf>
    <xf numFmtId="0" fontId="0" fillId="0" borderId="0" xfId="0" applyAlignment="1">
      <alignment vertical="center"/>
    </xf>
    <xf numFmtId="0" fontId="10" fillId="3" borderId="1" xfId="0" applyNumberFormat="1" applyFont="1" applyFill="1" applyBorder="1" applyAlignment="1">
      <alignment horizontal="center" vertical="center" wrapText="1"/>
    </xf>
    <xf numFmtId="14" fontId="0" fillId="0" borderId="1" xfId="0" applyNumberFormat="1" applyBorder="1" applyAlignment="1">
      <alignment horizontal="center" vertical="center" wrapText="1"/>
    </xf>
    <xf numFmtId="2" fontId="10" fillId="12" borderId="1" xfId="11" applyNumberFormat="1" applyFont="1" applyFill="1" applyBorder="1" applyAlignment="1" applyProtection="1">
      <alignment horizontal="left" vertical="top" wrapText="1"/>
      <protection locked="0"/>
    </xf>
    <xf numFmtId="166" fontId="10" fillId="12" borderId="2" xfId="0" applyNumberFormat="1" applyFont="1" applyFill="1" applyBorder="1" applyAlignment="1">
      <alignment horizontal="right" vertical="top" wrapText="1"/>
    </xf>
    <xf numFmtId="14" fontId="9" fillId="12" borderId="1" xfId="0" applyNumberFormat="1" applyFont="1" applyFill="1" applyBorder="1" applyAlignment="1">
      <alignment vertical="top" wrapText="1"/>
    </xf>
    <xf numFmtId="14" fontId="10" fillId="12" borderId="1" xfId="0" applyNumberFormat="1" applyFont="1" applyFill="1" applyBorder="1" applyAlignment="1">
      <alignment horizontal="center" vertical="top"/>
    </xf>
    <xf numFmtId="14" fontId="9" fillId="12" borderId="1" xfId="0" applyNumberFormat="1" applyFont="1" applyFill="1" applyBorder="1" applyAlignment="1">
      <alignment horizontal="center" vertical="top" wrapText="1"/>
    </xf>
    <xf numFmtId="166" fontId="10" fillId="12" borderId="3" xfId="0" applyNumberFormat="1" applyFont="1" applyFill="1" applyBorder="1" applyAlignment="1">
      <alignment horizontal="right" vertical="top" wrapText="1"/>
    </xf>
    <xf numFmtId="0" fontId="22" fillId="12" borderId="1" xfId="0" applyFont="1" applyFill="1" applyBorder="1" applyAlignment="1">
      <alignment horizontal="left" vertical="top"/>
    </xf>
    <xf numFmtId="0" fontId="17" fillId="12" borderId="1" xfId="0" applyNumberFormat="1" applyFont="1" applyFill="1" applyBorder="1" applyAlignment="1">
      <alignment horizontal="center" vertical="top" wrapText="1"/>
    </xf>
    <xf numFmtId="3" fontId="10" fillId="12" borderId="0" xfId="0" applyNumberFormat="1" applyFont="1" applyFill="1" applyBorder="1" applyAlignment="1">
      <alignment horizontal="right" vertical="top" wrapText="1"/>
    </xf>
    <xf numFmtId="0" fontId="9" fillId="12" borderId="0" xfId="0" applyFont="1" applyFill="1" applyBorder="1" applyAlignment="1">
      <alignment horizontal="left" vertical="top" wrapText="1"/>
    </xf>
    <xf numFmtId="2" fontId="10" fillId="12" borderId="0" xfId="0" applyNumberFormat="1" applyFont="1" applyFill="1" applyBorder="1" applyAlignment="1">
      <alignment horizontal="left" vertical="top"/>
    </xf>
    <xf numFmtId="0" fontId="9" fillId="0" borderId="3" xfId="0" applyFont="1" applyFill="1" applyBorder="1" applyAlignment="1">
      <alignment horizontal="left" vertical="top" wrapText="1"/>
    </xf>
    <xf numFmtId="0" fontId="26" fillId="0" borderId="1" xfId="0" applyFont="1" applyBorder="1" applyAlignment="1">
      <alignment horizontal="left" vertical="center"/>
    </xf>
    <xf numFmtId="0" fontId="26" fillId="15" borderId="1" xfId="0" applyFont="1" applyFill="1" applyBorder="1" applyAlignment="1">
      <alignment horizontal="center" vertical="center"/>
    </xf>
    <xf numFmtId="0" fontId="26" fillId="3" borderId="1" xfId="0" applyFont="1" applyFill="1" applyBorder="1" applyAlignment="1">
      <alignment horizontal="left" vertical="center"/>
    </xf>
    <xf numFmtId="0" fontId="0" fillId="0" borderId="1" xfId="0" applyBorder="1" applyAlignment="1">
      <alignment horizontal="center"/>
    </xf>
    <xf numFmtId="0" fontId="3" fillId="0" borderId="1" xfId="0" applyFont="1" applyBorder="1" applyAlignment="1">
      <alignment horizontal="center"/>
    </xf>
    <xf numFmtId="0" fontId="4" fillId="0" borderId="1" xfId="0" applyFont="1" applyBorder="1" applyAlignment="1">
      <alignment horizontal="center"/>
    </xf>
    <xf numFmtId="0" fontId="4" fillId="15" borderId="1" xfId="0" applyFont="1" applyFill="1" applyBorder="1" applyAlignment="1">
      <alignment horizontal="center" vertical="center"/>
    </xf>
    <xf numFmtId="0" fontId="4" fillId="3" borderId="1" xfId="0" applyFont="1" applyFill="1" applyBorder="1" applyAlignment="1">
      <alignment horizontal="center"/>
    </xf>
    <xf numFmtId="0" fontId="3" fillId="0" borderId="1" xfId="0" applyFont="1" applyBorder="1" applyAlignment="1">
      <alignment horizontal="center" vertical="center"/>
    </xf>
    <xf numFmtId="0" fontId="4" fillId="0" borderId="1" xfId="0" applyFont="1" applyBorder="1" applyAlignment="1">
      <alignment horizontal="center" vertical="center"/>
    </xf>
    <xf numFmtId="0" fontId="3" fillId="0" borderId="8" xfId="0" applyFont="1" applyBorder="1" applyAlignment="1">
      <alignment horizontal="center"/>
    </xf>
    <xf numFmtId="0" fontId="3" fillId="0" borderId="9" xfId="0" applyFont="1" applyBorder="1" applyAlignment="1">
      <alignment horizontal="center"/>
    </xf>
    <xf numFmtId="0" fontId="3" fillId="0" borderId="10" xfId="0" applyFont="1" applyBorder="1" applyAlignment="1">
      <alignment horizontal="center"/>
    </xf>
    <xf numFmtId="0" fontId="4" fillId="0" borderId="1" xfId="0" applyFont="1" applyBorder="1" applyAlignment="1">
      <alignment horizontal="left" vertical="center"/>
    </xf>
    <xf numFmtId="0" fontId="4" fillId="0" borderId="2" xfId="0" applyFont="1" applyBorder="1" applyAlignment="1">
      <alignment horizontal="left" vertical="center"/>
    </xf>
    <xf numFmtId="0" fontId="4" fillId="0" borderId="12" xfId="0" applyFont="1" applyBorder="1" applyAlignment="1">
      <alignment horizontal="left" vertical="center"/>
    </xf>
    <xf numFmtId="0" fontId="4" fillId="0" borderId="13" xfId="0" applyFont="1" applyBorder="1" applyAlignment="1">
      <alignment horizontal="left" vertical="center"/>
    </xf>
    <xf numFmtId="0" fontId="4" fillId="0" borderId="15" xfId="0" applyFont="1" applyBorder="1" applyAlignment="1">
      <alignment horizontal="left" vertical="center"/>
    </xf>
    <xf numFmtId="0" fontId="4" fillId="0" borderId="16" xfId="0" applyFont="1" applyBorder="1" applyAlignment="1">
      <alignment horizontal="left" vertical="center"/>
    </xf>
    <xf numFmtId="0" fontId="3" fillId="0" borderId="6" xfId="0" applyFont="1" applyBorder="1" applyAlignment="1">
      <alignment horizontal="center"/>
    </xf>
    <xf numFmtId="0" fontId="3" fillId="0" borderId="7" xfId="0" applyFont="1" applyBorder="1" applyAlignment="1">
      <alignment horizontal="center"/>
    </xf>
    <xf numFmtId="0" fontId="12" fillId="0" borderId="18" xfId="0" applyFont="1" applyBorder="1" applyAlignment="1">
      <alignment horizontal="center"/>
    </xf>
    <xf numFmtId="0" fontId="12" fillId="0" borderId="19" xfId="0" applyFont="1" applyBorder="1" applyAlignment="1">
      <alignment horizontal="center"/>
    </xf>
    <xf numFmtId="0" fontId="0" fillId="3" borderId="2" xfId="0" applyFill="1" applyBorder="1" applyAlignment="1">
      <alignment horizontal="center"/>
    </xf>
    <xf numFmtId="0" fontId="0" fillId="3" borderId="4" xfId="0" applyFill="1" applyBorder="1" applyAlignment="1">
      <alignment horizontal="center"/>
    </xf>
  </cellXfs>
  <cellStyles count="13">
    <cellStyle name="Hipervínculo" xfId="4" builtinId="8"/>
    <cellStyle name="Millares" xfId="1" builtinId="3"/>
    <cellStyle name="Millares 10" xfId="6" xr:uid="{EDDB829E-9DE6-43F1-93E5-33235C212317}"/>
    <cellStyle name="Millares 11" xfId="7" xr:uid="{7C6E605D-BA99-4741-ADF8-4C16D4056895}"/>
    <cellStyle name="Millares 2 3" xfId="9" xr:uid="{F6A597CD-6F08-4408-A119-7584AAC06D79}"/>
    <cellStyle name="Millares 2 3 2" xfId="12" xr:uid="{CCDFCF3F-526F-44AE-B4FE-38A266293F46}"/>
    <cellStyle name="Moneda" xfId="2" builtinId="4"/>
    <cellStyle name="Normal" xfId="0" builtinId="0"/>
    <cellStyle name="Normal 2 3" xfId="11" xr:uid="{9A1572C7-F4AC-49CE-897C-3C55EBF48927}"/>
    <cellStyle name="Normal 6 2" xfId="8" xr:uid="{14E17817-71B7-4E9A-881A-587E7BC88E58}"/>
    <cellStyle name="Normal_Hoja1" xfId="5" xr:uid="{0DEECE83-D639-4324-950C-70B39306E676}"/>
    <cellStyle name="Porcentaje" xfId="3" builtinId="5"/>
    <cellStyle name="ROTULO S" xfId="10" xr:uid="{F7224595-30C2-4BDB-ADD7-ACF4E675734B}"/>
  </cellStyles>
  <dxfs count="3">
    <dxf>
      <fill>
        <patternFill>
          <bgColor theme="9" tint="0.79998168889431442"/>
        </patternFill>
      </fill>
    </dxf>
    <dxf>
      <fill>
        <patternFill>
          <bgColor theme="9" tint="0.79998168889431442"/>
        </patternFill>
      </fill>
    </dxf>
    <dxf>
      <fill>
        <patternFill>
          <bgColor theme="9" tint="0.79998168889431442"/>
        </patternFill>
      </fill>
    </dxf>
  </dxfs>
  <tableStyles count="0" defaultTableStyle="TableStyleMedium2" defaultPivotStyle="PivotStyleLight16"/>
  <colors>
    <mruColors>
      <color rgb="FF99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12.xml"/><Relationship Id="rId299" Type="http://schemas.openxmlformats.org/officeDocument/2006/relationships/externalLink" Target="externalLinks/externalLink294.xml"/><Relationship Id="rId21" Type="http://schemas.openxmlformats.org/officeDocument/2006/relationships/externalLink" Target="externalLinks/externalLink16.xml"/><Relationship Id="rId63" Type="http://schemas.openxmlformats.org/officeDocument/2006/relationships/externalLink" Target="externalLinks/externalLink58.xml"/><Relationship Id="rId159" Type="http://schemas.openxmlformats.org/officeDocument/2006/relationships/externalLink" Target="externalLinks/externalLink154.xml"/><Relationship Id="rId324" Type="http://schemas.openxmlformats.org/officeDocument/2006/relationships/externalLink" Target="externalLinks/externalLink319.xml"/><Relationship Id="rId366" Type="http://schemas.openxmlformats.org/officeDocument/2006/relationships/externalLink" Target="externalLinks/externalLink361.xml"/><Relationship Id="rId170" Type="http://schemas.openxmlformats.org/officeDocument/2006/relationships/externalLink" Target="externalLinks/externalLink165.xml"/><Relationship Id="rId226" Type="http://schemas.openxmlformats.org/officeDocument/2006/relationships/externalLink" Target="externalLinks/externalLink221.xml"/><Relationship Id="rId268" Type="http://schemas.openxmlformats.org/officeDocument/2006/relationships/externalLink" Target="externalLinks/externalLink263.xml"/><Relationship Id="rId32" Type="http://schemas.openxmlformats.org/officeDocument/2006/relationships/externalLink" Target="externalLinks/externalLink27.xml"/><Relationship Id="rId74" Type="http://schemas.openxmlformats.org/officeDocument/2006/relationships/externalLink" Target="externalLinks/externalLink69.xml"/><Relationship Id="rId128" Type="http://schemas.openxmlformats.org/officeDocument/2006/relationships/externalLink" Target="externalLinks/externalLink123.xml"/><Relationship Id="rId335" Type="http://schemas.openxmlformats.org/officeDocument/2006/relationships/externalLink" Target="externalLinks/externalLink330.xml"/><Relationship Id="rId377" Type="http://schemas.openxmlformats.org/officeDocument/2006/relationships/externalLink" Target="externalLinks/externalLink372.xml"/><Relationship Id="rId5" Type="http://schemas.openxmlformats.org/officeDocument/2006/relationships/worksheet" Target="worksheets/sheet5.xml"/><Relationship Id="rId181" Type="http://schemas.openxmlformats.org/officeDocument/2006/relationships/externalLink" Target="externalLinks/externalLink176.xml"/><Relationship Id="rId237" Type="http://schemas.openxmlformats.org/officeDocument/2006/relationships/externalLink" Target="externalLinks/externalLink232.xml"/><Relationship Id="rId402" Type="http://schemas.openxmlformats.org/officeDocument/2006/relationships/externalLink" Target="externalLinks/externalLink397.xml"/><Relationship Id="rId279" Type="http://schemas.openxmlformats.org/officeDocument/2006/relationships/externalLink" Target="externalLinks/externalLink274.xml"/><Relationship Id="rId43" Type="http://schemas.openxmlformats.org/officeDocument/2006/relationships/externalLink" Target="externalLinks/externalLink38.xml"/><Relationship Id="rId139" Type="http://schemas.openxmlformats.org/officeDocument/2006/relationships/externalLink" Target="externalLinks/externalLink134.xml"/><Relationship Id="rId290" Type="http://schemas.openxmlformats.org/officeDocument/2006/relationships/externalLink" Target="externalLinks/externalLink285.xml"/><Relationship Id="rId304" Type="http://schemas.openxmlformats.org/officeDocument/2006/relationships/externalLink" Target="externalLinks/externalLink299.xml"/><Relationship Id="rId346" Type="http://schemas.openxmlformats.org/officeDocument/2006/relationships/externalLink" Target="externalLinks/externalLink341.xml"/><Relationship Id="rId388" Type="http://schemas.openxmlformats.org/officeDocument/2006/relationships/externalLink" Target="externalLinks/externalLink383.xml"/><Relationship Id="rId85" Type="http://schemas.openxmlformats.org/officeDocument/2006/relationships/externalLink" Target="externalLinks/externalLink80.xml"/><Relationship Id="rId150" Type="http://schemas.openxmlformats.org/officeDocument/2006/relationships/externalLink" Target="externalLinks/externalLink145.xml"/><Relationship Id="rId192" Type="http://schemas.openxmlformats.org/officeDocument/2006/relationships/externalLink" Target="externalLinks/externalLink187.xml"/><Relationship Id="rId206" Type="http://schemas.openxmlformats.org/officeDocument/2006/relationships/externalLink" Target="externalLinks/externalLink201.xml"/><Relationship Id="rId413" Type="http://schemas.openxmlformats.org/officeDocument/2006/relationships/externalLink" Target="externalLinks/externalLink408.xml"/><Relationship Id="rId248" Type="http://schemas.openxmlformats.org/officeDocument/2006/relationships/externalLink" Target="externalLinks/externalLink243.xml"/><Relationship Id="rId12" Type="http://schemas.openxmlformats.org/officeDocument/2006/relationships/externalLink" Target="externalLinks/externalLink7.xml"/><Relationship Id="rId108" Type="http://schemas.openxmlformats.org/officeDocument/2006/relationships/externalLink" Target="externalLinks/externalLink103.xml"/><Relationship Id="rId315" Type="http://schemas.openxmlformats.org/officeDocument/2006/relationships/externalLink" Target="externalLinks/externalLink310.xml"/><Relationship Id="rId357" Type="http://schemas.openxmlformats.org/officeDocument/2006/relationships/externalLink" Target="externalLinks/externalLink352.xml"/><Relationship Id="rId54" Type="http://schemas.openxmlformats.org/officeDocument/2006/relationships/externalLink" Target="externalLinks/externalLink49.xml"/><Relationship Id="rId96" Type="http://schemas.openxmlformats.org/officeDocument/2006/relationships/externalLink" Target="externalLinks/externalLink91.xml"/><Relationship Id="rId161" Type="http://schemas.openxmlformats.org/officeDocument/2006/relationships/externalLink" Target="externalLinks/externalLink156.xml"/><Relationship Id="rId217" Type="http://schemas.openxmlformats.org/officeDocument/2006/relationships/externalLink" Target="externalLinks/externalLink212.xml"/><Relationship Id="rId399" Type="http://schemas.openxmlformats.org/officeDocument/2006/relationships/externalLink" Target="externalLinks/externalLink394.xml"/><Relationship Id="rId259" Type="http://schemas.openxmlformats.org/officeDocument/2006/relationships/externalLink" Target="externalLinks/externalLink254.xml"/><Relationship Id="rId424" Type="http://schemas.openxmlformats.org/officeDocument/2006/relationships/externalLink" Target="externalLinks/externalLink419.xml"/><Relationship Id="rId23" Type="http://schemas.openxmlformats.org/officeDocument/2006/relationships/externalLink" Target="externalLinks/externalLink18.xml"/><Relationship Id="rId119" Type="http://schemas.openxmlformats.org/officeDocument/2006/relationships/externalLink" Target="externalLinks/externalLink114.xml"/><Relationship Id="rId270" Type="http://schemas.openxmlformats.org/officeDocument/2006/relationships/externalLink" Target="externalLinks/externalLink265.xml"/><Relationship Id="rId326" Type="http://schemas.openxmlformats.org/officeDocument/2006/relationships/externalLink" Target="externalLinks/externalLink321.xml"/><Relationship Id="rId65" Type="http://schemas.openxmlformats.org/officeDocument/2006/relationships/externalLink" Target="externalLinks/externalLink60.xml"/><Relationship Id="rId130" Type="http://schemas.openxmlformats.org/officeDocument/2006/relationships/externalLink" Target="externalLinks/externalLink125.xml"/><Relationship Id="rId368" Type="http://schemas.openxmlformats.org/officeDocument/2006/relationships/externalLink" Target="externalLinks/externalLink363.xml"/><Relationship Id="rId172" Type="http://schemas.openxmlformats.org/officeDocument/2006/relationships/externalLink" Target="externalLinks/externalLink167.xml"/><Relationship Id="rId228" Type="http://schemas.openxmlformats.org/officeDocument/2006/relationships/externalLink" Target="externalLinks/externalLink223.xml"/><Relationship Id="rId281" Type="http://schemas.openxmlformats.org/officeDocument/2006/relationships/externalLink" Target="externalLinks/externalLink276.xml"/><Relationship Id="rId337" Type="http://schemas.openxmlformats.org/officeDocument/2006/relationships/externalLink" Target="externalLinks/externalLink332.xml"/><Relationship Id="rId34" Type="http://schemas.openxmlformats.org/officeDocument/2006/relationships/externalLink" Target="externalLinks/externalLink29.xml"/><Relationship Id="rId76" Type="http://schemas.openxmlformats.org/officeDocument/2006/relationships/externalLink" Target="externalLinks/externalLink71.xml"/><Relationship Id="rId141" Type="http://schemas.openxmlformats.org/officeDocument/2006/relationships/externalLink" Target="externalLinks/externalLink136.xml"/><Relationship Id="rId379" Type="http://schemas.openxmlformats.org/officeDocument/2006/relationships/externalLink" Target="externalLinks/externalLink374.xml"/><Relationship Id="rId7" Type="http://schemas.openxmlformats.org/officeDocument/2006/relationships/externalLink" Target="externalLinks/externalLink2.xml"/><Relationship Id="rId183" Type="http://schemas.openxmlformats.org/officeDocument/2006/relationships/externalLink" Target="externalLinks/externalLink178.xml"/><Relationship Id="rId239" Type="http://schemas.openxmlformats.org/officeDocument/2006/relationships/externalLink" Target="externalLinks/externalLink234.xml"/><Relationship Id="rId390" Type="http://schemas.openxmlformats.org/officeDocument/2006/relationships/externalLink" Target="externalLinks/externalLink385.xml"/><Relationship Id="rId404" Type="http://schemas.openxmlformats.org/officeDocument/2006/relationships/externalLink" Target="externalLinks/externalLink399.xml"/><Relationship Id="rId250" Type="http://schemas.openxmlformats.org/officeDocument/2006/relationships/externalLink" Target="externalLinks/externalLink245.xml"/><Relationship Id="rId292" Type="http://schemas.openxmlformats.org/officeDocument/2006/relationships/externalLink" Target="externalLinks/externalLink287.xml"/><Relationship Id="rId306" Type="http://schemas.openxmlformats.org/officeDocument/2006/relationships/externalLink" Target="externalLinks/externalLink301.xml"/><Relationship Id="rId45" Type="http://schemas.openxmlformats.org/officeDocument/2006/relationships/externalLink" Target="externalLinks/externalLink40.xml"/><Relationship Id="rId87" Type="http://schemas.openxmlformats.org/officeDocument/2006/relationships/externalLink" Target="externalLinks/externalLink82.xml"/><Relationship Id="rId110" Type="http://schemas.openxmlformats.org/officeDocument/2006/relationships/externalLink" Target="externalLinks/externalLink105.xml"/><Relationship Id="rId348" Type="http://schemas.openxmlformats.org/officeDocument/2006/relationships/externalLink" Target="externalLinks/externalLink343.xml"/><Relationship Id="rId152" Type="http://schemas.openxmlformats.org/officeDocument/2006/relationships/externalLink" Target="externalLinks/externalLink147.xml"/><Relationship Id="rId194" Type="http://schemas.openxmlformats.org/officeDocument/2006/relationships/externalLink" Target="externalLinks/externalLink189.xml"/><Relationship Id="rId208" Type="http://schemas.openxmlformats.org/officeDocument/2006/relationships/externalLink" Target="externalLinks/externalLink203.xml"/><Relationship Id="rId415" Type="http://schemas.openxmlformats.org/officeDocument/2006/relationships/externalLink" Target="externalLinks/externalLink410.xml"/><Relationship Id="rId261" Type="http://schemas.openxmlformats.org/officeDocument/2006/relationships/externalLink" Target="externalLinks/externalLink256.xml"/><Relationship Id="rId14" Type="http://schemas.openxmlformats.org/officeDocument/2006/relationships/externalLink" Target="externalLinks/externalLink9.xml"/><Relationship Id="rId56" Type="http://schemas.openxmlformats.org/officeDocument/2006/relationships/externalLink" Target="externalLinks/externalLink51.xml"/><Relationship Id="rId317" Type="http://schemas.openxmlformats.org/officeDocument/2006/relationships/externalLink" Target="externalLinks/externalLink312.xml"/><Relationship Id="rId359" Type="http://schemas.openxmlformats.org/officeDocument/2006/relationships/externalLink" Target="externalLinks/externalLink354.xml"/><Relationship Id="rId98" Type="http://schemas.openxmlformats.org/officeDocument/2006/relationships/externalLink" Target="externalLinks/externalLink93.xml"/><Relationship Id="rId121" Type="http://schemas.openxmlformats.org/officeDocument/2006/relationships/externalLink" Target="externalLinks/externalLink116.xml"/><Relationship Id="rId163" Type="http://schemas.openxmlformats.org/officeDocument/2006/relationships/externalLink" Target="externalLinks/externalLink158.xml"/><Relationship Id="rId219" Type="http://schemas.openxmlformats.org/officeDocument/2006/relationships/externalLink" Target="externalLinks/externalLink214.xml"/><Relationship Id="rId370" Type="http://schemas.openxmlformats.org/officeDocument/2006/relationships/externalLink" Target="externalLinks/externalLink365.xml"/><Relationship Id="rId426" Type="http://schemas.openxmlformats.org/officeDocument/2006/relationships/styles" Target="styles.xml"/><Relationship Id="rId230" Type="http://schemas.openxmlformats.org/officeDocument/2006/relationships/externalLink" Target="externalLinks/externalLink225.xml"/><Relationship Id="rId25" Type="http://schemas.openxmlformats.org/officeDocument/2006/relationships/externalLink" Target="externalLinks/externalLink20.xml"/><Relationship Id="rId67" Type="http://schemas.openxmlformats.org/officeDocument/2006/relationships/externalLink" Target="externalLinks/externalLink62.xml"/><Relationship Id="rId272" Type="http://schemas.openxmlformats.org/officeDocument/2006/relationships/externalLink" Target="externalLinks/externalLink267.xml"/><Relationship Id="rId328" Type="http://schemas.openxmlformats.org/officeDocument/2006/relationships/externalLink" Target="externalLinks/externalLink323.xml"/><Relationship Id="rId132" Type="http://schemas.openxmlformats.org/officeDocument/2006/relationships/externalLink" Target="externalLinks/externalLink127.xml"/><Relationship Id="rId174" Type="http://schemas.openxmlformats.org/officeDocument/2006/relationships/externalLink" Target="externalLinks/externalLink169.xml"/><Relationship Id="rId381" Type="http://schemas.openxmlformats.org/officeDocument/2006/relationships/externalLink" Target="externalLinks/externalLink376.xml"/><Relationship Id="rId241" Type="http://schemas.openxmlformats.org/officeDocument/2006/relationships/externalLink" Target="externalLinks/externalLink236.xml"/><Relationship Id="rId36" Type="http://schemas.openxmlformats.org/officeDocument/2006/relationships/externalLink" Target="externalLinks/externalLink31.xml"/><Relationship Id="rId283" Type="http://schemas.openxmlformats.org/officeDocument/2006/relationships/externalLink" Target="externalLinks/externalLink278.xml"/><Relationship Id="rId339" Type="http://schemas.openxmlformats.org/officeDocument/2006/relationships/externalLink" Target="externalLinks/externalLink334.xml"/><Relationship Id="rId78" Type="http://schemas.openxmlformats.org/officeDocument/2006/relationships/externalLink" Target="externalLinks/externalLink73.xml"/><Relationship Id="rId101" Type="http://schemas.openxmlformats.org/officeDocument/2006/relationships/externalLink" Target="externalLinks/externalLink96.xml"/><Relationship Id="rId143" Type="http://schemas.openxmlformats.org/officeDocument/2006/relationships/externalLink" Target="externalLinks/externalLink138.xml"/><Relationship Id="rId185" Type="http://schemas.openxmlformats.org/officeDocument/2006/relationships/externalLink" Target="externalLinks/externalLink180.xml"/><Relationship Id="rId350" Type="http://schemas.openxmlformats.org/officeDocument/2006/relationships/externalLink" Target="externalLinks/externalLink345.xml"/><Relationship Id="rId406" Type="http://schemas.openxmlformats.org/officeDocument/2006/relationships/externalLink" Target="externalLinks/externalLink401.xml"/><Relationship Id="rId9" Type="http://schemas.openxmlformats.org/officeDocument/2006/relationships/externalLink" Target="externalLinks/externalLink4.xml"/><Relationship Id="rId210" Type="http://schemas.openxmlformats.org/officeDocument/2006/relationships/externalLink" Target="externalLinks/externalLink205.xml"/><Relationship Id="rId392" Type="http://schemas.openxmlformats.org/officeDocument/2006/relationships/externalLink" Target="externalLinks/externalLink387.xml"/><Relationship Id="rId252" Type="http://schemas.openxmlformats.org/officeDocument/2006/relationships/externalLink" Target="externalLinks/externalLink247.xml"/><Relationship Id="rId294" Type="http://schemas.openxmlformats.org/officeDocument/2006/relationships/externalLink" Target="externalLinks/externalLink289.xml"/><Relationship Id="rId308" Type="http://schemas.openxmlformats.org/officeDocument/2006/relationships/externalLink" Target="externalLinks/externalLink303.xml"/><Relationship Id="rId47" Type="http://schemas.openxmlformats.org/officeDocument/2006/relationships/externalLink" Target="externalLinks/externalLink42.xml"/><Relationship Id="rId89" Type="http://schemas.openxmlformats.org/officeDocument/2006/relationships/externalLink" Target="externalLinks/externalLink84.xml"/><Relationship Id="rId112" Type="http://schemas.openxmlformats.org/officeDocument/2006/relationships/externalLink" Target="externalLinks/externalLink107.xml"/><Relationship Id="rId154" Type="http://schemas.openxmlformats.org/officeDocument/2006/relationships/externalLink" Target="externalLinks/externalLink149.xml"/><Relationship Id="rId361" Type="http://schemas.openxmlformats.org/officeDocument/2006/relationships/externalLink" Target="externalLinks/externalLink356.xml"/><Relationship Id="rId196" Type="http://schemas.openxmlformats.org/officeDocument/2006/relationships/externalLink" Target="externalLinks/externalLink191.xml"/><Relationship Id="rId417" Type="http://schemas.openxmlformats.org/officeDocument/2006/relationships/externalLink" Target="externalLinks/externalLink412.xml"/><Relationship Id="rId16" Type="http://schemas.openxmlformats.org/officeDocument/2006/relationships/externalLink" Target="externalLinks/externalLink11.xml"/><Relationship Id="rId221" Type="http://schemas.openxmlformats.org/officeDocument/2006/relationships/externalLink" Target="externalLinks/externalLink216.xml"/><Relationship Id="rId263" Type="http://schemas.openxmlformats.org/officeDocument/2006/relationships/externalLink" Target="externalLinks/externalLink258.xml"/><Relationship Id="rId319" Type="http://schemas.openxmlformats.org/officeDocument/2006/relationships/externalLink" Target="externalLinks/externalLink314.xml"/><Relationship Id="rId58" Type="http://schemas.openxmlformats.org/officeDocument/2006/relationships/externalLink" Target="externalLinks/externalLink53.xml"/><Relationship Id="rId123" Type="http://schemas.openxmlformats.org/officeDocument/2006/relationships/externalLink" Target="externalLinks/externalLink118.xml"/><Relationship Id="rId330" Type="http://schemas.openxmlformats.org/officeDocument/2006/relationships/externalLink" Target="externalLinks/externalLink325.xml"/><Relationship Id="rId165" Type="http://schemas.openxmlformats.org/officeDocument/2006/relationships/externalLink" Target="externalLinks/externalLink160.xml"/><Relationship Id="rId372" Type="http://schemas.openxmlformats.org/officeDocument/2006/relationships/externalLink" Target="externalLinks/externalLink367.xml"/><Relationship Id="rId428" Type="http://schemas.openxmlformats.org/officeDocument/2006/relationships/calcChain" Target="calcChain.xml"/><Relationship Id="rId232" Type="http://schemas.openxmlformats.org/officeDocument/2006/relationships/externalLink" Target="externalLinks/externalLink227.xml"/><Relationship Id="rId274" Type="http://schemas.openxmlformats.org/officeDocument/2006/relationships/externalLink" Target="externalLinks/externalLink269.xml"/><Relationship Id="rId27" Type="http://schemas.openxmlformats.org/officeDocument/2006/relationships/externalLink" Target="externalLinks/externalLink22.xml"/><Relationship Id="rId69" Type="http://schemas.openxmlformats.org/officeDocument/2006/relationships/externalLink" Target="externalLinks/externalLink64.xml"/><Relationship Id="rId134" Type="http://schemas.openxmlformats.org/officeDocument/2006/relationships/externalLink" Target="externalLinks/externalLink129.xml"/><Relationship Id="rId80" Type="http://schemas.openxmlformats.org/officeDocument/2006/relationships/externalLink" Target="externalLinks/externalLink75.xml"/><Relationship Id="rId176" Type="http://schemas.openxmlformats.org/officeDocument/2006/relationships/externalLink" Target="externalLinks/externalLink171.xml"/><Relationship Id="rId341" Type="http://schemas.openxmlformats.org/officeDocument/2006/relationships/externalLink" Target="externalLinks/externalLink336.xml"/><Relationship Id="rId383" Type="http://schemas.openxmlformats.org/officeDocument/2006/relationships/externalLink" Target="externalLinks/externalLink378.xml"/><Relationship Id="rId201" Type="http://schemas.openxmlformats.org/officeDocument/2006/relationships/externalLink" Target="externalLinks/externalLink196.xml"/><Relationship Id="rId243" Type="http://schemas.openxmlformats.org/officeDocument/2006/relationships/externalLink" Target="externalLinks/externalLink238.xml"/><Relationship Id="rId285" Type="http://schemas.openxmlformats.org/officeDocument/2006/relationships/externalLink" Target="externalLinks/externalLink280.xml"/><Relationship Id="rId38" Type="http://schemas.openxmlformats.org/officeDocument/2006/relationships/externalLink" Target="externalLinks/externalLink33.xml"/><Relationship Id="rId103" Type="http://schemas.openxmlformats.org/officeDocument/2006/relationships/externalLink" Target="externalLinks/externalLink98.xml"/><Relationship Id="rId310" Type="http://schemas.openxmlformats.org/officeDocument/2006/relationships/externalLink" Target="externalLinks/externalLink305.xml"/><Relationship Id="rId91" Type="http://schemas.openxmlformats.org/officeDocument/2006/relationships/externalLink" Target="externalLinks/externalLink86.xml"/><Relationship Id="rId145" Type="http://schemas.openxmlformats.org/officeDocument/2006/relationships/externalLink" Target="externalLinks/externalLink140.xml"/><Relationship Id="rId187" Type="http://schemas.openxmlformats.org/officeDocument/2006/relationships/externalLink" Target="externalLinks/externalLink182.xml"/><Relationship Id="rId352" Type="http://schemas.openxmlformats.org/officeDocument/2006/relationships/externalLink" Target="externalLinks/externalLink347.xml"/><Relationship Id="rId394" Type="http://schemas.openxmlformats.org/officeDocument/2006/relationships/externalLink" Target="externalLinks/externalLink389.xml"/><Relationship Id="rId408" Type="http://schemas.openxmlformats.org/officeDocument/2006/relationships/externalLink" Target="externalLinks/externalLink403.xml"/><Relationship Id="rId1" Type="http://schemas.openxmlformats.org/officeDocument/2006/relationships/worksheet" Target="worksheets/sheet1.xml"/><Relationship Id="rId212" Type="http://schemas.openxmlformats.org/officeDocument/2006/relationships/externalLink" Target="externalLinks/externalLink207.xml"/><Relationship Id="rId233" Type="http://schemas.openxmlformats.org/officeDocument/2006/relationships/externalLink" Target="externalLinks/externalLink228.xml"/><Relationship Id="rId254" Type="http://schemas.openxmlformats.org/officeDocument/2006/relationships/externalLink" Target="externalLinks/externalLink249.xml"/><Relationship Id="rId28" Type="http://schemas.openxmlformats.org/officeDocument/2006/relationships/externalLink" Target="externalLinks/externalLink23.xml"/><Relationship Id="rId49" Type="http://schemas.openxmlformats.org/officeDocument/2006/relationships/externalLink" Target="externalLinks/externalLink44.xml"/><Relationship Id="rId114" Type="http://schemas.openxmlformats.org/officeDocument/2006/relationships/externalLink" Target="externalLinks/externalLink109.xml"/><Relationship Id="rId275" Type="http://schemas.openxmlformats.org/officeDocument/2006/relationships/externalLink" Target="externalLinks/externalLink270.xml"/><Relationship Id="rId296" Type="http://schemas.openxmlformats.org/officeDocument/2006/relationships/externalLink" Target="externalLinks/externalLink291.xml"/><Relationship Id="rId300" Type="http://schemas.openxmlformats.org/officeDocument/2006/relationships/externalLink" Target="externalLinks/externalLink295.xml"/><Relationship Id="rId60" Type="http://schemas.openxmlformats.org/officeDocument/2006/relationships/externalLink" Target="externalLinks/externalLink55.xml"/><Relationship Id="rId81" Type="http://schemas.openxmlformats.org/officeDocument/2006/relationships/externalLink" Target="externalLinks/externalLink76.xml"/><Relationship Id="rId135" Type="http://schemas.openxmlformats.org/officeDocument/2006/relationships/externalLink" Target="externalLinks/externalLink130.xml"/><Relationship Id="rId156" Type="http://schemas.openxmlformats.org/officeDocument/2006/relationships/externalLink" Target="externalLinks/externalLink151.xml"/><Relationship Id="rId177" Type="http://schemas.openxmlformats.org/officeDocument/2006/relationships/externalLink" Target="externalLinks/externalLink172.xml"/><Relationship Id="rId198" Type="http://schemas.openxmlformats.org/officeDocument/2006/relationships/externalLink" Target="externalLinks/externalLink193.xml"/><Relationship Id="rId321" Type="http://schemas.openxmlformats.org/officeDocument/2006/relationships/externalLink" Target="externalLinks/externalLink316.xml"/><Relationship Id="rId342" Type="http://schemas.openxmlformats.org/officeDocument/2006/relationships/externalLink" Target="externalLinks/externalLink337.xml"/><Relationship Id="rId363" Type="http://schemas.openxmlformats.org/officeDocument/2006/relationships/externalLink" Target="externalLinks/externalLink358.xml"/><Relationship Id="rId384" Type="http://schemas.openxmlformats.org/officeDocument/2006/relationships/externalLink" Target="externalLinks/externalLink379.xml"/><Relationship Id="rId419" Type="http://schemas.openxmlformats.org/officeDocument/2006/relationships/externalLink" Target="externalLinks/externalLink414.xml"/><Relationship Id="rId202" Type="http://schemas.openxmlformats.org/officeDocument/2006/relationships/externalLink" Target="externalLinks/externalLink197.xml"/><Relationship Id="rId223" Type="http://schemas.openxmlformats.org/officeDocument/2006/relationships/externalLink" Target="externalLinks/externalLink218.xml"/><Relationship Id="rId244" Type="http://schemas.openxmlformats.org/officeDocument/2006/relationships/externalLink" Target="externalLinks/externalLink239.xml"/><Relationship Id="rId430" Type="http://schemas.openxmlformats.org/officeDocument/2006/relationships/customXml" Target="../customXml/item2.xml"/><Relationship Id="rId18" Type="http://schemas.openxmlformats.org/officeDocument/2006/relationships/externalLink" Target="externalLinks/externalLink13.xml"/><Relationship Id="rId39" Type="http://schemas.openxmlformats.org/officeDocument/2006/relationships/externalLink" Target="externalLinks/externalLink34.xml"/><Relationship Id="rId265" Type="http://schemas.openxmlformats.org/officeDocument/2006/relationships/externalLink" Target="externalLinks/externalLink260.xml"/><Relationship Id="rId286" Type="http://schemas.openxmlformats.org/officeDocument/2006/relationships/externalLink" Target="externalLinks/externalLink281.xml"/><Relationship Id="rId50" Type="http://schemas.openxmlformats.org/officeDocument/2006/relationships/externalLink" Target="externalLinks/externalLink45.xml"/><Relationship Id="rId104" Type="http://schemas.openxmlformats.org/officeDocument/2006/relationships/externalLink" Target="externalLinks/externalLink99.xml"/><Relationship Id="rId125" Type="http://schemas.openxmlformats.org/officeDocument/2006/relationships/externalLink" Target="externalLinks/externalLink120.xml"/><Relationship Id="rId146" Type="http://schemas.openxmlformats.org/officeDocument/2006/relationships/externalLink" Target="externalLinks/externalLink141.xml"/><Relationship Id="rId167" Type="http://schemas.openxmlformats.org/officeDocument/2006/relationships/externalLink" Target="externalLinks/externalLink162.xml"/><Relationship Id="rId188" Type="http://schemas.openxmlformats.org/officeDocument/2006/relationships/externalLink" Target="externalLinks/externalLink183.xml"/><Relationship Id="rId311" Type="http://schemas.openxmlformats.org/officeDocument/2006/relationships/externalLink" Target="externalLinks/externalLink306.xml"/><Relationship Id="rId332" Type="http://schemas.openxmlformats.org/officeDocument/2006/relationships/externalLink" Target="externalLinks/externalLink327.xml"/><Relationship Id="rId353" Type="http://schemas.openxmlformats.org/officeDocument/2006/relationships/externalLink" Target="externalLinks/externalLink348.xml"/><Relationship Id="rId374" Type="http://schemas.openxmlformats.org/officeDocument/2006/relationships/externalLink" Target="externalLinks/externalLink369.xml"/><Relationship Id="rId395" Type="http://schemas.openxmlformats.org/officeDocument/2006/relationships/externalLink" Target="externalLinks/externalLink390.xml"/><Relationship Id="rId409" Type="http://schemas.openxmlformats.org/officeDocument/2006/relationships/externalLink" Target="externalLinks/externalLink404.xml"/><Relationship Id="rId71" Type="http://schemas.openxmlformats.org/officeDocument/2006/relationships/externalLink" Target="externalLinks/externalLink66.xml"/><Relationship Id="rId92" Type="http://schemas.openxmlformats.org/officeDocument/2006/relationships/externalLink" Target="externalLinks/externalLink87.xml"/><Relationship Id="rId213" Type="http://schemas.openxmlformats.org/officeDocument/2006/relationships/externalLink" Target="externalLinks/externalLink208.xml"/><Relationship Id="rId234" Type="http://schemas.openxmlformats.org/officeDocument/2006/relationships/externalLink" Target="externalLinks/externalLink229.xml"/><Relationship Id="rId420" Type="http://schemas.openxmlformats.org/officeDocument/2006/relationships/externalLink" Target="externalLinks/externalLink415.xml"/><Relationship Id="rId2" Type="http://schemas.openxmlformats.org/officeDocument/2006/relationships/worksheet" Target="worksheets/sheet2.xml"/><Relationship Id="rId29" Type="http://schemas.openxmlformats.org/officeDocument/2006/relationships/externalLink" Target="externalLinks/externalLink24.xml"/><Relationship Id="rId255" Type="http://schemas.openxmlformats.org/officeDocument/2006/relationships/externalLink" Target="externalLinks/externalLink250.xml"/><Relationship Id="rId276" Type="http://schemas.openxmlformats.org/officeDocument/2006/relationships/externalLink" Target="externalLinks/externalLink271.xml"/><Relationship Id="rId297" Type="http://schemas.openxmlformats.org/officeDocument/2006/relationships/externalLink" Target="externalLinks/externalLink292.xml"/><Relationship Id="rId40" Type="http://schemas.openxmlformats.org/officeDocument/2006/relationships/externalLink" Target="externalLinks/externalLink35.xml"/><Relationship Id="rId115" Type="http://schemas.openxmlformats.org/officeDocument/2006/relationships/externalLink" Target="externalLinks/externalLink110.xml"/><Relationship Id="rId136" Type="http://schemas.openxmlformats.org/officeDocument/2006/relationships/externalLink" Target="externalLinks/externalLink131.xml"/><Relationship Id="rId157" Type="http://schemas.openxmlformats.org/officeDocument/2006/relationships/externalLink" Target="externalLinks/externalLink152.xml"/><Relationship Id="rId178" Type="http://schemas.openxmlformats.org/officeDocument/2006/relationships/externalLink" Target="externalLinks/externalLink173.xml"/><Relationship Id="rId301" Type="http://schemas.openxmlformats.org/officeDocument/2006/relationships/externalLink" Target="externalLinks/externalLink296.xml"/><Relationship Id="rId322" Type="http://schemas.openxmlformats.org/officeDocument/2006/relationships/externalLink" Target="externalLinks/externalLink317.xml"/><Relationship Id="rId343" Type="http://schemas.openxmlformats.org/officeDocument/2006/relationships/externalLink" Target="externalLinks/externalLink338.xml"/><Relationship Id="rId364" Type="http://schemas.openxmlformats.org/officeDocument/2006/relationships/externalLink" Target="externalLinks/externalLink359.xml"/><Relationship Id="rId61" Type="http://schemas.openxmlformats.org/officeDocument/2006/relationships/externalLink" Target="externalLinks/externalLink56.xml"/><Relationship Id="rId82" Type="http://schemas.openxmlformats.org/officeDocument/2006/relationships/externalLink" Target="externalLinks/externalLink77.xml"/><Relationship Id="rId199" Type="http://schemas.openxmlformats.org/officeDocument/2006/relationships/externalLink" Target="externalLinks/externalLink194.xml"/><Relationship Id="rId203" Type="http://schemas.openxmlformats.org/officeDocument/2006/relationships/externalLink" Target="externalLinks/externalLink198.xml"/><Relationship Id="rId385" Type="http://schemas.openxmlformats.org/officeDocument/2006/relationships/externalLink" Target="externalLinks/externalLink380.xml"/><Relationship Id="rId19" Type="http://schemas.openxmlformats.org/officeDocument/2006/relationships/externalLink" Target="externalLinks/externalLink14.xml"/><Relationship Id="rId224" Type="http://schemas.openxmlformats.org/officeDocument/2006/relationships/externalLink" Target="externalLinks/externalLink219.xml"/><Relationship Id="rId245" Type="http://schemas.openxmlformats.org/officeDocument/2006/relationships/externalLink" Target="externalLinks/externalLink240.xml"/><Relationship Id="rId266" Type="http://schemas.openxmlformats.org/officeDocument/2006/relationships/externalLink" Target="externalLinks/externalLink261.xml"/><Relationship Id="rId287" Type="http://schemas.openxmlformats.org/officeDocument/2006/relationships/externalLink" Target="externalLinks/externalLink282.xml"/><Relationship Id="rId410" Type="http://schemas.openxmlformats.org/officeDocument/2006/relationships/externalLink" Target="externalLinks/externalLink405.xml"/><Relationship Id="rId431" Type="http://schemas.openxmlformats.org/officeDocument/2006/relationships/customXml" Target="../customXml/item3.xml"/><Relationship Id="rId30" Type="http://schemas.openxmlformats.org/officeDocument/2006/relationships/externalLink" Target="externalLinks/externalLink25.xml"/><Relationship Id="rId105" Type="http://schemas.openxmlformats.org/officeDocument/2006/relationships/externalLink" Target="externalLinks/externalLink100.xml"/><Relationship Id="rId126" Type="http://schemas.openxmlformats.org/officeDocument/2006/relationships/externalLink" Target="externalLinks/externalLink121.xml"/><Relationship Id="rId147" Type="http://schemas.openxmlformats.org/officeDocument/2006/relationships/externalLink" Target="externalLinks/externalLink142.xml"/><Relationship Id="rId168" Type="http://schemas.openxmlformats.org/officeDocument/2006/relationships/externalLink" Target="externalLinks/externalLink163.xml"/><Relationship Id="rId312" Type="http://schemas.openxmlformats.org/officeDocument/2006/relationships/externalLink" Target="externalLinks/externalLink307.xml"/><Relationship Id="rId333" Type="http://schemas.openxmlformats.org/officeDocument/2006/relationships/externalLink" Target="externalLinks/externalLink328.xml"/><Relationship Id="rId354" Type="http://schemas.openxmlformats.org/officeDocument/2006/relationships/externalLink" Target="externalLinks/externalLink349.xml"/><Relationship Id="rId51" Type="http://schemas.openxmlformats.org/officeDocument/2006/relationships/externalLink" Target="externalLinks/externalLink46.xml"/><Relationship Id="rId72" Type="http://schemas.openxmlformats.org/officeDocument/2006/relationships/externalLink" Target="externalLinks/externalLink67.xml"/><Relationship Id="rId93" Type="http://schemas.openxmlformats.org/officeDocument/2006/relationships/externalLink" Target="externalLinks/externalLink88.xml"/><Relationship Id="rId189" Type="http://schemas.openxmlformats.org/officeDocument/2006/relationships/externalLink" Target="externalLinks/externalLink184.xml"/><Relationship Id="rId375" Type="http://schemas.openxmlformats.org/officeDocument/2006/relationships/externalLink" Target="externalLinks/externalLink370.xml"/><Relationship Id="rId396" Type="http://schemas.openxmlformats.org/officeDocument/2006/relationships/externalLink" Target="externalLinks/externalLink391.xml"/><Relationship Id="rId3" Type="http://schemas.openxmlformats.org/officeDocument/2006/relationships/worksheet" Target="worksheets/sheet3.xml"/><Relationship Id="rId214" Type="http://schemas.openxmlformats.org/officeDocument/2006/relationships/externalLink" Target="externalLinks/externalLink209.xml"/><Relationship Id="rId235" Type="http://schemas.openxmlformats.org/officeDocument/2006/relationships/externalLink" Target="externalLinks/externalLink230.xml"/><Relationship Id="rId256" Type="http://schemas.openxmlformats.org/officeDocument/2006/relationships/externalLink" Target="externalLinks/externalLink251.xml"/><Relationship Id="rId277" Type="http://schemas.openxmlformats.org/officeDocument/2006/relationships/externalLink" Target="externalLinks/externalLink272.xml"/><Relationship Id="rId298" Type="http://schemas.openxmlformats.org/officeDocument/2006/relationships/externalLink" Target="externalLinks/externalLink293.xml"/><Relationship Id="rId400" Type="http://schemas.openxmlformats.org/officeDocument/2006/relationships/externalLink" Target="externalLinks/externalLink395.xml"/><Relationship Id="rId421" Type="http://schemas.openxmlformats.org/officeDocument/2006/relationships/externalLink" Target="externalLinks/externalLink416.xml"/><Relationship Id="rId116" Type="http://schemas.openxmlformats.org/officeDocument/2006/relationships/externalLink" Target="externalLinks/externalLink111.xml"/><Relationship Id="rId137" Type="http://schemas.openxmlformats.org/officeDocument/2006/relationships/externalLink" Target="externalLinks/externalLink132.xml"/><Relationship Id="rId158" Type="http://schemas.openxmlformats.org/officeDocument/2006/relationships/externalLink" Target="externalLinks/externalLink153.xml"/><Relationship Id="rId302" Type="http://schemas.openxmlformats.org/officeDocument/2006/relationships/externalLink" Target="externalLinks/externalLink297.xml"/><Relationship Id="rId323" Type="http://schemas.openxmlformats.org/officeDocument/2006/relationships/externalLink" Target="externalLinks/externalLink318.xml"/><Relationship Id="rId344" Type="http://schemas.openxmlformats.org/officeDocument/2006/relationships/externalLink" Target="externalLinks/externalLink339.xml"/><Relationship Id="rId20" Type="http://schemas.openxmlformats.org/officeDocument/2006/relationships/externalLink" Target="externalLinks/externalLink15.xml"/><Relationship Id="rId41" Type="http://schemas.openxmlformats.org/officeDocument/2006/relationships/externalLink" Target="externalLinks/externalLink36.xml"/><Relationship Id="rId62" Type="http://schemas.openxmlformats.org/officeDocument/2006/relationships/externalLink" Target="externalLinks/externalLink57.xml"/><Relationship Id="rId83" Type="http://schemas.openxmlformats.org/officeDocument/2006/relationships/externalLink" Target="externalLinks/externalLink78.xml"/><Relationship Id="rId179" Type="http://schemas.openxmlformats.org/officeDocument/2006/relationships/externalLink" Target="externalLinks/externalLink174.xml"/><Relationship Id="rId365" Type="http://schemas.openxmlformats.org/officeDocument/2006/relationships/externalLink" Target="externalLinks/externalLink360.xml"/><Relationship Id="rId386" Type="http://schemas.openxmlformats.org/officeDocument/2006/relationships/externalLink" Target="externalLinks/externalLink381.xml"/><Relationship Id="rId190" Type="http://schemas.openxmlformats.org/officeDocument/2006/relationships/externalLink" Target="externalLinks/externalLink185.xml"/><Relationship Id="rId204" Type="http://schemas.openxmlformats.org/officeDocument/2006/relationships/externalLink" Target="externalLinks/externalLink199.xml"/><Relationship Id="rId225" Type="http://schemas.openxmlformats.org/officeDocument/2006/relationships/externalLink" Target="externalLinks/externalLink220.xml"/><Relationship Id="rId246" Type="http://schemas.openxmlformats.org/officeDocument/2006/relationships/externalLink" Target="externalLinks/externalLink241.xml"/><Relationship Id="rId267" Type="http://schemas.openxmlformats.org/officeDocument/2006/relationships/externalLink" Target="externalLinks/externalLink262.xml"/><Relationship Id="rId288" Type="http://schemas.openxmlformats.org/officeDocument/2006/relationships/externalLink" Target="externalLinks/externalLink283.xml"/><Relationship Id="rId411" Type="http://schemas.openxmlformats.org/officeDocument/2006/relationships/externalLink" Target="externalLinks/externalLink406.xml"/><Relationship Id="rId106" Type="http://schemas.openxmlformats.org/officeDocument/2006/relationships/externalLink" Target="externalLinks/externalLink101.xml"/><Relationship Id="rId127" Type="http://schemas.openxmlformats.org/officeDocument/2006/relationships/externalLink" Target="externalLinks/externalLink122.xml"/><Relationship Id="rId313" Type="http://schemas.openxmlformats.org/officeDocument/2006/relationships/externalLink" Target="externalLinks/externalLink308.xml"/><Relationship Id="rId10" Type="http://schemas.openxmlformats.org/officeDocument/2006/relationships/externalLink" Target="externalLinks/externalLink5.xml"/><Relationship Id="rId31" Type="http://schemas.openxmlformats.org/officeDocument/2006/relationships/externalLink" Target="externalLinks/externalLink26.xml"/><Relationship Id="rId52" Type="http://schemas.openxmlformats.org/officeDocument/2006/relationships/externalLink" Target="externalLinks/externalLink47.xml"/><Relationship Id="rId73" Type="http://schemas.openxmlformats.org/officeDocument/2006/relationships/externalLink" Target="externalLinks/externalLink68.xml"/><Relationship Id="rId94" Type="http://schemas.openxmlformats.org/officeDocument/2006/relationships/externalLink" Target="externalLinks/externalLink89.xml"/><Relationship Id="rId148" Type="http://schemas.openxmlformats.org/officeDocument/2006/relationships/externalLink" Target="externalLinks/externalLink143.xml"/><Relationship Id="rId169" Type="http://schemas.openxmlformats.org/officeDocument/2006/relationships/externalLink" Target="externalLinks/externalLink164.xml"/><Relationship Id="rId334" Type="http://schemas.openxmlformats.org/officeDocument/2006/relationships/externalLink" Target="externalLinks/externalLink329.xml"/><Relationship Id="rId355" Type="http://schemas.openxmlformats.org/officeDocument/2006/relationships/externalLink" Target="externalLinks/externalLink350.xml"/><Relationship Id="rId376" Type="http://schemas.openxmlformats.org/officeDocument/2006/relationships/externalLink" Target="externalLinks/externalLink371.xml"/><Relationship Id="rId397" Type="http://schemas.openxmlformats.org/officeDocument/2006/relationships/externalLink" Target="externalLinks/externalLink392.xml"/><Relationship Id="rId4" Type="http://schemas.openxmlformats.org/officeDocument/2006/relationships/worksheet" Target="worksheets/sheet4.xml"/><Relationship Id="rId180" Type="http://schemas.openxmlformats.org/officeDocument/2006/relationships/externalLink" Target="externalLinks/externalLink175.xml"/><Relationship Id="rId215" Type="http://schemas.openxmlformats.org/officeDocument/2006/relationships/externalLink" Target="externalLinks/externalLink210.xml"/><Relationship Id="rId236" Type="http://schemas.openxmlformats.org/officeDocument/2006/relationships/externalLink" Target="externalLinks/externalLink231.xml"/><Relationship Id="rId257" Type="http://schemas.openxmlformats.org/officeDocument/2006/relationships/externalLink" Target="externalLinks/externalLink252.xml"/><Relationship Id="rId278" Type="http://schemas.openxmlformats.org/officeDocument/2006/relationships/externalLink" Target="externalLinks/externalLink273.xml"/><Relationship Id="rId401" Type="http://schemas.openxmlformats.org/officeDocument/2006/relationships/externalLink" Target="externalLinks/externalLink396.xml"/><Relationship Id="rId422" Type="http://schemas.openxmlformats.org/officeDocument/2006/relationships/externalLink" Target="externalLinks/externalLink417.xml"/><Relationship Id="rId303" Type="http://schemas.openxmlformats.org/officeDocument/2006/relationships/externalLink" Target="externalLinks/externalLink298.xml"/><Relationship Id="rId42" Type="http://schemas.openxmlformats.org/officeDocument/2006/relationships/externalLink" Target="externalLinks/externalLink37.xml"/><Relationship Id="rId84" Type="http://schemas.openxmlformats.org/officeDocument/2006/relationships/externalLink" Target="externalLinks/externalLink79.xml"/><Relationship Id="rId138" Type="http://schemas.openxmlformats.org/officeDocument/2006/relationships/externalLink" Target="externalLinks/externalLink133.xml"/><Relationship Id="rId345" Type="http://schemas.openxmlformats.org/officeDocument/2006/relationships/externalLink" Target="externalLinks/externalLink340.xml"/><Relationship Id="rId387" Type="http://schemas.openxmlformats.org/officeDocument/2006/relationships/externalLink" Target="externalLinks/externalLink382.xml"/><Relationship Id="rId191" Type="http://schemas.openxmlformats.org/officeDocument/2006/relationships/externalLink" Target="externalLinks/externalLink186.xml"/><Relationship Id="rId205" Type="http://schemas.openxmlformats.org/officeDocument/2006/relationships/externalLink" Target="externalLinks/externalLink200.xml"/><Relationship Id="rId247" Type="http://schemas.openxmlformats.org/officeDocument/2006/relationships/externalLink" Target="externalLinks/externalLink242.xml"/><Relationship Id="rId412" Type="http://schemas.openxmlformats.org/officeDocument/2006/relationships/externalLink" Target="externalLinks/externalLink407.xml"/><Relationship Id="rId107" Type="http://schemas.openxmlformats.org/officeDocument/2006/relationships/externalLink" Target="externalLinks/externalLink102.xml"/><Relationship Id="rId289" Type="http://schemas.openxmlformats.org/officeDocument/2006/relationships/externalLink" Target="externalLinks/externalLink284.xml"/><Relationship Id="rId11" Type="http://schemas.openxmlformats.org/officeDocument/2006/relationships/externalLink" Target="externalLinks/externalLink6.xml"/><Relationship Id="rId53" Type="http://schemas.openxmlformats.org/officeDocument/2006/relationships/externalLink" Target="externalLinks/externalLink48.xml"/><Relationship Id="rId149" Type="http://schemas.openxmlformats.org/officeDocument/2006/relationships/externalLink" Target="externalLinks/externalLink144.xml"/><Relationship Id="rId314" Type="http://schemas.openxmlformats.org/officeDocument/2006/relationships/externalLink" Target="externalLinks/externalLink309.xml"/><Relationship Id="rId356" Type="http://schemas.openxmlformats.org/officeDocument/2006/relationships/externalLink" Target="externalLinks/externalLink351.xml"/><Relationship Id="rId398" Type="http://schemas.openxmlformats.org/officeDocument/2006/relationships/externalLink" Target="externalLinks/externalLink393.xml"/><Relationship Id="rId95" Type="http://schemas.openxmlformats.org/officeDocument/2006/relationships/externalLink" Target="externalLinks/externalLink90.xml"/><Relationship Id="rId160" Type="http://schemas.openxmlformats.org/officeDocument/2006/relationships/externalLink" Target="externalLinks/externalLink155.xml"/><Relationship Id="rId216" Type="http://schemas.openxmlformats.org/officeDocument/2006/relationships/externalLink" Target="externalLinks/externalLink211.xml"/><Relationship Id="rId423" Type="http://schemas.openxmlformats.org/officeDocument/2006/relationships/externalLink" Target="externalLinks/externalLink418.xml"/><Relationship Id="rId258" Type="http://schemas.openxmlformats.org/officeDocument/2006/relationships/externalLink" Target="externalLinks/externalLink253.xml"/><Relationship Id="rId22" Type="http://schemas.openxmlformats.org/officeDocument/2006/relationships/externalLink" Target="externalLinks/externalLink17.xml"/><Relationship Id="rId64" Type="http://schemas.openxmlformats.org/officeDocument/2006/relationships/externalLink" Target="externalLinks/externalLink59.xml"/><Relationship Id="rId118" Type="http://schemas.openxmlformats.org/officeDocument/2006/relationships/externalLink" Target="externalLinks/externalLink113.xml"/><Relationship Id="rId325" Type="http://schemas.openxmlformats.org/officeDocument/2006/relationships/externalLink" Target="externalLinks/externalLink320.xml"/><Relationship Id="rId367" Type="http://schemas.openxmlformats.org/officeDocument/2006/relationships/externalLink" Target="externalLinks/externalLink362.xml"/><Relationship Id="rId171" Type="http://schemas.openxmlformats.org/officeDocument/2006/relationships/externalLink" Target="externalLinks/externalLink166.xml"/><Relationship Id="rId227" Type="http://schemas.openxmlformats.org/officeDocument/2006/relationships/externalLink" Target="externalLinks/externalLink222.xml"/><Relationship Id="rId269" Type="http://schemas.openxmlformats.org/officeDocument/2006/relationships/externalLink" Target="externalLinks/externalLink264.xml"/><Relationship Id="rId33" Type="http://schemas.openxmlformats.org/officeDocument/2006/relationships/externalLink" Target="externalLinks/externalLink28.xml"/><Relationship Id="rId129" Type="http://schemas.openxmlformats.org/officeDocument/2006/relationships/externalLink" Target="externalLinks/externalLink124.xml"/><Relationship Id="rId280" Type="http://schemas.openxmlformats.org/officeDocument/2006/relationships/externalLink" Target="externalLinks/externalLink275.xml"/><Relationship Id="rId336" Type="http://schemas.openxmlformats.org/officeDocument/2006/relationships/externalLink" Target="externalLinks/externalLink331.xml"/><Relationship Id="rId75" Type="http://schemas.openxmlformats.org/officeDocument/2006/relationships/externalLink" Target="externalLinks/externalLink70.xml"/><Relationship Id="rId140" Type="http://schemas.openxmlformats.org/officeDocument/2006/relationships/externalLink" Target="externalLinks/externalLink135.xml"/><Relationship Id="rId182" Type="http://schemas.openxmlformats.org/officeDocument/2006/relationships/externalLink" Target="externalLinks/externalLink177.xml"/><Relationship Id="rId378" Type="http://schemas.openxmlformats.org/officeDocument/2006/relationships/externalLink" Target="externalLinks/externalLink373.xml"/><Relationship Id="rId403" Type="http://schemas.openxmlformats.org/officeDocument/2006/relationships/externalLink" Target="externalLinks/externalLink398.xml"/><Relationship Id="rId6" Type="http://schemas.openxmlformats.org/officeDocument/2006/relationships/externalLink" Target="externalLinks/externalLink1.xml"/><Relationship Id="rId238" Type="http://schemas.openxmlformats.org/officeDocument/2006/relationships/externalLink" Target="externalLinks/externalLink233.xml"/><Relationship Id="rId291" Type="http://schemas.openxmlformats.org/officeDocument/2006/relationships/externalLink" Target="externalLinks/externalLink286.xml"/><Relationship Id="rId305" Type="http://schemas.openxmlformats.org/officeDocument/2006/relationships/externalLink" Target="externalLinks/externalLink300.xml"/><Relationship Id="rId347" Type="http://schemas.openxmlformats.org/officeDocument/2006/relationships/externalLink" Target="externalLinks/externalLink342.xml"/><Relationship Id="rId44" Type="http://schemas.openxmlformats.org/officeDocument/2006/relationships/externalLink" Target="externalLinks/externalLink39.xml"/><Relationship Id="rId86" Type="http://schemas.openxmlformats.org/officeDocument/2006/relationships/externalLink" Target="externalLinks/externalLink81.xml"/><Relationship Id="rId151" Type="http://schemas.openxmlformats.org/officeDocument/2006/relationships/externalLink" Target="externalLinks/externalLink146.xml"/><Relationship Id="rId389" Type="http://schemas.openxmlformats.org/officeDocument/2006/relationships/externalLink" Target="externalLinks/externalLink384.xml"/><Relationship Id="rId193" Type="http://schemas.openxmlformats.org/officeDocument/2006/relationships/externalLink" Target="externalLinks/externalLink188.xml"/><Relationship Id="rId207" Type="http://schemas.openxmlformats.org/officeDocument/2006/relationships/externalLink" Target="externalLinks/externalLink202.xml"/><Relationship Id="rId249" Type="http://schemas.openxmlformats.org/officeDocument/2006/relationships/externalLink" Target="externalLinks/externalLink244.xml"/><Relationship Id="rId414" Type="http://schemas.openxmlformats.org/officeDocument/2006/relationships/externalLink" Target="externalLinks/externalLink409.xml"/><Relationship Id="rId13" Type="http://schemas.openxmlformats.org/officeDocument/2006/relationships/externalLink" Target="externalLinks/externalLink8.xml"/><Relationship Id="rId109" Type="http://schemas.openxmlformats.org/officeDocument/2006/relationships/externalLink" Target="externalLinks/externalLink104.xml"/><Relationship Id="rId260" Type="http://schemas.openxmlformats.org/officeDocument/2006/relationships/externalLink" Target="externalLinks/externalLink255.xml"/><Relationship Id="rId316" Type="http://schemas.openxmlformats.org/officeDocument/2006/relationships/externalLink" Target="externalLinks/externalLink311.xml"/><Relationship Id="rId55" Type="http://schemas.openxmlformats.org/officeDocument/2006/relationships/externalLink" Target="externalLinks/externalLink50.xml"/><Relationship Id="rId97" Type="http://schemas.openxmlformats.org/officeDocument/2006/relationships/externalLink" Target="externalLinks/externalLink92.xml"/><Relationship Id="rId120" Type="http://schemas.openxmlformats.org/officeDocument/2006/relationships/externalLink" Target="externalLinks/externalLink115.xml"/><Relationship Id="rId358" Type="http://schemas.openxmlformats.org/officeDocument/2006/relationships/externalLink" Target="externalLinks/externalLink353.xml"/><Relationship Id="rId162" Type="http://schemas.openxmlformats.org/officeDocument/2006/relationships/externalLink" Target="externalLinks/externalLink157.xml"/><Relationship Id="rId218" Type="http://schemas.openxmlformats.org/officeDocument/2006/relationships/externalLink" Target="externalLinks/externalLink213.xml"/><Relationship Id="rId425" Type="http://schemas.openxmlformats.org/officeDocument/2006/relationships/theme" Target="theme/theme1.xml"/><Relationship Id="rId271" Type="http://schemas.openxmlformats.org/officeDocument/2006/relationships/externalLink" Target="externalLinks/externalLink266.xml"/><Relationship Id="rId24" Type="http://schemas.openxmlformats.org/officeDocument/2006/relationships/externalLink" Target="externalLinks/externalLink19.xml"/><Relationship Id="rId66" Type="http://schemas.openxmlformats.org/officeDocument/2006/relationships/externalLink" Target="externalLinks/externalLink61.xml"/><Relationship Id="rId131" Type="http://schemas.openxmlformats.org/officeDocument/2006/relationships/externalLink" Target="externalLinks/externalLink126.xml"/><Relationship Id="rId327" Type="http://schemas.openxmlformats.org/officeDocument/2006/relationships/externalLink" Target="externalLinks/externalLink322.xml"/><Relationship Id="rId369" Type="http://schemas.openxmlformats.org/officeDocument/2006/relationships/externalLink" Target="externalLinks/externalLink364.xml"/><Relationship Id="rId173" Type="http://schemas.openxmlformats.org/officeDocument/2006/relationships/externalLink" Target="externalLinks/externalLink168.xml"/><Relationship Id="rId229" Type="http://schemas.openxmlformats.org/officeDocument/2006/relationships/externalLink" Target="externalLinks/externalLink224.xml"/><Relationship Id="rId380" Type="http://schemas.openxmlformats.org/officeDocument/2006/relationships/externalLink" Target="externalLinks/externalLink375.xml"/><Relationship Id="rId240" Type="http://schemas.openxmlformats.org/officeDocument/2006/relationships/externalLink" Target="externalLinks/externalLink235.xml"/><Relationship Id="rId35" Type="http://schemas.openxmlformats.org/officeDocument/2006/relationships/externalLink" Target="externalLinks/externalLink30.xml"/><Relationship Id="rId77" Type="http://schemas.openxmlformats.org/officeDocument/2006/relationships/externalLink" Target="externalLinks/externalLink72.xml"/><Relationship Id="rId100" Type="http://schemas.openxmlformats.org/officeDocument/2006/relationships/externalLink" Target="externalLinks/externalLink95.xml"/><Relationship Id="rId282" Type="http://schemas.openxmlformats.org/officeDocument/2006/relationships/externalLink" Target="externalLinks/externalLink277.xml"/><Relationship Id="rId338" Type="http://schemas.openxmlformats.org/officeDocument/2006/relationships/externalLink" Target="externalLinks/externalLink333.xml"/><Relationship Id="rId8" Type="http://schemas.openxmlformats.org/officeDocument/2006/relationships/externalLink" Target="externalLinks/externalLink3.xml"/><Relationship Id="rId142" Type="http://schemas.openxmlformats.org/officeDocument/2006/relationships/externalLink" Target="externalLinks/externalLink137.xml"/><Relationship Id="rId184" Type="http://schemas.openxmlformats.org/officeDocument/2006/relationships/externalLink" Target="externalLinks/externalLink179.xml"/><Relationship Id="rId391" Type="http://schemas.openxmlformats.org/officeDocument/2006/relationships/externalLink" Target="externalLinks/externalLink386.xml"/><Relationship Id="rId405" Type="http://schemas.openxmlformats.org/officeDocument/2006/relationships/externalLink" Target="externalLinks/externalLink400.xml"/><Relationship Id="rId251" Type="http://schemas.openxmlformats.org/officeDocument/2006/relationships/externalLink" Target="externalLinks/externalLink246.xml"/><Relationship Id="rId46" Type="http://schemas.openxmlformats.org/officeDocument/2006/relationships/externalLink" Target="externalLinks/externalLink41.xml"/><Relationship Id="rId293" Type="http://schemas.openxmlformats.org/officeDocument/2006/relationships/externalLink" Target="externalLinks/externalLink288.xml"/><Relationship Id="rId307" Type="http://schemas.openxmlformats.org/officeDocument/2006/relationships/externalLink" Target="externalLinks/externalLink302.xml"/><Relationship Id="rId349" Type="http://schemas.openxmlformats.org/officeDocument/2006/relationships/externalLink" Target="externalLinks/externalLink344.xml"/><Relationship Id="rId88" Type="http://schemas.openxmlformats.org/officeDocument/2006/relationships/externalLink" Target="externalLinks/externalLink83.xml"/><Relationship Id="rId111" Type="http://schemas.openxmlformats.org/officeDocument/2006/relationships/externalLink" Target="externalLinks/externalLink106.xml"/><Relationship Id="rId153" Type="http://schemas.openxmlformats.org/officeDocument/2006/relationships/externalLink" Target="externalLinks/externalLink148.xml"/><Relationship Id="rId195" Type="http://schemas.openxmlformats.org/officeDocument/2006/relationships/externalLink" Target="externalLinks/externalLink190.xml"/><Relationship Id="rId209" Type="http://schemas.openxmlformats.org/officeDocument/2006/relationships/externalLink" Target="externalLinks/externalLink204.xml"/><Relationship Id="rId360" Type="http://schemas.openxmlformats.org/officeDocument/2006/relationships/externalLink" Target="externalLinks/externalLink355.xml"/><Relationship Id="rId416" Type="http://schemas.openxmlformats.org/officeDocument/2006/relationships/externalLink" Target="externalLinks/externalLink411.xml"/><Relationship Id="rId220" Type="http://schemas.openxmlformats.org/officeDocument/2006/relationships/externalLink" Target="externalLinks/externalLink215.xml"/><Relationship Id="rId15" Type="http://schemas.openxmlformats.org/officeDocument/2006/relationships/externalLink" Target="externalLinks/externalLink10.xml"/><Relationship Id="rId57" Type="http://schemas.openxmlformats.org/officeDocument/2006/relationships/externalLink" Target="externalLinks/externalLink52.xml"/><Relationship Id="rId262" Type="http://schemas.openxmlformats.org/officeDocument/2006/relationships/externalLink" Target="externalLinks/externalLink257.xml"/><Relationship Id="rId318" Type="http://schemas.openxmlformats.org/officeDocument/2006/relationships/externalLink" Target="externalLinks/externalLink313.xml"/><Relationship Id="rId99" Type="http://schemas.openxmlformats.org/officeDocument/2006/relationships/externalLink" Target="externalLinks/externalLink94.xml"/><Relationship Id="rId122" Type="http://schemas.openxmlformats.org/officeDocument/2006/relationships/externalLink" Target="externalLinks/externalLink117.xml"/><Relationship Id="rId164" Type="http://schemas.openxmlformats.org/officeDocument/2006/relationships/externalLink" Target="externalLinks/externalLink159.xml"/><Relationship Id="rId371" Type="http://schemas.openxmlformats.org/officeDocument/2006/relationships/externalLink" Target="externalLinks/externalLink366.xml"/><Relationship Id="rId427" Type="http://schemas.openxmlformats.org/officeDocument/2006/relationships/sharedStrings" Target="sharedStrings.xml"/><Relationship Id="rId26" Type="http://schemas.openxmlformats.org/officeDocument/2006/relationships/externalLink" Target="externalLinks/externalLink21.xml"/><Relationship Id="rId231" Type="http://schemas.openxmlformats.org/officeDocument/2006/relationships/externalLink" Target="externalLinks/externalLink226.xml"/><Relationship Id="rId273" Type="http://schemas.openxmlformats.org/officeDocument/2006/relationships/externalLink" Target="externalLinks/externalLink268.xml"/><Relationship Id="rId329" Type="http://schemas.openxmlformats.org/officeDocument/2006/relationships/externalLink" Target="externalLinks/externalLink324.xml"/><Relationship Id="rId68" Type="http://schemas.openxmlformats.org/officeDocument/2006/relationships/externalLink" Target="externalLinks/externalLink63.xml"/><Relationship Id="rId133" Type="http://schemas.openxmlformats.org/officeDocument/2006/relationships/externalLink" Target="externalLinks/externalLink128.xml"/><Relationship Id="rId175" Type="http://schemas.openxmlformats.org/officeDocument/2006/relationships/externalLink" Target="externalLinks/externalLink170.xml"/><Relationship Id="rId340" Type="http://schemas.openxmlformats.org/officeDocument/2006/relationships/externalLink" Target="externalLinks/externalLink335.xml"/><Relationship Id="rId200" Type="http://schemas.openxmlformats.org/officeDocument/2006/relationships/externalLink" Target="externalLinks/externalLink195.xml"/><Relationship Id="rId382" Type="http://schemas.openxmlformats.org/officeDocument/2006/relationships/externalLink" Target="externalLinks/externalLink377.xml"/><Relationship Id="rId242" Type="http://schemas.openxmlformats.org/officeDocument/2006/relationships/externalLink" Target="externalLinks/externalLink237.xml"/><Relationship Id="rId284" Type="http://schemas.openxmlformats.org/officeDocument/2006/relationships/externalLink" Target="externalLinks/externalLink279.xml"/><Relationship Id="rId37" Type="http://schemas.openxmlformats.org/officeDocument/2006/relationships/externalLink" Target="externalLinks/externalLink32.xml"/><Relationship Id="rId79" Type="http://schemas.openxmlformats.org/officeDocument/2006/relationships/externalLink" Target="externalLinks/externalLink74.xml"/><Relationship Id="rId102" Type="http://schemas.openxmlformats.org/officeDocument/2006/relationships/externalLink" Target="externalLinks/externalLink97.xml"/><Relationship Id="rId144" Type="http://schemas.openxmlformats.org/officeDocument/2006/relationships/externalLink" Target="externalLinks/externalLink139.xml"/><Relationship Id="rId90" Type="http://schemas.openxmlformats.org/officeDocument/2006/relationships/externalLink" Target="externalLinks/externalLink85.xml"/><Relationship Id="rId186" Type="http://schemas.openxmlformats.org/officeDocument/2006/relationships/externalLink" Target="externalLinks/externalLink181.xml"/><Relationship Id="rId351" Type="http://schemas.openxmlformats.org/officeDocument/2006/relationships/externalLink" Target="externalLinks/externalLink346.xml"/><Relationship Id="rId393" Type="http://schemas.openxmlformats.org/officeDocument/2006/relationships/externalLink" Target="externalLinks/externalLink388.xml"/><Relationship Id="rId407" Type="http://schemas.openxmlformats.org/officeDocument/2006/relationships/externalLink" Target="externalLinks/externalLink402.xml"/><Relationship Id="rId211" Type="http://schemas.openxmlformats.org/officeDocument/2006/relationships/externalLink" Target="externalLinks/externalLink206.xml"/><Relationship Id="rId253" Type="http://schemas.openxmlformats.org/officeDocument/2006/relationships/externalLink" Target="externalLinks/externalLink248.xml"/><Relationship Id="rId295" Type="http://schemas.openxmlformats.org/officeDocument/2006/relationships/externalLink" Target="externalLinks/externalLink290.xml"/><Relationship Id="rId309" Type="http://schemas.openxmlformats.org/officeDocument/2006/relationships/externalLink" Target="externalLinks/externalLink304.xml"/><Relationship Id="rId48" Type="http://schemas.openxmlformats.org/officeDocument/2006/relationships/externalLink" Target="externalLinks/externalLink43.xml"/><Relationship Id="rId113" Type="http://schemas.openxmlformats.org/officeDocument/2006/relationships/externalLink" Target="externalLinks/externalLink108.xml"/><Relationship Id="rId320" Type="http://schemas.openxmlformats.org/officeDocument/2006/relationships/externalLink" Target="externalLinks/externalLink315.xml"/><Relationship Id="rId155" Type="http://schemas.openxmlformats.org/officeDocument/2006/relationships/externalLink" Target="externalLinks/externalLink150.xml"/><Relationship Id="rId197" Type="http://schemas.openxmlformats.org/officeDocument/2006/relationships/externalLink" Target="externalLinks/externalLink192.xml"/><Relationship Id="rId362" Type="http://schemas.openxmlformats.org/officeDocument/2006/relationships/externalLink" Target="externalLinks/externalLink357.xml"/><Relationship Id="rId418" Type="http://schemas.openxmlformats.org/officeDocument/2006/relationships/externalLink" Target="externalLinks/externalLink413.xml"/><Relationship Id="rId222" Type="http://schemas.openxmlformats.org/officeDocument/2006/relationships/externalLink" Target="externalLinks/externalLink217.xml"/><Relationship Id="rId264" Type="http://schemas.openxmlformats.org/officeDocument/2006/relationships/externalLink" Target="externalLinks/externalLink259.xml"/><Relationship Id="rId17" Type="http://schemas.openxmlformats.org/officeDocument/2006/relationships/externalLink" Target="externalLinks/externalLink12.xml"/><Relationship Id="rId59" Type="http://schemas.openxmlformats.org/officeDocument/2006/relationships/externalLink" Target="externalLinks/externalLink54.xml"/><Relationship Id="rId124" Type="http://schemas.openxmlformats.org/officeDocument/2006/relationships/externalLink" Target="externalLinks/externalLink119.xml"/><Relationship Id="rId70" Type="http://schemas.openxmlformats.org/officeDocument/2006/relationships/externalLink" Target="externalLinks/externalLink65.xml"/><Relationship Id="rId166" Type="http://schemas.openxmlformats.org/officeDocument/2006/relationships/externalLink" Target="externalLinks/externalLink161.xml"/><Relationship Id="rId331" Type="http://schemas.openxmlformats.org/officeDocument/2006/relationships/externalLink" Target="externalLinks/externalLink326.xml"/><Relationship Id="rId373" Type="http://schemas.openxmlformats.org/officeDocument/2006/relationships/externalLink" Target="externalLinks/externalLink368.xml"/><Relationship Id="rId429"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232832</xdr:colOff>
      <xdr:row>0</xdr:row>
      <xdr:rowOff>198965</xdr:rowOff>
    </xdr:from>
    <xdr:to>
      <xdr:col>1</xdr:col>
      <xdr:colOff>1680882</xdr:colOff>
      <xdr:row>2</xdr:row>
      <xdr:rowOff>570743</xdr:rowOff>
    </xdr:to>
    <xdr:pic>
      <xdr:nvPicPr>
        <xdr:cNvPr id="2" name="6 Imagen">
          <a:extLst>
            <a:ext uri="{FF2B5EF4-FFF2-40B4-BE49-F238E27FC236}">
              <a16:creationId xmlns:a16="http://schemas.microsoft.com/office/drawing/2014/main" id="{356B7C63-54B7-46B2-808A-BFF22E2FE14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37950" y="198965"/>
          <a:ext cx="1448050" cy="14699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75</xdr:col>
      <xdr:colOff>565921</xdr:colOff>
      <xdr:row>0</xdr:row>
      <xdr:rowOff>397067</xdr:rowOff>
    </xdr:from>
    <xdr:to>
      <xdr:col>77</xdr:col>
      <xdr:colOff>235150</xdr:colOff>
      <xdr:row>2</xdr:row>
      <xdr:rowOff>560916</xdr:rowOff>
    </xdr:to>
    <xdr:pic>
      <xdr:nvPicPr>
        <xdr:cNvPr id="3" name="12 Imagen">
          <a:extLst>
            <a:ext uri="{FF2B5EF4-FFF2-40B4-BE49-F238E27FC236}">
              <a16:creationId xmlns:a16="http://schemas.microsoft.com/office/drawing/2014/main" id="{A8344E70-790B-4AF7-83E7-0E2EDB4A1C3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0480671" y="397067"/>
          <a:ext cx="1299062" cy="12645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79</xdr:col>
      <xdr:colOff>129887</xdr:colOff>
      <xdr:row>0</xdr:row>
      <xdr:rowOff>8660</xdr:rowOff>
    </xdr:from>
    <xdr:to>
      <xdr:col>79</xdr:col>
      <xdr:colOff>551584</xdr:colOff>
      <xdr:row>1</xdr:row>
      <xdr:rowOff>228643</xdr:rowOff>
    </xdr:to>
    <xdr:pic>
      <xdr:nvPicPr>
        <xdr:cNvPr id="3" name="12 Imagen">
          <a:extLst>
            <a:ext uri="{FF2B5EF4-FFF2-40B4-BE49-F238E27FC236}">
              <a16:creationId xmlns:a16="http://schemas.microsoft.com/office/drawing/2014/main" id="{B85330D9-0E58-4E71-977C-696EC60D731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254187" y="18185"/>
          <a:ext cx="421697" cy="4104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ATENEA\Liquidacion_de_Sentencias\1LIQUIDACIONES\1Liquidaciones%20Oficina%20Asesora%20Juridica\LIQUIDACIONES%20DON%20FERNANDO\REP%20DIRECTAS\Liquidaci&#243;n%20CONSEJO%20REGIONAL%20IND&#205;GENA%20DEL%20CAUCA-CRIC%2023-11-15.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TRINITY\Liquidacion_de_sentencias\1LIQUIDACIONES\1Liquidaciones%20Oficina%20Asesora%20Juridica\DANIEL%20ALBEIRO%20HERNANDEZ%20BRAVO\Reliq%20DANIEL%20ALBEIRO%20HERNANDEZ%20BRAVO.xlsx"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ATENEA\Liquidacion_de_Sentencias\1LIQUIDACIONES\2Liquidaciones%20Navarro%20Perez%20y%20Asociados\Jorge%20Eliecer%20Rodriguez%20Marin\80.%20JORGE%20ELIECER%20RODRIGUEZ%20MARIN%20-%20SALARIO%20-%20DESC.xlsx"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ATENEA\Liquidacion_de_Sentencias\1LIQUIDACIONES\2Liquidaciones%20Navarro%20Perez%20y%20Asociados\Wilson%20Vega%20Gomez\LIQUIDACION%20WILSON%20VEGA%20GOMEZ.xlsx"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ATENEA\Liquidacion_de_Sentencias\1LIQUIDACIONES\2Liquidaciones%20Navarro%20Perez%20y%20Asociados\Luis%20Fernando%20C&#233;spedes%20Mendoza\100.%20LUIS%20FERNANDO%20CESPEDES%20MENDOZA%20-%20DESC.xlsx"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ATENEA\Liquidacion_de_Sentencias\1LIQUIDACIONES\2Liquidaciones%20Navarro%20Perez%20y%20Asociados\Jose%20Miguel%20Guerra%20Caicedo\91.%20LIQUIDACION%20JOSE%20MIGUEL%20GUERRA%20CAICEDO.xlsx"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ATENEA\Liquidacion_de_Sentencias\1LIQUIDACIONES\3Liquidaciones%20LTK\Felipe%20Alfredo%20Martinez%20Mesa\18.%20LIQUIDACION%20DE%20FELIPE%20ALFREDO%20MARTINEZ%20MESA%20-H.xlsx"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ATENEA\Liquidacion_de_Sentencias\1LIQUIDACIONES\2Liquidaciones%20Navarro%20Perez%20y%20Asociados\Marcos%20Andres%20Pe&#241;a%20Sierra\101.%20LIQUIDACION%20MARCOS%20ANDRES%20PE&#209;A%20SIERRA.xlsx"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ATENEA\Liquidacion_de_Sentencias\1LIQUIDACIONES\2Liquidaciones%20Navarro%20Perez%20y%20Asociados\Ana%20Beatriz%20Mozo%20Bocanegra%20y%20Otros\131.%20LIQUIDACION%20ANA%20BEATRIZ%20MOZO%20BOCANEGRA%20Y%20OTROS.xlsx"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ATENEA\Liquidacion_de_Sentencias\1LIQUIDACIONES\3Liquidaciones%20LTK\Hernando%20Vanegas%20Osorio\26.%20LIQUIDACION%20DE%20HERNANDO%20VANEGAS%20OSORIO%20-%20PR.xlsx"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atenea\Liquidacion_de_Sentencias\1LIQUIDACIONES\2Liquidaciones%20Navarro%20Perez%20y%20Asociados\Oscar%20Alexander%20Forero%20Pe&#241;a\64.%20LIQUIDACION%20OSCAR%20ALEXANDER%20FORERO%20PE&#209;A.xlsx"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ATENEA\Liquidacion_de_Sentencias\1LIQUIDACIONES\2Liquidaciones%20Navarro%20Perez%20y%20Asociados\Rosaura%20Cordoba%20Caceres%20y%20Otros\175.%20ROSAURA%20CORDOBA%20CACERES%20Y%20OTROS.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ATENEA\Liquidacion_de_Sentencias\1LIQUIDACIONES\1Liquidaciones%20Oficina%20Asesora%20Juridica\FERNANDO%20MAURICIO%20GARCIA%20CARO\Liquidaci&#243;n%20FERNANDO%20MAURICIO%20GARCIA%20CARO.xlsx"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ATENEA\Liquidacion_de_Sentencias\1LIQUIDACIONES\2Liquidaciones%20Navarro%20Perez%20y%20Asociados\Jose%20Nelson%20Velasquez%20Guzman\117.%20LIQUIDACION%20JOSE%20NELSON%20VELASQUEZ%20GUZMAN.xlsx"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ATENEA\Liquidacion_de_Sentencias\1LIQUIDACIONES\2Liquidaciones%20Navarro%20Perez%20y%20Asociados\Leopoldo%20Hilarion%20Palacios\185.%20LEOPOLDO%20HILARION%20PALACIOS.xlsx"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ATENEA\Liquidacion_de_Sentencias\1LIQUIDACIONES\2Liquidaciones%20Navarro%20Perez%20y%20Asociados\Fernando%20Pecha%20Castiblanco\116.%20LIQUIDACION%20FERNANDO%20PECHA%20CASTIBLANCO%20-%20PR.xlsx"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ATENEA\Liquidacion_de_Sentencias\1LIQUIDACIONES\2Liquidaciones%20Navarro%20Perez%20y%20Asociados\Manuel%20Augusto%20Bermudez%20M\115.%20LIQUIDACION%20MANUEL%20AUGUSTO%20BERMUDEZ%20MORENO%20-%20PR.xlsx"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ATENEA\Liquidacion_de_Sentencias\1LIQUIDACIONES\1Liquidaciones%20Oficina%20Asesora%20Juridica\PLINIO%20CESAR%20BERNAL%20RAMIREZ%20Y%20OTROS\Liquidaci&#243;n%20PLINIO%20CESAR%20BERNAL%20RAMIREZ%20Y%20OTROS.xlsx"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ATENEA\Liquidacion_de_Sentencias\1LIQUIDACIONES\2Liquidaciones%20Navarro%20Perez%20y%20Asociados\Gabriel%20Mauricio%20Garcia%20Sanchez\82.%20LIQUIDACION%20GABRIEL%20MAURICIO%20GARCIA%20SANCHEZ.xlsx"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ATENEA\Liquidacion_de_Sentencias\1LIQUIDACIONES\2Liquidaciones%20Navarro%20Perez%20y%20Asociados\Carlos%20Humberto%20Goyeneche%20Reyes\165.%20LIQUIDACION%20CARLOS%20HUMBERTO%20GOYENECHE%20REYES.xlsx"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ATENEA\Liquidacion_de_Sentencias\1LIQUIDACIONES\3Liquidaciones%20LTK\Ronaldo%20Sanchez%20Amu\131.%20LIQUIDACION%20DE%20%20RONALDO%20SANCHEZ%20AMU%20-%20PR.xlsx"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ATENEA\Liquidacion_de_Sentencias\1LIQUIDACIONES\2Liquidaciones%20Navarro%20Perez%20y%20Asociados\Javier%20Dario%20Jimenez%20Betancur\121.%20JAVIER%20DARIO%20JIMENEZ%20BETANCUR%20-%20PR.xlsx"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ATENEA\Liquidacion_de_Sentencias\1LIQUIDACIONES\3Liquidaciones%20LTK\Jose%20Juan%20Pablo%20Orjuela%20Guarnizo\29.%20LIQUIDACION%20DE%20JOSE%20JUAN%20PABLO%20ORJUELA%20GUARNIZO%20-%20PR.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ATENEA\Liquidacion_de_Sentencias\1LIQUIDACIONES\1Liquidaciones%20Oficina%20Asesora%20Juridica\1PAGADAS\NELSON%20MOSQUERA%20GOMEZ\Reliquidaci&#243;n%20NELSON%20MOSQUERA%20GOMEZ.xlsx"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ATENEA\Liquidacion_de_Sentencias\1LIQUIDACIONES\3Liquidaciones%20LTK\Jose%20Bercely%20Melo%20Huertas\168.%20LIQUIDACION%20DE%20JOSE%20BERCELY%20MELO%20HUERTAS%20-%20PR.xlsx"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ATENEA\Liquidacion_de_Sentencias\1LIQUIDACIONES\2Liquidaciones%20Navarro%20Perez%20y%20Asociados\Luis%20Eduardo%20Rincon\123.%20LIQUIDACION%20LUIS%20EDUARDO%20RINCON%20-%20PR.xlsx"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ATENEA\Liquidacion_de_Sentencias\1LIQUIDACIONES\2Liquidaciones%20Navarro%20Perez%20y%20Asociados\Javier%20Leonardo%20Galeano%20Mendez\Copia%20de%20JAVIER%20LEONARDO%20GALEANO%20MENDEZ.xlsx"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ATENEA\Liquidacion_de_Sentencias\1LIQUIDACIONES\3Liquidaciones%20LTK\Angelo%20Berney%20Morales%20Barrero\150.%20LIQUIDACION%20DE%20ANGELO%20BERNEY%20MORALES%20BARRERO%20-%20PR.xlsx"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ATENEA\Liquidacion_de_Sentencias\1LIQUIDACIONES\2Liquidaciones%20Navarro%20Perez%20y%20Asociados\Walter%20Javier%20Torres%20Vargas\111.%20LIQUIDACION%20WALTER%20JAVIER%20TORRES%20VARGAS%20-%20PR.xlsx"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ATENEA\Liquidacion_de_Sentencias\1LIQUIDACIONES\2Liquidaciones%20Navarro%20Perez%20y%20Asociados\Robinson%20Pe&#241;a%20Dom&#237;nguez\70.%20LIQUIDACION%20ROBINSON%20PE&#209;A%20DOMINGUEZ.xlsx"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ATENEA\Liquidacion_de_Sentencias\1LIQUIDACIONES\2Liquidaciones%20Navarro%20Perez%20y%20Asociados\Jenny%20Dalila%20Acosta%20Portela\110.%20LIQUIDACION%20JENNY%20DALILA%20COSTA%20PORTELA.xlsx"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ATENEA\Liquidacion_de_Sentencias\1LIQUIDACIONES\2Liquidaciones%20Navarro%20Perez%20y%20Asociados\Pastor%20Gerardo%20Sanabria%20Merchan\187.%20LIQUIDACION%20PASTOR%20GERARDO%20SANABRIA%20MERCHAN.xlsx"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ATENEA\Liquidacion_de_Sentencias\1LIQUIDACIONES\2Liquidaciones%20Navarro%20Perez%20y%20Asociados\Miguel%20Angel%20Sarmiento%20S\109.%20LIQUIDACION%20DE%20MIGUEL%20ANGEL%20SARMIENTO%20SANDOVAL.xlsx"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ATENEA\Liquidacion_de_Sentencias\1LIQUIDACIONES\3Liquidaciones%20LTK\Carlos%20Alberto%20Salazar%20Rios\32.%20LIQUIDACION%20DE%20CARLOS%20ALBERTO%20SALAZAR%20RIOS.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TRINITY\Liquidacion_de_sentencias\1LIQUIDACIONES\1Liquidaciones%20Oficina%20Asesora%20Juridica\ELIAS%20SALOMON%20MENDOZA%20JAIMES\Reliq%20ELIAS%20SALOMON%20MENDOZA%20JAIMES.xlsx"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ATENEA\Liquidacion_de_Sentencias\1LIQUIDACIONES\2Liquidaciones%20Navarro%20Perez%20y%20Asociados\Wilson%20Lopez%20Hernandez\108.%20LIQUIDACION%20WILSON%20LOPEZ%20HERNANDEZ%20-%20PR.xlsx"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ATENEA\Liquidacion_de_Sentencias\1LIQUIDACIONES\2Liquidaciones%20Navarro%20Perez%20y%20Asociados\Antonio%20Carlos%20de%20la%20Ossa%20E\216.%20LIQUIDACION%20ANTONIO%20CARLOS%20DE%20LA%20OSSA%20ESPITIA.xlsx"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ATENEA\Liquidacion_de_Sentencias\1LIQUIDACIONES\2Liquidaciones%20Navarro%20Perez%20y%20Asociados\Hector%20Oduver%20Moreno%20Rojas\107.%20LIQUIDACION%20HECTOR%20ODUVER%20MORENO%20ROJAS%20-%20PR.xlsx"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file:///\\ATENEA\Liquidacion_de_Sentencias\1LIQUIDACIONES\2Liquidaciones%20Navarro%20Perez%20y%20Asociados\Jhon%20Fredy%20Imbachi\192.%20LIQUIDACION%20JHON%20FREDY%20IMBACHI%20-%20PR.xlsx"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file:///\\ATENEA\Liquidacion_de_Sentencias\1LIQUIDACIONES\2Liquidaciones%20Navarro%20Perez%20y%20Asociados\Edwin%20Enrique%20Elles%20Marimon\191.%20LIQUIDACION%20EDWIN%20ENRIQUE%20ELLES%20MARIMON%20-%20PR.xlsx"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file:///\\ATENEA\Liquidacion_de_Sentencias\1LIQUIDACIONES\1Liquidaciones%20Oficina%20Asesora%20Juridica\RUTH%20MARY%20LOZANO%20BUENDIA%20Y%20OTROS\Liquidaci&#243;n%20RUTH%20MARY%20LOZANO%20BUENDIA%20Y%20OTROS.xlsx"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ATENEA\Liquidacion_de_Sentencias\1LIQUIDACIONES\3Liquidaciones%20LTK\Erney%20Ramirez%20Gordo\35.%20LIQUIDACION%20DE%20ERNEY%20RAMIREZ%20GORDO.xlsx"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ATENEA\Liquidacion_de_Sentencias\1LIQUIDACIONES\3Liquidaciones%20LTK\Wilson%20de%20Jesus%20Hernandez\155.%20LIQUIDACION%20DE%20WILSON%20DE%20JESUS%20HERNANDEZ%20ROJANO.xlsx"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ATENEA\Liquidacion_de_Sentencias\1LIQUIDACIONES\2Liquidaciones%20Navarro%20Perez%20y%20Asociados\Omar%20Castro%20Mu&#241;oz\150.%20LIQUIDACION%20OMAR%20CASTRO%20MU&#209;OZ.xlsx"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ATENEA\Liquidacion_de_Sentencias\1LIQUIDACIONES\3Liquidaciones%20LTK\Arley%20de%20Jesus%20Borja%20Pino\162.%20LIQUIDACION%20DE%20ARLEY%20DE%20JESUS%20BORJA%20PINO.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ATENEA\Liquidacion_de_Sentencias\1LIQUIDACIONES\3Liquidaciones%20LTK\Javier%20Enrique%20Escobar%20Hernandez\9.%20LIQUIDACION%20DE%20JAVIER%20ENRIQUE%20ESCOBAR%20HERNANDEZ.xlsx"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file:///\\ATENEA\Liquidacion_de_Sentencias\1LIQUIDACIONES\3Liquidaciones%20LTK\Roberto%20Alfredo%20Vargas%20Gonzalez\37.%20LIQUIDACION%20DE%20ROBERTO%20ALFREDO%20VARGAS%20GONZALEZ.xlsx"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ATENEA\Liquidacion_de_Sentencias\1LIQUIDACIONES\3Liquidaciones%20LTK\Jeisson%20Hernando%20Hernandez%20Carvajal\38.%20LIQUIDACION%20DE%20JEISSON%20HERNANDO%20HERNANDEZ%20CARVAJAL.xlsx"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ATENEA\Liquidacion_de_Sentencias\1LIQUIDACIONES\2Liquidaciones%20Navarro%20Perez%20y%20Asociados\Belly%20Anacona%20Urrutia%20y%20Otros\174.%20LIQUIDACION%20BELLY%20ANACONA%20URRUTIA.xlsx"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file:///\\ATENEA\Liquidacion_de_Sentencias\1LIQUIDACIONES\2Liquidaciones%20Navarro%20Perez%20y%20Asociados\Roberto%20Sopo%20Carrillo\126.%20LIQUIDACION%20ROBERTO%20SOPO%20CARRILLO.xlsx"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file:///\\ATENEA\Liquidacion_de_Sentencias\1LIQUIDACIONES\2Liquidaciones%20Navarro%20Perez%20y%20Asociados\Ramiro%20Segundo%20Benitez%20Diaz\153.%20LIQUIDACION%20RAMIRO%20SEGUNDO%20BENITEZ%20DIAZ.xlsx"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ATENEA\Liquidacion_de_Sentencias\1LIQUIDACIONES\3Liquidaciones%20LTK\Yony%20Jairo%20Marquez%20Beltran\39.%20LIQUIDACION%20DE%20YONY%20JAIRO%20M&#193;RQUEZ%20BELTR&#193;N.xlsx"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ATENEA\Liquidacion_de_Sentencias\1LIQUIDACIONES\2Liquidaciones%20Navarro%20Perez%20y%20Asociados\Ober%20Herney%20Rojas%20Morales\84.%20LIQUIDACION%20OBER%20HERNEY%20ROJAS%20MORALES.xlsx"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file:///\\ATENEA\Liquidacion_de_Sentencias\1LIQUIDACIONES\3Liquidaciones%20LTK\Marco%20Fabian%20Clavijo%20Amaya\198.%20LIQUIDACION%20DE%20MARCO%20FABIAN%20CLAVIJO.xlsx"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file:///\\ATENEA\Liquidacion_de_Sentencias\1LIQUIDACIONES\2Liquidaciones%20Navarro%20Perez%20y%20Asociados\Hernan%20Eduardo%20Meneses%20Rodriguez\152.%20LIQUIDACION%20HERNAN%20EDUARDO%20MENESES%20RODRIGUEZ.xlsx"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file:///\\ATENEA\Liquidacion_de_Sentencias\1LIQUIDACIONES\2Liquidaciones%20Navarro%20Perez%20y%20Asociados\Faiver%20Alexander%20Acero%20Martinez\142.%20LIQUIDACION%20%20FAIVER%20ALEXANDER%20ACERO.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TRINITY\Liquidacion_de_sentencias\1LIQUIDACIONES\1Liquidaciones%20Oficina%20Asesora%20Juridica\1PAGADAS\ALBERTO%20URIBE%20RIVERA\Liquidaci&#243;n%20Alberto%20Uribe%20Rivera.xlsx"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ATENEA\Liquidacion_de_Sentencias\1LIQUIDACIONES\2Liquidaciones%20Navarro%20Perez%20y%20Asociados\Milton%20Cesar%20Rincon%20Garcia\154.%20LIQUIDACION%20MILTON%20CESAR%20RINCON%20GARCIA.xlsx"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file:///\\ATENEA\Liquidacion_de_Sentencias\1LIQUIDACIONES\2Liquidaciones%20Navarro%20Perez%20y%20Asociados\Edgar%20Alberto%20Roncancio%20Villa\144.%20LIQUIDACION%20EDGAR%20ALBERTO%20RONCANCIO%20VILLA.xlsx"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file:///\\ATENEA\Liquidacion_de_Sentencias\1LIQUIDACIONES\2Liquidaciones%20Navarro%20Perez%20y%20Asociados\Jhon%20Gerardo%20Giraldo%20Rubio\177.%20LIQUIDACION%20JHON%20GERARDO%20GIRALDO%20RUBIO.xlsx"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file:///\\ATENEA\Liquidacion_de_Sentencias\1LIQUIDACIONES\3Liquidaciones%20LTK\Edgar%20Ruidiaz%20Villarreal\41.%20LIQUIDACION%20DE%20EDGAR%20RUIDIAZ%20VILLAREAL.xlsx"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file:///\\ATENEA\Liquidacion_de_Sentencias\1LIQUIDACIONES\3Liquidaciones%20LTK\Carlos%20Hernando%20Sarmiento%20Garzon\42.%20LIQUIDACION%20DE%20CARLOS%20HERNANDO%20SARMIENTO%20GARZON.xlsx"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file:///\\ATENEA\Liquidacion_de_Sentencias\1LIQUIDACIONES\3Liquidaciones%20LTK\Alejandro%20Camero%20Martinez\43.%20LIQUIDACION%20DE%20ALEJANDRO%20CAMERO%20MARTINEZ.xlsx"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file:///\\ATENEA\Liquidacion_de_Sentencias\1LIQUIDACIONES\2Liquidaciones%20Navarro%20Perez%20y%20Asociados\Oscar%20Vaca%20Salguero\85.%20LIQUIDACION%20OSCAR%20VACA%20SALGUERO.xlsx"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file:///\\ATENEA\Liquidacion_de_Sentencias\1LIQUIDACIONES\2Liquidaciones%20Navarro%20Perez%20y%20Asociados\Guillermo%20Benedetti%20Charry\148.%20LIQUIDACION%20DE%20BENEDETTI%20CHARRY%20GUILLERMO.xlsx"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file:///\\ATENEA\Liquidacion_de_Sentencias\1LIQUIDACIONES\3Liquidaciones%20LTK\Jorge%20Gregorio%20Corzo%20Gomez\45.%20LIQUIDACION%20DE%20JORGE%20GREGORIO%20CORZO%20GOMEZ.xlsx"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file:///\\ATENEA\Liquidacion_de_Sentencias\1LIQUIDACIONES\3Liquidaciones%20LTK\Ricardo%20Guerrero%20Rodriguez\46.%20LIQUIDACION%20DE%20RICARDO%20GUERRERO%20RODRIGUEZ%20-%20CCF.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TRINITY\Liquidacion_de_sentencias\1LIQUIDACIONES\1Liquidaciones%20Oficina%20Asesora%20Juridica\1PAGADAS\ELKIN%20JOSE%20ARCINIEGAS%20RADA\RELiquidaci&#243;n%20Intereses%20ELKIN%20DE%20JESUS%20ARCINIEGA%20PRADA.xlsx"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file:///\\ATENEA\Liquidacion_de_Sentencias\1LIQUIDACIONES\2Liquidaciones%20Navarro%20Perez%20y%20Asociados\German%20Andres%20Prado%20Cuellar\193.%20LIQUIDACION%20GERMAN%20ANDRES%20PRADO%20CUELLAR.xlsx" TargetMode="External"/></Relationships>
</file>

<file path=xl/externalLinks/_rels/externalLink161.xml.rels><?xml version="1.0" encoding="UTF-8" standalone="yes"?>
<Relationships xmlns="http://schemas.openxmlformats.org/package/2006/relationships"><Relationship Id="rId1" Type="http://schemas.openxmlformats.org/officeDocument/2006/relationships/externalLinkPath" Target="file:///\\ATENEA\Liquidacion_de_Sentencias\1LIQUIDACIONES\3Liquidaciones%20LTK\Luis%20Adolfo%20Cardenas%20Barrera\234.%20LIQUIDACION%20DE%20LUIS%20ALFONSO%20CARDENAS%20BARRERA..xlsx"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file:///\\ATENEA\Liquidacion_de_Sentencias\1LIQUIDACIONES\2Liquidaciones%20Navarro%20Perez%20y%20Asociados\Jose%20Mario%20Sanchez%20Bermudez\194.%20LIQUIDACION%20DE%20JOSE%20MARIO%20SANCHEZ%20BERMUDEZ.xlsx"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file:///\\ATENEA\Liquidacion_de_Sentencias\1LIQUIDACIONES\2Liquidaciones%20Navarro%20Perez%20y%20Asociados\Hernan%20Alonso%20Ruiz%20Padilla\147.%20LIQUIDACION%20DE%20HERNAN%20ALONSO%20RUIZ%20PADILLA.xlsx" TargetMode="External"/></Relationships>
</file>

<file path=xl/externalLinks/_rels/externalLink164.xml.rels><?xml version="1.0" encoding="UTF-8" standalone="yes"?>
<Relationships xmlns="http://schemas.openxmlformats.org/package/2006/relationships"><Relationship Id="rId1" Type="http://schemas.openxmlformats.org/officeDocument/2006/relationships/externalLinkPath" Target="file:///\\ATENEA\Liquidacion_de_Sentencias\1LIQUIDACIONES\2Liquidaciones%20Navarro%20Perez%20y%20Asociados\Daniel%20Fernando%20Gomez%20Rios\103.%20LIQUIDACION%20DANIEL%20FERNANDO%20GOMEZ%20RIOS%20-%20PR.xlsx" TargetMode="External"/></Relationships>
</file>

<file path=xl/externalLinks/_rels/externalLink165.xml.rels><?xml version="1.0" encoding="UTF-8" standalone="yes"?>
<Relationships xmlns="http://schemas.openxmlformats.org/package/2006/relationships"><Relationship Id="rId1" Type="http://schemas.openxmlformats.org/officeDocument/2006/relationships/externalLinkPath" Target="file:///\\ATENEA\Liquidacion_de_Sentencias\1LIQUIDACIONES\3Liquidaciones%20LTK\Jose%20Florentino%20Zolaque%20Urrego\47.%20LIQUIDACION%20DE%20JOSE%20FLORENTINO%20ZOLAQUE%20URREGO.xlsx" TargetMode="External"/></Relationships>
</file>

<file path=xl/externalLinks/_rels/externalLink166.xml.rels><?xml version="1.0" encoding="UTF-8" standalone="yes"?>
<Relationships xmlns="http://schemas.openxmlformats.org/package/2006/relationships"><Relationship Id="rId1" Type="http://schemas.openxmlformats.org/officeDocument/2006/relationships/externalLinkPath" Target="file:///\\ATENEA\Liquidacion_de_Sentencias\1LIQUIDACIONES\2Liquidaciones%20Navarro%20Perez%20y%20Asociados\Jose%20Fidernando%20Huertas%20Pati&#241;o\180.%20LIQUIDACION%20JOSE%20FIDERNANDO%20HUERTAS%20PATI&#209;O.xlsx" TargetMode="External"/></Relationships>
</file>

<file path=xl/externalLinks/_rels/externalLink167.xml.rels><?xml version="1.0" encoding="UTF-8" standalone="yes"?>
<Relationships xmlns="http://schemas.openxmlformats.org/package/2006/relationships"><Relationship Id="rId1" Type="http://schemas.openxmlformats.org/officeDocument/2006/relationships/externalLinkPath" Target="file:///\\ATENEA\Liquidacion_de_Sentencias\1LIQUIDACIONES\3Liquidaciones%20LTK\Jesus%20Antonio%20Enciso%20Garcia\48.%20LIQUIDACION%20DE%20JESUS%20ANTONIO%20ENCISO%20GARCIA.xlsx" TargetMode="External"/></Relationships>
</file>

<file path=xl/externalLinks/_rels/externalLink168.xml.rels><?xml version="1.0" encoding="UTF-8" standalone="yes"?>
<Relationships xmlns="http://schemas.openxmlformats.org/package/2006/relationships"><Relationship Id="rId1" Type="http://schemas.openxmlformats.org/officeDocument/2006/relationships/externalLinkPath" Target="file:///\\ATENEA\Liquidacion_de_Sentencias\1LIQUIDACIONES\2Liquidaciones%20Navarro%20Perez%20y%20Asociados\William%20Garzon%20Arambulo\124.%20LIQUIDACION%20DE%20WILLIAM%20GARZON%20ARAMBULO.xlsx" TargetMode="External"/></Relationships>
</file>

<file path=xl/externalLinks/_rels/externalLink169.xml.rels><?xml version="1.0" encoding="UTF-8" standalone="yes"?>
<Relationships xmlns="http://schemas.openxmlformats.org/package/2006/relationships"><Relationship Id="rId1" Type="http://schemas.openxmlformats.org/officeDocument/2006/relationships/externalLinkPath" Target="file:///\\ATENEA\Liquidacion_de_Sentencias\1LIQUIDACIONES\1Liquidaciones%20Oficina%20Asesora%20Juridica\RUDY%20ALEJANDRO%20CUBILLOS%20ESPEJO\Liquidaci&#243;n%20Rudy%20Alejandro%20Cubillos%20Espejo.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TRINITY\Liquidacion_de_sentencias\1LIQUIDACIONES\2Liquidaciones%20Navarro%20Perez%20y%20Asociados\Faiber%20Armando%20Araque%20Santana\204.%20LIQ%20FAIBER%20ARMANDO%20ARAQUE%20SANTANA.xlsx" TargetMode="External"/></Relationships>
</file>

<file path=xl/externalLinks/_rels/externalLink170.xml.rels><?xml version="1.0" encoding="UTF-8" standalone="yes"?>
<Relationships xmlns="http://schemas.openxmlformats.org/package/2006/relationships"><Relationship Id="rId1" Type="http://schemas.openxmlformats.org/officeDocument/2006/relationships/externalLinkPath" Target="file:///\\ATENEA\Liquidacion_de_Sentencias\1LIQUIDACIONES\2Liquidaciones%20Navarro%20Perez%20y%20Asociados\Guillermo%20Orlando%20Velasco%20del%20Valle\181.%20LIQUIDACION%20GUILLERMO%20ORLANDO%20VELASCO%20DEL%20VALLE.xlsx" TargetMode="External"/></Relationships>
</file>

<file path=xl/externalLinks/_rels/externalLink171.xml.rels><?xml version="1.0" encoding="UTF-8" standalone="yes"?>
<Relationships xmlns="http://schemas.openxmlformats.org/package/2006/relationships"><Relationship Id="rId1" Type="http://schemas.openxmlformats.org/officeDocument/2006/relationships/externalLinkPath" Target="file:///\\ATENEA\Liquidacion_de_Sentencias\1LIQUIDACIONES\3Liquidaciones%20LTK\Oswaldo%20Pati&#241;o%20Rodriguez\153.%20LIQUIDACION%20DE%20OSWALDO%20PATI&#209;O%20RODRIGUEZ.xlsx" TargetMode="External"/></Relationships>
</file>

<file path=xl/externalLinks/_rels/externalLink172.xml.rels><?xml version="1.0" encoding="UTF-8" standalone="yes"?>
<Relationships xmlns="http://schemas.openxmlformats.org/package/2006/relationships"><Relationship Id="rId1" Type="http://schemas.openxmlformats.org/officeDocument/2006/relationships/externalLinkPath" Target="file:///\\ATENEA\Liquidacion_de_Sentencias\1LIQUIDACIONES\2Liquidaciones%20Navarro%20Perez%20y%20Asociados\Jose%20Apolinar%20Zuleta%20Querubin\87.%20JOSE%20APOLINAR%20ZULETA%20QUERUBIN%20-CPACA.xlsx" TargetMode="External"/></Relationships>
</file>

<file path=xl/externalLinks/_rels/externalLink173.xml.rels><?xml version="1.0" encoding="UTF-8" standalone="yes"?>
<Relationships xmlns="http://schemas.openxmlformats.org/package/2006/relationships"><Relationship Id="rId1" Type="http://schemas.openxmlformats.org/officeDocument/2006/relationships/externalLinkPath" Target="file:///\\TRINITY\Liquidacion_de_sentencias\1LIQUIDACIONES\3Liquidaciones%20LTK\Fabio%20Alfredo%20Guataquira%20Santana\49.%20LIQUIDACION%20DE%20FABIO%20ALFREDO%20GUATAQUIRA%20SANTANA%20-%20PR.xlsx" TargetMode="External"/></Relationships>
</file>

<file path=xl/externalLinks/_rels/externalLink174.xml.rels><?xml version="1.0" encoding="UTF-8" standalone="yes"?>
<Relationships xmlns="http://schemas.openxmlformats.org/package/2006/relationships"><Relationship Id="rId1" Type="http://schemas.openxmlformats.org/officeDocument/2006/relationships/externalLinkPath" Target="file:///\\ATENEA\Liquidacion_de_Sentencias\1LIQUIDACIONES\2Liquidaciones%20Navarro%20Perez%20y%20Asociados\Juan%20Fernando%20Mu&#241;oz%20Pimiento\86.%20LIQUIDACION%20JUAN%20FERNANDO%20MU&#209;OZ%20PIMIENTO.xlsx" TargetMode="External"/></Relationships>
</file>

<file path=xl/externalLinks/_rels/externalLink175.xml.rels><?xml version="1.0" encoding="UTF-8" standalone="yes"?>
<Relationships xmlns="http://schemas.openxmlformats.org/package/2006/relationships"><Relationship Id="rId1" Type="http://schemas.openxmlformats.org/officeDocument/2006/relationships/externalLinkPath" Target="file:///\\ATENEA\Liquidacion_de_Sentencias\1LIQUIDACIONES\3Liquidaciones%20LTK\Yovanny%20Acero%20Bare&#241;o\148.%20LIQUIDACION%20DE%20YOVANY%20ACERO%20BARRE&#209;O.xlsx" TargetMode="External"/></Relationships>
</file>

<file path=xl/externalLinks/_rels/externalLink176.xml.rels><?xml version="1.0" encoding="UTF-8" standalone="yes"?>
<Relationships xmlns="http://schemas.openxmlformats.org/package/2006/relationships"><Relationship Id="rId1" Type="http://schemas.openxmlformats.org/officeDocument/2006/relationships/externalLinkPath" Target="file:///\\ATENEA\Liquidacion_de_Sentencias\1LIQUIDACIONES\2Liquidaciones%20Navarro%20Perez%20y%20Asociados\Luis%20Alberto%20Paez%20Olarte\73.%20LIQUIDACION%20LUIS%20ALBERTO%20PAEZ%20OLARTE.xlsx" TargetMode="External"/></Relationships>
</file>

<file path=xl/externalLinks/_rels/externalLink177.xml.rels><?xml version="1.0" encoding="UTF-8" standalone="yes"?>
<Relationships xmlns="http://schemas.openxmlformats.org/package/2006/relationships"><Relationship Id="rId1" Type="http://schemas.openxmlformats.org/officeDocument/2006/relationships/externalLinkPath" Target="file:///\\ATENEA\Liquidacion_de_Sentencias\1LIQUIDACIONES\1Liquidaciones%20Oficina%20Asesora%20Juridica\CARLOS%20ALBERTO%20VESCANSE\Liquidaci&#243;n%20CARLOS%20ALBERTO%20VESCANCE%20CISNEROS.xlsx" TargetMode="External"/></Relationships>
</file>

<file path=xl/externalLinks/_rels/externalLink178.xml.rels><?xml version="1.0" encoding="UTF-8" standalone="yes"?>
<Relationships xmlns="http://schemas.openxmlformats.org/package/2006/relationships"><Relationship Id="rId1" Type="http://schemas.openxmlformats.org/officeDocument/2006/relationships/externalLinkPath" Target="file:///\\ATENEA\Liquidacion_de_Sentencias\1LIQUIDACIONES\3Liquidaciones%20LTK\Angel%20Maria%20Segura%20Vargas\154.%20LIQUIDACION%20DE%20ANGEL%20MAR&#205;A%20SEGURA%20VARGAS..xlsx" TargetMode="External"/></Relationships>
</file>

<file path=xl/externalLinks/_rels/externalLink179.xml.rels><?xml version="1.0" encoding="UTF-8" standalone="yes"?>
<Relationships xmlns="http://schemas.openxmlformats.org/package/2006/relationships"><Relationship Id="rId1" Type="http://schemas.openxmlformats.org/officeDocument/2006/relationships/externalLinkPath" Target="file:///\\ATENEA\Liquidacion_de_Sentencias\1LIQUIDACIONES\3Liquidaciones%20LTK\Hector%20Cervando%20sanchez%20Ortiz\50.%20LIQUIDACION%20DE%20HECTOR%20CERVANDO%20SANCHEZ%20ORTIZ.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ATENEA\Liquidacion_de_Sentencias\1LIQUIDACIONES\2Liquidaciones%20Navarro%20Perez%20y%20Asociados\Sandra%20Milena%20Benavidez%20Machado\209.%20SANDRA%20MILENA%20BENAVIDES%20MACHADO%20-%20PR.xlsx" TargetMode="External"/></Relationships>
</file>

<file path=xl/externalLinks/_rels/externalLink180.xml.rels><?xml version="1.0" encoding="UTF-8" standalone="yes"?>
<Relationships xmlns="http://schemas.openxmlformats.org/package/2006/relationships"><Relationship Id="rId1" Type="http://schemas.openxmlformats.org/officeDocument/2006/relationships/externalLinkPath" Target="file:///\\ATENEA\Liquidacion_de_Sentencias\1LIQUIDACIONES\3Liquidaciones%20LTK\Jairo%20Dovales%20Villamizar\51.%20LIQUIDACION%20%20DE%20JAIRO%20DOVALES%20VILLAMIZAR.xlsx" TargetMode="External"/></Relationships>
</file>

<file path=xl/externalLinks/_rels/externalLink181.xml.rels><?xml version="1.0" encoding="UTF-8" standalone="yes"?>
<Relationships xmlns="http://schemas.openxmlformats.org/package/2006/relationships"><Relationship Id="rId1" Type="http://schemas.openxmlformats.org/officeDocument/2006/relationships/externalLinkPath" Target="file:///\\ATENEA\Liquidacion_de_Sentencias\1LIQUIDACIONES\3Liquidaciones%20LTK\Luis%20Eduardo%20Suarez%20Alvarez\53.%20LIQUIDACION%20DE%20LUIS%20EDUARDO%20SUAREZ%20ALVAREZ.xlsx" TargetMode="External"/></Relationships>
</file>

<file path=xl/externalLinks/_rels/externalLink182.xml.rels><?xml version="1.0" encoding="UTF-8" standalone="yes"?>
<Relationships xmlns="http://schemas.openxmlformats.org/package/2006/relationships"><Relationship Id="rId1" Type="http://schemas.openxmlformats.org/officeDocument/2006/relationships/externalLinkPath" Target="file:///\\ATENEA\Liquidacion_de_Sentencias\1LIQUIDACIONES\3Liquidaciones%20LTK\Omar%20Diaz%20Bautista\147.%20LIQUIDACION%20DE%20OMAR%20BAUTISTA%20DIAZ.xlsx" TargetMode="External"/></Relationships>
</file>

<file path=xl/externalLinks/_rels/externalLink183.xml.rels><?xml version="1.0" encoding="UTF-8" standalone="yes"?>
<Relationships xmlns="http://schemas.openxmlformats.org/package/2006/relationships"><Relationship Id="rId1" Type="http://schemas.openxmlformats.org/officeDocument/2006/relationships/externalLinkPath" Target="file:///\\ATENEA\Liquidacion_de_Sentencias\1LIQUIDACIONES\3Liquidaciones%20LTK\Ricardo%20Silva%20garcia\54.%20LIQUIDACION%20DE%20RICARDO%20SILVA%20GARCIA%20-%20PR.xlsx" TargetMode="External"/></Relationships>
</file>

<file path=xl/externalLinks/_rels/externalLink184.xml.rels><?xml version="1.0" encoding="UTF-8" standalone="yes"?>
<Relationships xmlns="http://schemas.openxmlformats.org/package/2006/relationships"><Relationship Id="rId1" Type="http://schemas.openxmlformats.org/officeDocument/2006/relationships/externalLinkPath" Target="file:///\\ATENEA\Liquidacion_de_Sentencias\1LIQUIDACIONES\3Liquidaciones%20LTK\Oscar%20Sierra%20Perez\52.%20LIQUIDACION%20DE%20OSCAR%20SIERRA%20PEREZ.xlsx" TargetMode="External"/></Relationships>
</file>

<file path=xl/externalLinks/_rels/externalLink185.xml.rels><?xml version="1.0" encoding="UTF-8" standalone="yes"?>
<Relationships xmlns="http://schemas.openxmlformats.org/package/2006/relationships"><Relationship Id="rId1" Type="http://schemas.openxmlformats.org/officeDocument/2006/relationships/externalLinkPath" Target="file:///\\ATENEA\Liquidacion_de_Sentencias\1LIQUIDACIONES\3Liquidaciones%20LTK\Jose%20Lorenzo%20Diaz%20Casta&#241;eda\200.%20LIQUIDACION%20%20DE%20JOSE%20LORENZO%20DIAZ.xlsx" TargetMode="External"/></Relationships>
</file>

<file path=xl/externalLinks/_rels/externalLink186.xml.rels><?xml version="1.0" encoding="UTF-8" standalone="yes"?>
<Relationships xmlns="http://schemas.openxmlformats.org/package/2006/relationships"><Relationship Id="rId1" Type="http://schemas.openxmlformats.org/officeDocument/2006/relationships/externalLinkPath" Target="file:///\\ATENEA\Liquidacion_de_Sentencias\1LIQUIDACIONES\3Liquidaciones%20LTK\Rafael%20Rojas%20Tovar\55.%20LIQUIDACION%20DE%20RAFAEL%20ROJAS%20TOVAR.xlsx" TargetMode="External"/></Relationships>
</file>

<file path=xl/externalLinks/_rels/externalLink187.xml.rels><?xml version="1.0" encoding="UTF-8" standalone="yes"?>
<Relationships xmlns="http://schemas.openxmlformats.org/package/2006/relationships"><Relationship Id="rId1" Type="http://schemas.openxmlformats.org/officeDocument/2006/relationships/externalLinkPath" Target="file:///\\ATENEA\Liquidacion_de_Sentencias\1LIQUIDACIONES\3Liquidaciones%20LTK\Reinelio%20Salazar%20Pereira\225.%20LIQUIDACION%20DE%20REINELIO%20SALAZAR%20PEREIRA.xlsx" TargetMode="External"/></Relationships>
</file>

<file path=xl/externalLinks/_rels/externalLink188.xml.rels><?xml version="1.0" encoding="UTF-8" standalone="yes"?>
<Relationships xmlns="http://schemas.openxmlformats.org/package/2006/relationships"><Relationship Id="rId1" Type="http://schemas.openxmlformats.org/officeDocument/2006/relationships/externalLinkPath" Target="file:///\\ATENEA\Liquidacion_de_Sentencias\1LIQUIDACIONES\3Liquidaciones%20LTK\Jorge%20(Jose)%20Enrique%20Pedraza\58.%20LIQUIDACION%20DE%20JORGE%20ENRIQUE%20PEDRAZA.xlsx" TargetMode="External"/></Relationships>
</file>

<file path=xl/externalLinks/_rels/externalLink189.xml.rels><?xml version="1.0" encoding="UTF-8" standalone="yes"?>
<Relationships xmlns="http://schemas.openxmlformats.org/package/2006/relationships"><Relationship Id="rId1" Type="http://schemas.openxmlformats.org/officeDocument/2006/relationships/externalLinkPath" Target="file:///\\ATENEA\Liquidacion_de_Sentencias\1LIQUIDACIONES\3Liquidaciones%20LTK\Airalde%20Trujillo%20Barrero\57.%20LIQUIDACION%20DE%20AIRALDE%20TRUJILLO%20BARREIRO.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ATENEA\Liquidacion_de_Sentencias\1LIQUIDACIONES\2Liquidaciones%20Navarro%20Perez%20y%20Asociados\Jaminson%20Cuesta%20Palacio\210.%20LIQUIDACION%20JAMINSON%20CUESTA%20PALACIO.xlsx" TargetMode="External"/></Relationships>
</file>

<file path=xl/externalLinks/_rels/externalLink190.xml.rels><?xml version="1.0" encoding="UTF-8" standalone="yes"?>
<Relationships xmlns="http://schemas.openxmlformats.org/package/2006/relationships"><Relationship Id="rId1" Type="http://schemas.openxmlformats.org/officeDocument/2006/relationships/externalLinkPath" Target="file:///\\ATENEA\Liquidacion_de_Sentencias\1LIQUIDACIONES\3Liquidaciones%20LTK\Andres%20Orlando%20Cardenas%20Sierra\59.%20LIQUIDACION%20DE%20ANDRES%20ORLANDO%20CARDENAS.xlsx" TargetMode="External"/></Relationships>
</file>

<file path=xl/externalLinks/_rels/externalLink191.xml.rels><?xml version="1.0" encoding="UTF-8" standalone="yes"?>
<Relationships xmlns="http://schemas.openxmlformats.org/package/2006/relationships"><Relationship Id="rId1" Type="http://schemas.openxmlformats.org/officeDocument/2006/relationships/externalLinkPath" Target="file:///\\ATENEA\Liquidacion_de_Sentencias\1LIQUIDACIONES\3Liquidaciones%20LTK\Hugo%20Ramiro%20Ca&#241;on%20Candela\60.%20LIQUIDACION%20DE%20HUGO%20RAMIRO%20CA&#209;ON%20CANDELA.xlsx" TargetMode="External"/></Relationships>
</file>

<file path=xl/externalLinks/_rels/externalLink192.xml.rels><?xml version="1.0" encoding="UTF-8" standalone="yes"?>
<Relationships xmlns="http://schemas.openxmlformats.org/package/2006/relationships"><Relationship Id="rId1" Type="http://schemas.openxmlformats.org/officeDocument/2006/relationships/externalLinkPath" Target="file:///\\ATENEA\Liquidacion_de_Sentencias\1LIQUIDACIONES\3Liquidaciones%20LTK\Diego%20Alexander%20Ochoa%20Bulla\145.%20LIQUIDACION%20DIEGO%20ALEXANDER%20OCHOA.xlsx" TargetMode="External"/></Relationships>
</file>

<file path=xl/externalLinks/_rels/externalLink193.xml.rels><?xml version="1.0" encoding="UTF-8" standalone="yes"?>
<Relationships xmlns="http://schemas.openxmlformats.org/package/2006/relationships"><Relationship Id="rId1" Type="http://schemas.openxmlformats.org/officeDocument/2006/relationships/externalLinkPath" Target="file:///\\ATENEA\Liquidacion_de_Sentencias\1LIQUIDACIONES\3Liquidaciones%20LTK\Giovanny%20Ernesto%20Moreno%20Sanchez\62.%20LIQUIDACION%20DE%20GIOVANNY%20ERNESTO%20MORENO%20SANCHEZ.xlsx" TargetMode="External"/></Relationships>
</file>

<file path=xl/externalLinks/_rels/externalLink194.xml.rels><?xml version="1.0" encoding="UTF-8" standalone="yes"?>
<Relationships xmlns="http://schemas.openxmlformats.org/package/2006/relationships"><Relationship Id="rId1" Type="http://schemas.openxmlformats.org/officeDocument/2006/relationships/externalLinkPath" Target="file:///\\ATENEA\Liquidacion_de_Sentencias\1LIQUIDACIONES\3Liquidaciones%20LTK\Edwar%20Danilo%20Rodriguez%20Herre&#241;o\63.%20LIQUIDACION%20DE%20EDWAR%20DANILO%20RODRIGUEZ%20ELABORADA%20POR%20AURA.xlsx" TargetMode="External"/></Relationships>
</file>

<file path=xl/externalLinks/_rels/externalLink195.xml.rels><?xml version="1.0" encoding="UTF-8" standalone="yes"?>
<Relationships xmlns="http://schemas.openxmlformats.org/package/2006/relationships"><Relationship Id="rId1" Type="http://schemas.openxmlformats.org/officeDocument/2006/relationships/externalLinkPath" Target="file:///\\ATENEA\Liquidacion_de_Sentencias\1LIQUIDACIONES\3Liquidaciones%20LTK\Jorge%20Andres%20Palacios%20Manrique\66.%20LIQUIDACION%20DE%20JORGE%20ANDRES%20PALACIOS%20MANRIQUE%20-%20PR.xlsx" TargetMode="External"/></Relationships>
</file>

<file path=xl/externalLinks/_rels/externalLink196.xml.rels><?xml version="1.0" encoding="UTF-8" standalone="yes"?>
<Relationships xmlns="http://schemas.openxmlformats.org/package/2006/relationships"><Relationship Id="rId1" Type="http://schemas.openxmlformats.org/officeDocument/2006/relationships/externalLinkPath" Target="file:///\\ATENEA\Liquidacion_de_Sentencias\1LIQUIDACIONES\3Liquidaciones%20LTK\Luis%20Fernando%20Sotelo%20Rojas\64.%20LIQUIDACION%20DE%20LUIS%20FERNANDO%20SOTELO%20ROJAS.xlsx" TargetMode="External"/></Relationships>
</file>

<file path=xl/externalLinks/_rels/externalLink197.xml.rels><?xml version="1.0" encoding="UTF-8" standalone="yes"?>
<Relationships xmlns="http://schemas.openxmlformats.org/package/2006/relationships"><Relationship Id="rId1" Type="http://schemas.openxmlformats.org/officeDocument/2006/relationships/externalLinkPath" Target="file:///\\ATENEA\Liquidacion_de_Sentencias\1LIQUIDACIONES\3Liquidaciones%20LTK\Jhon%20Albeiro%20Prieto%20Hurtado\65.%20LIQUIDACION%20DE%20JHON%20ALBEIRO%20PRIETO%20HURTADO.xlsx" TargetMode="External"/></Relationships>
</file>

<file path=xl/externalLinks/_rels/externalLink198.xml.rels><?xml version="1.0" encoding="UTF-8" standalone="yes"?>
<Relationships xmlns="http://schemas.openxmlformats.org/package/2006/relationships"><Relationship Id="rId1" Type="http://schemas.openxmlformats.org/officeDocument/2006/relationships/externalLinkPath" Target="file:///\\ATENEA\Liquidacion_de_Sentencias\1LIQUIDACIONES\3Liquidaciones%20LTK\Jose%20Heriberto%20Moreno%20Rodriguez\240.%20Liq%20%20DE%20JOSE%20HERIBERTO%20MORENO%20RODRIGUEZ.xlsx" TargetMode="External"/></Relationships>
</file>

<file path=xl/externalLinks/_rels/externalLink199.xml.rels><?xml version="1.0" encoding="UTF-8" standalone="yes"?>
<Relationships xmlns="http://schemas.openxmlformats.org/package/2006/relationships"><Relationship Id="rId1" Type="http://schemas.openxmlformats.org/officeDocument/2006/relationships/externalLinkPath" Target="file:///\\ATENEA\Liquidacion_de_Sentencias\1LIQUIDACIONES\1Liquidaciones%20Oficina%20Asesora%20Juridica\ROLANDO%20DIAZ%20RESTREPO\Liquidaci&#243;n%20ROLANDO%20DIAZ%20RESTREPO.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ATENEA\Liquidacion_de_Sentencias\1LIQUIDACIONES\1Liquidaciones%20Oficina%20Asesora%20Juridica\LUIS%20EDUARDO%20MERCHAN%20PATI&#209;O\Reliq%202%20LUIS%20EDUARDO%20MERCHAN%20PATI&#209;O%20(wilson).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ATENEA\Liquidacion_de_Sentencias\1LIQUIDACIONES\2Liquidaciones%20Navarro%20Perez%20y%20Asociados\Carlos%20Andr&#233;s%20Londo&#241;o%20Pati&#241;o\203.%20LIQUIDACION%20DE%20CARLOS%20ANDRES%20LONDO&#209;O%20PATI&#209;O.xlsx" TargetMode="External"/></Relationships>
</file>

<file path=xl/externalLinks/_rels/externalLink200.xml.rels><?xml version="1.0" encoding="UTF-8" standalone="yes"?>
<Relationships xmlns="http://schemas.openxmlformats.org/package/2006/relationships"><Relationship Id="rId1" Type="http://schemas.openxmlformats.org/officeDocument/2006/relationships/externalLinkPath" Target="file:///\\ATENEA\Liquidacion_de_Sentencias\1LIQUIDACIONES\3Liquidaciones%20LTK\Luis%20Antonio%20Bernal%20Molina\67.%20LIQUIDACION%20DE%20LUIS%20ANTONIO%20BERNAL%20-%20PR.xlsx" TargetMode="External"/></Relationships>
</file>

<file path=xl/externalLinks/_rels/externalLink201.xml.rels><?xml version="1.0" encoding="UTF-8" standalone="yes"?>
<Relationships xmlns="http://schemas.openxmlformats.org/package/2006/relationships"><Relationship Id="rId1" Type="http://schemas.openxmlformats.org/officeDocument/2006/relationships/externalLinkPath" Target="file:///\\ATENEA\Liquidacion_de_Sentencias\1LIQUIDACIONES\3Liquidaciones%20LTK\Luis%20Oswaldo%20Pe&#241;a%20Oliveros\68.%20LIQUIDACION%20DE%20LUIS%20OSWALDO%20PE&#209;A%20OLIVERO.xlsx" TargetMode="External"/></Relationships>
</file>

<file path=xl/externalLinks/_rels/externalLink202.xml.rels><?xml version="1.0" encoding="UTF-8" standalone="yes"?>
<Relationships xmlns="http://schemas.openxmlformats.org/package/2006/relationships"><Relationship Id="rId1" Type="http://schemas.openxmlformats.org/officeDocument/2006/relationships/externalLinkPath" Target="file:///\\ATENEA\Liquidacion_de_Sentencias\1LIQUIDACIONES\3Liquidaciones%20LTK\Jorge%20Hernando%20Rojas%20Jimenez\69.%20LIQUIDACION%20DE%20JORGE%20HERNANDO%20ROJAS%20JIMENEZ.xlsx" TargetMode="External"/></Relationships>
</file>

<file path=xl/externalLinks/_rels/externalLink203.xml.rels><?xml version="1.0" encoding="UTF-8" standalone="yes"?>
<Relationships xmlns="http://schemas.openxmlformats.org/package/2006/relationships"><Relationship Id="rId1" Type="http://schemas.openxmlformats.org/officeDocument/2006/relationships/externalLinkPath" Target="file:///\\ATENEA\Liquidacion_de_Sentencias\1LIQUIDACIONES\3Liquidaciones%20LTK\Daniel%20Andres%20Sierra%20Ospina\70.%20LIQUIDACION%20DE%20DANIEL%20ANDRES%20SIERRA%20OSPINA.xlsx" TargetMode="External"/></Relationships>
</file>

<file path=xl/externalLinks/_rels/externalLink204.xml.rels><?xml version="1.0" encoding="UTF-8" standalone="yes"?>
<Relationships xmlns="http://schemas.openxmlformats.org/package/2006/relationships"><Relationship Id="rId1" Type="http://schemas.openxmlformats.org/officeDocument/2006/relationships/externalLinkPath" Target="file:///\\ATENEA\Liquidacion_de_Sentencias\1LIQUIDACIONES\2Liquidaciones%20Navarro%20Perez%20y%20Asociados\Fidel%20Antonio%20Mendoza%20A\75.%20FIDEL%20ANTONIO%20MENDOZA%20ARRIETA.xlsx" TargetMode="External"/></Relationships>
</file>

<file path=xl/externalLinks/_rels/externalLink205.xml.rels><?xml version="1.0" encoding="UTF-8" standalone="yes"?>
<Relationships xmlns="http://schemas.openxmlformats.org/package/2006/relationships"><Relationship Id="rId1" Type="http://schemas.openxmlformats.org/officeDocument/2006/relationships/externalLinkPath" Target="file:///\\ATENEA\Liquidacion_de_Sentencias\1LIQUIDACIONES\3Liquidaciones%20LTK\Leandro%20Marcelo%20Chicaiza\158.%20LIQUIDACION%20LEANDRO%20MARCELO%20CHICAIZA.xlsx" TargetMode="External"/></Relationships>
</file>

<file path=xl/externalLinks/_rels/externalLink206.xml.rels><?xml version="1.0" encoding="UTF-8" standalone="yes"?>
<Relationships xmlns="http://schemas.openxmlformats.org/package/2006/relationships"><Relationship Id="rId1" Type="http://schemas.openxmlformats.org/officeDocument/2006/relationships/externalLinkPath" Target="file:///\\ATENEA\Liquidacion_de_Sentencias\1LIQUIDACIONES\3Liquidaciones%20LTK\Jorge%20Eliecer%20Agudelo%20Arroyave\242.%20LIQ%20DE%20JORGE%20ELIECER%20AGUDELO%20ARROYAVE.xlsx" TargetMode="External"/></Relationships>
</file>

<file path=xl/externalLinks/_rels/externalLink207.xml.rels><?xml version="1.0" encoding="UTF-8" standalone="yes"?>
<Relationships xmlns="http://schemas.openxmlformats.org/package/2006/relationships"><Relationship Id="rId1" Type="http://schemas.openxmlformats.org/officeDocument/2006/relationships/externalLinkPath" Target="file:///\\ATENEA\Liquidacion_de_Sentencias\1LIQUIDACIONES\3Liquidaciones%20LTK\Julian%20Suarez%20Ramirez\71.%20LIQUIDACION%20DE%20JULIAN%20SUAREZ%20RAMIREZ.xlsx" TargetMode="External"/></Relationships>
</file>

<file path=xl/externalLinks/_rels/externalLink208.xml.rels><?xml version="1.0" encoding="UTF-8" standalone="yes"?>
<Relationships xmlns="http://schemas.openxmlformats.org/package/2006/relationships"><Relationship Id="rId1" Type="http://schemas.openxmlformats.org/officeDocument/2006/relationships/externalLinkPath" Target="file:///\\ATENEA\Liquidacion_de_Sentencias\1LIQUIDACIONES\3Liquidaciones%20LTK\Estoofer%20Caldas%20Perez\72.%20LIQUIDACION%20DE%20ESTOOFER%20CALDAS%20PEREZ.xlsx" TargetMode="External"/></Relationships>
</file>

<file path=xl/externalLinks/_rels/externalLink209.xml.rels><?xml version="1.0" encoding="UTF-8" standalone="yes"?>
<Relationships xmlns="http://schemas.openxmlformats.org/package/2006/relationships"><Relationship Id="rId1" Type="http://schemas.openxmlformats.org/officeDocument/2006/relationships/externalLinkPath" Target="file:///\\ATENEA\Liquidacion_de_Sentencias\1LIQUIDACIONES\3Liquidaciones%20LTK\Janer%20Jose%20Diaz%20Villarreal\160.%20LIQUIDACION%20DE%20JANER%20JOSE%20VILLAREAL%20DIAZ%20A.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ATENEA\Liquidacion_de_Sentencias\1LIQUIDACIONES\2Liquidaciones%20Navarro%20Perez%20y%20Asociados\Ruben%20Dario%20Ortega%20Quiroz\168.%20LIQUIDACION%20RUBEN%20DARIO%20ORTEGA%20QUIROZ%20-%20PR.xlsx" TargetMode="External"/></Relationships>
</file>

<file path=xl/externalLinks/_rels/externalLink210.xml.rels><?xml version="1.0" encoding="UTF-8" standalone="yes"?>
<Relationships xmlns="http://schemas.openxmlformats.org/package/2006/relationships"><Relationship Id="rId1" Type="http://schemas.openxmlformats.org/officeDocument/2006/relationships/externalLinkPath" Target="file:///\\ATENEA\Liquidacion_de_Sentencias\1LIQUIDACIONES\3Liquidaciones%20LTK\Juan%20Carlos%20Galindo%20Diaz\75.%20LIQUIDACION%20DE%20JUAN%20CARLOS%20GALINDO%20DIAZ.xlsx" TargetMode="External"/></Relationships>
</file>

<file path=xl/externalLinks/_rels/externalLink211.xml.rels><?xml version="1.0" encoding="UTF-8" standalone="yes"?>
<Relationships xmlns="http://schemas.openxmlformats.org/package/2006/relationships"><Relationship Id="rId1" Type="http://schemas.openxmlformats.org/officeDocument/2006/relationships/externalLinkPath" Target="file:///\\ATENEA\Liquidacion_de_Sentencias\1LIQUIDACIONES\3Liquidaciones%20LTK\Julian%20Alberto%20Rincon%20Baquero\76.%20LIQUIDACION%20DE%20JULIAN%20ALBERTO%20RINCON%20BAQUERO.xlsx" TargetMode="External"/></Relationships>
</file>

<file path=xl/externalLinks/_rels/externalLink212.xml.rels><?xml version="1.0" encoding="UTF-8" standalone="yes"?>
<Relationships xmlns="http://schemas.openxmlformats.org/package/2006/relationships"><Relationship Id="rId1" Type="http://schemas.openxmlformats.org/officeDocument/2006/relationships/externalLinkPath" Target="file:///\\ATENEA\Liquidacion_de_Sentencias\1LIQUIDACIONES\3Liquidaciones%20LTK\Sergio%20Andres%20Calderon%20Garzon\77.%20LIQUIDACION%20%20DE%20SERGIO%20ANDRES%20CALDERON%20GARCIA.xlsx" TargetMode="External"/></Relationships>
</file>

<file path=xl/externalLinks/_rels/externalLink213.xml.rels><?xml version="1.0" encoding="UTF-8" standalone="yes"?>
<Relationships xmlns="http://schemas.openxmlformats.org/package/2006/relationships"><Relationship Id="rId1" Type="http://schemas.openxmlformats.org/officeDocument/2006/relationships/externalLinkPath" Target="file:///\\ATENEA\Liquidacion_de_Sentencias\1LIQUIDACIONES\3Liquidaciones%20LTK\Carlos%20Eduardo%20de%20las%20Salas%20Mier\78.%20LIQUIDACION%20DE%20CARLOS%20EDUARDO%20DE%20LAS%20SALAS%20MIER.xlsx" TargetMode="External"/></Relationships>
</file>

<file path=xl/externalLinks/_rels/externalLink214.xml.rels><?xml version="1.0" encoding="UTF-8" standalone="yes"?>
<Relationships xmlns="http://schemas.openxmlformats.org/package/2006/relationships"><Relationship Id="rId1" Type="http://schemas.openxmlformats.org/officeDocument/2006/relationships/externalLinkPath" Target="file:///\\ATENEA\Liquidacion_de_Sentencias\1LIQUIDACIONES\3Liquidaciones%20LTK\Diego%20Fernando%20Perez%20Pinzon\79.%20LIQUIDACION%20DE%20DIEGO%20FERNANDO%20PEREZ%20PINZON.xlsx" TargetMode="External"/></Relationships>
</file>

<file path=xl/externalLinks/_rels/externalLink215.xml.rels><?xml version="1.0" encoding="UTF-8" standalone="yes"?>
<Relationships xmlns="http://schemas.openxmlformats.org/package/2006/relationships"><Relationship Id="rId1" Type="http://schemas.openxmlformats.org/officeDocument/2006/relationships/externalLinkPath" Target="file:///\\ATENEA\Liquidacion_de_Sentencias\1LIQUIDACIONES\1Liquidaciones%20Oficina%20Asesora%20Juridica\LUIS%20EDUARDO%20RIVERO%20PEREZ\Liq%20LUIS%20EDUARDO%20RIVERO%20PEREZ.xlsx" TargetMode="External"/></Relationships>
</file>

<file path=xl/externalLinks/_rels/externalLink216.xml.rels><?xml version="1.0" encoding="UTF-8" standalone="yes"?>
<Relationships xmlns="http://schemas.openxmlformats.org/package/2006/relationships"><Relationship Id="rId1" Type="http://schemas.openxmlformats.org/officeDocument/2006/relationships/externalLinkPath" Target="file:///\\ATENEA\Liquidacion_de_Sentencias\1LIQUIDACIONES\3Liquidaciones%20LTK\Sergin%20Alexander%20Giraldo%20Ortiz\83.%20LIQUIDACION%20SERGIN%20ALEXANDER%20GIRALDO%20ORTIZ.xlsx" TargetMode="External"/></Relationships>
</file>

<file path=xl/externalLinks/_rels/externalLink217.xml.rels><?xml version="1.0" encoding="UTF-8" standalone="yes"?>
<Relationships xmlns="http://schemas.openxmlformats.org/package/2006/relationships"><Relationship Id="rId1" Type="http://schemas.openxmlformats.org/officeDocument/2006/relationships/externalLinkPath" Target="file:///\\ATENEA\Liquidacion_de_Sentencias\1LIQUIDACIONES\3Liquidaciones%20LTK\Dimas%20Ovidio%20Suarez%20Ayala\82.%20LIQUIDACION%20DE%20DIMAS%20OVIDIO%20SUAREZ%20AYALA%20-%20PR.xlsx" TargetMode="External"/></Relationships>
</file>

<file path=xl/externalLinks/_rels/externalLink218.xml.rels><?xml version="1.0" encoding="UTF-8" standalone="yes"?>
<Relationships xmlns="http://schemas.openxmlformats.org/package/2006/relationships"><Relationship Id="rId1" Type="http://schemas.openxmlformats.org/officeDocument/2006/relationships/externalLinkPath" Target="file:///\\ATENEA\Liquidacion_de_Sentencias\1LIQUIDACIONES\3Liquidaciones%20LTK\Dagoberto%20Ricardo%20Garzon\85.%20LIQUIDACION%20DE%20DAGOBERTO%20RICARDO%20GARZ&#211;N%20-%20CCF%20KATHE.xlsx" TargetMode="External"/></Relationships>
</file>

<file path=xl/externalLinks/_rels/externalLink219.xml.rels><?xml version="1.0" encoding="UTF-8" standalone="yes"?>
<Relationships xmlns="http://schemas.openxmlformats.org/package/2006/relationships"><Relationship Id="rId1" Type="http://schemas.openxmlformats.org/officeDocument/2006/relationships/externalLinkPath" Target="file:///\\ATENEA\Liquidacion_de_Sentencias\1LIQUIDACIONES\3Liquidaciones%20LTK\William%20Oswaldo%20Ni&#241;o%20Perez\84.1.%20LIQUIDACION%20DE%20WILLIAN%20OSWALDO%20NI&#209;O%20PEREZ.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ATENEA\Liquidacion_de_Sentencias\1LIQUIDACIONES\2Liquidaciones%20Navarro%20Perez%20y%20Asociados\Adrian%20Alfredo%20Beltran%20Moreno\Copia%20de%20201.%20LIQUIDACION%20ADRIAN%20ALFREDO%20BELTRAN%20MORENO.xlsx" TargetMode="External"/></Relationships>
</file>

<file path=xl/externalLinks/_rels/externalLink220.xml.rels><?xml version="1.0" encoding="UTF-8" standalone="yes"?>
<Relationships xmlns="http://schemas.openxmlformats.org/package/2006/relationships"><Relationship Id="rId1" Type="http://schemas.openxmlformats.org/officeDocument/2006/relationships/externalLinkPath" Target="file:///\\ATENEA\Liquidacion_de_Sentencias\1LIQUIDACIONES\3Liquidaciones%20LTK\Nelson%20Humberto%20Bernal%20Diaz\84.2.%20LIQUIDACION%20DE%20NELSON%20HUMBERTO%20BERNAL%20DIAZ.xlsx" TargetMode="External"/></Relationships>
</file>

<file path=xl/externalLinks/_rels/externalLink221.xml.rels><?xml version="1.0" encoding="UTF-8" standalone="yes"?>
<Relationships xmlns="http://schemas.openxmlformats.org/package/2006/relationships"><Relationship Id="rId1" Type="http://schemas.openxmlformats.org/officeDocument/2006/relationships/externalLinkPath" Target="file:///\\ATENEA\Liquidacion_de_Sentencias\1LIQUIDACIONES\3Liquidaciones%20LTK\Alex%20Johan%20Pati&#241;o%20Cupitra\84.3.%20LIQUIDACION%20DE%20ALEX%20JOHAN%20PATI&#209;O%20CUPITRA.xlsx" TargetMode="External"/></Relationships>
</file>

<file path=xl/externalLinks/_rels/externalLink222.xml.rels><?xml version="1.0" encoding="UTF-8" standalone="yes"?>
<Relationships xmlns="http://schemas.openxmlformats.org/package/2006/relationships"><Relationship Id="rId1" Type="http://schemas.openxmlformats.org/officeDocument/2006/relationships/externalLinkPath" Target="file:///\\ATENEA\Liquidacion_de_Sentencias\1LIQUIDACIONES\1Liquidaciones%20Oficina%20Asesora%20Juridica\MAYA%20MILENA%20MORENO%20NI&#209;O\Liquidacion%20MAYA%20MILENA%20MORENO%20NI&#209;O.xlsx" TargetMode="External"/></Relationships>
</file>

<file path=xl/externalLinks/_rels/externalLink223.xml.rels><?xml version="1.0" encoding="UTF-8" standalone="yes"?>
<Relationships xmlns="http://schemas.openxmlformats.org/package/2006/relationships"><Relationship Id="rId1" Type="http://schemas.openxmlformats.org/officeDocument/2006/relationships/externalLinkPath" Target="file:///\\ATENEA\Liquidacion_de_Sentencias\1LIQUIDACIONES\3Liquidaciones%20LTK\Alexander%20Ruiz%20Gonzalez\235.%20LIQUIDACION%20DE%20ALEXANDER%20RUIZ%20GONZALEZ.xlsx" TargetMode="External"/></Relationships>
</file>

<file path=xl/externalLinks/_rels/externalLink224.xml.rels><?xml version="1.0" encoding="UTF-8" standalone="yes"?>
<Relationships xmlns="http://schemas.openxmlformats.org/package/2006/relationships"><Relationship Id="rId1" Type="http://schemas.openxmlformats.org/officeDocument/2006/relationships/externalLinkPath" Target="file:///\\ATENEA\Liquidacion_de_Sentencias\1LIQUIDACIONES\3Liquidaciones%20LTK\Jorge%20Yonatan%20Parra%20Duran\73.%20LIQUIDACION%20DE%20JORGE%20YONATAN%20PARRA%20DURAN.xlsx" TargetMode="External"/></Relationships>
</file>

<file path=xl/externalLinks/_rels/externalLink225.xml.rels><?xml version="1.0" encoding="UTF-8" standalone="yes"?>
<Relationships xmlns="http://schemas.openxmlformats.org/package/2006/relationships"><Relationship Id="rId1" Type="http://schemas.openxmlformats.org/officeDocument/2006/relationships/externalLinkPath" Target="file:///\\ATENEA\Liquidacion_de_Sentencias\1LIQUIDACIONES\3Liquidaciones%20LTK\Jesus%20Hernando%20Celis%20Alvarez\90.%20LIQUIDACION%20JESUS%20HERNANDO%20CELIS%20ALVAREZ%20-%20D.xlsx" TargetMode="External"/></Relationships>
</file>

<file path=xl/externalLinks/_rels/externalLink226.xml.rels><?xml version="1.0" encoding="UTF-8" standalone="yes"?>
<Relationships xmlns="http://schemas.openxmlformats.org/package/2006/relationships"><Relationship Id="rId1" Type="http://schemas.openxmlformats.org/officeDocument/2006/relationships/externalLinkPath" Target="file:///\\ATENEA\Liquidacion_de_Sentencias\1LIQUIDACIONES\3Liquidaciones%20LTK\Harold%20Jhonson%20Sierra%20Ramirez\98.%20LIQUIDACION%20DE%20HAROLD%20JHONSON%20SIERRA%20RAMIREZ%20-%20PR.xlsx" TargetMode="External"/></Relationships>
</file>

<file path=xl/externalLinks/_rels/externalLink227.xml.rels><?xml version="1.0" encoding="UTF-8" standalone="yes"?>
<Relationships xmlns="http://schemas.openxmlformats.org/package/2006/relationships"><Relationship Id="rId1" Type="http://schemas.openxmlformats.org/officeDocument/2006/relationships/externalLinkPath" Target="file:///\\ATENEA\Liquidacion_de_Sentencias\1LIQUIDACIONES\3Liquidaciones%20LTK\Juan%20de%20Jesus%20Daza%20Rincon\171.%20LIQUIDACION%20DE%20%20JUAN%20DE%20JESUS%20DAZA%20RINCON.xlsx" TargetMode="External"/></Relationships>
</file>

<file path=xl/externalLinks/_rels/externalLink228.xml.rels><?xml version="1.0" encoding="UTF-8" standalone="yes"?>
<Relationships xmlns="http://schemas.openxmlformats.org/package/2006/relationships"><Relationship Id="rId1" Type="http://schemas.openxmlformats.org/officeDocument/2006/relationships/externalLinkPath" Target="file:///\\ATENEA\Liquidacion_de_Sentencias\1LIQUIDACIONES\3Liquidaciones%20LTK\Albenis%20Enrique%20Atencio%20Gallardo\204.%20LIQUIDACION%20ALBENIS%20ATENCIO%20GALLARDO.xlsx" TargetMode="External"/></Relationships>
</file>

<file path=xl/externalLinks/_rels/externalLink229.xml.rels><?xml version="1.0" encoding="UTF-8" standalone="yes"?>
<Relationships xmlns="http://schemas.openxmlformats.org/package/2006/relationships"><Relationship Id="rId1" Type="http://schemas.openxmlformats.org/officeDocument/2006/relationships/externalLinkPath" Target="file:///\\ATENEA\Liquidacion_de_Sentencias\1LIQUIDACIONES\3Liquidaciones%20LTK\Anuar%20Torres%20Moreno\99.%20LIQUIDACION%20DE%20ANUAR%20TORRES%20MORENO%20-%20PR.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ATENEA\Liquidacion_de_Sentencias\1LIQUIDACIONES\2Liquidaciones%20Navarro%20Perez%20y%20Asociados\Weimar%20Acero%20Bare&#241;o\3.%20LIQUIDACION%20DE%20%20WEIMAR%20ACERO%20BARE&#209;O-%20NO%20SALUD.xlsx" TargetMode="External"/></Relationships>
</file>

<file path=xl/externalLinks/_rels/externalLink230.xml.rels><?xml version="1.0" encoding="UTF-8" standalone="yes"?>
<Relationships xmlns="http://schemas.openxmlformats.org/package/2006/relationships"><Relationship Id="rId1" Type="http://schemas.openxmlformats.org/officeDocument/2006/relationships/externalLinkPath" Target="file:///\\ATENEA\Liquidacion_de_Sentencias\1LIQUIDACIONES\3Liquidaciones%20LTK\Odalinda%20Casta&#241;eda%20Monta&#241;a\96.%20LIQUIDACION%20DE%20ODALINDA%20CASTA&#209;EDA%20MONTA&#209;A%20-%20PR.xlsx" TargetMode="External"/></Relationships>
</file>

<file path=xl/externalLinks/_rels/externalLink231.xml.rels><?xml version="1.0" encoding="UTF-8" standalone="yes"?>
<Relationships xmlns="http://schemas.openxmlformats.org/package/2006/relationships"><Relationship Id="rId1" Type="http://schemas.openxmlformats.org/officeDocument/2006/relationships/externalLinkPath" Target="file:///\\ATENEA\Liquidacion_de_Sentencias\1LIQUIDACIONES\3Liquidaciones%20LTK\Oscar%20Javier%20Ariza%20Arias\93.%20LIQUIDACION%20%20DE%20OSCAR%20JAVIER%20ARIZA%20ARIAS..xlsx" TargetMode="External"/></Relationships>
</file>

<file path=xl/externalLinks/_rels/externalLink232.xml.rels><?xml version="1.0" encoding="UTF-8" standalone="yes"?>
<Relationships xmlns="http://schemas.openxmlformats.org/package/2006/relationships"><Relationship Id="rId1" Type="http://schemas.openxmlformats.org/officeDocument/2006/relationships/externalLinkPath" Target="file:///\\ATENEA\Liquidacion_de_Sentencias\1LIQUIDACIONES\3Liquidaciones%20LTK\Samir%20Antonio%20Ricardo%20Hoyos\94.%20LIQUIDACION%20%20DE%20SAMIR%20ANTONIO%20RICARDO%20HOYOS.xlsx" TargetMode="External"/></Relationships>
</file>

<file path=xl/externalLinks/_rels/externalLink233.xml.rels><?xml version="1.0" encoding="UTF-8" standalone="yes"?>
<Relationships xmlns="http://schemas.openxmlformats.org/package/2006/relationships"><Relationship Id="rId1" Type="http://schemas.openxmlformats.org/officeDocument/2006/relationships/externalLinkPath" Target="file:///\\ATENEA\Liquidacion_de_Sentencias\1LIQUIDACIONES\3Liquidaciones%20LTK\Juan%20Carlos%20Romero%20Nu&#241;ez\101.%20LIQUIDACION%20DE%20JUAN%20CARLOS%20ROMERO%20NU&#209;EZ.xls" TargetMode="External"/></Relationships>
</file>

<file path=xl/externalLinks/_rels/externalLink234.xml.rels><?xml version="1.0" encoding="UTF-8" standalone="yes"?>
<Relationships xmlns="http://schemas.openxmlformats.org/package/2006/relationships"><Relationship Id="rId1" Type="http://schemas.openxmlformats.org/officeDocument/2006/relationships/externalLinkPath" Target="file:///\\ATENEA\Liquidacion_de_Sentencias\1LIQUIDACIONES\3Liquidaciones%20LTK\Pedro%20Jose%20Saavedra\100.%20LIQUIDACION%20DE%20PEDRO%20JOSE%20SAAVEDRA%20MOLINA%20-%20PR.xlsx" TargetMode="External"/></Relationships>
</file>

<file path=xl/externalLinks/_rels/externalLink235.xml.rels><?xml version="1.0" encoding="UTF-8" standalone="yes"?>
<Relationships xmlns="http://schemas.openxmlformats.org/package/2006/relationships"><Relationship Id="rId1" Type="http://schemas.openxmlformats.org/officeDocument/2006/relationships/externalLinkPath" Target="file:///\\ATENEA\Liquidacion_de_Sentencias\1LIQUIDACIONES\3Liquidaciones%20LTK\Jose%20Maria%20Moya%20Lopez\233.%20LIQUIDACION%20DE%20JOSE%20MARIA%20MOYA%20LOPEZ.xlsx" TargetMode="External"/></Relationships>
</file>

<file path=xl/externalLinks/_rels/externalLink236.xml.rels><?xml version="1.0" encoding="UTF-8" standalone="yes"?>
<Relationships xmlns="http://schemas.openxmlformats.org/package/2006/relationships"><Relationship Id="rId1" Type="http://schemas.openxmlformats.org/officeDocument/2006/relationships/externalLinkPath" Target="file:///\\ATENEA\Liquidacion_de_Sentencias\1LIQUIDACIONES\3Liquidaciones%20LTK\Luis%20Alejandro%20Rivera%20Sevillano\91.%20LIQUIDACION%20DE%20LUIS%20ALEJANDRO%20RIVERA%20SEVILLANO.xlsx" TargetMode="External"/></Relationships>
</file>

<file path=xl/externalLinks/_rels/externalLink237.xml.rels><?xml version="1.0" encoding="UTF-8" standalone="yes"?>
<Relationships xmlns="http://schemas.openxmlformats.org/package/2006/relationships"><Relationship Id="rId1" Type="http://schemas.openxmlformats.org/officeDocument/2006/relationships/externalLinkPath" Target="file:///\\ATENEA\Liquidacion_de_Sentencias\1LIQUIDACIONES\3Liquidaciones%20LTK\Hair%20Alberto%20Pinzon%20Cruz\157.%20LIQUIDACION%20DE%20HAIR%20ALBERTO%20PINZON%20CRUZ.xlsx" TargetMode="External"/></Relationships>
</file>

<file path=xl/externalLinks/_rels/externalLink238.xml.rels><?xml version="1.0" encoding="UTF-8" standalone="yes"?>
<Relationships xmlns="http://schemas.openxmlformats.org/package/2006/relationships"><Relationship Id="rId1" Type="http://schemas.openxmlformats.org/officeDocument/2006/relationships/externalLinkPath" Target="file:///\\ATENEA\Liquidacion_de_Sentencias\1LIQUIDACIONES\3Liquidaciones%20LTK\Fredy%20Raul%20Galvis%20Mojica\143.%20LIQUIDACION%20DE%20FREDY%20RAUL%20GALVIS%20MOJICA.xlsx" TargetMode="External"/></Relationships>
</file>

<file path=xl/externalLinks/_rels/externalLink239.xml.rels><?xml version="1.0" encoding="UTF-8" standalone="yes"?>
<Relationships xmlns="http://schemas.openxmlformats.org/package/2006/relationships"><Relationship Id="rId1" Type="http://schemas.openxmlformats.org/officeDocument/2006/relationships/externalLinkPath" Target="file:///\\ATENEA\Liquidacion_de_Sentencias\1LIQUIDACIONES\3Liquidaciones%20LTK\Jose%20Ignacio%20Franco%20Salazar\156.%20LIQUIDACION%20DE%20JOSE%20IGNACIO%20FRANCO%20SALAZAR%20-%20PR...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ATENEA\Liquidacion_de_Sentencias\1LIQUIDACIONES\2Liquidaciones%20Navarro%20Perez%20y%20Asociados\Edwin%20Ferney%20Urrego%20Goez%20y%20Otros\6.%20LIQUIDACION%20EDWIN%20FERNEY%20URREGO%20GOEZ%20Y%20OTROS.xlsx" TargetMode="External"/></Relationships>
</file>

<file path=xl/externalLinks/_rels/externalLink240.xml.rels><?xml version="1.0" encoding="UTF-8" standalone="yes"?>
<Relationships xmlns="http://schemas.openxmlformats.org/package/2006/relationships"><Relationship Id="rId1" Type="http://schemas.openxmlformats.org/officeDocument/2006/relationships/externalLinkPath" Target="file:///\\ATENEA\Liquidacion_de_Sentencias\1LIQUIDACIONES\3Liquidaciones%20LTK\Jairo%20Augusto%20Celis\105.%20LIQUIDACION%20DE%20JAIRO%20AUGUSTO%20CELIS%20-%20PR.xlsx" TargetMode="External"/></Relationships>
</file>

<file path=xl/externalLinks/_rels/externalLink241.xml.rels><?xml version="1.0" encoding="UTF-8" standalone="yes"?>
<Relationships xmlns="http://schemas.openxmlformats.org/package/2006/relationships"><Relationship Id="rId1" Type="http://schemas.openxmlformats.org/officeDocument/2006/relationships/externalLinkPath" Target="file:///\\ATENEA\Liquidacion_de_Sentencias\1LIQUIDACIONES\3Liquidaciones%20LTK\Wilson%20Andres%20Cobo%20Pinto\130.%20LIQUIDACION%20DE%20WILSON%20ANDRES%20COBO%20PINTO.xls" TargetMode="External"/></Relationships>
</file>

<file path=xl/externalLinks/_rels/externalLink242.xml.rels><?xml version="1.0" encoding="UTF-8" standalone="yes"?>
<Relationships xmlns="http://schemas.openxmlformats.org/package/2006/relationships"><Relationship Id="rId1" Type="http://schemas.openxmlformats.org/officeDocument/2006/relationships/externalLinkPath" Target="file:///\\ATENEA\Liquidacion_de_Sentencias\1LIQUIDACIONES\3Liquidaciones%20LTK\Vicente%20Javier%20Sabino%20Pinedo\196.%20LIQUIDACION%20DE%20VICENTE%20JAVIER%20SABINO%20PINEDO.xls" TargetMode="External"/></Relationships>
</file>

<file path=xl/externalLinks/_rels/externalLink243.xml.rels><?xml version="1.0" encoding="UTF-8" standalone="yes"?>
<Relationships xmlns="http://schemas.openxmlformats.org/package/2006/relationships"><Relationship Id="rId1" Type="http://schemas.openxmlformats.org/officeDocument/2006/relationships/externalLinkPath" Target="file:///\\ATENEA\Liquidacion_de_Sentencias\1LIQUIDACIONES\3Liquidaciones%20LTK\Giovanny%20de%20Jesus%20Paternina%20Revollo\74.%20LIQUIDACION%20DE%20GIOVANNI%20DE%20JESUS%20PATERNINA%20REVOLLO%20-%20PR.xlsx" TargetMode="External"/></Relationships>
</file>

<file path=xl/externalLinks/_rels/externalLink244.xml.rels><?xml version="1.0" encoding="UTF-8" standalone="yes"?>
<Relationships xmlns="http://schemas.openxmlformats.org/package/2006/relationships"><Relationship Id="rId1" Type="http://schemas.openxmlformats.org/officeDocument/2006/relationships/externalLinkPath" Target="file:///\\ATENEA\Liquidacion_de_Sentencias\1LIQUIDACIONES\1Liquidaciones%20Oficina%20Asesora%20Juridica\MARTHA%20ALZATE%20GOMEZ%20Y%20OTROS\Liquidaci&#243;n%20MARTHA%20ALZATE%20GOMEZ%20Y%20OTROS.xlsx" TargetMode="External"/></Relationships>
</file>

<file path=xl/externalLinks/_rels/externalLink245.xml.rels><?xml version="1.0" encoding="UTF-8" standalone="yes"?>
<Relationships xmlns="http://schemas.openxmlformats.org/package/2006/relationships"><Relationship Id="rId1" Type="http://schemas.openxmlformats.org/officeDocument/2006/relationships/externalLinkPath" Target="file:///\\ATENEA\Liquidacion_de_Sentencias\1LIQUIDACIONES\3Liquidaciones%20LTK\Wilmar%20Rodriguez%20Pinillo\87.%20LIQUIDACION%20DE%20WILMAR%20RODRIGUEZ%20PINILLO.xlsx" TargetMode="External"/></Relationships>
</file>

<file path=xl/externalLinks/_rels/externalLink246.xml.rels><?xml version="1.0" encoding="UTF-8" standalone="yes"?>
<Relationships xmlns="http://schemas.openxmlformats.org/package/2006/relationships"><Relationship Id="rId1" Type="http://schemas.openxmlformats.org/officeDocument/2006/relationships/externalLinkPath" Target="file:///\\ATENEA\Liquidacion_de_Sentencias\1LIQUIDACIONES\3Liquidaciones%20LTK\Hector%20Jairo%20Beltran%20Lancheros\102.%20LIQUIDACION%20DE%20HECTOR%20JAIRO%20BELTRAN.xlsx" TargetMode="External"/></Relationships>
</file>

<file path=xl/externalLinks/_rels/externalLink247.xml.rels><?xml version="1.0" encoding="UTF-8" standalone="yes"?>
<Relationships xmlns="http://schemas.openxmlformats.org/package/2006/relationships"><Relationship Id="rId1" Type="http://schemas.openxmlformats.org/officeDocument/2006/relationships/externalLinkPath" Target="file:///\\ATENEA\Liquidacion_de_Sentencias\1LIQUIDACIONES\3Liquidaciones%20LTK\Oscar%20Leon%20Diaz%20Montiel\88.%20LIQUIDACION%20DE%20OSCAR%20LEON%20DIAZ%20MONTIEL.xlsx" TargetMode="External"/></Relationships>
</file>

<file path=xl/externalLinks/_rels/externalLink248.xml.rels><?xml version="1.0" encoding="UTF-8" standalone="yes"?>
<Relationships xmlns="http://schemas.openxmlformats.org/package/2006/relationships"><Relationship Id="rId1" Type="http://schemas.openxmlformats.org/officeDocument/2006/relationships/externalLinkPath" Target="file:///\\ATENEA\Liquidacion_de_Sentencias\1LIQUIDACIONES\3Liquidaciones%20LTK\Javier%20Arango%20Duque\86.%20LIQUIDACION%20DE%20JAVIER%20ARANGO%20DUQUE.xlsx" TargetMode="External"/></Relationships>
</file>

<file path=xl/externalLinks/_rels/externalLink249.xml.rels><?xml version="1.0" encoding="UTF-8" standalone="yes"?>
<Relationships xmlns="http://schemas.openxmlformats.org/package/2006/relationships"><Relationship Id="rId1" Type="http://schemas.openxmlformats.org/officeDocument/2006/relationships/externalLinkPath" Target="file:///\\ATENEA\Liquidacion_de_Sentencias\1LIQUIDACIONES\3Liquidaciones%20LTK\Felix%20Enrique%20Devia%20Gonzalez\104.%20LIQUIDACION%20DE%20FELIX%20ENRIQUE%20DEVIA%20GONZALEZ%20-%20PR.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ATENEA\Liquidacion_de_Sentencias\1LIQUIDACIONES\2Liquidaciones%20Navarro%20Perez%20y%20Asociados\Carlos%20Mario%20Ramirez%20Suasa\8.%20LIQUIDACION%20CARLOS%20MARIO%20RAMIREZ%20SUAZA%20-%20PR.xlsx" TargetMode="External"/></Relationships>
</file>

<file path=xl/externalLinks/_rels/externalLink250.xml.rels><?xml version="1.0" encoding="UTF-8" standalone="yes"?>
<Relationships xmlns="http://schemas.openxmlformats.org/package/2006/relationships"><Relationship Id="rId1" Type="http://schemas.openxmlformats.org/officeDocument/2006/relationships/externalLinkPath" Target="file:///\\ATENEA\Liquidacion_de_Sentencias\1LIQUIDACIONES\3Liquidaciones%20LTK\Juan%20Carlos%20Caro%20Cabanzo\109.%20LIQUIDACION%20DE%20JUAN%20CARLOS%20CARO%20CABANZO%20AURA.xlsx" TargetMode="External"/></Relationships>
</file>

<file path=xl/externalLinks/_rels/externalLink251.xml.rels><?xml version="1.0" encoding="UTF-8" standalone="yes"?>
<Relationships xmlns="http://schemas.openxmlformats.org/package/2006/relationships"><Relationship Id="rId1" Type="http://schemas.openxmlformats.org/officeDocument/2006/relationships/externalLinkPath" Target="file:///\\ATENEA\Liquidacion_de_Sentencias\1LIQUIDACIONES\3Liquidaciones%20LTK\Jose%20de%20Jesus%20Ni&#241;o%20Ayala\110.%20LIQUIDACION%20DE%20JOSE%20DE%20JESUS%20NI&#209;O%20AYALA%20-%20PR.xlsx" TargetMode="External"/></Relationships>
</file>

<file path=xl/externalLinks/_rels/externalLink252.xml.rels><?xml version="1.0" encoding="UTF-8" standalone="yes"?>
<Relationships xmlns="http://schemas.openxmlformats.org/package/2006/relationships"><Relationship Id="rId1" Type="http://schemas.openxmlformats.org/officeDocument/2006/relationships/externalLinkPath" Target="file:///\\ATENEA\Liquidacion_de_Sentencias\1LIQUIDACIONES\3Liquidaciones%20LTK\Pablo%20Enrique%20Ahumada%20Gamba\111.%20LIQUIDACION%20DE%20PABLO%20ENRIQUE%20AHUMADA%20GAMBA%20-%20PR.xlsx" TargetMode="External"/></Relationships>
</file>

<file path=xl/externalLinks/_rels/externalLink253.xml.rels><?xml version="1.0" encoding="UTF-8" standalone="yes"?>
<Relationships xmlns="http://schemas.openxmlformats.org/package/2006/relationships"><Relationship Id="rId1" Type="http://schemas.openxmlformats.org/officeDocument/2006/relationships/externalLinkPath" Target="file:///\\ATENEA\Liquidacion_de_Sentencias\1LIQUIDACIONES\3Liquidaciones%20LTK\Hugo%20Cardozo%20Rodriguez\107.%20LIQUIDACION%20HUGO%20CARDOZO%20RODRIGUEZ%20-%20F.xlsx" TargetMode="External"/></Relationships>
</file>

<file path=xl/externalLinks/_rels/externalLink254.xml.rels><?xml version="1.0" encoding="UTF-8" standalone="yes"?>
<Relationships xmlns="http://schemas.openxmlformats.org/package/2006/relationships"><Relationship Id="rId1" Type="http://schemas.openxmlformats.org/officeDocument/2006/relationships/externalLinkPath" Target="file:///\\ATENEA\Liquidacion_de_Sentencias\1LIQUIDACIONES\3Liquidaciones%20LTK\Javier%20Mauricio%20Holguin%20Gomez\112.%20LIQUIDACION%20DE%20JAVIER%20MAURICIO%20HOLGUIN%20GOMEZ.xlsx" TargetMode="External"/></Relationships>
</file>

<file path=xl/externalLinks/_rels/externalLink255.xml.rels><?xml version="1.0" encoding="UTF-8" standalone="yes"?>
<Relationships xmlns="http://schemas.openxmlformats.org/package/2006/relationships"><Relationship Id="rId1" Type="http://schemas.openxmlformats.org/officeDocument/2006/relationships/externalLinkPath" Target="file:///\\ATENEA\Liquidacion_de_Sentencias\1LIQUIDACIONES\3Liquidaciones%20LTK\Otoniel%20Cely%20Gomez\113.%20LIQUIDACION%20DE%20OTONIEL%20CELY%20GOMEZ%20-%20PR.xlsx" TargetMode="External"/></Relationships>
</file>

<file path=xl/externalLinks/_rels/externalLink256.xml.rels><?xml version="1.0" encoding="UTF-8" standalone="yes"?>
<Relationships xmlns="http://schemas.openxmlformats.org/package/2006/relationships"><Relationship Id="rId1" Type="http://schemas.openxmlformats.org/officeDocument/2006/relationships/externalLinkPath" Target="file:///\\ATENEA\Liquidacion_de_Sentencias\1LIQUIDACIONES\3Liquidaciones%20LTK\Franklin%20Loaiza%20Gonzalez\116.%20LIQUIDACION%20DE%20FRANKLIN%20LOAIZA%20GONZALEZ%20-%20PR.xlsx" TargetMode="External"/></Relationships>
</file>

<file path=xl/externalLinks/_rels/externalLink257.xml.rels><?xml version="1.0" encoding="UTF-8" standalone="yes"?>
<Relationships xmlns="http://schemas.openxmlformats.org/package/2006/relationships"><Relationship Id="rId1" Type="http://schemas.openxmlformats.org/officeDocument/2006/relationships/externalLinkPath" Target="file:///\\ATENEA\Liquidacion_de_Sentencias\1LIQUIDACIONES\3Liquidaciones%20LTK\Jose%20Jeremias%20Barreto%20Mendoza\115.%20LIQUIDACION%20DE%20JOSE%20JEREMIAS%20BARRETO%20MENDOZA.xlsx" TargetMode="External"/></Relationships>
</file>

<file path=xl/externalLinks/_rels/externalLink258.xml.rels><?xml version="1.0" encoding="UTF-8" standalone="yes"?>
<Relationships xmlns="http://schemas.openxmlformats.org/package/2006/relationships"><Relationship Id="rId1" Type="http://schemas.openxmlformats.org/officeDocument/2006/relationships/externalLinkPath" Target="file:///\\ATENEA\Liquidacion_de_Sentencias\1LIQUIDACIONES\3Liquidaciones%20LTK\Eriberto%20Perez%20Perez\108.%20LIQUIDACION%20DE%20ERIBERTO%20PEREZ%20PEREZ.xlsx" TargetMode="External"/></Relationships>
</file>

<file path=xl/externalLinks/_rels/externalLink259.xml.rels><?xml version="1.0" encoding="UTF-8" standalone="yes"?>
<Relationships xmlns="http://schemas.openxmlformats.org/package/2006/relationships"><Relationship Id="rId1" Type="http://schemas.openxmlformats.org/officeDocument/2006/relationships/externalLinkPath" Target="file:///\\ATENEA\Liquidacion_de_Sentencias\1LIQUIDACIONES\3Liquidaciones%20LTK\Alberto%20Mu&#241;oz%20Calvache\117.%20LIQUIDACION%20DE%20%20ALBERTO%20MU&#209;OZ%20CALVACHE.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ATENEA\Liquidacion_de_Sentencias\1LIQUIDACIONES\1Liquidaciones%20Oficina%20Asesora%20Juridica\LUIS%20ALFREDO%20LOPEZ\Liquidaci&#243;n%20Mandamiento%20de%20Pago.xlsx" TargetMode="External"/></Relationships>
</file>

<file path=xl/externalLinks/_rels/externalLink260.xml.rels><?xml version="1.0" encoding="UTF-8" standalone="yes"?>
<Relationships xmlns="http://schemas.openxmlformats.org/package/2006/relationships"><Relationship Id="rId1" Type="http://schemas.openxmlformats.org/officeDocument/2006/relationships/externalLinkPath" Target="file:///\\ATENEA\Liquidacion_de_Sentencias\1LIQUIDACIONES\3Liquidaciones%20LTK\Jose%20David%20Castillo\120.%20LIQUIDACION%20DE%20JOSE%20DAVID%20CASTILLO.xlsx" TargetMode="External"/></Relationships>
</file>

<file path=xl/externalLinks/_rels/externalLink261.xml.rels><?xml version="1.0" encoding="UTF-8" standalone="yes"?>
<Relationships xmlns="http://schemas.openxmlformats.org/package/2006/relationships"><Relationship Id="rId1" Type="http://schemas.openxmlformats.org/officeDocument/2006/relationships/externalLinkPath" Target="file:///\\ATENEA\Liquidacion_de_Sentencias\1LIQUIDACIONES\1Liquidaciones%20Oficina%20Asesora%20Juridica\RICARDO%20MORALES%20TAMAYO\Liquidaci&#243;n%20RICARDO%20MORALES%20TAMAYO.xlsx" TargetMode="External"/></Relationships>
</file>

<file path=xl/externalLinks/_rels/externalLink262.xml.rels><?xml version="1.0" encoding="UTF-8" standalone="yes"?>
<Relationships xmlns="http://schemas.openxmlformats.org/package/2006/relationships"><Relationship Id="rId1" Type="http://schemas.openxmlformats.org/officeDocument/2006/relationships/externalLinkPath" Target="file:///\\ATENEA\Liquidacion_de_Sentencias\1LIQUIDACIONES\3Liquidaciones%20LTK\Jose%20Ricardo%20Paez%20Pachon\118.%20LIQUIDACION%20DE%20JOSE%20RICARDO%20PAEZ%20PACHON.xlsx" TargetMode="External"/></Relationships>
</file>

<file path=xl/externalLinks/_rels/externalLink263.xml.rels><?xml version="1.0" encoding="UTF-8" standalone="yes"?>
<Relationships xmlns="http://schemas.openxmlformats.org/package/2006/relationships"><Relationship Id="rId1" Type="http://schemas.openxmlformats.org/officeDocument/2006/relationships/externalLinkPath" Target="file:///\\ATENEA\Liquidacion_de_Sentencias\1LIQUIDACIONES\3Liquidaciones%20LTK\Gonzalo%20Cubides%20Molano\122.%20LIQUIDACION%20DE%20GONZALO%20CUBIDES%20MOLANO%20-%20PR.xlsx" TargetMode="External"/></Relationships>
</file>

<file path=xl/externalLinks/_rels/externalLink264.xml.rels><?xml version="1.0" encoding="UTF-8" standalone="yes"?>
<Relationships xmlns="http://schemas.openxmlformats.org/package/2006/relationships"><Relationship Id="rId1" Type="http://schemas.openxmlformats.org/officeDocument/2006/relationships/externalLinkPath" Target="file:///\\ATENEA\Liquidacion_de_Sentencias\1LIQUIDACIONES\3Liquidaciones%20LTK\Diego%20Ismael%20Pinzon%20Beltran\119.%20LIQUIDACION%20DE%20DIEGO%20ISMAEL%20PINZON%20BELTRAN%20-%20PR.xlsx" TargetMode="External"/></Relationships>
</file>

<file path=xl/externalLinks/_rels/externalLink265.xml.rels><?xml version="1.0" encoding="UTF-8" standalone="yes"?>
<Relationships xmlns="http://schemas.openxmlformats.org/package/2006/relationships"><Relationship Id="rId1" Type="http://schemas.openxmlformats.org/officeDocument/2006/relationships/externalLinkPath" Target="file:///\\ATENEA\Liquidacion_de_Sentencias\1LIQUIDACIONES\3Liquidaciones%20LTK\Yojhan%20Nelson%20Morales%20Amaya\106.%20LIQUIDACION%20DE%20YOJHAN%20NELSON%20MORALES%20AMAYA.xlsx" TargetMode="External"/></Relationships>
</file>

<file path=xl/externalLinks/_rels/externalLink266.xml.rels><?xml version="1.0" encoding="UTF-8" standalone="yes"?>
<Relationships xmlns="http://schemas.openxmlformats.org/package/2006/relationships"><Relationship Id="rId1" Type="http://schemas.openxmlformats.org/officeDocument/2006/relationships/externalLinkPath" Target="file:///\\ATENEA\Liquidacion_de_Sentencias\1LIQUIDACIONES\3Liquidaciones%20LTK\Raul%20Andres%20Guchuvo%20Torres\121.%20LIQUIDACION%20DE%20RAUL%20ANDRES%20GUCHUVO%20TORRES.xls" TargetMode="External"/></Relationships>
</file>

<file path=xl/externalLinks/_rels/externalLink267.xml.rels><?xml version="1.0" encoding="UTF-8" standalone="yes"?>
<Relationships xmlns="http://schemas.openxmlformats.org/package/2006/relationships"><Relationship Id="rId1" Type="http://schemas.openxmlformats.org/officeDocument/2006/relationships/externalLinkPath" Target="file:///\\ATENEA\Liquidacion_de_Sentencias\1LIQUIDACIONES\3Liquidaciones%20LTK\Samuel%20Eduardo%20Hernandez%20Fernandez\190.%20LIQUIDACION%20SAMUEL%20EDUARDO%20HERNANDEZ%20HERNANDEZ.xlsx" TargetMode="External"/></Relationships>
</file>

<file path=xl/externalLinks/_rels/externalLink268.xml.rels><?xml version="1.0" encoding="UTF-8" standalone="yes"?>
<Relationships xmlns="http://schemas.openxmlformats.org/package/2006/relationships"><Relationship Id="rId1" Type="http://schemas.openxmlformats.org/officeDocument/2006/relationships/externalLinkPath" Target="file:///\\ATENEA\Liquidacion_de_Sentencias\1LIQUIDACIONES\3Liquidaciones%20LTK\Jose%20Rodrigo%20Espinosa%20Torres\2.%20LIQUIDACION%20DE%20JOSE%20RODRIGO%20ESPINOSA%20TORRES%20DEFINITIVO.xlsx" TargetMode="External"/></Relationships>
</file>

<file path=xl/externalLinks/_rels/externalLink269.xml.rels><?xml version="1.0" encoding="UTF-8" standalone="yes"?>
<Relationships xmlns="http://schemas.openxmlformats.org/package/2006/relationships"><Relationship Id="rId1" Type="http://schemas.openxmlformats.org/officeDocument/2006/relationships/externalLinkPath" Target="file:///\\ATENEA\Liquidacion_de_Sentencias\1LIQUIDACIONES\3Liquidaciones%20LTK\Martha%20Forero%20Corredor\123.%20LIQUIDACION%20DE%20MARTHA%20FORERO%20CORREDOR.xlsx"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TRINITY\Liquidacion_de_sentencias\1LIQUIDACIONES\2Liquidaciones%20Navarro%20Perez%20y%20Asociados\Jaime%20Enrique%20Moreno%20Tellez\119.%20JAIME%20ENRIQUE%20MORENO.xlsx" TargetMode="External"/></Relationships>
</file>

<file path=xl/externalLinks/_rels/externalLink270.xml.rels><?xml version="1.0" encoding="UTF-8" standalone="yes"?>
<Relationships xmlns="http://schemas.openxmlformats.org/package/2006/relationships"><Relationship Id="rId1" Type="http://schemas.openxmlformats.org/officeDocument/2006/relationships/externalLinkPath" Target="file:///\\ATENEA\Liquidacion_de_Sentencias\1LIQUIDACIONES\3Liquidaciones%20LTK\Misael%20Aguilera%20Parra\124.%20LIQUIDACION%20DE%20MISAEL%20AGUILERA%20PARRA.xlsx" TargetMode="External"/></Relationships>
</file>

<file path=xl/externalLinks/_rels/externalLink271.xml.rels><?xml version="1.0" encoding="UTF-8" standalone="yes"?>
<Relationships xmlns="http://schemas.openxmlformats.org/package/2006/relationships"><Relationship Id="rId1" Type="http://schemas.openxmlformats.org/officeDocument/2006/relationships/externalLinkPath" Target="file:///\\ATENEA\Liquidacion_de_Sentencias\1LIQUIDACIONES\3Liquidaciones%20LTK\Jhon%20Carlos%20Wilches%20Navarro\144.%20LIQUIDACION%20DE%20JHON%20CARLOS%20WILCHES%20NAVARROS.xlsx" TargetMode="External"/></Relationships>
</file>

<file path=xl/externalLinks/_rels/externalLink272.xml.rels><?xml version="1.0" encoding="UTF-8" standalone="yes"?>
<Relationships xmlns="http://schemas.openxmlformats.org/package/2006/relationships"><Relationship Id="rId1" Type="http://schemas.openxmlformats.org/officeDocument/2006/relationships/externalLinkPath" Target="file:///\\ATENEA\Liquidacion_de_Sentencias\1LIQUIDACIONES\3Liquidaciones%20LTK\Pedro%20Antonio%20Gil%20Martinez\103.%20LIQUIDACION%20%20DE%20PEDRO%20ANTONIO%20GIL%20MARTINEZ.xlsx" TargetMode="External"/></Relationships>
</file>

<file path=xl/externalLinks/_rels/externalLink273.xml.rels><?xml version="1.0" encoding="UTF-8" standalone="yes"?>
<Relationships xmlns="http://schemas.openxmlformats.org/package/2006/relationships"><Relationship Id="rId1" Type="http://schemas.openxmlformats.org/officeDocument/2006/relationships/externalLinkPath" Target="file:///\\ATENEA\Liquidacion_de_Sentencias\1LIQUIDACIONES\3Liquidaciones%20LTK\Alfonso%20Isaac%20Ecker%20Martinez\238.%20LIQUIDACION%20%20DE%20ALFONSO%20ISAAC%20ECKER%20MARTINEZ.xlsx" TargetMode="External"/></Relationships>
</file>

<file path=xl/externalLinks/_rels/externalLink274.xml.rels><?xml version="1.0" encoding="UTF-8" standalone="yes"?>
<Relationships xmlns="http://schemas.openxmlformats.org/package/2006/relationships"><Relationship Id="rId1" Type="http://schemas.openxmlformats.org/officeDocument/2006/relationships/externalLinkPath" Target="file:///\\ATENEA\Liquidacion_de_Sentencias\1LIQUIDACIONES\3Liquidaciones%20LTK\Carlos%20Jaime%20Posada%20Alvarez\128.%20LIQUIDACION%20%20DE%20CARLOS%20JAIME%20POSADA%20ALVAREZ.xlsx" TargetMode="External"/></Relationships>
</file>

<file path=xl/externalLinks/_rels/externalLink275.xml.rels><?xml version="1.0" encoding="UTF-8" standalone="yes"?>
<Relationships xmlns="http://schemas.openxmlformats.org/package/2006/relationships"><Relationship Id="rId1" Type="http://schemas.openxmlformats.org/officeDocument/2006/relationships/externalLinkPath" Target="file:///\\ATENEA\Liquidacion_de_Sentencias\1LIQUIDACIONES\3Liquidaciones%20LTK\Jorge%20Abdeli%20Cuartas%20Lopez\89.%20LIQUIDACION%20DE%20JORGE%20ABDELI%20CUARTAS%20LOPEZ.xlsx" TargetMode="External"/></Relationships>
</file>

<file path=xl/externalLinks/_rels/externalLink276.xml.rels><?xml version="1.0" encoding="UTF-8" standalone="yes"?>
<Relationships xmlns="http://schemas.openxmlformats.org/package/2006/relationships"><Relationship Id="rId1" Type="http://schemas.openxmlformats.org/officeDocument/2006/relationships/externalLinkPath" Target="file:///\\ATENEA\Liquidacion_de_Sentencias\1LIQUIDACIONES\3Liquidaciones%20LTK\Omar%20Enrique%20Gonzalez%20Ni&#241;o\127.%20LIQUIDACI&#211;N%20DE%20OMAR%20ENRIQUE%20GONZALEZ%20NI&#209;O.xls" TargetMode="External"/></Relationships>
</file>

<file path=xl/externalLinks/_rels/externalLink277.xml.rels><?xml version="1.0" encoding="UTF-8" standalone="yes"?>
<Relationships xmlns="http://schemas.openxmlformats.org/package/2006/relationships"><Relationship Id="rId1" Type="http://schemas.openxmlformats.org/officeDocument/2006/relationships/externalLinkPath" Target="file:///\\ATENEA\Liquidacion_de_Sentencias\1LIQUIDACIONES\3Liquidaciones%20LTK\Conrado%20de%20Jesus%20Espinosa%20Villada\125.%20LIQUIDACI&#211;N%20DE%20CONRADO%20DE%20JES&#218;S%20ESPINOSA%20VILLADA.xls" TargetMode="External"/></Relationships>
</file>

<file path=xl/externalLinks/_rels/externalLink278.xml.rels><?xml version="1.0" encoding="UTF-8" standalone="yes"?>
<Relationships xmlns="http://schemas.openxmlformats.org/package/2006/relationships"><Relationship Id="rId1" Type="http://schemas.openxmlformats.org/officeDocument/2006/relationships/externalLinkPath" Target="file:///\\ATENEA\Liquidacion_de_Sentencias\1LIQUIDACIONES\3Liquidaciones%20LTK\Andrea%20Avila%20Garzon\126.%20LIQUIDACI&#211;N%20DE%20ANDREA%20&#193;VILA%20GARZ&#211;N%20-%20PR.xls" TargetMode="External"/></Relationships>
</file>

<file path=xl/externalLinks/_rels/externalLink279.xml.rels><?xml version="1.0" encoding="UTF-8" standalone="yes"?>
<Relationships xmlns="http://schemas.openxmlformats.org/package/2006/relationships"><Relationship Id="rId1" Type="http://schemas.openxmlformats.org/officeDocument/2006/relationships/externalLinkPath" Target="file:///\\ATENEA\Liquidacion_de_Sentencias\1LIQUIDACIONES\3Liquidaciones%20LTK\Sneither%20Alexander%20Rativa%20Rivera\129.%20LIQUIDACION%20DE%20SNEITHER%20ALEXANDER%20RATIVA%20RIVERA.xlsx"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ATENEA\Liquidacion_de_Sentencias\1LIQUIDACIONES\2Liquidaciones%20Navarro%20Perez%20y%20Asociados\David%20Mayorga%20Osorio\Copia%20de%2015.%20LIQUIDACION%20DE%20DAVID%20MAYORGA%20OSORIO.xlsx" TargetMode="External"/></Relationships>
</file>

<file path=xl/externalLinks/_rels/externalLink280.xml.rels><?xml version="1.0" encoding="UTF-8" standalone="yes"?>
<Relationships xmlns="http://schemas.openxmlformats.org/package/2006/relationships"><Relationship Id="rId1" Type="http://schemas.openxmlformats.org/officeDocument/2006/relationships/externalLinkPath" Target="file:///\\ATENEA\Liquidacion_de_Sentencias\1LIQUIDACIONES\1Liquidaciones%20Oficina%20Asesora%20Juridica\JOHNNY%20JAVIER%20GUERRERO%20MONTILLA\Liquidaci&#243;n%20JOHNNY%20JAVIER%20GUERRERO%20MONTILLA.xlsx" TargetMode="External"/></Relationships>
</file>

<file path=xl/externalLinks/_rels/externalLink281.xml.rels><?xml version="1.0" encoding="UTF-8" standalone="yes"?>
<Relationships xmlns="http://schemas.openxmlformats.org/package/2006/relationships"><Relationship Id="rId1" Type="http://schemas.openxmlformats.org/officeDocument/2006/relationships/externalLinkPath" Target="file:///\\ATENEA\Liquidacion_de_Sentencias\1LIQUIDACIONES\1Liquidaciones%20Oficina%20Asesora%20Juridica\JUAN%20CARLOS%20RIVERA%20ACOSTA\Liquidaci&#243;n%20JUAN%20CARLOS%20RIVERA%20ACOSTA.xlsx" TargetMode="External"/></Relationships>
</file>

<file path=xl/externalLinks/_rels/externalLink282.xml.rels><?xml version="1.0" encoding="UTF-8" standalone="yes"?>
<Relationships xmlns="http://schemas.openxmlformats.org/package/2006/relationships"><Relationship Id="rId1" Type="http://schemas.openxmlformats.org/officeDocument/2006/relationships/externalLinkPath" Target="file:///\\ATENEA\Liquidacion_de_Sentencias\1LIQUIDACIONES\1Liquidaciones%20Oficina%20Asesora%20Juridica\LEONARDO%20ANDRES%20GARCIA%20ORTIZ\Liquidaci&#243;n%20LEONARDO%20ANDRES%20GARCIA%20ORTIZ.xlsx" TargetMode="External"/></Relationships>
</file>

<file path=xl/externalLinks/_rels/externalLink283.xml.rels><?xml version="1.0" encoding="UTF-8" standalone="yes"?>
<Relationships xmlns="http://schemas.openxmlformats.org/package/2006/relationships"><Relationship Id="rId1" Type="http://schemas.openxmlformats.org/officeDocument/2006/relationships/externalLinkPath" Target="file:///\\ATENEA\Liquidacion_de_Sentencias\1LIQUIDACIONES\1Liquidaciones%20Oficina%20Asesora%20Juridica\EDWIN%20FERNANDO%20GUETTE%20DOSMAN\Liquidaci&#243;n%20EDWIN%20FERNANDO%20GUETTE%20DOSMAN.xlsx" TargetMode="External"/></Relationships>
</file>

<file path=xl/externalLinks/_rels/externalLink284.xml.rels><?xml version="1.0" encoding="UTF-8" standalone="yes"?>
<Relationships xmlns="http://schemas.openxmlformats.org/package/2006/relationships"><Relationship Id="rId1" Type="http://schemas.openxmlformats.org/officeDocument/2006/relationships/externalLinkPath" Target="file:///\\ATENEA\Liquidacion_de_Sentencias\1LIQUIDACIONES\3Liquidaciones%20LTK\Armando%20de%20Jesus%20Ruiz%20Velez\207.%20LIQUIDACI&#211;N%20DE%20ARMANDO%20DE%20JES&#218;S%20RUIZ%20V&#201;LEZ.xlsx" TargetMode="External"/></Relationships>
</file>

<file path=xl/externalLinks/_rels/externalLink285.xml.rels><?xml version="1.0" encoding="UTF-8" standalone="yes"?>
<Relationships xmlns="http://schemas.openxmlformats.org/package/2006/relationships"><Relationship Id="rId1" Type="http://schemas.openxmlformats.org/officeDocument/2006/relationships/externalLinkPath" Target="file:///\\ATENEA\Liquidacion_de_Sentencias\1LIQUIDACIONES\1Liquidaciones%20Oficina%20Asesora%20Juridica\JUAN%20AMADEO%20RODRIGUEZ%20MURCIA\Liquidaci&#243;n%20JUAN%20AMADEO%20RODRIGUEZ%20MURCIA.xlsx" TargetMode="External"/></Relationships>
</file>

<file path=xl/externalLinks/_rels/externalLink286.xml.rels><?xml version="1.0" encoding="UTF-8" standalone="yes"?>
<Relationships xmlns="http://schemas.openxmlformats.org/package/2006/relationships"><Relationship Id="rId1" Type="http://schemas.openxmlformats.org/officeDocument/2006/relationships/externalLinkPath" Target="file:///\\ATENEA\Liquidacion_de_Sentencias\1LIQUIDACIONES\1Liquidaciones%20Oficina%20Asesora%20Juridica\DIEGO%20ANDRES%20RAIGOSA%20PALACIOS\Liquidacion%20DIEGO%20ANDRES%20RAIGOSA%20PALACIOSA.xlsx" TargetMode="External"/></Relationships>
</file>

<file path=xl/externalLinks/_rels/externalLink287.xml.rels><?xml version="1.0" encoding="UTF-8" standalone="yes"?>
<Relationships xmlns="http://schemas.openxmlformats.org/package/2006/relationships"><Relationship Id="rId1" Type="http://schemas.openxmlformats.org/officeDocument/2006/relationships/externalLinkPath" Target="file:///\\ATENEA\Liquidacion_de_Sentencias\1LIQUIDACIONES\1Liquidaciones%20Oficina%20Asesora%20Juridica\SERGIO%20TORRES%20LUNA\Liquidaci&#243;n%20SERGIO%20TORRES%20LUNA.xlsx" TargetMode="External"/></Relationships>
</file>

<file path=xl/externalLinks/_rels/externalLink288.xml.rels><?xml version="1.0" encoding="UTF-8" standalone="yes"?>
<Relationships xmlns="http://schemas.openxmlformats.org/package/2006/relationships"><Relationship Id="rId1" Type="http://schemas.openxmlformats.org/officeDocument/2006/relationships/externalLinkPath" Target="file:///\\ATENEA\Liquidacion_de_Sentencias\1LIQUIDACIONES\1Liquidaciones%20Oficina%20Asesora%20Juridica\ALFREDO%20MARTINEZ%20BELTRAN\Liquidaci&#243;n%20ALFREDO%20MARTINEZ%20BELTRAN.xlsx" TargetMode="External"/></Relationships>
</file>

<file path=xl/externalLinks/_rels/externalLink289.xml.rels><?xml version="1.0" encoding="UTF-8" standalone="yes"?>
<Relationships xmlns="http://schemas.openxmlformats.org/package/2006/relationships"><Relationship Id="rId1" Type="http://schemas.openxmlformats.org/officeDocument/2006/relationships/externalLinkPath" Target="file:///\\ATENEA\Liquidacion_de_Sentencias\1LIQUIDACIONES\1Liquidaciones%20Oficina%20Asesora%20Juridica\ANDRES%20CORREA%20RODRIGUEZ\Liquidaci&#243;n%20ANDRES%20CORREA%20RODRIGUEZ.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ATENEA\Liquidacion_de_Sentencias\1LIQUIDACIONES\2Liquidaciones%20Navarro%20Perez%20y%20Asociados\Juan%20Carlos%20Zapata%20Taborda\16.%20LIQUIDACION%20DE%20JUAN%20CARLOS%20ZAPATA%20TABORDA%20-%20SIN%20SALUD.xlsx" TargetMode="External"/></Relationships>
</file>

<file path=xl/externalLinks/_rels/externalLink290.xml.rels><?xml version="1.0" encoding="UTF-8" standalone="yes"?>
<Relationships xmlns="http://schemas.openxmlformats.org/package/2006/relationships"><Relationship Id="rId1" Type="http://schemas.openxmlformats.org/officeDocument/2006/relationships/externalLinkPath" Target="file:///\\ATENEA\Liquidacion_de_Sentencias\1LIQUIDACIONES\1Liquidaciones%20Oficina%20Asesora%20Juridica\NANCY%20ERNESTINA%20ARANA%20LOPEZ%20Y%20OTROS\LIQUIDACION%20NANCY%20ERNESTINA%20ARANA%20LOPEZ%20Y%20OTROS.xlsx" TargetMode="External"/></Relationships>
</file>

<file path=xl/externalLinks/_rels/externalLink291.xml.rels><?xml version="1.0" encoding="UTF-8" standalone="yes"?>
<Relationships xmlns="http://schemas.openxmlformats.org/package/2006/relationships"><Relationship Id="rId1" Type="http://schemas.openxmlformats.org/officeDocument/2006/relationships/externalLinkPath" Target="file:///\\ATENEA\Liquidacion_de_Sentencias\1LIQUIDACIONES\1Liquidaciones%20Oficina%20Asesora%20Juridica\LEONARDO%20OVIDIO%20MONTOYA%20HERNANDEZ\Liquidaci&#243;n%20LEONARDO%20OVIDIO%20MONTOYA%20HERNANDEZ.xlsx" TargetMode="External"/></Relationships>
</file>

<file path=xl/externalLinks/_rels/externalLink292.xml.rels><?xml version="1.0" encoding="UTF-8" standalone="yes"?>
<Relationships xmlns="http://schemas.openxmlformats.org/package/2006/relationships"><Relationship Id="rId1" Type="http://schemas.openxmlformats.org/officeDocument/2006/relationships/externalLinkPath" Target="file:///\\ATENEA\Liquidacion_de_Sentencias\1LIQUIDACIONES\1Liquidaciones%20Oficina%20Asesora%20Juridica\CARLOS%20YAMID%20VASQUEZ%20ARTEAGA\Liquidaci&#243;n%20CARLOS%20YAMID%20VASQUEZ%20ARTEAGA.xlsx" TargetMode="External"/></Relationships>
</file>

<file path=xl/externalLinks/_rels/externalLink293.xml.rels><?xml version="1.0" encoding="UTF-8" standalone="yes"?>
<Relationships xmlns="http://schemas.openxmlformats.org/package/2006/relationships"><Relationship Id="rId1" Type="http://schemas.openxmlformats.org/officeDocument/2006/relationships/externalLinkPath" Target="file:///\\ATENEA\Liquidacion_de_Sentencias\1LIQUIDACIONES\1Liquidaciones%20Oficina%20Asesora%20Juridica\ROSA%20BEATRIZ%20GONZALEZ%20MORENO\Liquidaci&#243;n%20ROSA%20BEATRIZ%20GONZALEZ%20MORENO.xlsx" TargetMode="External"/></Relationships>
</file>

<file path=xl/externalLinks/_rels/externalLink294.xml.rels><?xml version="1.0" encoding="UTF-8" standalone="yes"?>
<Relationships xmlns="http://schemas.openxmlformats.org/package/2006/relationships"><Relationship Id="rId1" Type="http://schemas.openxmlformats.org/officeDocument/2006/relationships/externalLinkPath" Target="file:///\\ATENEA\Liquidacion_de_Sentencias\1LIQUIDACIONES\1Liquidaciones%20Oficina%20Asesora%20Juridica\GUSTAVO%20CABEZAS%20QUI&#209;ONEZ\Liquidaci&#243;n%20GUSTAVO%20CABEZAS%20QUI&#209;ONEZ.xlsx" TargetMode="External"/></Relationships>
</file>

<file path=xl/externalLinks/_rels/externalLink295.xml.rels><?xml version="1.0" encoding="UTF-8" standalone="yes"?>
<Relationships xmlns="http://schemas.openxmlformats.org/package/2006/relationships"><Relationship Id="rId1" Type="http://schemas.openxmlformats.org/officeDocument/2006/relationships/externalLinkPath" Target="file:///\\ATENEA\Liquidacion_de_Sentencias\1LIQUIDACIONES\1Liquidaciones%20Oficina%20Asesora%20Juridica\LUIS%20ARMANDO%20GARNICA%20SALAMANCA\Liquidaci&#243;n%20LUIS%20ARMANDO%20GARNICA%20SALAMANCA.xlsx" TargetMode="External"/></Relationships>
</file>

<file path=xl/externalLinks/_rels/externalLink296.xml.rels><?xml version="1.0" encoding="UTF-8" standalone="yes"?>
<Relationships xmlns="http://schemas.openxmlformats.org/package/2006/relationships"><Relationship Id="rId1" Type="http://schemas.openxmlformats.org/officeDocument/2006/relationships/externalLinkPath" Target="file:///\\ATENEA\Liquidacion_de_Sentencias\1LIQUIDACIONES\1Liquidaciones%20Oficina%20Asesora%20Juridica\JAMINSON%20HUGO%20PAREDES%20MORA\Liquidaci&#243;n%20JAMINSON%20HUGO%20PAREDES%20MORA.xlsx" TargetMode="External"/></Relationships>
</file>

<file path=xl/externalLinks/_rels/externalLink297.xml.rels><?xml version="1.0" encoding="UTF-8" standalone="yes"?>
<Relationships xmlns="http://schemas.openxmlformats.org/package/2006/relationships"><Relationship Id="rId1" Type="http://schemas.openxmlformats.org/officeDocument/2006/relationships/externalLinkPath" Target="file:///\\ATENEA\Liquidacion_de_Sentencias\1LIQUIDACIONES\1Liquidaciones%20Oficina%20Asesora%20Juridica\JAIRO%20ARAQUE%20RUIZ\Liquidaci&#243;n%20JAIRO%20ARAQUE%20RUIZ.xlsx" TargetMode="External"/></Relationships>
</file>

<file path=xl/externalLinks/_rels/externalLink298.xml.rels><?xml version="1.0" encoding="UTF-8" standalone="yes"?>
<Relationships xmlns="http://schemas.openxmlformats.org/package/2006/relationships"><Relationship Id="rId1" Type="http://schemas.openxmlformats.org/officeDocument/2006/relationships/externalLinkPath" Target="file:///\\ATENEA\Liquidacion_de_Sentencias\1LIQUIDACIONES\1Liquidaciones%20Oficina%20Asesora%20Juridica\CARLOS%20GUILLERMO%20RESTREPO%20BUSTAMANTE\Liquidaci&#243;n%20CARLOS%20GUILLERMO%20RESTREPO%20BUSTAMANTE.xlsx" TargetMode="External"/></Relationships>
</file>

<file path=xl/externalLinks/_rels/externalLink299.xml.rels><?xml version="1.0" encoding="UTF-8" standalone="yes"?>
<Relationships xmlns="http://schemas.openxmlformats.org/package/2006/relationships"><Relationship Id="rId1" Type="http://schemas.openxmlformats.org/officeDocument/2006/relationships/externalLinkPath" Target="file:///\\ATENEA\Liquidacion_de_Sentencias\1LIQUIDACIONES\1Liquidaciones%20Oficina%20Asesora%20Juridica\EINER%20ACOSTA\Liquidacion%20EINER%20ACOSTA.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ATENEA\Liquidacion_de_Sentencias\1LIQUIDACIONES\1Liquidaciones%20Oficina%20Asesora%20Juridica\RAMON%20FERNANDO%20PALOMINO%20SANCHEZ\CCF%20RAMON%20FERNANDO%20PALOMINO%20SANCHEZ_ROSA.xlsx"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atenea\Liquidacion_de_Sentencias\1LIQUIDACIONES\2Liquidaciones%20Navarro%20Perez%20y%20Asociados\River%20Armando%20Ortiz%20Meneses\17.%20LIQUIDACION%20RIVER%20ARMANDO%20ORTIZ%20MENESES-CPACA-R.xlsx" TargetMode="External"/></Relationships>
</file>

<file path=xl/externalLinks/_rels/externalLink300.xml.rels><?xml version="1.0" encoding="UTF-8" standalone="yes"?>
<Relationships xmlns="http://schemas.openxmlformats.org/package/2006/relationships"><Relationship Id="rId1" Type="http://schemas.openxmlformats.org/officeDocument/2006/relationships/externalLinkPath" Target="file:///\\ATENEA\Liquidacion_de_Sentencias\1LIQUIDACIONES\1Liquidaciones%20Oficina%20Asesora%20Juridica\JHON%20FREDY%20CASTRILLON%20BETANCOURTH\Liquidaci&#243;n%20JHON%20FREDY%20CASTRILLON%20BETANCOURTH.xlsx" TargetMode="External"/></Relationships>
</file>

<file path=xl/externalLinks/_rels/externalLink301.xml.rels><?xml version="1.0" encoding="UTF-8" standalone="yes"?>
<Relationships xmlns="http://schemas.openxmlformats.org/package/2006/relationships"><Relationship Id="rId1" Type="http://schemas.openxmlformats.org/officeDocument/2006/relationships/externalLinkPath" Target="file:///\\ATENEA\Liquidacion_de_Sentencias\1LIQUIDACIONES\1Liquidaciones%20Oficina%20Asesora%20Juridica\GERMAN%20CAICEDO%20RICO\Liquidaci&#243;n%20GERMAN%20CAICEDO%20RICO.xlsx" TargetMode="External"/></Relationships>
</file>

<file path=xl/externalLinks/_rels/externalLink302.xml.rels><?xml version="1.0" encoding="UTF-8" standalone="yes"?>
<Relationships xmlns="http://schemas.openxmlformats.org/package/2006/relationships"><Relationship Id="rId1" Type="http://schemas.openxmlformats.org/officeDocument/2006/relationships/externalLinkPath" Target="file:///\\ATENEA\Liquidacion_de_Sentencias\1LIQUIDACIONES\1Liquidaciones%20Oficina%20Asesora%20Juridica\JACOB%20HERNANDEZ\Liquidaci&#243;n%20JACOB%20HERNANDEZ.xlsx" TargetMode="External"/></Relationships>
</file>

<file path=xl/externalLinks/_rels/externalLink303.xml.rels><?xml version="1.0" encoding="UTF-8" standalone="yes"?>
<Relationships xmlns="http://schemas.openxmlformats.org/package/2006/relationships"><Relationship Id="rId1" Type="http://schemas.openxmlformats.org/officeDocument/2006/relationships/externalLinkPath" Target="file:///\\ATENEA\Liquidacion_de_Sentencias\1LIQUIDACIONES\1Liquidaciones%20Oficina%20Asesora%20Juridica\YOLNER%20ESTINGUAR%20FERNANDEZ%20JIMENEZ\Liquidaci&#243;n%20YOLNER%20ESTINGUAR%20FERNANDEZ%20JIMENEZ.xlsx" TargetMode="External"/></Relationships>
</file>

<file path=xl/externalLinks/_rels/externalLink304.xml.rels><?xml version="1.0" encoding="UTF-8" standalone="yes"?>
<Relationships xmlns="http://schemas.openxmlformats.org/package/2006/relationships"><Relationship Id="rId1" Type="http://schemas.openxmlformats.org/officeDocument/2006/relationships/externalLinkPath" Target="file:///\\ATENEA\Liquidacion_de_Sentencias\1LIQUIDACIONES\1Liquidaciones%20Oficina%20Asesora%20Juridica\TERESITA%20DE%20JESUS%20HERNANDEZ%20Y%20OTROS\Liquidaci&#243;n%20TERESITA%20DE%20JESUS%20HERNANDEZ%20Y%20OTROS.xlsx" TargetMode="External"/></Relationships>
</file>

<file path=xl/externalLinks/_rels/externalLink305.xml.rels><?xml version="1.0" encoding="UTF-8" standalone="yes"?>
<Relationships xmlns="http://schemas.openxmlformats.org/package/2006/relationships"><Relationship Id="rId1" Type="http://schemas.openxmlformats.org/officeDocument/2006/relationships/externalLinkPath" Target="file:///\\ATENEA\Liquidacion_de_Sentencias\1LIQUIDACIONES\1Liquidaciones%20Oficina%20Asesora%20Juridica\ROBINSON%20MURCIA%20RODRIGUEZ\Liquidaci&#243;n%20ROBINSON%20MURCIA%20RODRIGUEZ.xlsx" TargetMode="External"/></Relationships>
</file>

<file path=xl/externalLinks/_rels/externalLink306.xml.rels><?xml version="1.0" encoding="UTF-8" standalone="yes"?>
<Relationships xmlns="http://schemas.openxmlformats.org/package/2006/relationships"><Relationship Id="rId1" Type="http://schemas.openxmlformats.org/officeDocument/2006/relationships/externalLinkPath" Target="file:///\\ATENEA\Liquidacion_de_Sentencias\1LIQUIDACIONES\1Liquidaciones%20Oficina%20Asesora%20Juridica\DIEGO%20ANDRES%20ACOSTA%20VELA\Liquidaci&#243;n%20DIEGO%20ANDRES%20ACOSTA%20VELA.xlsx" TargetMode="External"/></Relationships>
</file>

<file path=xl/externalLinks/_rels/externalLink307.xml.rels><?xml version="1.0" encoding="UTF-8" standalone="yes"?>
<Relationships xmlns="http://schemas.openxmlformats.org/package/2006/relationships"><Relationship Id="rId1" Type="http://schemas.openxmlformats.org/officeDocument/2006/relationships/externalLinkPath" Target="file:///\\ATENEA\Liquidacion_de_Sentencias\1LIQUIDACIONES\1Liquidaciones%20Oficina%20Asesora%20Juridica\MELQUICEDEC%20VELLOJIN%20ESPITIA\Liquidaci&#243;n%20MELQUICEDEC%20VELLOJIN%20ESPITIA.xlsx" TargetMode="External"/></Relationships>
</file>

<file path=xl/externalLinks/_rels/externalLink308.xml.rels><?xml version="1.0" encoding="UTF-8" standalone="yes"?>
<Relationships xmlns="http://schemas.openxmlformats.org/package/2006/relationships"><Relationship Id="rId1" Type="http://schemas.openxmlformats.org/officeDocument/2006/relationships/externalLinkPath" Target="file:///\\ATENEA\Liquidacion_de_Sentencias\1LIQUIDACIONES\1Liquidaciones%20Oficina%20Asesora%20Juridica\HECTOR%20RAUL%20CHAPETON%20RODRIGUEZ\Liquidaci&#243;n%20HECTOR%20RAUL%20CHAPETON%20RODRIGUEZ.xlsx" TargetMode="External"/></Relationships>
</file>

<file path=xl/externalLinks/_rels/externalLink309.xml.rels><?xml version="1.0" encoding="UTF-8" standalone="yes"?>
<Relationships xmlns="http://schemas.openxmlformats.org/package/2006/relationships"><Relationship Id="rId1" Type="http://schemas.openxmlformats.org/officeDocument/2006/relationships/externalLinkPath" Target="file:///\\ATENEA\Liquidacion_de_Sentencias\1LIQUIDACIONES\1Liquidaciones%20Oficina%20Asesora%20Juridica\CARLOS%20EDUARDO%20GUARNIZO%20VANEGAS\Liquidaci&#243;n%20CARLOS%20EDUARDO%20GUARNIZO%20VANEGAS.xlsx"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ATENEA\Liquidacion_de_Sentencias\1LIQUIDACIONES\2Liquidaciones%20Navarro%20Perez%20y%20Asociados\William%20Orlando%20Salazar%20Amariles\18.%20LIQUIDACION%20DE%20WILLIAM%20ORLANDO%20SALAZAR%20AMARILES.xlsx" TargetMode="External"/></Relationships>
</file>

<file path=xl/externalLinks/_rels/externalLink310.xml.rels><?xml version="1.0" encoding="UTF-8" standalone="yes"?>
<Relationships xmlns="http://schemas.openxmlformats.org/package/2006/relationships"><Relationship Id="rId1" Type="http://schemas.openxmlformats.org/officeDocument/2006/relationships/externalLinkPath" Target="file:///\\ATENEA\Liquidacion_de_Sentencias\1LIQUIDACIONES\1Liquidaciones%20Oficina%20Asesora%20Juridica\CARLOS%20ALBERTO%20GARCIA%20ULTENGO\Liquidaci&#243;n%20CARLOS%20ALBERTO%20GARCIA%20ULTENGO.xlsx" TargetMode="External"/></Relationships>
</file>

<file path=xl/externalLinks/_rels/externalLink311.xml.rels><?xml version="1.0" encoding="UTF-8" standalone="yes"?>
<Relationships xmlns="http://schemas.openxmlformats.org/package/2006/relationships"><Relationship Id="rId1" Type="http://schemas.openxmlformats.org/officeDocument/2006/relationships/externalLinkPath" Target="file:///\\ATENEA\Liquidacion_de_Sentencias\1LIQUIDACIONES\1Liquidaciones%20Oficina%20Asesora%20Juridica\JAVIER%20LEONARDO%20LEMOS%20BERNAL\Liquidaci&#243;n%20JAVIER%20LEONARDO%20LEMOS%20BERNAL.xlsx" TargetMode="External"/></Relationships>
</file>

<file path=xl/externalLinks/_rels/externalLink312.xml.rels><?xml version="1.0" encoding="UTF-8" standalone="yes"?>
<Relationships xmlns="http://schemas.openxmlformats.org/package/2006/relationships"><Relationship Id="rId1" Type="http://schemas.openxmlformats.org/officeDocument/2006/relationships/externalLinkPath" Target="file:///\\ATENEA\Liquidacion_de_Sentencias\1LIQUIDACIONES\1Liquidaciones%20Oficina%20Asesora%20Juridica\ROQUE%20ANTONIO%20AREVALO%20EBRATT\Liquidaci&#243;n%20ROQUE%20ANTONIO%20AREVALO%20EBRATT.xlsx" TargetMode="External"/></Relationships>
</file>

<file path=xl/externalLinks/_rels/externalLink313.xml.rels><?xml version="1.0" encoding="UTF-8" standalone="yes"?>
<Relationships xmlns="http://schemas.openxmlformats.org/package/2006/relationships"><Relationship Id="rId1" Type="http://schemas.openxmlformats.org/officeDocument/2006/relationships/externalLinkPath" Target="file:///\\ATENEA\Liquidacion_de_Sentencias\1LIQUIDACIONES\1Liquidaciones%20Oficina%20Asesora%20Juridica\UNION%20TEMPORAL%20PROTECCION%2033\Liquidacion%20UNION%20TEMPORAL%20PROTECCION%2033%20.xlsx" TargetMode="External"/></Relationships>
</file>

<file path=xl/externalLinks/_rels/externalLink314.xml.rels><?xml version="1.0" encoding="UTF-8" standalone="yes"?>
<Relationships xmlns="http://schemas.openxmlformats.org/package/2006/relationships"><Relationship Id="rId1" Type="http://schemas.openxmlformats.org/officeDocument/2006/relationships/externalLinkPath" Target="file:///\\ATENEA\Liquidacion_de_Sentencias\1LIQUIDACIONES\1Liquidaciones%20Oficina%20Asesora%20Juridica\FABIO%20VELASQUEZ%20ARDILA\Liquidaci&#243;n%20FABIO%20VELASQUEZ%20ARDILA.xlsx" TargetMode="External"/></Relationships>
</file>

<file path=xl/externalLinks/_rels/externalLink315.xml.rels><?xml version="1.0" encoding="UTF-8" standalone="yes"?>
<Relationships xmlns="http://schemas.openxmlformats.org/package/2006/relationships"><Relationship Id="rId1" Type="http://schemas.openxmlformats.org/officeDocument/2006/relationships/externalLinkPath" Target="file:///\\ATENEA\Liquidacion_de_Sentencias\1LIQUIDACIONES\1Liquidaciones%20Oficina%20Asesora%20Juridica\ALIRIO%20LIZARAZO%20SALAZAR\LIQUIDACION%20ALIRIO%20LIZARAZO%20SALAZAR.xlsx" TargetMode="External"/></Relationships>
</file>

<file path=xl/externalLinks/_rels/externalLink316.xml.rels><?xml version="1.0" encoding="UTF-8" standalone="yes"?>
<Relationships xmlns="http://schemas.openxmlformats.org/package/2006/relationships"><Relationship Id="rId1" Type="http://schemas.openxmlformats.org/officeDocument/2006/relationships/externalLinkPath" Target="file:///\\ATENEA\Liquidacion_de_Sentencias\1LIQUIDACIONES\1Liquidaciones%20Oficina%20Asesora%20Juridica\ANTONIO%20DE%20JESUS%20OCHOA%20GUEVARA\LIQUIDACION%20ANTONIO%20DE%20JESUS%20OCHOA%20GUEVARA.xlsx" TargetMode="External"/></Relationships>
</file>

<file path=xl/externalLinks/_rels/externalLink317.xml.rels><?xml version="1.0" encoding="UTF-8" standalone="yes"?>
<Relationships xmlns="http://schemas.openxmlformats.org/package/2006/relationships"><Relationship Id="rId1" Type="http://schemas.openxmlformats.org/officeDocument/2006/relationships/externalLinkPath" Target="file:///\\ATENEA\Liquidacion_de_Sentencias\1LIQUIDACIONES\1Liquidaciones%20Oficina%20Asesora%20Juridica\MARIA%20NAYIBE%20HERRERA%20MONTA&#209;EZ\Liquidaci&#243;n%20MARIA%20NAYIBE%20HERRERA%20MONTA&#209;EZ.xlsx" TargetMode="External"/></Relationships>
</file>

<file path=xl/externalLinks/_rels/externalLink318.xml.rels><?xml version="1.0" encoding="UTF-8" standalone="yes"?>
<Relationships xmlns="http://schemas.openxmlformats.org/package/2006/relationships"><Relationship Id="rId1" Type="http://schemas.openxmlformats.org/officeDocument/2006/relationships/externalLinkPath" Target="file:///\\ATENEA\Liquidacion_de_Sentencias\1LIQUIDACIONES\1Liquidaciones%20Oficina%20Asesora%20Juridica\GILBERT%20ALEJANDRO%20RAMIREZ%20BARRETO\Liq%20GILBERT%20ALEJANDRO%20RAMIREZ%20BARRETO.xlsx" TargetMode="External"/></Relationships>
</file>

<file path=xl/externalLinks/_rels/externalLink319.xml.rels><?xml version="1.0" encoding="UTF-8" standalone="yes"?>
<Relationships xmlns="http://schemas.openxmlformats.org/package/2006/relationships"><Relationship Id="rId1" Type="http://schemas.openxmlformats.org/officeDocument/2006/relationships/externalLinkPath" Target="file:///\\ATENEA\Liquidacion_de_Sentencias\1LIQUIDACIONES\1Liquidaciones%20Oficina%20Asesora%20Juridica\WILSON%20JOSE%20LINARES%20RODRIGUEZ\Liquidaci&#243;n%20%20WILSON%20JOSE%20LINARES%20RODRIGUEZ.xlsx"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ATENEA\Liquidacion_de_Sentencias\1LIQUIDACIONES\2Liquidaciones%20Navarro%20Perez%20y%20Asociados\Paulo%20Hernan%20Cabrera%20Mosquera\20.%20LIQUIDACION%20PAULO%20HERNAN%20CABRERO%20MOSQUERA.xlsx" TargetMode="External"/></Relationships>
</file>

<file path=xl/externalLinks/_rels/externalLink320.xml.rels><?xml version="1.0" encoding="UTF-8" standalone="yes"?>
<Relationships xmlns="http://schemas.openxmlformats.org/package/2006/relationships"><Relationship Id="rId1" Type="http://schemas.openxmlformats.org/officeDocument/2006/relationships/externalLinkPath" Target="file:///\\ATENEA\Liquidacion_de_Sentencias\1LIQUIDACIONES\1Liquidaciones%20Oficina%20Asesora%20Juridica\FRANCISCO%20JAVIER%20DIAZ%20VERDEZA\Liq%20FRANCISCO%20JAVIER%20DIAZ%20VERDEZA.xlsx" TargetMode="External"/></Relationships>
</file>

<file path=xl/externalLinks/_rels/externalLink321.xml.rels><?xml version="1.0" encoding="UTF-8" standalone="yes"?>
<Relationships xmlns="http://schemas.openxmlformats.org/package/2006/relationships"><Relationship Id="rId1" Type="http://schemas.openxmlformats.org/officeDocument/2006/relationships/externalLinkPath" Target="file:///\\ATENEA\Liquidacion_de_Sentencias\1LIQUIDACIONES\1Liquidaciones%20Oficina%20Asesora%20Juridica\DAVID%20CORONADO%20MARTINEZ\Liquidaci&#243;n%20DAVID%20CORONADO%20MARTINEZ.xlsx" TargetMode="External"/></Relationships>
</file>

<file path=xl/externalLinks/_rels/externalLink322.xml.rels><?xml version="1.0" encoding="UTF-8" standalone="yes"?>
<Relationships xmlns="http://schemas.openxmlformats.org/package/2006/relationships"><Relationship Id="rId1" Type="http://schemas.openxmlformats.org/officeDocument/2006/relationships/externalLinkPath" Target="file:///\\ATENEA\Liquidacion_de_Sentencias\1LIQUIDACIONES\3Liquidaciones%20LTK\Diego%20Jair%20Vargas%20Vega\192.%20LIQUIDACION%20DE%20DIEGO%20JAIR%20VARGAS%20%20VEGA.xlsx" TargetMode="External"/></Relationships>
</file>

<file path=xl/externalLinks/_rels/externalLink323.xml.rels><?xml version="1.0" encoding="UTF-8" standalone="yes"?>
<Relationships xmlns="http://schemas.openxmlformats.org/package/2006/relationships"><Relationship Id="rId1" Type="http://schemas.openxmlformats.org/officeDocument/2006/relationships/externalLinkPath" Target="file:///\\ATENEA\Liquidacion_de_Sentencias\1LIQUIDACIONES\3Liquidaciones%20LTK\Martin%20Albeiro%20Quiceno%20Acevedo\172.%20LIQUIDACION%20DE%20MARTIN%20ALBEIRO%20QUICENO%20ACEVEDO%20-%20PR.xlsx" TargetMode="External"/></Relationships>
</file>

<file path=xl/externalLinks/_rels/externalLink324.xml.rels><?xml version="1.0" encoding="UTF-8" standalone="yes"?>
<Relationships xmlns="http://schemas.openxmlformats.org/package/2006/relationships"><Relationship Id="rId1" Type="http://schemas.openxmlformats.org/officeDocument/2006/relationships/externalLinkPath" Target="file:///\\ATENEA\Liquidacion_de_Sentencias\1LIQUIDACIONES\3Liquidaciones%20LTK\Cesar%20Salamanca%20Almeida\210.%20LIQUIDACION%20DE%20CESAR%20SALAMANCA%20ALMEIDA%20%20-%20A%20M%20B.xlsx" TargetMode="External"/></Relationships>
</file>

<file path=xl/externalLinks/_rels/externalLink325.xml.rels><?xml version="1.0" encoding="UTF-8" standalone="yes"?>
<Relationships xmlns="http://schemas.openxmlformats.org/package/2006/relationships"><Relationship Id="rId1" Type="http://schemas.openxmlformats.org/officeDocument/2006/relationships/externalLinkPath" Target="file:///\\ATENEA\Liquidacion_de_Sentencias\1LIQUIDACIONES\3Liquidaciones%20LTK\German%20Enrique%20Ca&#241;averal%20Velez\216.%20LIQUIDACION%20DE%20GERMAN%20ENRIQUE%20CA&#209;AVERAL%20VELEZ.xlsx" TargetMode="External"/></Relationships>
</file>

<file path=xl/externalLinks/_rels/externalLink326.xml.rels><?xml version="1.0" encoding="UTF-8" standalone="yes"?>
<Relationships xmlns="http://schemas.openxmlformats.org/package/2006/relationships"><Relationship Id="rId1" Type="http://schemas.openxmlformats.org/officeDocument/2006/relationships/externalLinkPath" Target="file:///\\ATENEA\Liquidacion_de_Sentencias\1LIQUIDACIONES\1Liquidaciones%20Oficina%20Asesora%20Juridica\DUVAN%20HERNANDO%20PALACIOS%20GUZMAN\Liquidaci&#243;n%20DUVAN%20HERNANDO%20PALACIOS%20GUZMAN.xlsx" TargetMode="External"/></Relationships>
</file>

<file path=xl/externalLinks/_rels/externalLink327.xml.rels><?xml version="1.0" encoding="UTF-8" standalone="yes"?>
<Relationships xmlns="http://schemas.openxmlformats.org/package/2006/relationships"><Relationship Id="rId1" Type="http://schemas.openxmlformats.org/officeDocument/2006/relationships/externalLinkPath" Target="file:///\\ATENEA\Liquidacion_de_Sentencias\1LIQUIDACIONES\1Liquidaciones%20Oficina%20Asesora%20Juridica\EQUIRENT\Liquidaci&#243;n%20EQUIRENT.xlsx" TargetMode="External"/></Relationships>
</file>

<file path=xl/externalLinks/_rels/externalLink328.xml.rels><?xml version="1.0" encoding="UTF-8" standalone="yes"?>
<Relationships xmlns="http://schemas.openxmlformats.org/package/2006/relationships"><Relationship Id="rId1" Type="http://schemas.openxmlformats.org/officeDocument/2006/relationships/externalLinkPath" Target="file:///\\ATENEA\Liquidacion_de_Sentencias\1LIQUIDACIONES\1Liquidaciones%20Oficina%20Asesora%20Juridica\JOSE%20LUIS%20MORENO%20RAMON\Liquidaci&#243;n%20JOSE%20LUIS%20MORENO%20RAMON.xlsx" TargetMode="External"/></Relationships>
</file>

<file path=xl/externalLinks/_rels/externalLink329.xml.rels><?xml version="1.0" encoding="UTF-8" standalone="yes"?>
<Relationships xmlns="http://schemas.openxmlformats.org/package/2006/relationships"><Relationship Id="rId1" Type="http://schemas.openxmlformats.org/officeDocument/2006/relationships/externalLinkPath" Target="file:///\\ATENEA\Liquidacion_de_Sentencias\1LIQUIDACIONES\1Liquidaciones%20Oficina%20Asesora%20Juridica\JUAN%20CARLOS%20JIMENEZ%20TRUJILLO\Liquidaci&#243;n%20JUAN%20CARLOS%20JIMENEZ%20TRUJILLO.xlsx"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ATENEA\Liquidacion_de_Sentencias\1LIQUIDACIONES\2Liquidaciones%20Navarro%20Perez%20y%20Asociados\Juan%20Carlos%20Cetina%20Rodriguez\22.%20LIQUIDACION%20JUAN%20CARLOS%20CETINA%20RODRIGUEZ.xlsx" TargetMode="External"/></Relationships>
</file>

<file path=xl/externalLinks/_rels/externalLink330.xml.rels><?xml version="1.0" encoding="UTF-8" standalone="yes"?>
<Relationships xmlns="http://schemas.openxmlformats.org/package/2006/relationships"><Relationship Id="rId1" Type="http://schemas.openxmlformats.org/officeDocument/2006/relationships/externalLinkPath" Target="file:///\\ATENEA\Liquidacion_de_Sentencias\1LIQUIDACIONES\3Liquidaciones%20LTK\Rober%20Eduardo%20Torres%20Navarro\226.%20LIQUIDACION%20DE%20ROBER%20EDUARDO%20TORRES%20Y%20OTROS.xlsx" TargetMode="External"/></Relationships>
</file>

<file path=xl/externalLinks/_rels/externalLink331.xml.rels><?xml version="1.0" encoding="UTF-8" standalone="yes"?>
<Relationships xmlns="http://schemas.openxmlformats.org/package/2006/relationships"><Relationship Id="rId1" Type="http://schemas.openxmlformats.org/officeDocument/2006/relationships/externalLinkPath" Target="file:///\\ATENEA\Liquidacion_de_Sentencias\1LIQUIDACIONES\1Liquidaciones%20Oficina%20Asesora%20Juridica\OSCAR%20ALFREDO%20BOHORQUEZ%20CENTENO\Liquidaci&#243;n%20OSCAR%20ALFREDO%20BOHORQUEZ%20CENTENO%20Y%20OTRO.xlsx" TargetMode="External"/></Relationships>
</file>

<file path=xl/externalLinks/_rels/externalLink332.xml.rels><?xml version="1.0" encoding="UTF-8" standalone="yes"?>
<Relationships xmlns="http://schemas.openxmlformats.org/package/2006/relationships"><Relationship Id="rId1" Type="http://schemas.openxmlformats.org/officeDocument/2006/relationships/externalLinkPath" Target="file:///\\ATENEA\Liquidacion_de_Sentencias\1LIQUIDACIONES\3Liquidaciones%20LTK\Jose%20Antonio%20Andrade%20Buendia\221.%20LIQUIDACION%20DE%20JOSE%20ANTONIO%20ANDRADE%20BUENDIA.xlsx" TargetMode="External"/></Relationships>
</file>

<file path=xl/externalLinks/_rels/externalLink333.xml.rels><?xml version="1.0" encoding="UTF-8" standalone="yes"?>
<Relationships xmlns="http://schemas.openxmlformats.org/package/2006/relationships"><Relationship Id="rId1" Type="http://schemas.openxmlformats.org/officeDocument/2006/relationships/externalLinkPath" Target="file:///\\ATENEA\Liquidacion_de_Sentencias\1LIQUIDACIONES\3Liquidaciones%20LTK\Edgar%20Antonio%20Agudelo%20Zuluaga\214.%20LIQUIDACION%20DE%20EDGAR%20ANTONIO%20AGUDELO%20ZULUAGA%20-%20PR%20-%20LC.xls" TargetMode="External"/></Relationships>
</file>

<file path=xl/externalLinks/_rels/externalLink334.xml.rels><?xml version="1.0" encoding="UTF-8" standalone="yes"?>
<Relationships xmlns="http://schemas.openxmlformats.org/package/2006/relationships"><Relationship Id="rId1" Type="http://schemas.openxmlformats.org/officeDocument/2006/relationships/externalLinkPath" Target="file:///\\ATENEA\Liquidacion_de_Sentencias\1LIQUIDACIONES\1Liquidaciones%20Oficina%20Asesora%20Juridica\JHON%20NILSON%20BLANCO%20JULIO\Liquidaci&#243;n%20JHON%20NILSON%20BLANCO%20JULIO.xlsx" TargetMode="External"/></Relationships>
</file>

<file path=xl/externalLinks/_rels/externalLink335.xml.rels><?xml version="1.0" encoding="UTF-8" standalone="yes"?>
<Relationships xmlns="http://schemas.openxmlformats.org/package/2006/relationships"><Relationship Id="rId1" Type="http://schemas.openxmlformats.org/officeDocument/2006/relationships/externalLinkPath" Target="file:///\\ATENEA\Liquidacion_de_Sentencias\1LIQUIDACIONES\1Liquidaciones%20Oficina%20Asesora%20Juridica\JULIAN%20ANDRES%20VILLEGAS%20ECHEVERRY\Liquidaci&#243;n%20JULIAN%20ANDRES%20VILLEGAS%20ECHEVERRY.xlsx" TargetMode="External"/></Relationships>
</file>

<file path=xl/externalLinks/_rels/externalLink336.xml.rels><?xml version="1.0" encoding="UTF-8" standalone="yes"?>
<Relationships xmlns="http://schemas.openxmlformats.org/package/2006/relationships"><Relationship Id="rId1" Type="http://schemas.openxmlformats.org/officeDocument/2006/relationships/externalLinkPath" Target="file:///\\ATENEA\Liquidacion_de_Sentencias\1LIQUIDACIONES\1Liquidaciones%20Oficina%20Asesora%20Juridica\JESUS%20MARIA%20SILVA%20GAITAN%20Y%20OTRAS\Liquidaci&#243;n%20JESUS%20MARIA%20SILVA%20GAITAN%20Y%20OTROS.xlsx" TargetMode="External"/></Relationships>
</file>

<file path=xl/externalLinks/_rels/externalLink337.xml.rels><?xml version="1.0" encoding="UTF-8" standalone="yes"?>
<Relationships xmlns="http://schemas.openxmlformats.org/package/2006/relationships"><Relationship Id="rId1" Type="http://schemas.openxmlformats.org/officeDocument/2006/relationships/externalLinkPath" Target="file:///\\ATENEA\Liquidacion_de_Sentencias\1LIQUIDACIONES\1Liquidaciones%20Oficina%20Asesora%20Juridica\EDGAR%20ANDRES%20RAMIREZ%20ANDRADE\Liquidaci&#243;n%20EDGAR%20ANDRES%20RAMIREZ%20ANDRADE.xlsx" TargetMode="External"/></Relationships>
</file>

<file path=xl/externalLinks/_rels/externalLink338.xml.rels><?xml version="1.0" encoding="UTF-8" standalone="yes"?>
<Relationships xmlns="http://schemas.openxmlformats.org/package/2006/relationships"><Relationship Id="rId1" Type="http://schemas.openxmlformats.org/officeDocument/2006/relationships/externalLinkPath" Target="file:///\\ATENEA\Liquidacion_de_Sentencias\1LIQUIDACIONES\1Liquidaciones%20Oficina%20Asesora%20Juridica\MILTON%20CESAR%20RAMIREZ%20CUERO\Liquidaci&#243;n%20MILTON%20CESAR%20RAMIREZ%20CUERO.xlsx" TargetMode="External"/></Relationships>
</file>

<file path=xl/externalLinks/_rels/externalLink339.xml.rels><?xml version="1.0" encoding="UTF-8" standalone="yes"?>
<Relationships xmlns="http://schemas.openxmlformats.org/package/2006/relationships"><Relationship Id="rId1" Type="http://schemas.openxmlformats.org/officeDocument/2006/relationships/externalLinkPath" Target="file:///\\ATENEA\Liquidacion_de_Sentencias\1LIQUIDACIONES\1Liquidaciones%20Oficina%20Asesora%20Juridica\RAUL%20ANTONIO%20ARTEAGA%20OTERO\Liquidaci&#243;n%20RAUL%20ANTONIO%20ARTEAGA%20OTERO.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ATENEA\Liquidacion_de_Sentencias\1LIQUIDACIONES\2Liquidaciones%20Navarro%20Perez%20y%20Asociados\Elkin%20Hernandez%20Abreo\28.%20LIQUIDACION%20ELKIN%20HERNANDEZ%20ABREO.xlsx" TargetMode="External"/></Relationships>
</file>

<file path=xl/externalLinks/_rels/externalLink340.xml.rels><?xml version="1.0" encoding="UTF-8" standalone="yes"?>
<Relationships xmlns="http://schemas.openxmlformats.org/package/2006/relationships"><Relationship Id="rId1" Type="http://schemas.openxmlformats.org/officeDocument/2006/relationships/externalLinkPath" Target="file:///\\ATENEA\Liquidacion_de_Sentencias\1LIQUIDACIONES\1Liquidaciones%20Oficina%20Asesora%20Juridica\GABRIEL%20RODRIGO%20PEREZ%20SUAREZ\Liquidaci&#243;n%20GABRIEL%20RODRIGO%20PEREZ%20SUAREZ.xlsx" TargetMode="External"/></Relationships>
</file>

<file path=xl/externalLinks/_rels/externalLink341.xml.rels><?xml version="1.0" encoding="UTF-8" standalone="yes"?>
<Relationships xmlns="http://schemas.openxmlformats.org/package/2006/relationships"><Relationship Id="rId1" Type="http://schemas.openxmlformats.org/officeDocument/2006/relationships/externalLinkPath" Target="file:///\\ATENEA\Liquidacion_de_Sentencias\1LIQUIDACIONES\1Liquidaciones%20Oficina%20Asesora%20Juridica\HERNAN%20DARIO%20PEREZ%20PEDRAZA\27.%20LIQUIDACION%20DE%20HERNAN%20DARIO%20PEREZ%20PEDRAZA%20-%20H.xlsx" TargetMode="External"/></Relationships>
</file>

<file path=xl/externalLinks/_rels/externalLink342.xml.rels><?xml version="1.0" encoding="UTF-8" standalone="yes"?>
<Relationships xmlns="http://schemas.openxmlformats.org/package/2006/relationships"><Relationship Id="rId1" Type="http://schemas.openxmlformats.org/officeDocument/2006/relationships/externalLinkPath" Target="file:///\\ATENEA\Liquidacion_de_Sentencias\1LIQUIDACIONES\1Liquidaciones%20Oficina%20Asesora%20Juridica\LUIS%20ANTONIO%20FLOREZ%20MEJIA\LIQUIDACION%20LUIS%20ANTONIO%20FLOREZ%20MEJIA.xlsx" TargetMode="External"/></Relationships>
</file>

<file path=xl/externalLinks/_rels/externalLink343.xml.rels><?xml version="1.0" encoding="UTF-8" standalone="yes"?>
<Relationships xmlns="http://schemas.openxmlformats.org/package/2006/relationships"><Relationship Id="rId1" Type="http://schemas.openxmlformats.org/officeDocument/2006/relationships/externalLinkPath" Target="file:///\\ATENEA\Liquidacion_de_Sentencias\1LIQUIDACIONES\1Liquidaciones%20Oficina%20Asesora%20Juridica\CESAR%20EUGENIO%20GARCIA%20CASTRO\Liquidaci&#243;n%20CESAR%20EUGENIO%20GARCIA%20CASTRO.xlsx" TargetMode="External"/></Relationships>
</file>

<file path=xl/externalLinks/_rels/externalLink344.xml.rels><?xml version="1.0" encoding="UTF-8" standalone="yes"?>
<Relationships xmlns="http://schemas.openxmlformats.org/package/2006/relationships"><Relationship Id="rId1" Type="http://schemas.openxmlformats.org/officeDocument/2006/relationships/externalLinkPath" Target="file:///\\ATENEA\Liquidacion_de_Sentencias\1LIQUIDACIONES\1Liquidaciones%20Oficina%20Asesora%20Juridica\YAIR%20JOSE%20GRANADOS%20PEREZ\Liquidaci&#243;n%20YAIR%20JOSE%20GRANADOS%20PEREZ.xlsx" TargetMode="External"/></Relationships>
</file>

<file path=xl/externalLinks/_rels/externalLink345.xml.rels><?xml version="1.0" encoding="UTF-8" standalone="yes"?>
<Relationships xmlns="http://schemas.openxmlformats.org/package/2006/relationships"><Relationship Id="rId1" Type="http://schemas.openxmlformats.org/officeDocument/2006/relationships/externalLinkPath" Target="file:///\\ATENEA\Liquidacion_de_Sentencias\1LIQUIDACIONES\1Liquidaciones%20Oficina%20Asesora%20Juridica\OMAR%20WILLIAM%20TRIVI&#209;O%20ABRIL\Liquidaci&#243;n%20OMAR%20WILLIAM%20TRIVI&#209;O%20ABRIL.xlsx" TargetMode="External"/></Relationships>
</file>

<file path=xl/externalLinks/_rels/externalLink346.xml.rels><?xml version="1.0" encoding="UTF-8" standalone="yes"?>
<Relationships xmlns="http://schemas.openxmlformats.org/package/2006/relationships"><Relationship Id="rId1" Type="http://schemas.openxmlformats.org/officeDocument/2006/relationships/externalLinkPath" Target="file:///\\ATENEA\Liquidacion_de_Sentencias\1LIQUIDACIONES\1Liquidaciones%20Oficina%20Asesora%20Juridica\JORGE%20CAMILO%20BLANCHAR%20MARTINEZ\36.%20LIQUIDACION%20%20DE%20JORGE%20CAMILO%20BLANCHAR%20MARTINEZ.xlsx" TargetMode="External"/></Relationships>
</file>

<file path=xl/externalLinks/_rels/externalLink347.xml.rels><?xml version="1.0" encoding="UTF-8" standalone="yes"?>
<Relationships xmlns="http://schemas.openxmlformats.org/package/2006/relationships"><Relationship Id="rId1" Type="http://schemas.openxmlformats.org/officeDocument/2006/relationships/externalLinkPath" Target="file:///\\ATENEA\Liquidacion_de_Sentencias\1LIQUIDACIONES\1Liquidaciones%20Oficina%20Asesora%20Juridica\EDISSON%20OSWALDO%20GIL%20MURCIA\Liquidaci&#243;n%20EDISSON%20OSWALDO%20GIL%20MURCIA.xlsx" TargetMode="External"/></Relationships>
</file>

<file path=xl/externalLinks/_rels/externalLink348.xml.rels><?xml version="1.0" encoding="UTF-8" standalone="yes"?>
<Relationships xmlns="http://schemas.openxmlformats.org/package/2006/relationships"><Relationship Id="rId1" Type="http://schemas.openxmlformats.org/officeDocument/2006/relationships/externalLinkPath" Target="file:///\\ATENEA\Liquidacion_de_Sentencias\1LIQUIDACIONES\1Liquidaciones%20Oficina%20Asesora%20Juridica\EDINSON%20LOZANO%20MARIN\Liquidaci&#243;n%20EDINSON%20LOZANO%20MARIN.xlsx" TargetMode="External"/></Relationships>
</file>

<file path=xl/externalLinks/_rels/externalLink349.xml.rels><?xml version="1.0" encoding="UTF-8" standalone="yes"?>
<Relationships xmlns="http://schemas.openxmlformats.org/package/2006/relationships"><Relationship Id="rId1" Type="http://schemas.openxmlformats.org/officeDocument/2006/relationships/externalLinkPath" Target="file:///\\ATENEA\Liquidacion_de_Sentencias\1LIQUIDACIONES\1Liquidaciones%20Oficina%20Asesora%20Juridica\RODRIGO%20VERA%20BAUTISTA\Liquidaci&#243;n%20RODRIGO%20VERA%20BAUTISTA.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atenea\Liquidacion_de_Sentencias\1LIQUIDACIONES\3Liquidaciones%20LTK\Alberto%20Alegria\10.%20LIQUIDACION%20DE%20ALBERTO%20ALEGRIA.xlsx" TargetMode="External"/></Relationships>
</file>

<file path=xl/externalLinks/_rels/externalLink350.xml.rels><?xml version="1.0" encoding="UTF-8" standalone="yes"?>
<Relationships xmlns="http://schemas.openxmlformats.org/package/2006/relationships"><Relationship Id="rId1" Type="http://schemas.openxmlformats.org/officeDocument/2006/relationships/externalLinkPath" Target="file:///\\ATENEA\Liquidacion_de_Sentencias\1LIQUIDACIONES\1Liquidaciones%20Oficina%20Asesora%20Juridica\NELSON%20RAUL%20RODRIGUEZ%20HERNANDEZ\Liquidaci&#243;n%20NELSON%20RAUL%20RODRIGUEZ%20HERNANDEZ.xlsx" TargetMode="External"/></Relationships>
</file>

<file path=xl/externalLinks/_rels/externalLink351.xml.rels><?xml version="1.0" encoding="UTF-8" standalone="yes"?>
<Relationships xmlns="http://schemas.openxmlformats.org/package/2006/relationships"><Relationship Id="rId1" Type="http://schemas.openxmlformats.org/officeDocument/2006/relationships/externalLinkPath" Target="file:///\\ATENEA\Liquidacion_de_Sentencias\1LIQUIDACIONES\1Liquidaciones%20Oficina%20Asesora%20Juridica\JHON%20ALEXANDER%20MONSALVE%20GOMEZ\Liquidaci&#243;n%20JHON%20ALEXANDER%20MONSALVE%20GOMEZ.xlsx" TargetMode="External"/></Relationships>
</file>

<file path=xl/externalLinks/_rels/externalLink352.xml.rels><?xml version="1.0" encoding="UTF-8" standalone="yes"?>
<Relationships xmlns="http://schemas.openxmlformats.org/package/2006/relationships"><Relationship Id="rId1" Type="http://schemas.openxmlformats.org/officeDocument/2006/relationships/externalLinkPath" Target="file:///\\ATENEA\Liquidacion_de_Sentencias\1LIQUIDACIONES\1Liquidaciones%20Oficina%20Asesora%20Juridica\HENRY%20HERNANDEZ%20ABREO\Liquidacion%20HENRY%20HERNANDEZ%20ABREO.xlsx" TargetMode="External"/></Relationships>
</file>

<file path=xl/externalLinks/_rels/externalLink353.xml.rels><?xml version="1.0" encoding="UTF-8" standalone="yes"?>
<Relationships xmlns="http://schemas.openxmlformats.org/package/2006/relationships"><Relationship Id="rId1" Type="http://schemas.openxmlformats.org/officeDocument/2006/relationships/externalLinkPath" Target="file:///\\ATENEA\Liquidacion_de_Sentencias\1LIQUIDACIONES\3Liquidaciones%20LTK\Angel%20Alfredo%20Barrera%20Guerra\6.%20LIQUIDACION%20DE%20ANGEL%20ALFREDO%20BARRERA%20GUERRA%20-%20SGSSP.xlsx" TargetMode="External"/></Relationships>
</file>

<file path=xl/externalLinks/_rels/externalLink354.xml.rels><?xml version="1.0" encoding="UTF-8" standalone="yes"?>
<Relationships xmlns="http://schemas.openxmlformats.org/package/2006/relationships"><Relationship Id="rId1" Type="http://schemas.openxmlformats.org/officeDocument/2006/relationships/externalLinkPath" Target="file:///\\ATENEA\Liquidacion_de_Sentencias\1LIQUIDACIONES\1Liquidaciones%20Oficina%20Asesora%20Juridica\LUIS%20ALEJANDRO%20MONTENEGRO%20PUENTES\Liquidaci&#243;n%20LUIS%20ALEJANDRO%20MONTENEGRO%20PUENTES.xlsx" TargetMode="External"/></Relationships>
</file>

<file path=xl/externalLinks/_rels/externalLink355.xml.rels><?xml version="1.0" encoding="UTF-8" standalone="yes"?>
<Relationships xmlns="http://schemas.openxmlformats.org/package/2006/relationships"><Relationship Id="rId1" Type="http://schemas.openxmlformats.org/officeDocument/2006/relationships/externalLinkPath" Target="file:///\\ATENEA\Liquidacion_de_Sentencias\1LIQUIDACIONES\1Liquidaciones%20Oficina%20Asesora%20Juridica\EDUARDO%20OVIEDO%20LONDO&#209;O\Liquidaci&#243;n%20EDUARDO%20OVIEDO%20LONDO&#209;O.xlsx" TargetMode="External"/></Relationships>
</file>

<file path=xl/externalLinks/_rels/externalLink356.xml.rels><?xml version="1.0" encoding="UTF-8" standalone="yes"?>
<Relationships xmlns="http://schemas.openxmlformats.org/package/2006/relationships"><Relationship Id="rId1" Type="http://schemas.openxmlformats.org/officeDocument/2006/relationships/externalLinkPath" Target="file:///\\ATENEA\Liquidacion_de_Sentencias\1LIQUIDACIONES\1Liquidaciones%20Oficina%20Asesora%20Juridica\ALAIN%20ROLANDO%20QUIROGA%20MU&#209;OZ\Liq%20ALAIN%20ROLANDO%20QUIROGA%20MU&#209;OZ.xlsx" TargetMode="External"/></Relationships>
</file>

<file path=xl/externalLinks/_rels/externalLink357.xml.rels><?xml version="1.0" encoding="UTF-8" standalone="yes"?>
<Relationships xmlns="http://schemas.openxmlformats.org/package/2006/relationships"><Relationship Id="rId1" Type="http://schemas.openxmlformats.org/officeDocument/2006/relationships/externalLinkPath" Target="file:///\\ATENEA\Liquidacion_de_Sentencias\1LIQUIDACIONES\1Liquidaciones%20Oficina%20Asesora%20Juridica\HOMERO%20ORDO&#209;EZ%20RICO\Liquidaci&#243;n%20HOMERO%20ORDO&#209;EZ%20RICO.xls" TargetMode="External"/></Relationships>
</file>

<file path=xl/externalLinks/_rels/externalLink358.xml.rels><?xml version="1.0" encoding="UTF-8" standalone="yes"?>
<Relationships xmlns="http://schemas.openxmlformats.org/package/2006/relationships"><Relationship Id="rId1" Type="http://schemas.openxmlformats.org/officeDocument/2006/relationships/externalLinkPath" Target="file:///\\ATENEA\Liquidacion_de_Sentencias\1LIQUIDACIONES\1Liquidaciones%20Oficina%20Asesora%20Juridica\OMAR%20GONZALEZ%20MARTINEZ\Liquidaci&#243;n%20OMAR%20GONZALEZ%20MARTINEZ.xlsx" TargetMode="External"/></Relationships>
</file>

<file path=xl/externalLinks/_rels/externalLink359.xml.rels><?xml version="1.0" encoding="UTF-8" standalone="yes"?>
<Relationships xmlns="http://schemas.openxmlformats.org/package/2006/relationships"><Relationship Id="rId1" Type="http://schemas.openxmlformats.org/officeDocument/2006/relationships/externalLinkPath" Target="file:///\\ATENEA\Liquidacion_de_Sentencias\1LIQUIDACIONES\1Liquidaciones%20Oficina%20Asesora%20Juridica\GUSTAVO%20LOPEZ%20VACA\Liquidaci&#243;n%20%20GUSTAVO%20LOPEZ%20VACA%20con%20HONORARIOS.xlsx"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atenea\Liquidacion_de_Sentencias\1LIQUIDACIONES\2Liquidaciones%20Navarro%20Perez%20y%20Asociados\Yeison%20Andr&#233;s%20Rueda\29.%20LIQUIDACION%20YEISON%20ANDRES%20RUEDA%20VILLAMIL.xlsx" TargetMode="External"/></Relationships>
</file>

<file path=xl/externalLinks/_rels/externalLink360.xml.rels><?xml version="1.0" encoding="UTF-8" standalone="yes"?>
<Relationships xmlns="http://schemas.openxmlformats.org/package/2006/relationships"><Relationship Id="rId1" Type="http://schemas.openxmlformats.org/officeDocument/2006/relationships/externalLinkPath" Target="file:///\\ATENEA\Liquidacion_de_Sentencias\1LIQUIDACIONES\3Liquidaciones%20LTK\Charles%20de%20Jesus%20Echeverry%20Gonzalez\100.%20LIQUIDACION%20DE%20CHARLES%20DE%20JESUS%20ECHEVERRY%20GONZALEZ.xlsx" TargetMode="External"/></Relationships>
</file>

<file path=xl/externalLinks/_rels/externalLink361.xml.rels><?xml version="1.0" encoding="UTF-8" standalone="yes"?>
<Relationships xmlns="http://schemas.openxmlformats.org/package/2006/relationships"><Relationship Id="rId1" Type="http://schemas.openxmlformats.org/officeDocument/2006/relationships/externalLinkPath" Target="file:///\\ATENEA\Liquidacion_de_Sentencias\1LIQUIDACIONES\1Liquidaciones%20Oficina%20Asesora%20Juridica\RENATE%20ANDREA%20PRADO%20OTERO\Liquidaci&#243;n%20%20RENATE%20ANDREA%20PRADO%20OTERO.xlsx" TargetMode="External"/></Relationships>
</file>

<file path=xl/externalLinks/_rels/externalLink362.xml.rels><?xml version="1.0" encoding="UTF-8" standalone="yes"?>
<Relationships xmlns="http://schemas.openxmlformats.org/package/2006/relationships"><Relationship Id="rId1" Type="http://schemas.openxmlformats.org/officeDocument/2006/relationships/externalLinkPath" Target="file:///\\ATENEA\Liquidacion_de_Sentencias\1LIQUIDACIONES\3Liquidaciones%20LTK\Juan%20Carlos%20Monroy%20Acosta\45.%20LIQUIDACION%20DE%20JUAN%20CARLOS%20MONROY%20ACOSTA%20.xls" TargetMode="External"/></Relationships>
</file>

<file path=xl/externalLinks/_rels/externalLink363.xml.rels><?xml version="1.0" encoding="UTF-8" standalone="yes"?>
<Relationships xmlns="http://schemas.openxmlformats.org/package/2006/relationships"><Relationship Id="rId1" Type="http://schemas.openxmlformats.org/officeDocument/2006/relationships/externalLinkPath" Target="file:///\\ATENEA\Liquidacion_de_Sentencias\1LIQUIDACIONES\1Liquidaciones%20Oficina%20Asesora%20Juridica\DAVID%20QUINTERO%20CORREA\Liquidaci&#243;n%20DAVID%20QUINTERO%20CORREA.xlsx" TargetMode="External"/></Relationships>
</file>

<file path=xl/externalLinks/_rels/externalLink364.xml.rels><?xml version="1.0" encoding="UTF-8" standalone="yes"?>
<Relationships xmlns="http://schemas.openxmlformats.org/package/2006/relationships"><Relationship Id="rId1" Type="http://schemas.openxmlformats.org/officeDocument/2006/relationships/externalLinkPath" Target="file:///\\ATENEA\Liquidacion_de_Sentencias\1LIQUIDACIONES\1Liquidaciones%20Oficina%20Asesora%20Juridica\HENRY%20ALFONSO%20NI&#209;O%20ORTEGA\Liquidaci&#243;n%20HENRY%20ALFONSO%20NI&#209;O%20ORTEGA.xlsx" TargetMode="External"/></Relationships>
</file>

<file path=xl/externalLinks/_rels/externalLink365.xml.rels><?xml version="1.0" encoding="UTF-8" standalone="yes"?>
<Relationships xmlns="http://schemas.openxmlformats.org/package/2006/relationships"><Relationship Id="rId1" Type="http://schemas.openxmlformats.org/officeDocument/2006/relationships/externalLinkPath" Target="file:///\\ATENEA\Liquidacion_de_Sentencias\1LIQUIDACIONES\1Liquidaciones%20Oficina%20Asesora%20Juridica\JULIO%20HERNANDO%20IZQUIERDO%20GUERRERO\Liquidaci&#243;n%20JULIO%20HERNANDO%20IZQUIERDO%20GUERRERO.xlsx" TargetMode="External"/></Relationships>
</file>

<file path=xl/externalLinks/_rels/externalLink366.xml.rels><?xml version="1.0" encoding="UTF-8" standalone="yes"?>
<Relationships xmlns="http://schemas.openxmlformats.org/package/2006/relationships"><Relationship Id="rId1" Type="http://schemas.openxmlformats.org/officeDocument/2006/relationships/externalLinkPath" Target="file:///\\ATENEA\Liquidacion_de_Sentencias\1LIQUIDACIONES\1Liquidaciones%20Oficina%20Asesora%20Juridica\FRANCISCO%20JAVIER%20CASTA&#209;O%20VILLAFA&#209;E\Liquidaci&#243;n%20FRANCISCO%20JAVIER%20CASTA&#209;O%20VILLAFA&#209;E.xlsx" TargetMode="External"/></Relationships>
</file>

<file path=xl/externalLinks/_rels/externalLink367.xml.rels><?xml version="1.0" encoding="UTF-8" standalone="yes"?>
<Relationships xmlns="http://schemas.openxmlformats.org/package/2006/relationships"><Relationship Id="rId1" Type="http://schemas.openxmlformats.org/officeDocument/2006/relationships/externalLinkPath" Target="file:///\\ATENEA\Liquidacion_de_Sentencias\1LIQUIDACIONES\1Liquidaciones%20Oficina%20Asesora%20Juridica\JHON%20JAIRO%20GARCIA%20CRUZ\Liquidaci&#243;n%20JHON%20JAIRO%20GARCIA%20CRUZ.xlsx" TargetMode="External"/></Relationships>
</file>

<file path=xl/externalLinks/_rels/externalLink368.xml.rels><?xml version="1.0" encoding="UTF-8" standalone="yes"?>
<Relationships xmlns="http://schemas.openxmlformats.org/package/2006/relationships"><Relationship Id="rId1" Type="http://schemas.openxmlformats.org/officeDocument/2006/relationships/externalLinkPath" Target="file:///\\ATENEA\Liquidacion_de_Sentencias\1LIQUIDACIONES\1Liquidaciones%20Oficina%20Asesora%20Juridica\JHON%20JAIRO%20ALZATE%20ARANGO\Liquidaci&#243;n%20JHON%20JAIRO%20ALZATE%20ARANGO%20.xlsx" TargetMode="External"/></Relationships>
</file>

<file path=xl/externalLinks/_rels/externalLink369.xml.rels><?xml version="1.0" encoding="UTF-8" standalone="yes"?>
<Relationships xmlns="http://schemas.openxmlformats.org/package/2006/relationships"><Relationship Id="rId1" Type="http://schemas.openxmlformats.org/officeDocument/2006/relationships/externalLinkPath" Target="file:///\\ATENEA\Liquidacion_de_Sentencias\1LIQUIDACIONES\1Liquidaciones%20Oficina%20Asesora%20Juridica\OSCAR%20LEONARDO%20PARADA%20VARGAS\Liquidaci&#243;n%20OSCAR%20LEONARDO%20PARADA%20VARGAS.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ATENEA\Liquidacion_de_Sentencias\1LIQUIDACIONES\2Liquidaciones%20Navarro%20Perez%20y%20Asociados\Juan%20Pablo%20Varela%20Duarte\31.%20LIQUIDACION%20JUAN%20PABLO%20VARELA%20DUARTE.xlsx" TargetMode="External"/></Relationships>
</file>

<file path=xl/externalLinks/_rels/externalLink370.xml.rels><?xml version="1.0" encoding="UTF-8" standalone="yes"?>
<Relationships xmlns="http://schemas.openxmlformats.org/package/2006/relationships"><Relationship Id="rId1" Type="http://schemas.openxmlformats.org/officeDocument/2006/relationships/externalLinkPath" Target="file:///\\ATENEA\Liquidacion_de_Sentencias\1LIQUIDACIONES\1Liquidaciones%20Oficina%20Asesora%20Juridica\MARCO%20SERGIO%20GARCIA%20MONSALVE\Liquidaci&#243;n%20MARCO%20SERGIO%20GARCIA%20MONSALVE.xlsx" TargetMode="External"/></Relationships>
</file>

<file path=xl/externalLinks/_rels/externalLink371.xml.rels><?xml version="1.0" encoding="UTF-8" standalone="yes"?>
<Relationships xmlns="http://schemas.openxmlformats.org/package/2006/relationships"><Relationship Id="rId1" Type="http://schemas.openxmlformats.org/officeDocument/2006/relationships/externalLinkPath" Target="file:///\\ATENEA\Liquidacion_de_Sentencias\1LIQUIDACIONES\1Liquidaciones%20Oficina%20Asesora%20Juridica\RICARDO%20SINISTERRA%20CASTRILLON\Liquidaci&#243;n%20RICARDO%20SINISTERRA%20CASTRILLON.xlsx" TargetMode="External"/></Relationships>
</file>

<file path=xl/externalLinks/_rels/externalLink372.xml.rels><?xml version="1.0" encoding="UTF-8" standalone="yes"?>
<Relationships xmlns="http://schemas.openxmlformats.org/package/2006/relationships"><Relationship Id="rId1" Type="http://schemas.openxmlformats.org/officeDocument/2006/relationships/externalLinkPath" Target="file:///\\ATENEA\Liquidacion_de_Sentencias\1LIQUIDACIONES\3Liquidaciones%20LTK\Ruben%20Dario%20Cristancho%20Castillo\246.%20LIQUIDACION%20%20DE%20RUBEN%20DARIO%20CRISTANCHO%20CASTILLO1.xlsx" TargetMode="External"/></Relationships>
</file>

<file path=xl/externalLinks/_rels/externalLink373.xml.rels><?xml version="1.0" encoding="UTF-8" standalone="yes"?>
<Relationships xmlns="http://schemas.openxmlformats.org/package/2006/relationships"><Relationship Id="rId1" Type="http://schemas.openxmlformats.org/officeDocument/2006/relationships/externalLinkPath" Target="file:///\\ATENEA\Liquidacion_de_Sentencias\1LIQUIDACIONES\3Liquidaciones%20LTK\Elkin%20Daniel%20Wolf%20Marquez\002.%20LIQUIDACION%20%20DE%20ELKIN%20DANIEL%20WOLF%20MARQUEZ.xlsx" TargetMode="External"/></Relationships>
</file>

<file path=xl/externalLinks/_rels/externalLink374.xml.rels><?xml version="1.0" encoding="UTF-8" standalone="yes"?>
<Relationships xmlns="http://schemas.openxmlformats.org/package/2006/relationships"><Relationship Id="rId1" Type="http://schemas.openxmlformats.org/officeDocument/2006/relationships/externalLinkPath" Target="file:///\\ATENEA\Liquidacion_de_Sentencias\1LIQUIDACIONES\3Liquidaciones%20LTK\Edgar%20Samir%20Pardo%20callejas\LIQUIDACION%20DE%20EDGAR%20SAMIR%20PARDO%20CALLEJAS.xlsx" TargetMode="External"/></Relationships>
</file>

<file path=xl/externalLinks/_rels/externalLink375.xml.rels><?xml version="1.0" encoding="UTF-8" standalone="yes"?>
<Relationships xmlns="http://schemas.openxmlformats.org/package/2006/relationships"><Relationship Id="rId1" Type="http://schemas.openxmlformats.org/officeDocument/2006/relationships/externalLinkPath" Target="file:///\\ATENEA\Liquidacion_de_Sentencias\1LIQUIDACIONES\3Liquidaciones%20LTK\John%20Jairo%20Medina%20Cabrera\001.%20LIQUIDACION%20%20DE%20JOHN%20JAIRO%20MEDINA%20CABRERA.xlsx" TargetMode="External"/></Relationships>
</file>

<file path=xl/externalLinks/_rels/externalLink376.xml.rels><?xml version="1.0" encoding="UTF-8" standalone="yes"?>
<Relationships xmlns="http://schemas.openxmlformats.org/package/2006/relationships"><Relationship Id="rId1" Type="http://schemas.openxmlformats.org/officeDocument/2006/relationships/externalLinkPath" Target="file:///\\ATENEA\Liquidacion_de_Sentencias\1LIQUIDACIONES\3Liquidaciones%20LTK\Jose%20Libardo%20Diaz%20Bohorquez\000.%20LIQUIDACION%20%20DE%20JOS&#201;%20LIBARDO%20D&#205;AZ%20BOH&#211;RQUEZ.xlsx" TargetMode="External"/></Relationships>
</file>

<file path=xl/externalLinks/_rels/externalLink377.xml.rels><?xml version="1.0" encoding="UTF-8" standalone="yes"?>
<Relationships xmlns="http://schemas.openxmlformats.org/package/2006/relationships"><Relationship Id="rId1" Type="http://schemas.openxmlformats.org/officeDocument/2006/relationships/externalLinkPath" Target="file:///\\ATENEA\Liquidacion_de_Sentencias\1LIQUIDACIONES\1Liquidaciones%20Oficina%20Asesora%20Juridica\JUAN%20BERNARDO%20RUIZ%20HERNANDEZ\Liq%20JUAN%20BERNARDO%20RUIZ%20HERNANDEZ.xlsx" TargetMode="External"/></Relationships>
</file>

<file path=xl/externalLinks/_rels/externalLink378.xml.rels><?xml version="1.0" encoding="UTF-8" standalone="yes"?>
<Relationships xmlns="http://schemas.openxmlformats.org/package/2006/relationships"><Relationship Id="rId1" Type="http://schemas.openxmlformats.org/officeDocument/2006/relationships/externalLinkPath" Target="file:///\\ATENEA\Liquidacion_de_Sentencias\1LIQUIDACIONES\1Liquidaciones%20Oficina%20Asesora%20Juridica\IVANEY%20GONZALEZ%20URREA\Liquidaci&#243;n%20IVANEY%20GONZALEZ%20URREA.xls" TargetMode="External"/></Relationships>
</file>

<file path=xl/externalLinks/_rels/externalLink379.xml.rels><?xml version="1.0" encoding="UTF-8" standalone="yes"?>
<Relationships xmlns="http://schemas.openxmlformats.org/package/2006/relationships"><Relationship Id="rId1" Type="http://schemas.openxmlformats.org/officeDocument/2006/relationships/externalLinkPath" Target="file:///\\ATENEA\Liquidacion_de_Sentencias\1LIQUIDACIONES\1Liquidaciones%20Oficina%20Asesora%20Juridica\JHON%20EDICSON%20MORENO%20QUINTERO\Liq%20JHON%20EDICSON%20MORENO%20QUINTERO.xlsx"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ATENEA\Liquidacion_de_Sentencias\1LIQUIDACIONES\2Liquidaciones%20Navarro%20Perez%20y%20Asociados\Jorge%20Eduard%20Cardona%20Escobar\32.%20LIQ%20JORGE%20EDUARD%20CARDONA%20ESCOBAR.xlsx" TargetMode="External"/></Relationships>
</file>

<file path=xl/externalLinks/_rels/externalLink380.xml.rels><?xml version="1.0" encoding="UTF-8" standalone="yes"?>
<Relationships xmlns="http://schemas.openxmlformats.org/package/2006/relationships"><Relationship Id="rId1" Type="http://schemas.openxmlformats.org/officeDocument/2006/relationships/externalLinkPath" Target="file:///\\ATENEA\Liquidacion_de_Sentencias\1LIQUIDACIONES\1Liquidaciones%20Oficina%20Asesora%20Juridica\FREDY%20DANIEL%20BASTIDAS%20ASSIAS\LIQUIDACION%20FREDY%20DANIEL%20BASTIDAS%20ASSIAS.xlsx" TargetMode="External"/></Relationships>
</file>

<file path=xl/externalLinks/_rels/externalLink381.xml.rels><?xml version="1.0" encoding="UTF-8" standalone="yes"?>
<Relationships xmlns="http://schemas.openxmlformats.org/package/2006/relationships"><Relationship Id="rId1" Type="http://schemas.openxmlformats.org/officeDocument/2006/relationships/externalLinkPath" Target="file:///\\ATENEA\Liquidacion_de_Sentencias\1LIQUIDACIONES\1Liquidaciones%20Oficina%20Asesora%20Juridica\JUAN%20CARLOS%20CAMPOS%20CONDE\Liq%20JUAN%20CARLOS%20CAMPOS%20CONDE.xlsx" TargetMode="External"/></Relationships>
</file>

<file path=xl/externalLinks/_rels/externalLink382.xml.rels><?xml version="1.0" encoding="UTF-8" standalone="yes"?>
<Relationships xmlns="http://schemas.openxmlformats.org/package/2006/relationships"><Relationship Id="rId1" Type="http://schemas.openxmlformats.org/officeDocument/2006/relationships/externalLinkPath" Target="file:///\\ATENEA\Liquidacion_de_Sentencias\1LIQUIDACIONES\1Liquidaciones%20Oficina%20Asesora%20Juridica\ROBERTO%20FEDER%20RAMOS%20MERCADO\Liq%20ROBERTO%20FEDER%20RAMOS%20MERCADO.xlsx" TargetMode="External"/></Relationships>
</file>

<file path=xl/externalLinks/_rels/externalLink383.xml.rels><?xml version="1.0" encoding="UTF-8" standalone="yes"?>
<Relationships xmlns="http://schemas.openxmlformats.org/package/2006/relationships"><Relationship Id="rId1" Type="http://schemas.openxmlformats.org/officeDocument/2006/relationships/externalLinkPath" Target="file:///\\ATENEA\Liquidacion_de_Sentencias\1LIQUIDACIONES\1Liquidaciones%20Oficina%20Asesora%20Juridica\VICTOR%20HUGO%20HINCAPIE%20FAJARDO\Liq%20VICTOR%20HUGO%20HINCAPIE%20FAJARDO.xlsx" TargetMode="External"/></Relationships>
</file>

<file path=xl/externalLinks/_rels/externalLink384.xml.rels><?xml version="1.0" encoding="UTF-8" standalone="yes"?>
<Relationships xmlns="http://schemas.openxmlformats.org/package/2006/relationships"><Relationship Id="rId1" Type="http://schemas.openxmlformats.org/officeDocument/2006/relationships/externalLinkPath" Target="file:///\\ATENEA\Liquidacion_de_Sentencias\1LIQUIDACIONES\1Liquidaciones%20Oficina%20Asesora%20Juridica\BORIS%20HERNAN%20AGAMEZ%20ARBELAEZ\Liq%20BORIS%20HERNAN%20AGAMEZ%20ARBELAEZ.xlsx" TargetMode="External"/></Relationships>
</file>

<file path=xl/externalLinks/_rels/externalLink385.xml.rels><?xml version="1.0" encoding="UTF-8" standalone="yes"?>
<Relationships xmlns="http://schemas.openxmlformats.org/package/2006/relationships"><Relationship Id="rId1" Type="http://schemas.openxmlformats.org/officeDocument/2006/relationships/externalLinkPath" Target="file:///\\ATENEA\Liquidacion_de_Sentencias\1LIQUIDACIONES\1Liquidaciones%20Oficina%20Asesora%20Juridica\RICARDO%20REINOSO%20DIAZ\Liquidaci&#243;n%20RICARDO%20REINOSO%20DIAZ.xlsx" TargetMode="External"/></Relationships>
</file>

<file path=xl/externalLinks/_rels/externalLink386.xml.rels><?xml version="1.0" encoding="UTF-8" standalone="yes"?>
<Relationships xmlns="http://schemas.openxmlformats.org/package/2006/relationships"><Relationship Id="rId1" Type="http://schemas.openxmlformats.org/officeDocument/2006/relationships/externalLinkPath" Target="file:///\\ATENEA\Liquidacion_de_Sentencias\1LIQUIDACIONES\1Liquidaciones%20Oficina%20Asesora%20Juridica\JORGE%20ORLANDO%20SANABRIA%20DIOSA\LIQ%20JORGE%20ORLANDO%20SANABRIA%20DIOSA.xlsx" TargetMode="External"/></Relationships>
</file>

<file path=xl/externalLinks/_rels/externalLink387.xml.rels><?xml version="1.0" encoding="UTF-8" standalone="yes"?>
<Relationships xmlns="http://schemas.openxmlformats.org/package/2006/relationships"><Relationship Id="rId1" Type="http://schemas.openxmlformats.org/officeDocument/2006/relationships/externalLinkPath" Target="file:///\\ATENEA\Liquidacion_de_Sentencias\1LIQUIDACIONES\1Liquidaciones%20Oficina%20Asesora%20Juridica\EDGAR%20FERNANDO%20MU&#209;OZ%20LOZANO\LIQ%20EDGAR%20FERNANDO%20MU&#209;OZ%20LOZANO.xlsx" TargetMode="External"/></Relationships>
</file>

<file path=xl/externalLinks/_rels/externalLink388.xml.rels><?xml version="1.0" encoding="UTF-8" standalone="yes"?>
<Relationships xmlns="http://schemas.openxmlformats.org/package/2006/relationships"><Relationship Id="rId1" Type="http://schemas.openxmlformats.org/officeDocument/2006/relationships/externalLinkPath" Target="file:///\\ATENEA\Liquidacion_de_Sentencias\1LIQUIDACIONES\1Liquidaciones%20Oficina%20Asesora%20Juridica\JULIO%20CESAR%20LOPEZ%20PIMIENTA\LIQUIDACION%20JULIO%20CESAR%20LOPEZ%20PIMIENTA.xlsx" TargetMode="External"/></Relationships>
</file>

<file path=xl/externalLinks/_rels/externalLink389.xml.rels><?xml version="1.0" encoding="UTF-8" standalone="yes"?>
<Relationships xmlns="http://schemas.openxmlformats.org/package/2006/relationships"><Relationship Id="rId1" Type="http://schemas.openxmlformats.org/officeDocument/2006/relationships/externalLinkPath" Target="file:///\\ATENEA\Liquidacion_de_Sentencias\1LIQUIDACIONES\1Liquidaciones%20Oficina%20Asesora%20Juridica\ALFREDO%20ALEXIS%20APREZA%20SERRANO\Liquidaci&#243;n%20ALFREDO%20ALEXIS%20APREZA%20SERRANO.xlsx"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ATENEA\Liquidacion_de_Sentencias\1LIQUIDACIONES\2Liquidaciones%20Navarro%20Perez%20y%20Asociados\Pablo%20Cesar%20Arevalo%20Galvan\33.%20PABLO%20CESAR%20AREVALO%20-%20SIN%20SALUD%20-CPACA.xlsx" TargetMode="External"/></Relationships>
</file>

<file path=xl/externalLinks/_rels/externalLink390.xml.rels><?xml version="1.0" encoding="UTF-8" standalone="yes"?>
<Relationships xmlns="http://schemas.openxmlformats.org/package/2006/relationships"><Relationship Id="rId1" Type="http://schemas.openxmlformats.org/officeDocument/2006/relationships/externalLinkPath" Target="file:///\\ATENEA\Liquidacion_de_Sentencias\1LIQUIDACIONES\1Liquidaciones%20Oficina%20Asesora%20Juridica\GIOVANNI%20ANDREI%20VALDES%20LOZANO\LIQUIDACION%20GIOVANNI%20ANDREI%20VALDES%20LOZANO.xlsx" TargetMode="External"/></Relationships>
</file>

<file path=xl/externalLinks/_rels/externalLink391.xml.rels><?xml version="1.0" encoding="UTF-8" standalone="yes"?>
<Relationships xmlns="http://schemas.openxmlformats.org/package/2006/relationships"><Relationship Id="rId1" Type="http://schemas.openxmlformats.org/officeDocument/2006/relationships/externalLinkPath" Target="file:///\\ATENEA\Liquidacion_de_Sentencias\1LIQUIDACIONES\1Liquidaciones%20Oficina%20Asesora%20Juridica\GUILLERMO%20PINEDA%20RODRIGUEZ\LIQUIDACION%20GUILLERMO%20PINEDA%20RODRIGUEZ.xlsx" TargetMode="External"/></Relationships>
</file>

<file path=xl/externalLinks/_rels/externalLink392.xml.rels><?xml version="1.0" encoding="UTF-8" standalone="yes"?>
<Relationships xmlns="http://schemas.openxmlformats.org/package/2006/relationships"><Relationship Id="rId1" Type="http://schemas.openxmlformats.org/officeDocument/2006/relationships/externalLinkPath" Target="file:///\\ATENEA\Liquidacion_de_Sentencias\1LIQUIDACIONES\1Liquidaciones%20Oficina%20Asesora%20Juridica\ANDERSON%20HARVEY%20CUELLAR%20PERDOMO\Liquidaci&#243;n%20ANDERSON%20HARVEY%20CUELLAR%20PERDOMO.xlsx" TargetMode="External"/></Relationships>
</file>

<file path=xl/externalLinks/_rels/externalLink393.xml.rels><?xml version="1.0" encoding="UTF-8" standalone="yes"?>
<Relationships xmlns="http://schemas.openxmlformats.org/package/2006/relationships"><Relationship Id="rId1" Type="http://schemas.openxmlformats.org/officeDocument/2006/relationships/externalLinkPath" Target="file:///\\ATENEA\Liquidacion_de_Sentencias\1LIQUIDACIONES\1Liquidaciones%20Oficina%20Asesora%20Juridica\HECTOR%20FERNEY%20HERRERA%20ALVAREZ\LIQUIDACION%20HECTOR%20FERNEY%20HERRERA%20ALVAREZ.xlsx" TargetMode="External"/></Relationships>
</file>

<file path=xl/externalLinks/_rels/externalLink394.xml.rels><?xml version="1.0" encoding="UTF-8" standalone="yes"?>
<Relationships xmlns="http://schemas.openxmlformats.org/package/2006/relationships"><Relationship Id="rId1" Type="http://schemas.openxmlformats.org/officeDocument/2006/relationships/externalLinkPath" Target="file:///\\ATENEA\Liquidacion_de_Sentencias\1LIQUIDACIONES\1Liquidaciones%20Oficina%20Asesora%20Juridica\JORGE%20EDUARDO%20RAMIREZ%20POLOCHE\LIQUIDACION%20JORGE%20EDUARDO%20RAMIREZ%20POLOCHE.xlsx" TargetMode="External"/></Relationships>
</file>

<file path=xl/externalLinks/_rels/externalLink395.xml.rels><?xml version="1.0" encoding="UTF-8" standalone="yes"?>
<Relationships xmlns="http://schemas.openxmlformats.org/package/2006/relationships"><Relationship Id="rId1" Type="http://schemas.openxmlformats.org/officeDocument/2006/relationships/externalLinkPath" Target="file:///\\ATENEA\Liquidacion_de_Sentencias\1LIQUIDACIONES\1Liquidaciones%20Oficina%20Asesora%20Juridica\HERMES%20LUIS%20MARTINEZ%20DUE&#209;AS\LIQUIDACION%20HERMES%20LUIS%20MARTINEZ%20DUE&#209;AS.xlsx" TargetMode="External"/></Relationships>
</file>

<file path=xl/externalLinks/_rels/externalLink396.xml.rels><?xml version="1.0" encoding="UTF-8" standalone="yes"?>
<Relationships xmlns="http://schemas.openxmlformats.org/package/2006/relationships"><Relationship Id="rId1" Type="http://schemas.openxmlformats.org/officeDocument/2006/relationships/externalLinkPath" Target="file:///\\ATENEA\Liquidacion_de_Sentencias\1LIQUIDACIONES\1Liquidaciones%20Oficina%20Asesora%20Juridica\LEONARDO%20BELTRAN%20CASTRO\LIQUIDACION%20LEONARDO%20BELTRAN%20CASTRO.xlsx" TargetMode="External"/></Relationships>
</file>

<file path=xl/externalLinks/_rels/externalLink397.xml.rels><?xml version="1.0" encoding="UTF-8" standalone="yes"?>
<Relationships xmlns="http://schemas.openxmlformats.org/package/2006/relationships"><Relationship Id="rId1" Type="http://schemas.openxmlformats.org/officeDocument/2006/relationships/externalLinkPath" Target="file:///\\ATENEA\Liquidacion_de_Sentencias\1LIQUIDACIONES\1Liquidaciones%20Oficina%20Asesora%20Juridica\JAVIER%20ERNESTO%20GARCIA%20LARA\LIQUIDACION%20JAVIER%20ERNESTO%20GARCIA%20LARA.xlsx" TargetMode="External"/></Relationships>
</file>

<file path=xl/externalLinks/_rels/externalLink398.xml.rels><?xml version="1.0" encoding="UTF-8" standalone="yes"?>
<Relationships xmlns="http://schemas.openxmlformats.org/package/2006/relationships"><Relationship Id="rId1" Type="http://schemas.openxmlformats.org/officeDocument/2006/relationships/externalLinkPath" Target="file:///\\ATENEA\Liquidacion_de_Sentencias\1LIQUIDACIONES\1Liquidaciones%20Oficina%20Asesora%20Juridica\JULI&#193;N%20CORT&#201;S%20JIMEN&#201;Z%20Y%20OTROS\Liquidaci&#243;n%20JULI&#193;N%20CORT&#201;S%20JIM&#201;NEZ%20Y%20OTROS.xlsx" TargetMode="External"/></Relationships>
</file>

<file path=xl/externalLinks/_rels/externalLink399.xml.rels><?xml version="1.0" encoding="UTF-8" standalone="yes"?>
<Relationships xmlns="http://schemas.openxmlformats.org/package/2006/relationships"><Relationship Id="rId1" Type="http://schemas.openxmlformats.org/officeDocument/2006/relationships/externalLinkPath" Target="file:///\\ATENEA\Liquidacion_de_Sentencias\1LIQUIDACIONES\1Liquidaciones%20Oficina%20Asesora%20Juridica\JUAN%20BAUTISTA%20CAMACHO%20SAGANOME\LIQUIDACION%20JUAN%20BAUTISTA%20CAMACHO%20SAGANOME.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ATENEA\Liquidacion_de_Sentencias\1LIQUIDACIONES\1Liquidaciones%20Oficina%20Asesora%20Juridica\BORIX%20ARIEL%20TORRES%20LOPEZ\Liquidaci&#243;n%20BORIX%20ARIEL%20TORRES%20LOPEZ.xlsx"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ATENEA\Liquidacion_de_Sentencias\1LIQUIDACIONES\1Liquidaciones%20Oficina%20Asesora%20Juridica\FERNANDO%20CELIS%20VELEZ\Liquidaci&#243;n%20FERNANDO%20CELIS%20VELEZ.xlsx" TargetMode="External"/></Relationships>
</file>

<file path=xl/externalLinks/_rels/externalLink400.xml.rels><?xml version="1.0" encoding="UTF-8" standalone="yes"?>
<Relationships xmlns="http://schemas.openxmlformats.org/package/2006/relationships"><Relationship Id="rId1" Type="http://schemas.openxmlformats.org/officeDocument/2006/relationships/externalLinkPath" Target="file:///\\ATENEA\Liquidacion_de_Sentencias\1LIQUIDACIONES\1Liquidaciones%20Oficina%20Asesora%20Juridica\EDWIN%20HUMBERTO%20LASSO%20VELASQUEZ\LIQUIDACION%20EDWIN%20HUMBERTO%20LASSO%20VELASQUEZ.xlsx" TargetMode="External"/></Relationships>
</file>

<file path=xl/externalLinks/_rels/externalLink401.xml.rels><?xml version="1.0" encoding="UTF-8" standalone="yes"?>
<Relationships xmlns="http://schemas.openxmlformats.org/package/2006/relationships"><Relationship Id="rId1" Type="http://schemas.openxmlformats.org/officeDocument/2006/relationships/externalLinkPath" Target="file:///\\ATENEA\Liquidacion_de_Sentencias\1LIQUIDACIONES\1Liquidaciones%20Oficina%20Asesora%20Juridica\VICTOR%20JULIO%20DURAN%20CRIADO\Liq%20VICTOR%20JULIO%20DURAN%20CRIADO.xlsx" TargetMode="External"/></Relationships>
</file>

<file path=xl/externalLinks/_rels/externalLink402.xml.rels><?xml version="1.0" encoding="UTF-8" standalone="yes"?>
<Relationships xmlns="http://schemas.openxmlformats.org/package/2006/relationships"><Relationship Id="rId1" Type="http://schemas.openxmlformats.org/officeDocument/2006/relationships/externalLinkPath" Target="file:///\\ATENEA\Liquidacion_de_Sentencias\1LIQUIDACIONES\1Liquidaciones%20Oficina%20Asesora%20Juridica\YEISON%20FERNANDO%20SILVA%20PERDOMO\Liquidaci&#243;n%20YEISON%20FERNANDO%20SILVA%20PERDOMO.xlsx" TargetMode="External"/></Relationships>
</file>

<file path=xl/externalLinks/_rels/externalLink403.xml.rels><?xml version="1.0" encoding="UTF-8" standalone="yes"?>
<Relationships xmlns="http://schemas.openxmlformats.org/package/2006/relationships"><Relationship Id="rId1" Type="http://schemas.openxmlformats.org/officeDocument/2006/relationships/externalLinkPath" Target="file:///\\ATENEA\Liquidacion_de_Sentencias\1LIQUIDACIONES\1Liquidaciones%20Oficina%20Asesora%20Juridica\LUIS%20EDUARDO%20BAUTISTA%20RUEDA\LIQUIDACION%20LUIS%20EDUARDO%20BAUTISTA%20RUEDA.xlsx" TargetMode="External"/></Relationships>
</file>

<file path=xl/externalLinks/_rels/externalLink404.xml.rels><?xml version="1.0" encoding="UTF-8" standalone="yes"?>
<Relationships xmlns="http://schemas.openxmlformats.org/package/2006/relationships"><Relationship Id="rId1" Type="http://schemas.openxmlformats.org/officeDocument/2006/relationships/externalLinkPath" Target="file:///\\ATENEA\Liquidacion_de_Sentencias\1LIQUIDACIONES\1Liquidaciones%20Oficina%20Asesora%20Juridica\LENIN%20SANCHEZ%20TORRES\LIQUIDACION%20LENIN%20SANCHEZ%20TORRES.xlsx" TargetMode="External"/></Relationships>
</file>

<file path=xl/externalLinks/_rels/externalLink405.xml.rels><?xml version="1.0" encoding="UTF-8" standalone="yes"?>
<Relationships xmlns="http://schemas.openxmlformats.org/package/2006/relationships"><Relationship Id="rId1" Type="http://schemas.openxmlformats.org/officeDocument/2006/relationships/externalLinkPath" Target="file:///\\ATENEA\Liquidacion_de_Sentencias\1LIQUIDACIONES\1Liquidaciones%20Oficina%20Asesora%20Juridica\NIXON%20JAVIER%20MOGOLLON%20SOMOZA\NIXON%20JAVIER%20MOGOLLON%20SOMOZA%20-CPACA%20-%202DA%20INSTANCIA_.xlsx" TargetMode="External"/></Relationships>
</file>

<file path=xl/externalLinks/_rels/externalLink406.xml.rels><?xml version="1.0" encoding="UTF-8" standalone="yes"?>
<Relationships xmlns="http://schemas.openxmlformats.org/package/2006/relationships"><Relationship Id="rId1" Type="http://schemas.openxmlformats.org/officeDocument/2006/relationships/externalLinkPath" Target="file:///\\ATENEA\Liquidacion_de_Sentencias\1LIQUIDACIONES\1Liquidaciones%20Oficina%20Asesora%20Juridica\DANIEL%20ALEXIS%20GARCIA%20RENDON\LIQUIDACION%20DANIEL%20ALEXIS%20GARCIA%20RENDON.xlsx" TargetMode="External"/></Relationships>
</file>

<file path=xl/externalLinks/_rels/externalLink407.xml.rels><?xml version="1.0" encoding="UTF-8" standalone="yes"?>
<Relationships xmlns="http://schemas.openxmlformats.org/package/2006/relationships"><Relationship Id="rId1" Type="http://schemas.openxmlformats.org/officeDocument/2006/relationships/externalLinkPath" Target="file:///\\ATENEA\Liquidacion_de_Sentencias\1LIQUIDACIONES\1Liquidaciones%20Oficina%20Asesora%20Juridica\JOSE%20ALONSO%20TORO%20URREA\LIQUIDACION%20JOSE%20ALONSO%20TORO%20URREA.xlsx" TargetMode="External"/></Relationships>
</file>

<file path=xl/externalLinks/_rels/externalLink408.xml.rels><?xml version="1.0" encoding="UTF-8" standalone="yes"?>
<Relationships xmlns="http://schemas.openxmlformats.org/package/2006/relationships"><Relationship Id="rId1" Type="http://schemas.openxmlformats.org/officeDocument/2006/relationships/externalLinkPath" Target="file:///\\ATENEA\Liquidacion_de_Sentencias\1LIQUIDACIONES\1Liquidaciones%20Oficina%20Asesora%20Juridica\LITA%20LILIANA%20FRANCO%20LIZCANO\LIQUIDACION%20LITA%20LILIANA%20FRANCO%20LIZCANO.xlsx" TargetMode="External"/></Relationships>
</file>

<file path=xl/externalLinks/_rels/externalLink409.xml.rels><?xml version="1.0" encoding="UTF-8" standalone="yes"?>
<Relationships xmlns="http://schemas.openxmlformats.org/package/2006/relationships"><Relationship Id="rId1" Type="http://schemas.openxmlformats.org/officeDocument/2006/relationships/externalLinkPath" Target="file:///\\ATENEA\Liquidacion_de_Sentencias\1LIQUIDACIONES\1Liquidaciones%20Oficina%20Asesora%20Juridica\OMAR%20GUILLERMO%20RODRIGUEZ%20BOLIVAR\LIQUIDACION%20OMAR%20GUILLERMO%20RODRIGUEZ%20MOLINA.xlsx"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ATENEA\Liquidacion_de_Sentencias\1LIQUIDACIONES\2Liquidaciones%20Navarro%20Perez%20y%20Asociados\Jaime%20Gregorio%20Velilla%20Campo\36.%20LIQUIDACION%20%20JAIME%20GREGORIO%20VELILLA%20CAMPO%20CPACA.xlsx" TargetMode="External"/></Relationships>
</file>

<file path=xl/externalLinks/_rels/externalLink410.xml.rels><?xml version="1.0" encoding="UTF-8" standalone="yes"?>
<Relationships xmlns="http://schemas.openxmlformats.org/package/2006/relationships"><Relationship Id="rId1" Type="http://schemas.openxmlformats.org/officeDocument/2006/relationships/externalLinkPath" Target="file:///\\ATENEA\Liquidacion_de_Sentencias\1LIQUIDACIONES\1Liquidaciones%20Oficina%20Asesora%20Juridica\NORMAN%20QUINTERO%20ARCINIEGAS\LIQUIDACION%20NORMAN%20QUINTERO%20ARCINIEGAS.xlsx" TargetMode="External"/></Relationships>
</file>

<file path=xl/externalLinks/_rels/externalLink411.xml.rels><?xml version="1.0" encoding="UTF-8" standalone="yes"?>
<Relationships xmlns="http://schemas.openxmlformats.org/package/2006/relationships"><Relationship Id="rId1" Type="http://schemas.openxmlformats.org/officeDocument/2006/relationships/externalLinkPath" Target="file:///\\ATENEA\Liquidacion_de_Sentencias\1LIQUIDACIONES\1Liquidaciones%20Oficina%20Asesora%20Juridica\NERLY%20ESMITH%20SUAREZ%20Y%20OTROS\Liquidaci&#243;n%20NERLY%20ESMITH%20SUAREZ%20ZAPATA%20Y%20OTROS.xlsx" TargetMode="External"/></Relationships>
</file>

<file path=xl/externalLinks/_rels/externalLink412.xml.rels><?xml version="1.0" encoding="UTF-8" standalone="yes"?>
<Relationships xmlns="http://schemas.openxmlformats.org/package/2006/relationships"><Relationship Id="rId1" Type="http://schemas.openxmlformats.org/officeDocument/2006/relationships/externalLinkPath" Target="file:///\\ATENEA\Liquidacion_de_Sentencias\1LIQUIDACIONES\1Liquidaciones%20Oficina%20Asesora%20Juridica\FREDY%20HERNAN%20CUERVO%20VACA\LIQUIDACION%20FREDY%20HERNAN%20CUERVO%20VACA.xlsx" TargetMode="External"/></Relationships>
</file>

<file path=xl/externalLinks/_rels/externalLink413.xml.rels><?xml version="1.0" encoding="UTF-8" standalone="yes"?>
<Relationships xmlns="http://schemas.openxmlformats.org/package/2006/relationships"><Relationship Id="rId1" Type="http://schemas.openxmlformats.org/officeDocument/2006/relationships/externalLinkPath" Target="file:///\\ATENEA\Liquidacion_de_Sentencias\1LIQUIDACIONES\1Liquidaciones%20Oficina%20Asesora%20Juridica\SEVICOL\SEVICOL%20LTDA.xlsx" TargetMode="External"/></Relationships>
</file>

<file path=xl/externalLinks/_rels/externalLink414.xml.rels><?xml version="1.0" encoding="UTF-8" standalone="yes"?>
<Relationships xmlns="http://schemas.openxmlformats.org/package/2006/relationships"><Relationship Id="rId1" Type="http://schemas.openxmlformats.org/officeDocument/2006/relationships/externalLinkPath" Target="file:///\\ATENEA\Liquidacion_de_Sentencias\1LIQUIDACIONES\1Liquidaciones%20Oficina%20Asesora%20Juridica\ANGEL%20JESUS%20CASTRILLON%20ARANGO\LIQUIDACION%20ANGEL%20JESUS%20CASTRILLON%20ARANGO.xlsx" TargetMode="External"/></Relationships>
</file>

<file path=xl/externalLinks/_rels/externalLink415.xml.rels><?xml version="1.0" encoding="UTF-8" standalone="yes"?>
<Relationships xmlns="http://schemas.openxmlformats.org/package/2006/relationships"><Relationship Id="rId1" Type="http://schemas.openxmlformats.org/officeDocument/2006/relationships/externalLinkPath" Target="file:///\\ATENEA\Liquidacion_de_Sentencias\1LIQUIDACIONES\1Liquidaciones%20Oficina%20Asesora%20Juridica\MARGENI%20DEL%20CARMEN%20GONZALEZ%20PATERNINA\Liquidaci&#243;n%20MARGENI%20DEL%20CARMEN%20GONZALEZ%20PATERNINA%20CCA.xlsx" TargetMode="External"/></Relationships>
</file>

<file path=xl/externalLinks/_rels/externalLink416.xml.rels><?xml version="1.0" encoding="UTF-8" standalone="yes"?>
<Relationships xmlns="http://schemas.openxmlformats.org/package/2006/relationships"><Relationship Id="rId1" Type="http://schemas.openxmlformats.org/officeDocument/2006/relationships/externalLinkPath" Target="file:///\\ATENEA\Liquidacion_de_Sentencias\1LIQUIDACIONES\1Liquidaciones%20Oficina%20Asesora%20Juridica\GONZALO%20PALACIOS%20SALAZAR\LIQUIDACION%20GONZALO%20PALACIOS%20SALAZAR.xlsx" TargetMode="External"/></Relationships>
</file>

<file path=xl/externalLinks/_rels/externalLink417.xml.rels><?xml version="1.0" encoding="UTF-8" standalone="yes"?>
<Relationships xmlns="http://schemas.openxmlformats.org/package/2006/relationships"><Relationship Id="rId1" Type="http://schemas.openxmlformats.org/officeDocument/2006/relationships/externalLinkPath" Target="file:///\\ATENEA\Liquidacion_de_Sentencias\1LIQUIDACIONES\1Liquidaciones%20Oficina%20Asesora%20Juridica\DEIVID%20JOAN%20PE&#209;ALOZA%20RUSINQUE\LIQUIDACION%20DEIVID%20JOAN%20PE&#209;ALOZA%20RUSINQUE.xlsx" TargetMode="External"/></Relationships>
</file>

<file path=xl/externalLinks/_rels/externalLink418.xml.rels><?xml version="1.0" encoding="UTF-8" standalone="yes"?>
<Relationships xmlns="http://schemas.openxmlformats.org/package/2006/relationships"><Relationship Id="rId1" Type="http://schemas.openxmlformats.org/officeDocument/2006/relationships/externalLinkPath" Target="file:///\\ATENEA\Liquidacion_de_Sentencias\1LIQUIDACIONES\1Liquidaciones%20Oficina%20Asesora%20Juridica\GILDARDO%20SALAZAR%20SALAZAR%20Y%20OTROS\Liquidaci&#243;n%20GILDARDO%20SALAZAR%20SALAZAR%20Y%20OTROS%20CCA.xlsx" TargetMode="External"/></Relationships>
</file>

<file path=xl/externalLinks/_rels/externalLink419.xml.rels><?xml version="1.0" encoding="UTF-8" standalone="yes"?>
<Relationships xmlns="http://schemas.openxmlformats.org/package/2006/relationships"><Relationship Id="rId1" Type="http://schemas.openxmlformats.org/officeDocument/2006/relationships/externalLinkPath" Target="file:///\\ATENEA\Liquidacion_de_Sentencias\1LIQUIDACIONES\1Liquidaciones%20Oficina%20Asesora%20Juridica\GERMAN%20ANTONIO%20TUBERQUIA%20PETRO\Liquidaci&#243;n%20GERMAN%20ANTONIO%20TUBERQUIA%20PETRO.xlsx"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ATENEA\Liquidacion_de_Sentencias\1LIQUIDACIONES\2Liquidaciones%20Navarro%20Perez%20y%20Asociados\Gabriel%20Eduardo%20Ochoa%20Madera\38.%20LIQUIDACION%20GABRIEL%20EDUARDO%20OCHOA%20MADERA.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ATENEA\Liquidacion_de_Sentencias\1LIQUIDACIONES\2Liquidaciones%20Navarro%20Perez%20y%20Asociados\William%20Caballero%20Bautista\39.%20LIQUIDACION%20%20WILLIAM%20CABALLERO%20BAUTISTA.xlsx"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ATENEA\Liquidacion_de_Sentencias\1LIQUIDACIONES\2Liquidaciones%20Navarro%20Perez%20y%20Asociados\Felipe%20Cajar%20Quiroga\40.%20FELIPE%20CAJAR%20QUIROGA%20(1).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ATENEA\Liquidacion_de_Sentencias\1LIQUIDACIONES\2Liquidaciones%20Navarro%20Perez%20y%20Asociados\Beimar%20Andr&#233;s%20Mosquera\42.%20BEIMAR%20ANDRES%20MOSQUERA%20BLANDON.xlsx"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ATENEA\Liquidacion_de_Sentencias\1LIQUIDACIONES\2Liquidaciones%20Navarro%20Perez%20y%20Asociados\Carlos%20Alberto%20Tejeiro\43.%20LIQUIDACION%20CARLOS%20ALBERTO%20TEJEIRO.xlsx"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ATENEA\Liquidacion_de_Sentencias\1LIQUIDACIONES\3Liquidaciones%20LTK\Oscar%20de%20Jesus%20Osorio%20Agudelo\151.%20LIQUIDACION%20DE%20OSCAR%20DE%20JESUS%20OSORIO%20AGUDELO%20-%20PR.xlsx"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atenea\Liquidacion_de_Sentencias\1LIQUIDACIONES\2Liquidaciones%20Navarro%20Perez%20y%20Asociados\Fabian%20Alexander%20Ducuara\45.%20LIQUIDACION%20FABIAN%20ALEXANDER%20DUCUARA%20DIAZ.xlsx"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atenea\Liquidacion_de_Sentencias\1LIQUIDACIONES\2Liquidaciones%20Navarro%20Perez%20y%20Asociados\Gabriel%20Jaime%20Estrada%20Gallego\96.%20LIQUIDACION%20GABRIEL%20JAIME%20ESTRADA%20GALLEGO.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ATENEA\Liquidacion_de_Sentencias\1LIQUIDACIONES\1Liquidaciones%20Oficina%20Asesora%20Juridica\LUIS%20ARMANDO%20PEREZ%20FLOREZ\Reliquidaci&#243;n%20LUIS%20ARMANDO%20PEREZ%20FLOREZ.xlsx"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ATENEA\Liquidacion_de_Sentencias\1LIQUIDACIONES\3Liquidaciones%20LTK\Wilman%20Ernesto%20Lara%20Beltran\7.%20LIQUIDACION%20DE%20WILMAN%20ERNESTO%20LARA.xlsx"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atenea\Liquidacion_de_Sentencias\1LIQUIDACIONES\2Liquidaciones%20Navarro%20Perez%20y%20Asociados\Emilso%20Manuel%20Rodriguez%20Dorado\47.%20LIQUIDACION%20EMILSO%20MANUEL%20RODRIGUEZ%20DORADO.xlsx"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ATENEA\Liquidacion_de_Sentencias\1LIQUIDACIONES\2Liquidaciones%20Navarro%20Perez%20y%20Asociados\Gustavo%20Andres%20Castro%20Parra\48.%20LIQUIDACION%20GUSTAVO%20ANDRES%20CASTRO%20PARRA.xlsx"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ATENEA\Liquidacion_de_Sentencias\1LIQUIDACIONES\2Liquidaciones%20Navarro%20Perez%20y%20Asociados\Jaime%20Acosta%20Chavez\49.%20LIQUIDACION%20JAIME%20ACOSTA%20CHAVEZ.xlsx"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ATENEA\Liquidacion_de_Sentencias\1LIQUIDACIONES\2Liquidaciones%20Navarro%20Perez%20y%20Asociados\Ubadel%20Francisco%20Ortega%20Paternina\50.%20LIQUIDACION%20UBADEL%20FRANCISCO%20ORTEGA%20PATERNINA.xlsx"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atenea\Liquidacion_de_Sentencias\1LIQUIDACIONES\2Liquidaciones%20Navarro%20Perez%20y%20Asociados\Robert%20Eduardo%20Lopez%20Urrea\97.%20ROBERTH%20EDUARDO%20LOPEZ%20URREA%20-%20CCA.xlsx"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ATENEA\Liquidacion_de_Sentencias\1LIQUIDACIONES\1Liquidaciones%20Oficina%20Asesora%20Juridica\JOSE%20DEL%20CARMEN%20FUENTES\Liquidacion%20JOSE%20DEL%20CARMEN%20FUENTES.xlsx"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ATENEA\Liquidacion_de_Sentencias\1LIQUIDACIONES\3Liquidaciones%20LTK\Pedro%20Jose%20Vega%20Ricardo\6.%20LIQUIDACION%20%20DE%20PEDRO%20JOSE%20VEGA%20RICARDO.xlsx"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ATENEA\Liquidacion_de_Sentencias\1LIQUIDACIONES\1Liquidaciones%20Oficina%20Asesora%20Juridica\CLAUDIA%20HERLEN%20MANRIQUE%20RIBERO%20Y%20OTROS\217.%20CLAUDIA%20HERLEN%20MANRIQUE%20RIBERO%20Y%20OTROS.xlsx"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atenea\Liquidacion_de_Sentencias\1LIQUIDACIONES\2Liquidaciones%20Navarro%20Perez%20y%20Asociados\Jos&#233;%20Mauricio%20Ruiz%20Romero\51.%20LIQUIDACION%20JOSE%20MAURICIO%20RUIZ%20ROMERO.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ATENEA\Liquidacion_de_Sentencias\1LIQUIDACIONES\1Liquidaciones%20Oficina%20Asesora%20Juridica\JOSE%20EUTIMIO%20ORTIZ%20VELEZ\Liquidaci&#243;n%20JOSE%20EUTIMIO%20ORTIZ%20VELEZ.xlsx"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ATENEA\Liquidacion_de_Sentencias\1LIQUIDACIONES\2Liquidaciones%20Navarro%20Perez%20y%20Asociados\Ramiro%20Efren%20Leyton%20Forero\76.%20RAMIRO%20EFREN%20LEYTON%20FORERO%20-%20CPACA.xlsx"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ATENEA\Liquidacion_de_Sentencias\1LIQUIDACIONES\2Liquidaciones%20Navarro%20Perez%20y%20Asociados\Luis%20Francisco%20Guerra%20Perez\56.%20LIQUIDACION%20LUIS%20FRANCISCO%20GUERRA%20PEREZ.xlsx"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ATENEA\Liquidacion_de_Sentencias\1LIQUIDACIONES\3Liquidaciones%20LTK\Rafael%20Millan%20Hinestroza\13.%20LIQUIDACION%20DE%20RAFAEL%20MILLAN%20HINESTROZA.xlsx"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ATENEA\Liquidacion_de_Sentencias\1LIQUIDACIONES\1Liquidaciones%20Oficina%20Asesora%20Juridica\JAIME%20HERRERA%20REINA\Liquidaci&#243;n%20JAIME%20HERRERA%20REINA.xlsx"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ATENEA\Liquidacion_de_Sentencias\1LIQUIDACIONES\1Liquidaciones%20Oficina%20Asesora%20Juridica\1PAGADAS\ALEX%20DE%20JESUS%20MENDOZA%20DE%20LAS%20SALAS\Liquidaci&#243;n%20ALEX%20DE%20JESUS%20MENDOZA%20DE%20LAS%20SALAS%20instrucciones%20ANDREA%20BEDOYA.xlsx"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ATENEA\Liquidacion_de_Sentencias\1LIQUIDACIONES\2Liquidaciones%20Navarro%20Perez%20y%20Asociados\Carlos%20Andres%20Ramirez%20Vasquez\58.%20LIQUIDACION%20DE%20CARLOS%20ANDRES%20RAMIREZ%20VASQUEZ%20-%20CPACA.xlsx"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ATENEA\Liquidacion_de_Sentencias\1LIQUIDACIONES\1Liquidaciones%20Oficina%20Asesora%20Juridica\LUZ%20MARINA%20MONSALVE%20Y%20OTROS\Liquidaci&#243;n%20LUZ%20MARINA%20MONSALVE%20Y%20OTROS.xlsx"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TRINITY\Liquidacion_de_sentencias\1LIQUIDACIONES\2Liquidaciones%20Navarro%20Perez%20y%20Asociados\Augusto%20Andrade%20Torres\134.%20AUGUSTO%20ANDRADE%20TORRES%20---.xlsx"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atenea\Liquidacion_de_Sentencias\1LIQUIDACIONES\3Liquidaciones%20LTK\Milton%20Rafael%20de%20la%20Hoz%20Solano\25.%20LIQUIDACION%20DE%20MILTON%20RAFAEL%20DE%20LA%20HOZ%20SOLANO.xlsx"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ATENEA\Liquidacion_de_Sentencias\1LIQUIDACIONES\2Liquidaciones%20Navarro%20Perez%20y%20Asociados\Giovanny%20de%20los%20Milagros%20de%20la%20Hoz%20Gonzalez\137.%20LIQUIDACION%20GEOVANY%20DE%20LOS%20MILAGROS%20DE%20LA%20HOZ%20GONZALEZ.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ATENEA\Liquidacion_de_Sentencias\1LIQUIDACIONES\1Liquidaciones%20Oficina%20Asesora%20Juridica\1PAGADAS\MANUEL%20EDUARDO%20CONTRERAS%20DEL%20PORTILLO\RELiquidaci&#243;n%20Intereses%20Manuel%20Eduardo%20Contreras%20del%20Portillo.xlsx"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ATENEA\Liquidacion_de_Sentencias\1LIQUIDACIONES\3Liquidaciones%20LTK\Jorge%20Abad%20Escalante%20Hernandez\27.%20LIQUIDACION%20DE%20JORGE%20ABAD%20ESCALANTE%20HERNANDEZ.xlsx"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TRINITY\Liquidacion_de_sentencias\1LIQUIDACIONES\2Liquidaciones%20Navarro%20Perez%20y%20Asociados\German%20Eduardo%20Lozano%20Villarreal\199.%20LIQUIDACION%20GERMAN%20EDUARDO%20LOZANO%20VILLAREAL%20ok.xlsx"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TRINITY\Liquidacion_de_sentencias\1LIQUIDACIONES\2Liquidaciones%20Navarro%20Perez%20y%20Asociados\Andres%20David%20Padilla%20Escobar\143.%20LIQUIDACION%20ANDRES%20DAVID%20PADILLA%20ESCOBAR.xlsx"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ATENEA\Liquidacion_de_Sentencias\1LIQUIDACIONES\3Liquidaciones%20LTK\Edinson%20Francisco%20Doria%20Jimenez\34.%20LIQUIDACION%20DE%20EDINSON%20FRANCISCO%20DORIA%20JIMENEZ..xlsx"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ATENEA\Liquidacion_de_Sentencias\1LIQUIDACIONES\2Liquidaciones%20Navarro%20Perez%20y%20Asociados\Carlos%20Alberto%20Piracon%20Torres\125.%20LIQUIDACION%20CARLOS%20ALBERTO%20PIRACON%20TORRES-%20PR.xlsx"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ATENEA\Liquidacion_de_Sentencias\1LIQUIDACIONES\3Liquidaciones%20LTK\Wilson%20Albeiro%20Cardona%20Sepulveda\141.%20LIQUIDACI&#211;N%20DE%20WILSON%20ALBEIRO%20CARDONA%20SEP&#218;LVEDA..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atenea\Liquidacion_de_Sentencias\1LIQUIDACIONES\3Liquidaciones%20LTK\Luis%20Miguel%20Guevara%20Bustos\80.%20LIQUIDACION%20DE%20LUIS%20MIGUEL%20GUEVARA%20BUSTOS%20%20lista.xlsx"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ATENEA\Liquidacion_de_Sentencias\1LIQUIDACIONES\1Liquidaciones%20Oficina%20Asesora%20Juridica\CAMILO%20ERNESTO%20TORRES%20LAVERDE\Liquidaci&#243;n%20CAMILO%20ERNESTO%20TORRES%20LAVERDE.xlsx"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ATENEA\Liquidacion_de_Sentencias\1LIQUIDACIONES\1Liquidaciones%20Oficina%20Asesora%20Juridica\ESTEFANA%20RODRIGUEZ%20AGUILAR%20Y%20OTROS\Liquidaci&#243;n%20ESTEFANA%20RODRIGUEZ%20AGUILAR%20Y%20OTROS.xlsx"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ATENEA\Liquidacion_de_Sentencias\1LIQUIDACIONES\3Liquidaciones%20LTK\Arturo%20Enrique%20Lopez%20Gonzalez\666.%20LIQUIDACION%20DE%20ARTURO%20ENRIQUE%20LOPEZ%20GONZALEZ_ROSA.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ATENEA\Liquidacion_de_Sentencias\1LIQUIDACIONES\1Liquidaciones%20Oficina%20Asesora%20Juridica\INDIRA%20GOLDA%20ACOSTA%20HERAZO%20Y%20OTROS\LIQUIDACION%20INDIRA%20GOLDA%20ACOSTA%20HERAZO%20Y%20OTROS%20(version%201).xlsx"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ATENEA\Liquidacion_de_Sentencias\1LIQUIDACIONES\1Liquidaciones%20Oficina%20Asesora%20Juridica\JAVIER%20ERNESTO%20RODRIGUEZ%20MOLANO\Reliq%20JAVIER%20ERNESTO%20RODRIGUEZ%20MOLANO.xlsx"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ATENEA\Liquidacion_de_Sentencias\1LIQUIDACIONES\3Liquidaciones%20LTK\Jhon%20Fredy%20Zamudio%20Ramirez\220.%20LIQUIDACION%20DE%20%20JHON%20FREDDY%20ZAMUDIO%20-%20AURA.xlsx"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ATENEA\Liquidacion_de_Sentencias\1LIQUIDACIONES\1Liquidaciones%20Oficina%20Asesora%20Juridica\WILLINGTON%20RUEDA%20COBARIA\Mandamiento%20de%20Pago%20Willington%20Rueda%20Cobaria.xlsx"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TRINITY\Liquidacion_de_sentencias\1LIQUIDACIONES\1Liquidaciones%20Oficina%20Asesora%20Juridica\CARLOS%20CEPEDA%20SILVA\Reliq%20CARLOS%20CEPEDA%20SILVA.xlsx"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ATENEA\Liquidacion_de_Sentencias\1LIQUIDACIONES\1Liquidaciones%20Oficina%20Asesora%20Juridica\YUBERNEY%20TELLEZ%20GIRALDO\Reliq%20YUBERNEY%20TELLEZ%20GIRALDO1.xlsx"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ATENEA\Liquidacion_de_Sentencias\1LIQUIDACIONES\2Liquidaciones%20Navarro%20Perez%20y%20Asociados\Rogerio%20Rend&#243;n%20L&#243;pez\LIQUIDACION%20DE%20ROGERIO%20RENDON%20LOPEZ.xlsx"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TRINITY\Liquidacion_de_sentencias\1LIQUIDACIONES\1Liquidaciones%20Oficina%20Asesora%20Juridica\EDUARDO%20ALEXANDER%20CAPACHO%20ESPINEL\Liquidaci&#243;n%20EDUARDO%20ALEXANDER%20CAPACHO%20ESPINEL.xlsx"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TRINITY\Liquidacion_de_sentencias\1LIQUIDACIONES\3Liquidaciones%20LTK\Giovanny%20Ospina%20Franco%20(Migracion)\167.%20LIQUIDACION%20%20DE%20GIOVANNY%20OSPINA%20FRANCO.xlsx"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ATENEA\Liquidacion_de_Sentencias\1LIQUIDACIONES\1Liquidaciones%20Oficina%20Asesora%20Juridica\JUAN%20PABLO%20PARRA%20MU&#209;OZ\Liquidaci&#243;n%20JUAN%20PABLO%20PARRA%20MU&#209;OZ.xlsx"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ATENEA\Liquidacion_de_Sentencias\1LIQUIDACIONES\1Liquidaciones%20Oficina%20Asesora%20Juridica\ISABEL%20CRISTINA%20DIOSA\Liquidaci&#243;n%20ISABEL%20CRISTINA%20DIOSA.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ATENEA\Liquidacion_de_Sentencias\1LIQUIDACIONES\1Liquidaciones%20Oficina%20Asesora%20Juridica\ALONSO%20ARDILA%20ROJAS\Reliq%20ALONSO%20ARDILA%20ROJAS.xlsx"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ATENEA\Liquidacion_de_Sentencias\1LIQUIDACIONES\1Liquidaciones%20Oficina%20Asesora%20Juridica\JULIAN%20ANDRES%20RENTERIA%20GONZALEZ\Liquidaci&#243;n%20JULIAN%20ANDRES%20RENTERIA%20GONZALEZ.xlsx"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ATENEA\Liquidacion_de_Sentencias\1LIQUIDACIONES\3Liquidaciones%20LTK\Javier%20Mauricio%20Gutierrez\236.%20LIQ%20DE%20SENTENCIA%20%20DE%20JAVIER%20MAURICIO%20GUTIERREZ..xlsx"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ATENEA\Liquidacion_de_Sentencias\1LIQUIDACIONES\3Liquidaciones%20LTK\Jesus%20Roberto%20Eraso%20Cifuentes\5.%20LIQUIDACION%20DE%20JESUS%20ROBERTO%20ERAZO%20CIFUENTES.xlsx"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ATENEA\Liquidacion_de_Sentencias\1LIQUIDACIONES\3Liquidaciones%20LTK\Pedro%20Antonio%20Carre&#241;o%20Moreno\8.%20LIQUIDACION%20DE%20PEDRO%20ANTONIO%20CARRE&#209;O%20MORENO.xlsx"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ATENEA\Liquidacion_de_Sentencias\1LIQUIDACIONES\2Liquidaciones%20Navarro%20Perez%20y%20Asociados\Oscar%20Javier%20Palomino%20Villalba\99.%20LIQUIDACION%20OSCAR%20JAVIER%20PALOMINO%20VILLALBA.xlsx"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ATENEA\Liquidacion_de_Sentencias\1LIQUIDACIONES\2Liquidaciones%20Navarro%20Perez%20y%20Asociados\Jhon%20Edgar%20Aldana%20Rico\53.%20JOHN%20EDGAR%20ALDANA%20RICO%20-%20SALARIO.xlsx"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ATENEA\Liquidacion_de_Sentencias\1LIQUIDACIONES\3Liquidaciones%20LTK\Ricardo%20Ferrucho%20Pardo\12.%20LIQUIDACION%20%20DE%20RICARDO%20FERUCHO%20PARDO.xlsx"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ATENEA\Liquidacion_de_Sentencias\1LIQUIDACIONES\3Liquidaciones%20LTK\Wilber%20Cuellar%20Valente\15.%20LIQUIDACION%20%20DE%20WILVER%20CUELLAR%20VALENTE.xlsx"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ATENEA\Liquidacion_de_Sentencias\1LIQUIDACIONES\3Liquidaciones%20LTK\Roberto%20Carlos%20Polania%20Munar\19.%20LIQUIDACION%20DE%20ROBERTO%20CARLOS%20POLANIA%20MUNAR%20-%20PR.xlsx"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ATENEA\Liquidacion_de_Sentencias\1LIQUIDACIONES\2Liquidaciones%20Navarro%20Perez%20y%20Asociados\Virgilio%20Lopez%20Suarez\118.%20LIQUIDACION%20%20DE%20VIRGILIO%20LOPEZ%20SUAREZ%20-%20PR.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QUIDACIÓN NUCCI"/>
      <sheetName val="Hoja3"/>
    </sheetNames>
    <sheetDataSet>
      <sheetData sheetId="0">
        <row r="112">
          <cell r="H112">
            <v>71617016</v>
          </cell>
        </row>
      </sheetData>
      <sheetData sheetId="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sheetName val="Prest"/>
      <sheetName val="Seg social"/>
      <sheetName val="Index"/>
      <sheetName val="Intereses"/>
      <sheetName val="IPC DANE"/>
      <sheetName val="Histórico DTF"/>
      <sheetName val="IPC DANE vertical"/>
      <sheetName val="Int Cial"/>
      <sheetName val="Intereses sin abono"/>
    </sheetNames>
    <sheetDataSet>
      <sheetData sheetId="0">
        <row r="84">
          <cell r="N84">
            <v>158815609.33439815</v>
          </cell>
        </row>
      </sheetData>
      <sheetData sheetId="1"/>
      <sheetData sheetId="2"/>
      <sheetData sheetId="3"/>
      <sheetData sheetId="4"/>
      <sheetData sheetId="5"/>
      <sheetData sheetId="6"/>
      <sheetData sheetId="7"/>
      <sheetData sheetId="8"/>
      <sheetData sheetId="9"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sheetName val="Prestaciones"/>
      <sheetName val="Seg social"/>
      <sheetName val="Indexación"/>
      <sheetName val="Salarios-Honorarios"/>
      <sheetName val="Intereses"/>
      <sheetName val="IPC DANE"/>
      <sheetName val="Histórico DTF"/>
      <sheetName val="IPC DANE vertical"/>
      <sheetName val="Int Cial"/>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sheetName val="Prestaciones"/>
      <sheetName val="Factores Salariales"/>
      <sheetName val="Seg social"/>
      <sheetName val="Salarios-Honorarios"/>
      <sheetName val="Dif"/>
      <sheetName val="Indexación"/>
      <sheetName val="Intereses"/>
      <sheetName val="IPC DANE"/>
      <sheetName val="Histórico DTF"/>
      <sheetName val="IPC DANE vertical"/>
      <sheetName val="Int Cial"/>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sheetName val="Prestaciones"/>
      <sheetName val="Seg social"/>
      <sheetName val="Indexación"/>
      <sheetName val="Intereses"/>
      <sheetName val="IPC DANE"/>
      <sheetName val="Histórico DTF"/>
      <sheetName val="IPC DANE vertical"/>
      <sheetName val="Int Cial"/>
      <sheetName val="Salarios-Honorarios"/>
      <sheetName val="Diferencia"/>
    </sheetNames>
    <sheetDataSet>
      <sheetData sheetId="0"/>
      <sheetData sheetId="1"/>
      <sheetData sheetId="2"/>
      <sheetData sheetId="3"/>
      <sheetData sheetId="4"/>
      <sheetData sheetId="5"/>
      <sheetData sheetId="6"/>
      <sheetData sheetId="7"/>
      <sheetData sheetId="8"/>
      <sheetData sheetId="9" refreshError="1"/>
      <sheetData sheetId="10"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sheetName val="Prestaciones"/>
      <sheetName val="Factores Salariales"/>
      <sheetName val="Seg social"/>
      <sheetName val="Diferencia"/>
      <sheetName val="Indexación"/>
      <sheetName val="Intereses"/>
      <sheetName val="Hoja1"/>
      <sheetName val="IPC DANE"/>
      <sheetName val="Histórico DTF"/>
      <sheetName val="IPC DANE vertical"/>
      <sheetName val="Int Cial"/>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DE CONTRATOS "/>
      <sheetName val="Prestaciones"/>
      <sheetName val="Seguridad social"/>
      <sheetName val="Indexación"/>
      <sheetName val="Liquidación intereses"/>
      <sheetName val="IPC DANE"/>
      <sheetName val="Histórico DTF"/>
      <sheetName val="IPC DANE vertical"/>
      <sheetName val="Int Cial"/>
    </sheetNames>
    <sheetDataSet>
      <sheetData sheetId="0">
        <row r="80">
          <cell r="J80"/>
        </row>
      </sheetData>
      <sheetData sheetId="1"/>
      <sheetData sheetId="2"/>
      <sheetData sheetId="3"/>
      <sheetData sheetId="4"/>
      <sheetData sheetId="5"/>
      <sheetData sheetId="6"/>
      <sheetData sheetId="7"/>
      <sheetData sheetId="8"/>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sheetName val="Factores salariales"/>
      <sheetName val="Prestaciones"/>
      <sheetName val="Seg social"/>
      <sheetName val="Indexación"/>
      <sheetName val="Intereses"/>
      <sheetName val="IPC DANE"/>
      <sheetName val="Histórico DTF"/>
      <sheetName val="IPC DANE vertical"/>
      <sheetName val="Int Cial"/>
    </sheetNames>
    <sheetDataSet>
      <sheetData sheetId="0">
        <row r="63">
          <cell r="J63"/>
        </row>
      </sheetData>
      <sheetData sheetId="1"/>
      <sheetData sheetId="2"/>
      <sheetData sheetId="3"/>
      <sheetData sheetId="4"/>
      <sheetData sheetId="5"/>
      <sheetData sheetId="6"/>
      <sheetData sheetId="7"/>
      <sheetData sheetId="8"/>
      <sheetData sheetId="9"/>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sheetName val="Intereses"/>
      <sheetName val="IPC DANE"/>
      <sheetName val="Histórico DTF"/>
      <sheetName val="Int Cial"/>
    </sheetNames>
    <sheetDataSet>
      <sheetData sheetId="0">
        <row r="26">
          <cell r="L26">
            <v>3484949557.5453596</v>
          </cell>
        </row>
      </sheetData>
      <sheetData sheetId="1"/>
      <sheetData sheetId="2"/>
      <sheetData sheetId="3"/>
      <sheetData sheetId="4"/>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sheetName val="Prestaciones PR"/>
      <sheetName val="Seguridad social"/>
      <sheetName val="Indexación"/>
      <sheetName val="Intereses"/>
      <sheetName val="IPC DANE"/>
      <sheetName val="Histórico DTF"/>
      <sheetName val="Int Cial"/>
      <sheetName val="IPC DANE vertical"/>
    </sheetNames>
    <sheetDataSet>
      <sheetData sheetId="0">
        <row r="59">
          <cell r="J59">
            <v>25543161.182441298</v>
          </cell>
        </row>
      </sheetData>
      <sheetData sheetId="1"/>
      <sheetData sheetId="2"/>
      <sheetData sheetId="3"/>
      <sheetData sheetId="4"/>
      <sheetData sheetId="5"/>
      <sheetData sheetId="6"/>
      <sheetData sheetId="7"/>
      <sheetData sheetId="8"/>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sheetName val="Prestaciones"/>
      <sheetName val="Seg social"/>
      <sheetName val="Indexación"/>
      <sheetName val="Intereses"/>
      <sheetName val="IPC DANE"/>
      <sheetName val="Histórico DTF"/>
      <sheetName val="IPC DANE vertical"/>
      <sheetName val="Int Cial"/>
      <sheetName val="Hoja1"/>
    </sheetNames>
    <sheetDataSet>
      <sheetData sheetId="0">
        <row r="62">
          <cell r="J62"/>
        </row>
      </sheetData>
      <sheetData sheetId="1"/>
      <sheetData sheetId="2"/>
      <sheetData sheetId="3"/>
      <sheetData sheetId="4"/>
      <sheetData sheetId="5"/>
      <sheetData sheetId="6"/>
      <sheetData sheetId="7"/>
      <sheetData sheetId="8"/>
      <sheetData sheetId="9"/>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sheetName val="Intereses"/>
      <sheetName val="IPC DANE"/>
      <sheetName val="Histórico DTF"/>
      <sheetName val="Int Cial"/>
    </sheetNames>
    <sheetDataSet>
      <sheetData sheetId="0"/>
      <sheetData sheetId="1"/>
      <sheetData sheetId="2"/>
      <sheetData sheetId="3"/>
      <sheetData sheetId="4"/>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sheetName val="Prestaciones"/>
      <sheetName val="Seg social"/>
      <sheetName val="Indexación"/>
      <sheetName val="Intereses"/>
      <sheetName val="IPC DANE"/>
      <sheetName val="Histórico DTF"/>
      <sheetName val="IPC DANE vertical"/>
      <sheetName val="Int Cial"/>
    </sheetNames>
    <sheetDataSet>
      <sheetData sheetId="0">
        <row r="52">
          <cell r="N52">
            <v>26911734.948873699</v>
          </cell>
        </row>
      </sheetData>
      <sheetData sheetId="1"/>
      <sheetData sheetId="2"/>
      <sheetData sheetId="3"/>
      <sheetData sheetId="4"/>
      <sheetData sheetId="5"/>
      <sheetData sheetId="6"/>
      <sheetData sheetId="7"/>
      <sheetData sheetId="8"/>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sheetName val="Prestaciones"/>
      <sheetName val="Seg social"/>
      <sheetName val="Indexación"/>
      <sheetName val="Intereses"/>
      <sheetName val="IPC DANE"/>
      <sheetName val="Histórico DTF"/>
      <sheetName val="IPC DANE vertical"/>
      <sheetName val="Int Cial"/>
      <sheetName val="Hoja1"/>
    </sheetNames>
    <sheetDataSet>
      <sheetData sheetId="0">
        <row r="78">
          <cell r="J78"/>
        </row>
      </sheetData>
      <sheetData sheetId="1"/>
      <sheetData sheetId="2"/>
      <sheetData sheetId="3"/>
      <sheetData sheetId="4"/>
      <sheetData sheetId="5"/>
      <sheetData sheetId="6"/>
      <sheetData sheetId="7"/>
      <sheetData sheetId="8"/>
      <sheetData sheetId="9"/>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sheetName val="Prestaciones"/>
      <sheetName val="Seg social"/>
      <sheetName val="Indexación"/>
      <sheetName val="Intereses"/>
      <sheetName val="IPC DANE"/>
      <sheetName val="Histórico DTF"/>
      <sheetName val="IPC DANE vertical"/>
      <sheetName val="Int Cial"/>
    </sheetNames>
    <sheetDataSet>
      <sheetData sheetId="0"/>
      <sheetData sheetId="1"/>
      <sheetData sheetId="2"/>
      <sheetData sheetId="3"/>
      <sheetData sheetId="4"/>
      <sheetData sheetId="5"/>
      <sheetData sheetId="6"/>
      <sheetData sheetId="7"/>
      <sheetData sheetId="8"/>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sheetName val="Prestaciones PR"/>
      <sheetName val="Seg Social"/>
      <sheetName val="Indexación"/>
      <sheetName val="Intereses"/>
      <sheetName val="IPC DANE"/>
      <sheetName val="Histórico DTF"/>
      <sheetName val="Int Cial"/>
      <sheetName val="IPC DANE vertical"/>
    </sheetNames>
    <sheetDataSet>
      <sheetData sheetId="0">
        <row r="47">
          <cell r="J47"/>
        </row>
      </sheetData>
      <sheetData sheetId="1"/>
      <sheetData sheetId="2"/>
      <sheetData sheetId="3"/>
      <sheetData sheetId="4"/>
      <sheetData sheetId="5"/>
      <sheetData sheetId="6"/>
      <sheetData sheetId="7"/>
      <sheetData sheetId="8"/>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
      <sheetName val="Prestaciones PR"/>
      <sheetName val="Seg social"/>
      <sheetName val="Indexación"/>
      <sheetName val="Liquidación intereses"/>
      <sheetName val="IPC DANE"/>
      <sheetName val="Histórico DTF"/>
      <sheetName val="Int Cial"/>
      <sheetName val="IPC DANE vertical"/>
    </sheetNames>
    <sheetDataSet>
      <sheetData sheetId="0">
        <row r="48">
          <cell r="J48"/>
        </row>
      </sheetData>
      <sheetData sheetId="1"/>
      <sheetData sheetId="2"/>
      <sheetData sheetId="3"/>
      <sheetData sheetId="4"/>
      <sheetData sheetId="5"/>
      <sheetData sheetId="6"/>
      <sheetData sheetId="7"/>
      <sheetData sheetId="8"/>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sheetName val="Intereses"/>
      <sheetName val="IPC DANE"/>
      <sheetName val="Histórico DTF"/>
      <sheetName val="Int Cial"/>
    </sheetNames>
    <sheetDataSet>
      <sheetData sheetId="0">
        <row r="28">
          <cell r="K28">
            <v>121419245.66879109</v>
          </cell>
        </row>
      </sheetData>
      <sheetData sheetId="1"/>
      <sheetData sheetId="2"/>
      <sheetData sheetId="3"/>
      <sheetData sheetId="4"/>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
      <sheetName val="Prestaciones"/>
      <sheetName val="Seg social"/>
      <sheetName val="Indexación"/>
      <sheetName val="Intereses"/>
      <sheetName val="IPC DANE"/>
      <sheetName val="Histórico DTF"/>
      <sheetName val="IPC DANE vertical"/>
      <sheetName val="Int Cial"/>
      <sheetName val="Hoja1"/>
    </sheetNames>
    <sheetDataSet>
      <sheetData sheetId="0">
        <row r="84">
          <cell r="I84">
            <v>217192258.47778618</v>
          </cell>
          <cell r="J84">
            <v>345535295.37460923</v>
          </cell>
        </row>
      </sheetData>
      <sheetData sheetId="1"/>
      <sheetData sheetId="2"/>
      <sheetData sheetId="3"/>
      <sheetData sheetId="4"/>
      <sheetData sheetId="5"/>
      <sheetData sheetId="6"/>
      <sheetData sheetId="7"/>
      <sheetData sheetId="8"/>
      <sheetData sheetId="9"/>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sheetName val="Prestaciones"/>
      <sheetName val="Seg social"/>
      <sheetName val="Indexación"/>
      <sheetName val="Intereses"/>
      <sheetName val="IPC DANE"/>
      <sheetName val="Histórico DTF"/>
      <sheetName val="IPC DANE vertical"/>
      <sheetName val="Int Cial"/>
    </sheetNames>
    <sheetDataSet>
      <sheetData sheetId="0">
        <row r="65">
          <cell r="J65"/>
        </row>
      </sheetData>
      <sheetData sheetId="1"/>
      <sheetData sheetId="2"/>
      <sheetData sheetId="3"/>
      <sheetData sheetId="4"/>
      <sheetData sheetId="5"/>
      <sheetData sheetId="6"/>
      <sheetData sheetId="7"/>
      <sheetData sheetId="8"/>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sheetName val="Prestaciones PR"/>
      <sheetName val="Seg social"/>
      <sheetName val="Indexación"/>
      <sheetName val="Intereses"/>
      <sheetName val="IPC DANE"/>
      <sheetName val="Histórico DTF"/>
      <sheetName val="Int Cial"/>
      <sheetName val="IPC DANE vertical"/>
    </sheetNames>
    <sheetDataSet>
      <sheetData sheetId="0">
        <row r="56">
          <cell r="J56">
            <v>7460579.1683253385</v>
          </cell>
        </row>
      </sheetData>
      <sheetData sheetId="1"/>
      <sheetData sheetId="2"/>
      <sheetData sheetId="3"/>
      <sheetData sheetId="4"/>
      <sheetData sheetId="5"/>
      <sheetData sheetId="6"/>
      <sheetData sheetId="7"/>
      <sheetData sheetId="8"/>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sheetName val="Prestaciones PR"/>
      <sheetName val="Seg Social"/>
      <sheetName val="Indexación"/>
      <sheetName val="Intereses"/>
      <sheetName val="IPC DANE"/>
      <sheetName val="Histórico DTF"/>
      <sheetName val="Int Cial"/>
      <sheetName val="IPC DANE vertical"/>
    </sheetNames>
    <sheetDataSet>
      <sheetData sheetId="0"/>
      <sheetData sheetId="1"/>
      <sheetData sheetId="2"/>
      <sheetData sheetId="3"/>
      <sheetData sheetId="4"/>
      <sheetData sheetId="5"/>
      <sheetData sheetId="6"/>
      <sheetData sheetId="7"/>
      <sheetData sheetId="8"/>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sheetName val="Prestaciones PR"/>
      <sheetName val="Seg social"/>
      <sheetName val="Indexación"/>
      <sheetName val="Intereses"/>
      <sheetName val="IPC DANE"/>
      <sheetName val="Histórico DTF"/>
      <sheetName val="Int Cial"/>
      <sheetName val="IPC DANE vertical"/>
    </sheetNames>
    <sheetDataSet>
      <sheetData sheetId="0">
        <row r="54">
          <cell r="J54"/>
        </row>
      </sheetData>
      <sheetData sheetId="1"/>
      <sheetData sheetId="2"/>
      <sheetData sheetId="3"/>
      <sheetData sheetId="4"/>
      <sheetData sheetId="5"/>
      <sheetData sheetId="6"/>
      <sheetData sheetId="7"/>
      <sheetData sheetId="8"/>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quidación intereses"/>
      <sheetName val="IPC DANE"/>
      <sheetName val="Histórico DTF"/>
      <sheetName val="IPC DANE vertical"/>
      <sheetName val="Int Cial"/>
    </sheetNames>
    <sheetDataSet>
      <sheetData sheetId="0">
        <row r="33">
          <cell r="J33">
            <v>31526109.223175552</v>
          </cell>
        </row>
      </sheetData>
      <sheetData sheetId="1"/>
      <sheetData sheetId="2"/>
      <sheetData sheetId="3"/>
      <sheetData sheetId="4"/>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sheetName val="Prestaciones PR"/>
      <sheetName val="Seg social"/>
      <sheetName val="Indexación"/>
      <sheetName val="Intereses"/>
      <sheetName val="IPC DANE"/>
      <sheetName val="Histórico DTF"/>
      <sheetName val="Int Cial"/>
      <sheetName val="IPC DANE vertical"/>
    </sheetNames>
    <sheetDataSet>
      <sheetData sheetId="0">
        <row r="54">
          <cell r="J54"/>
        </row>
      </sheetData>
      <sheetData sheetId="1"/>
      <sheetData sheetId="2"/>
      <sheetData sheetId="3"/>
      <sheetData sheetId="4"/>
      <sheetData sheetId="5"/>
      <sheetData sheetId="6"/>
      <sheetData sheetId="7"/>
      <sheetData sheetId="8"/>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
      <sheetName val="Prestaciones PR"/>
      <sheetName val="Seguridad social"/>
      <sheetName val="Indexación"/>
      <sheetName val="Intereses"/>
      <sheetName val="IPC DANE"/>
      <sheetName val="Histórico DTF"/>
      <sheetName val="Int Cial"/>
      <sheetName val="IPC DANE vertical"/>
    </sheetNames>
    <sheetDataSet>
      <sheetData sheetId="0"/>
      <sheetData sheetId="1"/>
      <sheetData sheetId="2"/>
      <sheetData sheetId="3"/>
      <sheetData sheetId="4"/>
      <sheetData sheetId="5"/>
      <sheetData sheetId="6"/>
      <sheetData sheetId="7"/>
      <sheetData sheetId="8"/>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sheetName val="Prestaciones"/>
      <sheetName val="Seg social"/>
      <sheetName val="Indexación"/>
      <sheetName val="Intereses"/>
      <sheetName val="IPC DANE"/>
      <sheetName val="Histórico DTF"/>
      <sheetName val="IPC DANE vertical"/>
      <sheetName val="Int Cial"/>
    </sheetNames>
    <sheetDataSet>
      <sheetData sheetId="0"/>
      <sheetData sheetId="1"/>
      <sheetData sheetId="2"/>
      <sheetData sheetId="3"/>
      <sheetData sheetId="4"/>
      <sheetData sheetId="5"/>
      <sheetData sheetId="6"/>
      <sheetData sheetId="7"/>
      <sheetData sheetId="8"/>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sheetName val="Prestaciones PR"/>
      <sheetName val="Seg social"/>
      <sheetName val="Indexación"/>
      <sheetName val="Intereses"/>
      <sheetName val="IPC DANE"/>
      <sheetName val="Histórico DTF"/>
      <sheetName val="Int Cial"/>
      <sheetName val="IPC DANE vertical"/>
    </sheetNames>
    <sheetDataSet>
      <sheetData sheetId="0">
        <row r="59">
          <cell r="J59"/>
        </row>
      </sheetData>
      <sheetData sheetId="1"/>
      <sheetData sheetId="2"/>
      <sheetData sheetId="3"/>
      <sheetData sheetId="4"/>
      <sheetData sheetId="5"/>
      <sheetData sheetId="6"/>
      <sheetData sheetId="7"/>
      <sheetData sheetId="8"/>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sheetName val="Prest"/>
      <sheetName val="Seg Social"/>
      <sheetName val="Indexación"/>
      <sheetName val="Intereses"/>
      <sheetName val="IPC DANE"/>
      <sheetName val="Histórico DTF"/>
      <sheetName val="Int Cial"/>
      <sheetName val="IPC DANE vertical"/>
    </sheetNames>
    <sheetDataSet>
      <sheetData sheetId="0"/>
      <sheetData sheetId="1"/>
      <sheetData sheetId="2"/>
      <sheetData sheetId="3"/>
      <sheetData sheetId="4"/>
      <sheetData sheetId="5"/>
      <sheetData sheetId="6"/>
      <sheetData sheetId="7"/>
      <sheetData sheetId="8"/>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sheetName val="Prestaciones"/>
      <sheetName val="Seg social"/>
      <sheetName val="Indexación"/>
      <sheetName val="Intereses"/>
      <sheetName val="IPC DANE"/>
      <sheetName val="Histórico DTF"/>
      <sheetName val="IPC DANE vertical"/>
      <sheetName val="Int Cial"/>
      <sheetName val="Hoja1"/>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sheetName val="Prestaciones PR"/>
      <sheetName val="Seg Social"/>
      <sheetName val="Indexación"/>
      <sheetName val="Intereses"/>
      <sheetName val="IPC DANE"/>
      <sheetName val="Histórico DTF"/>
      <sheetName val="Int Cial"/>
      <sheetName val="IPC DANE vertical"/>
    </sheetNames>
    <sheetDataSet>
      <sheetData sheetId="0">
        <row r="46">
          <cell r="J46">
            <v>26131463.344451517</v>
          </cell>
        </row>
      </sheetData>
      <sheetData sheetId="1"/>
      <sheetData sheetId="2"/>
      <sheetData sheetId="3"/>
      <sheetData sheetId="4"/>
      <sheetData sheetId="5"/>
      <sheetData sheetId="6"/>
      <sheetData sheetId="7"/>
      <sheetData sheetId="8"/>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sheetName val="Hoja1"/>
      <sheetName val="Prestaciones"/>
      <sheetName val="Seg social"/>
      <sheetName val="Indexación"/>
      <sheetName val="Intereses"/>
      <sheetName val="IPC DANE"/>
      <sheetName val="Histórico DTF"/>
      <sheetName val="IPC DANE vertical"/>
      <sheetName val="Int Cial"/>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sheetName val="Prestaciones PR"/>
      <sheetName val="Seguridad Social"/>
      <sheetName val="Indexación"/>
      <sheetName val="Intereses"/>
      <sheetName val="IPC DANE"/>
      <sheetName val="Histórico DTF"/>
      <sheetName val="Int Cial"/>
      <sheetName val="IPC DANE vertical"/>
    </sheetNames>
    <sheetDataSet>
      <sheetData sheetId="0"/>
      <sheetData sheetId="1"/>
      <sheetData sheetId="2"/>
      <sheetData sheetId="3"/>
      <sheetData sheetId="4"/>
      <sheetData sheetId="5"/>
      <sheetData sheetId="6"/>
      <sheetData sheetId="7"/>
      <sheetData sheetId="8"/>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sheetName val="Prestaciones"/>
      <sheetName val="Seguridad social"/>
      <sheetName val="SALARIOS"/>
      <sheetName val="Dif a pagar"/>
      <sheetName val="Indexación"/>
      <sheetName val="Intereses"/>
      <sheetName val="IPC DANE"/>
      <sheetName val="Histórico DTF"/>
      <sheetName val="IPC DANE vertical"/>
      <sheetName val="Int Cial"/>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sheetName val="Prestaciones"/>
      <sheetName val="Seg social"/>
      <sheetName val="Indexación"/>
      <sheetName val="intereses"/>
      <sheetName val="IPC DANE"/>
      <sheetName val="Histórico DTF"/>
      <sheetName val="IPC DANE vertical"/>
      <sheetName val="Int Cial"/>
    </sheetNames>
    <sheetDataSet>
      <sheetData sheetId="0">
        <row r="58">
          <cell r="N58">
            <v>31423571.039190769</v>
          </cell>
        </row>
      </sheetData>
      <sheetData sheetId="1"/>
      <sheetData sheetId="2"/>
      <sheetData sheetId="3"/>
      <sheetData sheetId="4"/>
      <sheetData sheetId="5"/>
      <sheetData sheetId="6"/>
      <sheetData sheetId="7"/>
      <sheetData sheetId="8"/>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sheetName val="Prestaciones PR"/>
      <sheetName val="Indexación"/>
      <sheetName val="Intereses"/>
      <sheetName val="IPC DANE"/>
      <sheetName val="Histórico DTF"/>
      <sheetName val="Int Cial"/>
      <sheetName val="IPC DANE vertical"/>
    </sheetNames>
    <sheetDataSet>
      <sheetData sheetId="0"/>
      <sheetData sheetId="1"/>
      <sheetData sheetId="2"/>
      <sheetData sheetId="3"/>
      <sheetData sheetId="4"/>
      <sheetData sheetId="5"/>
      <sheetData sheetId="6"/>
      <sheetData sheetId="7"/>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sheetName val="Prestaciones"/>
      <sheetName val="Seg social"/>
      <sheetName val="Indexación"/>
      <sheetName val="Intereses"/>
      <sheetName val="IPC DANE"/>
      <sheetName val="Histórico DTF"/>
      <sheetName val="IPC DANE vertical"/>
      <sheetName val="Int Cial"/>
    </sheetNames>
    <sheetDataSet>
      <sheetData sheetId="0"/>
      <sheetData sheetId="1"/>
      <sheetData sheetId="2"/>
      <sheetData sheetId="3"/>
      <sheetData sheetId="4"/>
      <sheetData sheetId="5"/>
      <sheetData sheetId="6"/>
      <sheetData sheetId="7"/>
      <sheetData sheetId="8"/>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sheetName val="Prestaciones PR"/>
      <sheetName val="Seg Social"/>
      <sheetName val="Indexación"/>
      <sheetName val="Intereses"/>
      <sheetName val="IPC DANE"/>
      <sheetName val="Histórico DTF"/>
      <sheetName val="Int Cial"/>
      <sheetName val="IPC DANE vertical"/>
    </sheetNames>
    <sheetDataSet>
      <sheetData sheetId="0"/>
      <sheetData sheetId="1"/>
      <sheetData sheetId="2"/>
      <sheetData sheetId="3"/>
      <sheetData sheetId="4"/>
      <sheetData sheetId="5"/>
      <sheetData sheetId="6"/>
      <sheetData sheetId="7"/>
      <sheetData sheetId="8"/>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sheetName val="Prestaciones PR"/>
      <sheetName val="Seg Social"/>
      <sheetName val="Indexación"/>
      <sheetName val="Intereses"/>
      <sheetName val="IPC DANE"/>
      <sheetName val="Histórico DTF"/>
      <sheetName val="Int Cial"/>
      <sheetName val="IPC DANE vertical"/>
    </sheetNames>
    <sheetDataSet>
      <sheetData sheetId="0"/>
      <sheetData sheetId="1"/>
      <sheetData sheetId="2"/>
      <sheetData sheetId="3"/>
      <sheetData sheetId="4"/>
      <sheetData sheetId="5"/>
      <sheetData sheetId="6"/>
      <sheetData sheetId="7"/>
      <sheetData sheetId="8"/>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sheetName val="Prestaciones PR"/>
      <sheetName val="Seg social"/>
      <sheetName val="Indexación"/>
      <sheetName val="Intereses"/>
      <sheetName val="IPC DANE"/>
      <sheetName val="Histórico DTF"/>
      <sheetName val="Int Cial"/>
      <sheetName val="IPC DANE vertical"/>
    </sheetNames>
    <sheetDataSet>
      <sheetData sheetId="0">
        <row r="54">
          <cell r="J54"/>
        </row>
      </sheetData>
      <sheetData sheetId="1"/>
      <sheetData sheetId="2"/>
      <sheetData sheetId="3"/>
      <sheetData sheetId="4"/>
      <sheetData sheetId="5"/>
      <sheetData sheetId="6"/>
      <sheetData sheetId="7"/>
      <sheetData sheetId="8"/>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DE CONTRATOS "/>
      <sheetName val="Liquidación intereses"/>
      <sheetName val="IPC DANE"/>
      <sheetName val="Histórico DTF"/>
      <sheetName val="Int Cial"/>
    </sheetNames>
    <sheetDataSet>
      <sheetData sheetId="0"/>
      <sheetData sheetId="1"/>
      <sheetData sheetId="2"/>
      <sheetData sheetId="3"/>
      <sheetData sheetId="4"/>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sheetName val="Prestaciones"/>
      <sheetName val="Seg social"/>
      <sheetName val="Indexación"/>
      <sheetName val="Intereses"/>
      <sheetName val="IPC DANE"/>
      <sheetName val="Histórico DTF"/>
      <sheetName val="IPC DANE vertical"/>
      <sheetName val="Int Cial"/>
    </sheetNames>
    <sheetDataSet>
      <sheetData sheetId="0"/>
      <sheetData sheetId="1"/>
      <sheetData sheetId="2"/>
      <sheetData sheetId="3"/>
      <sheetData sheetId="4"/>
      <sheetData sheetId="5"/>
      <sheetData sheetId="6"/>
      <sheetData sheetId="7"/>
      <sheetData sheetId="8"/>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sheetName val="Prestaciones"/>
      <sheetName val="Seg social"/>
      <sheetName val="Indexación"/>
      <sheetName val="Intereses"/>
      <sheetName val="IPC DANE"/>
      <sheetName val="Histórico DTF"/>
      <sheetName val="IPC DANE vertical"/>
      <sheetName val="Int Cial"/>
    </sheetNames>
    <sheetDataSet>
      <sheetData sheetId="0"/>
      <sheetData sheetId="1"/>
      <sheetData sheetId="2"/>
      <sheetData sheetId="3"/>
      <sheetData sheetId="4"/>
      <sheetData sheetId="5"/>
      <sheetData sheetId="6"/>
      <sheetData sheetId="7"/>
      <sheetData sheetId="8"/>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
      <sheetName val="Prestaciones"/>
      <sheetName val="Seg social"/>
      <sheetName val="Indexación"/>
      <sheetName val="Intereses"/>
      <sheetName val="IPC DANE"/>
      <sheetName val="Histórico DTF"/>
      <sheetName val="IPC DANE vertical"/>
      <sheetName val="Int Cial"/>
    </sheetNames>
    <sheetDataSet>
      <sheetData sheetId="0"/>
      <sheetData sheetId="1"/>
      <sheetData sheetId="2"/>
      <sheetData sheetId="3"/>
      <sheetData sheetId="4"/>
      <sheetData sheetId="5"/>
      <sheetData sheetId="6"/>
      <sheetData sheetId="7"/>
      <sheetData sheetId="8"/>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sheetName val="Prestaciones PR "/>
      <sheetName val="Seg social"/>
      <sheetName val="Indexación"/>
      <sheetName val="Intereses"/>
      <sheetName val="IPC DANE"/>
      <sheetName val="Histórico DTF"/>
      <sheetName val="Int Cial"/>
      <sheetName val="IPC DANE vertical"/>
    </sheetNames>
    <sheetDataSet>
      <sheetData sheetId="0">
        <row r="54">
          <cell r="J54"/>
        </row>
      </sheetData>
      <sheetData sheetId="1"/>
      <sheetData sheetId="2"/>
      <sheetData sheetId="3"/>
      <sheetData sheetId="4"/>
      <sheetData sheetId="5"/>
      <sheetData sheetId="6"/>
      <sheetData sheetId="7"/>
      <sheetData sheetId="8"/>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sheetName val="Prestaciones"/>
      <sheetName val="Seg social"/>
      <sheetName val="Indexación"/>
      <sheetName val="Intereses"/>
      <sheetName val="IPC DANE"/>
      <sheetName val="Histórico DTF"/>
      <sheetName val="IPC DANE vertical"/>
      <sheetName val="Int Cial"/>
    </sheetNames>
    <sheetDataSet>
      <sheetData sheetId="0">
        <row r="84">
          <cell r="J84">
            <v>292375999.7170338</v>
          </cell>
        </row>
      </sheetData>
      <sheetData sheetId="1"/>
      <sheetData sheetId="2"/>
      <sheetData sheetId="3"/>
      <sheetData sheetId="4"/>
      <sheetData sheetId="5"/>
      <sheetData sheetId="6"/>
      <sheetData sheetId="7"/>
      <sheetData sheetId="8"/>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
      <sheetName val="Prestaciones"/>
      <sheetName val="Seg social"/>
      <sheetName val="Indexación"/>
      <sheetName val="Intereses"/>
      <sheetName val="IPC DANE"/>
      <sheetName val="Histórico DTF"/>
      <sheetName val="IPC DANE vertical"/>
      <sheetName val="Int Cial"/>
    </sheetNames>
    <sheetDataSet>
      <sheetData sheetId="0"/>
      <sheetData sheetId="1"/>
      <sheetData sheetId="2"/>
      <sheetData sheetId="3"/>
      <sheetData sheetId="4"/>
      <sheetData sheetId="5"/>
      <sheetData sheetId="6"/>
      <sheetData sheetId="7"/>
      <sheetData sheetId="8"/>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sheetName val="Prestaciones"/>
      <sheetName val="Seg social"/>
      <sheetName val="Indexación"/>
      <sheetName val="Intereses"/>
      <sheetName val="IPC DANE"/>
      <sheetName val="Histórico DTF"/>
      <sheetName val="IPC DANE vertical"/>
      <sheetName val="Int Cial"/>
    </sheetNames>
    <sheetDataSet>
      <sheetData sheetId="0"/>
      <sheetData sheetId="1"/>
      <sheetData sheetId="2"/>
      <sheetData sheetId="3"/>
      <sheetData sheetId="4"/>
      <sheetData sheetId="5"/>
      <sheetData sheetId="6"/>
      <sheetData sheetId="7"/>
      <sheetData sheetId="8"/>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sheetName val="Intereses"/>
      <sheetName val="IPC DANE"/>
      <sheetName val="Histórico DTF"/>
      <sheetName val="Int Cial"/>
    </sheetNames>
    <sheetDataSet>
      <sheetData sheetId="0"/>
      <sheetData sheetId="1"/>
      <sheetData sheetId="2"/>
      <sheetData sheetId="3"/>
      <sheetData sheetId="4"/>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sheetName val="Prestaciones"/>
      <sheetName val="Seg social"/>
      <sheetName val="Indexación"/>
      <sheetName val="Intereses"/>
      <sheetName val="IPC DANE"/>
      <sheetName val="Histórico DTF"/>
      <sheetName val="IPC DANE vertical"/>
      <sheetName val="Int Cial"/>
    </sheetNames>
    <sheetDataSet>
      <sheetData sheetId="0"/>
      <sheetData sheetId="1"/>
      <sheetData sheetId="2"/>
      <sheetData sheetId="3"/>
      <sheetData sheetId="4"/>
      <sheetData sheetId="5"/>
      <sheetData sheetId="6"/>
      <sheetData sheetId="7"/>
      <sheetData sheetId="8"/>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sheetName val="Prestaciones"/>
      <sheetName val="Seg social"/>
      <sheetName val="Indexación"/>
      <sheetName val="Intereses"/>
      <sheetName val="IPC DANE"/>
      <sheetName val="Histórico DTF"/>
      <sheetName val="IPC DANE vertical"/>
      <sheetName val="Int Cial"/>
    </sheetNames>
    <sheetDataSet>
      <sheetData sheetId="0">
        <row r="74">
          <cell r="J74"/>
        </row>
      </sheetData>
      <sheetData sheetId="1"/>
      <sheetData sheetId="2"/>
      <sheetData sheetId="3"/>
      <sheetData sheetId="4"/>
      <sheetData sheetId="5"/>
      <sheetData sheetId="6"/>
      <sheetData sheetId="7"/>
      <sheetData sheetId="8"/>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sheetName val="Prestaciones"/>
      <sheetName val="Seg social"/>
      <sheetName val="Indexación"/>
      <sheetName val="Intereses"/>
      <sheetName val="IPC DANE"/>
      <sheetName val="Histórico DTF"/>
      <sheetName val="IPC DANE vertical"/>
      <sheetName val="Int Cial"/>
    </sheetNames>
    <sheetDataSet>
      <sheetData sheetId="0">
        <row r="65">
          <cell r="J65">
            <v>22098965.439894974</v>
          </cell>
        </row>
      </sheetData>
      <sheetData sheetId="1"/>
      <sheetData sheetId="2"/>
      <sheetData sheetId="3"/>
      <sheetData sheetId="4"/>
      <sheetData sheetId="5"/>
      <sheetData sheetId="6"/>
      <sheetData sheetId="7"/>
      <sheetData sheetId="8"/>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sheetName val="Prestaciones"/>
      <sheetName val="Indexación"/>
      <sheetName val="Intereses"/>
      <sheetName val="IPC DANE"/>
      <sheetName val="Histórico DTF"/>
      <sheetName val="IPC DANE vertical"/>
      <sheetName val="Int Cial"/>
      <sheetName val="Hoja1"/>
    </sheetNames>
    <sheetDataSet>
      <sheetData sheetId="0"/>
      <sheetData sheetId="1"/>
      <sheetData sheetId="2"/>
      <sheetData sheetId="3"/>
      <sheetData sheetId="4"/>
      <sheetData sheetId="5"/>
      <sheetData sheetId="6"/>
      <sheetData sheetId="7"/>
      <sheetData sheetId="8"/>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
      <sheetName val="Seg social"/>
      <sheetName val="Indexación"/>
      <sheetName val="Intereses"/>
      <sheetName val="IPC DANE"/>
      <sheetName val="Histórico DTF"/>
      <sheetName val="IPC DANE vertical"/>
      <sheetName val="Int Cial"/>
    </sheetNames>
    <sheetDataSet>
      <sheetData sheetId="0">
        <row r="43">
          <cell r="J43">
            <v>3846984.714089876</v>
          </cell>
        </row>
      </sheetData>
      <sheetData sheetId="1"/>
      <sheetData sheetId="2"/>
      <sheetData sheetId="3"/>
      <sheetData sheetId="4"/>
      <sheetData sheetId="5"/>
      <sheetData sheetId="6"/>
      <sheetData sheetId="7"/>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sheetName val="Prestaciones"/>
      <sheetName val="Seg social"/>
      <sheetName val="Indexación"/>
      <sheetName val="Intereses"/>
      <sheetName val="IPC DANE"/>
      <sheetName val="Histórico DTF"/>
      <sheetName val="IPC DANE vertical"/>
      <sheetName val="Int Cial"/>
    </sheetNames>
    <sheetDataSet>
      <sheetData sheetId="0"/>
      <sheetData sheetId="1"/>
      <sheetData sheetId="2"/>
      <sheetData sheetId="3"/>
      <sheetData sheetId="4"/>
      <sheetData sheetId="5"/>
      <sheetData sheetId="6"/>
      <sheetData sheetId="7"/>
      <sheetData sheetId="8"/>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sheetName val="Prestaciones"/>
      <sheetName val="Seg social"/>
      <sheetName val="Retencion"/>
      <sheetName val="Indexación"/>
      <sheetName val="Intereses"/>
      <sheetName val="IPC DANE"/>
      <sheetName val="Histórico DTF"/>
      <sheetName val="IPC DANE vertical"/>
      <sheetName val="Int Cial"/>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DE CONTRATOS "/>
      <sheetName val="Prestaciones"/>
      <sheetName val="Seguridad social"/>
      <sheetName val="Indexación"/>
      <sheetName val="Liquidación intereses"/>
      <sheetName val="IPC DANE"/>
      <sheetName val="Histórico DTF"/>
      <sheetName val="Int Cial"/>
    </sheetNames>
    <sheetDataSet>
      <sheetData sheetId="0">
        <row r="64">
          <cell r="J64">
            <v>194625569.10436732</v>
          </cell>
        </row>
      </sheetData>
      <sheetData sheetId="1"/>
      <sheetData sheetId="2"/>
      <sheetData sheetId="3"/>
      <sheetData sheetId="4"/>
      <sheetData sheetId="5"/>
      <sheetData sheetId="6"/>
      <sheetData sheetId="7"/>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sheetName val="Prestaciones"/>
      <sheetName val="Seg social"/>
      <sheetName val="Indexación"/>
      <sheetName val="Intereses"/>
      <sheetName val="IPC DANE"/>
      <sheetName val="Histórico DTF"/>
      <sheetName val="IPC DANE vertical"/>
      <sheetName val="Int Cial"/>
    </sheetNames>
    <sheetDataSet>
      <sheetData sheetId="0"/>
      <sheetData sheetId="1"/>
      <sheetData sheetId="2"/>
      <sheetData sheetId="3"/>
      <sheetData sheetId="4"/>
      <sheetData sheetId="5"/>
      <sheetData sheetId="6"/>
      <sheetData sheetId="7"/>
      <sheetData sheetId="8"/>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
      <sheetName val="Prestaciones"/>
      <sheetName val="Seg social"/>
      <sheetName val="Salarios-Honorarios"/>
      <sheetName val="Diferencia"/>
      <sheetName val="Indexación"/>
      <sheetName val="Intereses"/>
      <sheetName val="IPC DANE"/>
      <sheetName val="Histórico DTF"/>
      <sheetName val="IPC DANE vertical"/>
      <sheetName val="Int Cial"/>
    </sheetNames>
    <sheetDataSet>
      <sheetData sheetId="0">
        <row r="63">
          <cell r="J63">
            <v>21063542.470896337</v>
          </cell>
        </row>
      </sheetData>
      <sheetData sheetId="1"/>
      <sheetData sheetId="2"/>
      <sheetData sheetId="3"/>
      <sheetData sheetId="4"/>
      <sheetData sheetId="5"/>
      <sheetData sheetId="6"/>
      <sheetData sheetId="7"/>
      <sheetData sheetId="8"/>
      <sheetData sheetId="9"/>
      <sheetData sheetId="10"/>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sheetName val="Prestaciones"/>
      <sheetName val="Seg social"/>
      <sheetName val="Indexación"/>
      <sheetName val="Intereses"/>
      <sheetName val="IPC DANE"/>
      <sheetName val="Histórico DTF"/>
      <sheetName val="IPC DANE vertical"/>
      <sheetName val="Int Cial"/>
    </sheetNames>
    <sheetDataSet>
      <sheetData sheetId="0"/>
      <sheetData sheetId="1"/>
      <sheetData sheetId="2"/>
      <sheetData sheetId="3"/>
      <sheetData sheetId="4"/>
      <sheetData sheetId="5"/>
      <sheetData sheetId="6"/>
      <sheetData sheetId="7"/>
      <sheetData sheetId="8"/>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sheetName val="Prestaciones PR"/>
      <sheetName val="Seg social"/>
      <sheetName val="Indexación"/>
      <sheetName val="Intereses"/>
      <sheetName val="IPC DANE"/>
      <sheetName val="Histórico DTF"/>
      <sheetName val="Int Cial"/>
      <sheetName val="IPC DANE vertical"/>
    </sheetNames>
    <sheetDataSet>
      <sheetData sheetId="0">
        <row r="55">
          <cell r="J55"/>
        </row>
      </sheetData>
      <sheetData sheetId="1"/>
      <sheetData sheetId="2"/>
      <sheetData sheetId="3"/>
      <sheetData sheetId="4"/>
      <sheetData sheetId="5"/>
      <sheetData sheetId="6"/>
      <sheetData sheetId="7"/>
      <sheetData sheetId="8"/>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sheetName val="Prestaciones"/>
      <sheetName val="Seg social"/>
      <sheetName val="Retenciones"/>
      <sheetName val="Polizas"/>
      <sheetName val="Indexación"/>
      <sheetName val="Intereses"/>
      <sheetName val="IPC DANE"/>
      <sheetName val="Histórico DTF"/>
      <sheetName val="IPC DANE vertical"/>
      <sheetName val="Int Cial"/>
    </sheetNames>
    <sheetDataSet>
      <sheetData sheetId="0">
        <row r="87">
          <cell r="J87">
            <v>402866238</v>
          </cell>
        </row>
      </sheetData>
      <sheetData sheetId="1"/>
      <sheetData sheetId="2"/>
      <sheetData sheetId="3"/>
      <sheetData sheetId="4"/>
      <sheetData sheetId="5"/>
      <sheetData sheetId="6"/>
      <sheetData sheetId="7"/>
      <sheetData sheetId="8"/>
      <sheetData sheetId="9"/>
      <sheetData sheetId="10"/>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sheetName val="Prestaciones"/>
      <sheetName val="Seg social"/>
      <sheetName val="Indexación"/>
      <sheetName val="Intereses"/>
      <sheetName val="IPC DANE"/>
      <sheetName val="Histórico DTF"/>
      <sheetName val="IPC DANE vertical"/>
      <sheetName val="Int Cial"/>
    </sheetNames>
    <sheetDataSet>
      <sheetData sheetId="0"/>
      <sheetData sheetId="1"/>
      <sheetData sheetId="2"/>
      <sheetData sheetId="3"/>
      <sheetData sheetId="4"/>
      <sheetData sheetId="5"/>
      <sheetData sheetId="6"/>
      <sheetData sheetId="7"/>
      <sheetData sheetId="8"/>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sheetName val="Prestaciones"/>
      <sheetName val="Seg social"/>
      <sheetName val="Indexación"/>
      <sheetName val="Intereses"/>
      <sheetName val="IPC DANE"/>
      <sheetName val="Histórico DTF"/>
      <sheetName val="IPC DANE vertical"/>
      <sheetName val="Int Cial"/>
      <sheetName val="Hoja1"/>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sheetName val="Prestaciones"/>
      <sheetName val="Seg social"/>
      <sheetName val="Indexación"/>
      <sheetName val="Intereses"/>
      <sheetName val="IPC DANE"/>
      <sheetName val="Histórico DTF"/>
      <sheetName val="IPC DANE vertical"/>
      <sheetName val="Int Cial"/>
    </sheetNames>
    <sheetDataSet>
      <sheetData sheetId="0"/>
      <sheetData sheetId="1"/>
      <sheetData sheetId="2"/>
      <sheetData sheetId="3"/>
      <sheetData sheetId="4"/>
      <sheetData sheetId="5"/>
      <sheetData sheetId="6"/>
      <sheetData sheetId="7"/>
      <sheetData sheetId="8"/>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sheetName val="Prestaciones PR"/>
      <sheetName val="Seg social"/>
      <sheetName val="Indexación"/>
      <sheetName val="Intereses"/>
      <sheetName val="IPC DANE"/>
      <sheetName val="Histórico DTF"/>
      <sheetName val="Int Cial"/>
      <sheetName val="IPC DANE vertical"/>
    </sheetNames>
    <sheetDataSet>
      <sheetData sheetId="0">
        <row r="56">
          <cell r="J56"/>
        </row>
      </sheetData>
      <sheetData sheetId="1"/>
      <sheetData sheetId="2"/>
      <sheetData sheetId="3"/>
      <sheetData sheetId="4"/>
      <sheetData sheetId="5"/>
      <sheetData sheetId="6"/>
      <sheetData sheetId="7"/>
      <sheetData sheetId="8"/>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sheetName val="Prestaciones"/>
      <sheetName val="Seg social"/>
      <sheetName val="Indexación"/>
      <sheetName val="Intereses"/>
      <sheetName val="IPC DANE"/>
      <sheetName val="Histórico DTF"/>
      <sheetName val="IPC DANE vertical"/>
      <sheetName val="Int Cial"/>
    </sheetNames>
    <sheetDataSet>
      <sheetData sheetId="0"/>
      <sheetData sheetId="1"/>
      <sheetData sheetId="2"/>
      <sheetData sheetId="3"/>
      <sheetData sheetId="4"/>
      <sheetData sheetId="5"/>
      <sheetData sheetId="6"/>
      <sheetData sheetId="7"/>
      <sheetData sheetId="8"/>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quidación intereses inicial"/>
      <sheetName val="Liquidación intereses"/>
      <sheetName val="IPC DANE"/>
      <sheetName val="Histórico DTF"/>
      <sheetName val="Int Cial"/>
    </sheetNames>
    <sheetDataSet>
      <sheetData sheetId="0"/>
      <sheetData sheetId="1">
        <row r="123">
          <cell r="J123">
            <v>13907373.184660349</v>
          </cell>
        </row>
      </sheetData>
      <sheetData sheetId="2"/>
      <sheetData sheetId="3"/>
      <sheetData sheetId="4"/>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sheetName val="Prestaciones"/>
      <sheetName val="Seg social"/>
      <sheetName val="Indexación"/>
      <sheetName val="Intereses"/>
      <sheetName val="IPC DANE"/>
      <sheetName val="Histórico DTF"/>
      <sheetName val="IPC DANE vertical"/>
      <sheetName val="Int Cial"/>
    </sheetNames>
    <sheetDataSet>
      <sheetData sheetId="0">
        <row r="64">
          <cell r="J64"/>
        </row>
      </sheetData>
      <sheetData sheetId="1"/>
      <sheetData sheetId="2"/>
      <sheetData sheetId="3"/>
      <sheetData sheetId="4"/>
      <sheetData sheetId="5"/>
      <sheetData sheetId="6"/>
      <sheetData sheetId="7"/>
      <sheetData sheetId="8"/>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sheetName val="Prestaciones PR"/>
      <sheetName val="Indexación"/>
      <sheetName val="Intereses"/>
      <sheetName val="IPC DANE"/>
      <sheetName val="Histórico DTF"/>
      <sheetName val="Int Cial"/>
      <sheetName val="IPC DANE vertical"/>
    </sheetNames>
    <sheetDataSet>
      <sheetData sheetId="0">
        <row r="48">
          <cell r="J48"/>
        </row>
      </sheetData>
      <sheetData sheetId="1"/>
      <sheetData sheetId="2"/>
      <sheetData sheetId="3"/>
      <sheetData sheetId="4"/>
      <sheetData sheetId="5"/>
      <sheetData sheetId="6"/>
      <sheetData sheetId="7"/>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sheetName val="Prestaciones"/>
      <sheetName val="Seg social"/>
      <sheetName val="Indexación"/>
      <sheetName val="Intereses"/>
      <sheetName val="IPC DANE"/>
      <sheetName val="Histórico DTF"/>
      <sheetName val="IPC DANE vertical"/>
      <sheetName val="Int Cial"/>
    </sheetNames>
    <sheetDataSet>
      <sheetData sheetId="0"/>
      <sheetData sheetId="1"/>
      <sheetData sheetId="2"/>
      <sheetData sheetId="3"/>
      <sheetData sheetId="4"/>
      <sheetData sheetId="5"/>
      <sheetData sheetId="6"/>
      <sheetData sheetId="7"/>
      <sheetData sheetId="8"/>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sheetName val="Prestaciones"/>
      <sheetName val="Seg social"/>
      <sheetName val="Indexación"/>
      <sheetName val="Intereses"/>
      <sheetName val="IPC DANE"/>
      <sheetName val="Histórico DTF"/>
      <sheetName val="IPC DANE vertical"/>
      <sheetName val="Int Cial"/>
    </sheetNames>
    <sheetDataSet>
      <sheetData sheetId="0">
        <row r="61">
          <cell r="J61"/>
        </row>
      </sheetData>
      <sheetData sheetId="1"/>
      <sheetData sheetId="2"/>
      <sheetData sheetId="3"/>
      <sheetData sheetId="4"/>
      <sheetData sheetId="5"/>
      <sheetData sheetId="6"/>
      <sheetData sheetId="7"/>
      <sheetData sheetId="8"/>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
      <sheetName val="Prestaciones PR"/>
      <sheetName val="Seg Social"/>
      <sheetName val="Indexación"/>
      <sheetName val="Intereses"/>
      <sheetName val="IPC DANE"/>
      <sheetName val="Histórico DTF"/>
      <sheetName val="Int Cial"/>
      <sheetName val="IPC DANE vertical"/>
    </sheetNames>
    <sheetDataSet>
      <sheetData sheetId="0"/>
      <sheetData sheetId="1"/>
      <sheetData sheetId="2"/>
      <sheetData sheetId="3"/>
      <sheetData sheetId="4"/>
      <sheetData sheetId="5"/>
      <sheetData sheetId="6"/>
      <sheetData sheetId="7"/>
      <sheetData sheetId="8"/>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
      <sheetName val="Prestaciones PR"/>
      <sheetName val="Indexación"/>
      <sheetName val="Intereses"/>
      <sheetName val="IPC DANE"/>
      <sheetName val="Histórico DTF"/>
      <sheetName val="Int Cial"/>
      <sheetName val="IPC DANE vertical"/>
      <sheetName val="Hoja1"/>
    </sheetNames>
    <sheetDataSet>
      <sheetData sheetId="0"/>
      <sheetData sheetId="1"/>
      <sheetData sheetId="2"/>
      <sheetData sheetId="3"/>
      <sheetData sheetId="4"/>
      <sheetData sheetId="5"/>
      <sheetData sheetId="6"/>
      <sheetData sheetId="7"/>
      <sheetData sheetId="8"/>
    </sheetDataSet>
  </externalBook>
</externalLink>
</file>

<file path=xl/externalLinks/externalLink1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sheetName val="Prestaciones"/>
      <sheetName val="Seg social"/>
      <sheetName val="Indexación"/>
      <sheetName val="Intereses"/>
      <sheetName val="IPC DANE"/>
      <sheetName val="Histórico DTF"/>
      <sheetName val="IPC DANE vertical"/>
      <sheetName val="Int Cial"/>
    </sheetNames>
    <sheetDataSet>
      <sheetData sheetId="0"/>
      <sheetData sheetId="1"/>
      <sheetData sheetId="2"/>
      <sheetData sheetId="3"/>
      <sheetData sheetId="4"/>
      <sheetData sheetId="5"/>
      <sheetData sheetId="6"/>
      <sheetData sheetId="7"/>
      <sheetData sheetId="8"/>
    </sheetDataSet>
  </externalBook>
</externalLink>
</file>

<file path=xl/externalLinks/externalLink1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sheetName val="Prestaciones PR"/>
      <sheetName val="Seg Social"/>
      <sheetName val="Indexación"/>
      <sheetName val="Intereses"/>
      <sheetName val="IPC DANE"/>
      <sheetName val="Histórico DTF"/>
      <sheetName val="Int Cial"/>
      <sheetName val="IPC DANE vertical"/>
    </sheetNames>
    <sheetDataSet>
      <sheetData sheetId="0"/>
      <sheetData sheetId="1"/>
      <sheetData sheetId="2"/>
      <sheetData sheetId="3"/>
      <sheetData sheetId="4"/>
      <sheetData sheetId="5"/>
      <sheetData sheetId="6"/>
      <sheetData sheetId="7"/>
      <sheetData sheetId="8"/>
    </sheetDataSet>
  </externalBook>
</externalLink>
</file>

<file path=xl/externalLinks/externalLink1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sheetName val="Prestaciones PR"/>
      <sheetName val="Seg Social"/>
      <sheetName val="Indexación"/>
      <sheetName val="Intereses"/>
      <sheetName val="IPC DANE"/>
      <sheetName val="Histórico DTF"/>
      <sheetName val="Int Cial"/>
      <sheetName val="IPC DANE vertical"/>
    </sheetNames>
    <sheetDataSet>
      <sheetData sheetId="0"/>
      <sheetData sheetId="1"/>
      <sheetData sheetId="2"/>
      <sheetData sheetId="3"/>
      <sheetData sheetId="4"/>
      <sheetData sheetId="5"/>
      <sheetData sheetId="6"/>
      <sheetData sheetId="7"/>
      <sheetData sheetId="8"/>
    </sheetDataSet>
  </externalBook>
</externalLink>
</file>

<file path=xl/externalLinks/externalLink1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sheetName val="Prestaciones"/>
      <sheetName val="Seg social"/>
      <sheetName val="Indexación"/>
      <sheetName val="Intereses"/>
      <sheetName val="IPC DANE"/>
      <sheetName val="Histórico DTF"/>
      <sheetName val="Int Cial"/>
    </sheetNames>
    <sheetDataSet>
      <sheetData sheetId="0"/>
      <sheetData sheetId="1"/>
      <sheetData sheetId="2"/>
      <sheetData sheetId="3"/>
      <sheetData sheetId="4"/>
      <sheetData sheetId="5"/>
      <sheetData sheetId="6"/>
      <sheetData sheetId="7"/>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sheetName val="Prestaciones"/>
      <sheetName val="Seg social"/>
      <sheetName val="Retención Fte"/>
      <sheetName val="Indexación"/>
      <sheetName val="Intereses"/>
      <sheetName val="IPC DANE"/>
      <sheetName val="Histórico DTF"/>
      <sheetName val="IPC DANE vertical"/>
      <sheetName val="Int Cial"/>
    </sheetNames>
    <sheetDataSet>
      <sheetData sheetId="0">
        <row r="56">
          <cell r="J56">
            <v>30075815.108449824</v>
          </cell>
        </row>
      </sheetData>
      <sheetData sheetId="1"/>
      <sheetData sheetId="2"/>
      <sheetData sheetId="3"/>
      <sheetData sheetId="4"/>
      <sheetData sheetId="5"/>
      <sheetData sheetId="6"/>
      <sheetData sheetId="7"/>
      <sheetData sheetId="8"/>
      <sheetData sheetId="9"/>
    </sheetDataSet>
  </externalBook>
</externalLink>
</file>

<file path=xl/externalLinks/externalLink1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sheetName val="Prestaciones"/>
      <sheetName val="Seg social"/>
      <sheetName val="Indexación"/>
      <sheetName val="Intereses"/>
      <sheetName val="IPC DANE"/>
      <sheetName val="Histórico DTF"/>
      <sheetName val="IPC DANE vertical"/>
      <sheetName val="Int Cial"/>
    </sheetNames>
    <sheetDataSet>
      <sheetData sheetId="0">
        <row r="65">
          <cell r="J65"/>
        </row>
      </sheetData>
      <sheetData sheetId="1"/>
      <sheetData sheetId="2"/>
      <sheetData sheetId="3"/>
      <sheetData sheetId="4"/>
      <sheetData sheetId="5"/>
      <sheetData sheetId="6"/>
      <sheetData sheetId="7"/>
      <sheetData sheetId="8"/>
    </sheetDataSet>
  </externalBook>
</externalLink>
</file>

<file path=xl/externalLinks/externalLink1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sheetName val="Prestaciones PR"/>
      <sheetName val="Indexación"/>
      <sheetName val="Intereses"/>
      <sheetName val="IPC DANE"/>
      <sheetName val="Histórico DTF"/>
      <sheetName val="Int Cial"/>
      <sheetName val="IPC DANE vertical"/>
    </sheetNames>
    <sheetDataSet>
      <sheetData sheetId="0">
        <row r="54">
          <cell r="J54"/>
        </row>
      </sheetData>
      <sheetData sheetId="1"/>
      <sheetData sheetId="2"/>
      <sheetData sheetId="3"/>
      <sheetData sheetId="4"/>
      <sheetData sheetId="5"/>
      <sheetData sheetId="6"/>
      <sheetData sheetId="7"/>
    </sheetDataSet>
  </externalBook>
</externalLink>
</file>

<file path=xl/externalLinks/externalLink1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sheetName val="Prestaciones"/>
      <sheetName val="Seg social"/>
      <sheetName val="Indexación"/>
      <sheetName val="Intereses"/>
      <sheetName val="IPC DANE"/>
      <sheetName val="Histórico DTF"/>
      <sheetName val="IPC DANE vertical"/>
      <sheetName val="Int Cial"/>
    </sheetNames>
    <sheetDataSet>
      <sheetData sheetId="0"/>
      <sheetData sheetId="1"/>
      <sheetData sheetId="2"/>
      <sheetData sheetId="3"/>
      <sheetData sheetId="4"/>
      <sheetData sheetId="5"/>
      <sheetData sheetId="6"/>
      <sheetData sheetId="7"/>
      <sheetData sheetId="8"/>
    </sheetDataSet>
  </externalBook>
</externalLink>
</file>

<file path=xl/externalLinks/externalLink1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sheetName val="Prestaciones PR"/>
      <sheetName val="Seg social"/>
      <sheetName val="Indexación"/>
      <sheetName val="Intereses"/>
      <sheetName val="IPC DANE"/>
      <sheetName val="Histórico DTF"/>
      <sheetName val="Int Cial"/>
      <sheetName val="IPC DANE vertical"/>
    </sheetNames>
    <sheetDataSet>
      <sheetData sheetId="0">
        <row r="74">
          <cell r="J74">
            <v>14656265.901186351</v>
          </cell>
        </row>
      </sheetData>
      <sheetData sheetId="1"/>
      <sheetData sheetId="2"/>
      <sheetData sheetId="3"/>
      <sheetData sheetId="4"/>
      <sheetData sheetId="5"/>
      <sheetData sheetId="6"/>
      <sheetData sheetId="7"/>
      <sheetData sheetId="8"/>
    </sheetDataSet>
  </externalBook>
</externalLink>
</file>

<file path=xl/externalLinks/externalLink1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sheetName val="Prestaciones"/>
      <sheetName val="Seg social"/>
      <sheetName val="Indexación"/>
      <sheetName val="Intereses"/>
      <sheetName val="IPC DANE"/>
      <sheetName val="Histórico DTF"/>
      <sheetName val="IPC DANE vertical"/>
      <sheetName val="Int Cial"/>
      <sheetName val="Hoja1"/>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1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sheetName val="Prestaciones PR"/>
      <sheetName val="Seg social"/>
      <sheetName val="Indexación"/>
      <sheetName val="Intereses"/>
      <sheetName val="IPC DANE"/>
      <sheetName val="Histórico DTF"/>
      <sheetName val="Int Cial"/>
      <sheetName val="IPC DANE vertical"/>
    </sheetNames>
    <sheetDataSet>
      <sheetData sheetId="0">
        <row r="55">
          <cell r="J55"/>
        </row>
      </sheetData>
      <sheetData sheetId="1"/>
      <sheetData sheetId="2"/>
      <sheetData sheetId="3"/>
      <sheetData sheetId="4"/>
      <sheetData sheetId="5"/>
      <sheetData sheetId="6"/>
      <sheetData sheetId="7"/>
      <sheetData sheetId="8"/>
    </sheetDataSet>
  </externalBook>
</externalLink>
</file>

<file path=xl/externalLinks/externalLink1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sheetName val="Prestaciones"/>
      <sheetName val="Seg social"/>
      <sheetName val="Indexación"/>
      <sheetName val="Intereses"/>
      <sheetName val="IPC DANE"/>
      <sheetName val="Histórico DTF"/>
      <sheetName val="IPC DANE vertical"/>
      <sheetName val="Int Cial"/>
    </sheetNames>
    <sheetDataSet>
      <sheetData sheetId="0">
        <row r="72">
          <cell r="J72"/>
        </row>
      </sheetData>
      <sheetData sheetId="1"/>
      <sheetData sheetId="2"/>
      <sheetData sheetId="3"/>
      <sheetData sheetId="4"/>
      <sheetData sheetId="5"/>
      <sheetData sheetId="6"/>
      <sheetData sheetId="7"/>
      <sheetData sheetId="8"/>
    </sheetDataSet>
  </externalBook>
</externalLink>
</file>

<file path=xl/externalLinks/externalLink1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sheetName val="Prestaciones"/>
      <sheetName val="Seg social"/>
      <sheetName val="Indexación"/>
      <sheetName val="Intereses"/>
      <sheetName val="IPC DANE"/>
      <sheetName val="Histórico DTF"/>
      <sheetName val="IPC DANE vertical"/>
      <sheetName val="Int Cial"/>
    </sheetNames>
    <sheetDataSet>
      <sheetData sheetId="0"/>
      <sheetData sheetId="1"/>
      <sheetData sheetId="2"/>
      <sheetData sheetId="3"/>
      <sheetData sheetId="4"/>
      <sheetData sheetId="5"/>
      <sheetData sheetId="6"/>
      <sheetData sheetId="7"/>
      <sheetData sheetId="8"/>
    </sheetDataSet>
  </externalBook>
</externalLink>
</file>

<file path=xl/externalLinks/externalLink1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sheetName val="Prestaciones"/>
      <sheetName val="Seg social"/>
      <sheetName val="Indexación"/>
      <sheetName val="Intereses"/>
      <sheetName val="IPC DANE"/>
      <sheetName val="Histórico DTF"/>
      <sheetName val="IPC DANE vertical"/>
      <sheetName val="Int Cial"/>
    </sheetNames>
    <sheetDataSet>
      <sheetData sheetId="0">
        <row r="60">
          <cell r="J60"/>
        </row>
      </sheetData>
      <sheetData sheetId="1"/>
      <sheetData sheetId="2"/>
      <sheetData sheetId="3"/>
      <sheetData sheetId="4"/>
      <sheetData sheetId="5"/>
      <sheetData sheetId="6"/>
      <sheetData sheetId="7"/>
      <sheetData sheetId="8"/>
    </sheetDataSet>
  </externalBook>
</externalLink>
</file>

<file path=xl/externalLinks/externalLink1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sheetName val="Prestaciones"/>
      <sheetName val="Seg social"/>
      <sheetName val="Indexación"/>
      <sheetName val="Intereses"/>
      <sheetName val="IPC DANE"/>
      <sheetName val="Histórico DTF"/>
      <sheetName val="IPC DANE vertical"/>
      <sheetName val="Int Cial"/>
    </sheetNames>
    <sheetDataSet>
      <sheetData sheetId="0"/>
      <sheetData sheetId="1"/>
      <sheetData sheetId="2"/>
      <sheetData sheetId="3"/>
      <sheetData sheetId="4"/>
      <sheetData sheetId="5"/>
      <sheetData sheetId="6"/>
      <sheetData sheetId="7"/>
      <sheetData sheetId="8"/>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
      <sheetName val="Prestaciones PR"/>
      <sheetName val="Indexación"/>
      <sheetName val="Intereses"/>
      <sheetName val="IPC DANE"/>
      <sheetName val="Histórico DTF"/>
      <sheetName val="Int Cial"/>
      <sheetName val="IPC DANE vertical"/>
    </sheetNames>
    <sheetDataSet>
      <sheetData sheetId="0">
        <row r="44">
          <cell r="J44">
            <v>5271672.8256157394</v>
          </cell>
        </row>
      </sheetData>
      <sheetData sheetId="1"/>
      <sheetData sheetId="2"/>
      <sheetData sheetId="3"/>
      <sheetData sheetId="4"/>
      <sheetData sheetId="5"/>
      <sheetData sheetId="6"/>
      <sheetData sheetId="7"/>
    </sheetDataSet>
  </externalBook>
</externalLink>
</file>

<file path=xl/externalLinks/externalLink1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sheetName val="Prestaciones"/>
      <sheetName val="Seg social"/>
      <sheetName val="Indexación"/>
      <sheetName val="Intereses"/>
      <sheetName val="IPC DANE"/>
      <sheetName val="Histórico DTF"/>
      <sheetName val="IPC DANE vertical"/>
      <sheetName val="Int Cial"/>
    </sheetNames>
    <sheetDataSet>
      <sheetData sheetId="0"/>
      <sheetData sheetId="1"/>
      <sheetData sheetId="2"/>
      <sheetData sheetId="3"/>
      <sheetData sheetId="4"/>
      <sheetData sheetId="5"/>
      <sheetData sheetId="6"/>
      <sheetData sheetId="7"/>
      <sheetData sheetId="8"/>
    </sheetDataSet>
  </externalBook>
</externalLink>
</file>

<file path=xl/externalLinks/externalLink1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sheetName val="Prestaciones PR"/>
      <sheetName val="Seg social"/>
      <sheetName val="Indexación"/>
      <sheetName val="Intereses"/>
      <sheetName val="IPC DANE"/>
      <sheetName val="Histórico DTF"/>
      <sheetName val="Int Cial"/>
      <sheetName val="IPC DANE vertical"/>
    </sheetNames>
    <sheetDataSet>
      <sheetData sheetId="0">
        <row r="53">
          <cell r="J53"/>
        </row>
      </sheetData>
      <sheetData sheetId="1"/>
      <sheetData sheetId="2"/>
      <sheetData sheetId="3"/>
      <sheetData sheetId="4"/>
      <sheetData sheetId="5"/>
      <sheetData sheetId="6"/>
      <sheetData sheetId="7"/>
      <sheetData sheetId="8"/>
    </sheetDataSet>
  </externalBook>
</externalLink>
</file>

<file path=xl/externalLinks/externalLink1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sheetName val="Prestaciones"/>
      <sheetName val="Seg social"/>
      <sheetName val="Indexación"/>
      <sheetName val="Intereses"/>
      <sheetName val="IPC DANE"/>
      <sheetName val="Histórico DTF"/>
      <sheetName val="IPC DANE vertical"/>
      <sheetName val="Int Cial"/>
    </sheetNames>
    <sheetDataSet>
      <sheetData sheetId="0">
        <row r="86">
          <cell r="J86"/>
        </row>
      </sheetData>
      <sheetData sheetId="1"/>
      <sheetData sheetId="2"/>
      <sheetData sheetId="3"/>
      <sheetData sheetId="4"/>
      <sheetData sheetId="5"/>
      <sheetData sheetId="6"/>
      <sheetData sheetId="7"/>
      <sheetData sheetId="8"/>
    </sheetDataSet>
  </externalBook>
</externalLink>
</file>

<file path=xl/externalLinks/externalLink1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sheetName val="Prestaciones PR"/>
      <sheetName val="Indexación"/>
      <sheetName val="Intereses"/>
      <sheetName val="IPC DANE"/>
      <sheetName val="Histórico DTF"/>
      <sheetName val="Int Cial"/>
      <sheetName val="IPC DANE vertical"/>
    </sheetNames>
    <sheetDataSet>
      <sheetData sheetId="0">
        <row r="62">
          <cell r="J62"/>
        </row>
      </sheetData>
      <sheetData sheetId="1"/>
      <sheetData sheetId="2"/>
      <sheetData sheetId="3"/>
      <sheetData sheetId="4"/>
      <sheetData sheetId="5"/>
      <sheetData sheetId="6"/>
      <sheetData sheetId="7"/>
    </sheetDataSet>
  </externalBook>
</externalLink>
</file>

<file path=xl/externalLinks/externalLink1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sheetName val="Prestaciones PR"/>
      <sheetName val="Seg social"/>
      <sheetName val="Indexación"/>
      <sheetName val="Intereses"/>
      <sheetName val="IPC DANE"/>
      <sheetName val="Histórico DTF"/>
      <sheetName val="Int Cial"/>
      <sheetName val="IPC DANE vertical"/>
    </sheetNames>
    <sheetDataSet>
      <sheetData sheetId="0">
        <row r="50">
          <cell r="J50"/>
        </row>
      </sheetData>
      <sheetData sheetId="1"/>
      <sheetData sheetId="2"/>
      <sheetData sheetId="3"/>
      <sheetData sheetId="4"/>
      <sheetData sheetId="5"/>
      <sheetData sheetId="6"/>
      <sheetData sheetId="7"/>
      <sheetData sheetId="8"/>
    </sheetDataSet>
  </externalBook>
</externalLink>
</file>

<file path=xl/externalLinks/externalLink1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sheetName val="Prestaciones"/>
      <sheetName val="Seg social"/>
      <sheetName val="Indexación"/>
      <sheetName val="Intereses"/>
      <sheetName val="IPC DANE"/>
      <sheetName val="Histórico DTF"/>
      <sheetName val="IPC DANE vertical"/>
      <sheetName val="Int Cial"/>
    </sheetNames>
    <sheetDataSet>
      <sheetData sheetId="0">
        <row r="76">
          <cell r="J76"/>
        </row>
      </sheetData>
      <sheetData sheetId="1"/>
      <sheetData sheetId="2"/>
      <sheetData sheetId="3"/>
      <sheetData sheetId="4"/>
      <sheetData sheetId="5"/>
      <sheetData sheetId="6"/>
      <sheetData sheetId="7"/>
      <sheetData sheetId="8"/>
    </sheetDataSet>
  </externalBook>
</externalLink>
</file>

<file path=xl/externalLinks/externalLink1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sheetName val="Prestaciones"/>
      <sheetName val="Seg social"/>
      <sheetName val="Indexación"/>
      <sheetName val="Intereses"/>
      <sheetName val="IPC DANE"/>
      <sheetName val="Histórico DTF"/>
      <sheetName val="IPC DANE vertical"/>
      <sheetName val="Int Cial"/>
    </sheetNames>
    <sheetDataSet>
      <sheetData sheetId="0">
        <row r="66">
          <cell r="J66"/>
        </row>
      </sheetData>
      <sheetData sheetId="1"/>
      <sheetData sheetId="2"/>
      <sheetData sheetId="3"/>
      <sheetData sheetId="4"/>
      <sheetData sheetId="5"/>
      <sheetData sheetId="6"/>
      <sheetData sheetId="7"/>
      <sheetData sheetId="8"/>
    </sheetDataSet>
  </externalBook>
</externalLink>
</file>

<file path=xl/externalLinks/externalLink1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sheetName val="Prestaciones PR"/>
      <sheetName val="Indexación"/>
      <sheetName val="Intereses"/>
      <sheetName val="IPC DANE"/>
      <sheetName val="Histórico DTF"/>
      <sheetName val="Int Cial"/>
      <sheetName val="IPC DANE vertical"/>
    </sheetNames>
    <sheetDataSet>
      <sheetData sheetId="0">
        <row r="43">
          <cell r="J43"/>
        </row>
      </sheetData>
      <sheetData sheetId="1"/>
      <sheetData sheetId="2"/>
      <sheetData sheetId="3"/>
      <sheetData sheetId="4"/>
      <sheetData sheetId="5"/>
      <sheetData sheetId="6"/>
      <sheetData sheetId="7"/>
    </sheetDataSet>
  </externalBook>
</externalLink>
</file>

<file path=xl/externalLinks/externalLink1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sheetName val="Prestaciones PR"/>
      <sheetName val="Indexación"/>
      <sheetName val="Intereses"/>
      <sheetName val="IPC DANE"/>
      <sheetName val="Histórico DTF"/>
      <sheetName val="Int Cial"/>
      <sheetName val="IPC DANE vertical"/>
    </sheetNames>
    <sheetDataSet>
      <sheetData sheetId="0"/>
      <sheetData sheetId="1"/>
      <sheetData sheetId="2"/>
      <sheetData sheetId="3"/>
      <sheetData sheetId="4"/>
      <sheetData sheetId="5"/>
      <sheetData sheetId="6"/>
      <sheetData sheetId="7"/>
    </sheetDataSet>
  </externalBook>
</externalLink>
</file>

<file path=xl/externalLinks/externalLink1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sheetName val="Prestaciones"/>
      <sheetName val="Seg social"/>
      <sheetName val="Indexación"/>
      <sheetName val="Intereses"/>
      <sheetName val="IPC DANE"/>
      <sheetName val="Histórico DTF"/>
      <sheetName val="IPC DANE vertical"/>
      <sheetName val="Int Cial"/>
    </sheetNames>
    <sheetDataSet>
      <sheetData sheetId="0"/>
      <sheetData sheetId="1"/>
      <sheetData sheetId="2"/>
      <sheetData sheetId="3"/>
      <sheetData sheetId="4"/>
      <sheetData sheetId="5"/>
      <sheetData sheetId="6"/>
      <sheetData sheetId="7"/>
      <sheetData sheetId="8"/>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sheetName val="Prest"/>
      <sheetName val="Seg social"/>
      <sheetName val="Rtefte"/>
      <sheetName val="Indexación"/>
      <sheetName val="Intereses"/>
      <sheetName val="IPC DANE"/>
      <sheetName val="Histórico DTF"/>
      <sheetName val="IPC DANE vertical"/>
      <sheetName val="Int Cial"/>
    </sheetNames>
    <sheetDataSet>
      <sheetData sheetId="0">
        <row r="72">
          <cell r="J72">
            <v>247853303.12581319</v>
          </cell>
        </row>
      </sheetData>
      <sheetData sheetId="1"/>
      <sheetData sheetId="2"/>
      <sheetData sheetId="3"/>
      <sheetData sheetId="4"/>
      <sheetData sheetId="5"/>
      <sheetData sheetId="6"/>
      <sheetData sheetId="7"/>
      <sheetData sheetId="8"/>
      <sheetData sheetId="9"/>
    </sheetDataSet>
  </externalBook>
</externalLink>
</file>

<file path=xl/externalLinks/externalLink1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sheetName val="Prestaciones"/>
      <sheetName val="Seg social"/>
      <sheetName val="Indexación"/>
      <sheetName val="Intereses"/>
      <sheetName val="IPC DANE"/>
      <sheetName val="Histórico DTF"/>
      <sheetName val="IPC DANE vertical"/>
      <sheetName val="Int Cial"/>
    </sheetNames>
    <sheetDataSet>
      <sheetData sheetId="0">
        <row r="64">
          <cell r="J64"/>
        </row>
      </sheetData>
      <sheetData sheetId="1"/>
      <sheetData sheetId="2"/>
      <sheetData sheetId="3"/>
      <sheetData sheetId="4"/>
      <sheetData sheetId="5"/>
      <sheetData sheetId="6"/>
      <sheetData sheetId="7"/>
      <sheetData sheetId="8"/>
    </sheetDataSet>
  </externalBook>
</externalLink>
</file>

<file path=xl/externalLinks/externalLink1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sheetName val="Prestaciones"/>
      <sheetName val="Indexación"/>
      <sheetName val="Intereses"/>
      <sheetName val="IPC DANE"/>
      <sheetName val="Histórico DTF"/>
      <sheetName val="IPC DANE vertical"/>
      <sheetName val="Int Cial"/>
    </sheetNames>
    <sheetDataSet>
      <sheetData sheetId="0">
        <row r="61">
          <cell r="J61"/>
        </row>
      </sheetData>
      <sheetData sheetId="1"/>
      <sheetData sheetId="2"/>
      <sheetData sheetId="3"/>
      <sheetData sheetId="4"/>
      <sheetData sheetId="5"/>
      <sheetData sheetId="6"/>
      <sheetData sheetId="7"/>
    </sheetDataSet>
  </externalBook>
</externalLink>
</file>

<file path=xl/externalLinks/externalLink1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sheetName val="Prestaciones"/>
      <sheetName val="Seg social"/>
      <sheetName val="Indexación"/>
      <sheetName val="Intereses"/>
      <sheetName val="IPC DANE"/>
      <sheetName val="Histórico DTF"/>
      <sheetName val="IPC DANE vertical"/>
      <sheetName val="Int Cial"/>
    </sheetNames>
    <sheetDataSet>
      <sheetData sheetId="0"/>
      <sheetData sheetId="1"/>
      <sheetData sheetId="2"/>
      <sheetData sheetId="3"/>
      <sheetData sheetId="4"/>
      <sheetData sheetId="5"/>
      <sheetData sheetId="6"/>
      <sheetData sheetId="7"/>
      <sheetData sheetId="8"/>
    </sheetDataSet>
  </externalBook>
</externalLink>
</file>

<file path=xl/externalLinks/externalLink1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sheetName val="Prestaciones"/>
      <sheetName val="Seg social"/>
      <sheetName val="Indexación"/>
      <sheetName val="Intereses"/>
      <sheetName val="IPC DANE"/>
      <sheetName val="Histórico DTF"/>
      <sheetName val="IPC DANE vertical"/>
      <sheetName val="Int Cial"/>
    </sheetNames>
    <sheetDataSet>
      <sheetData sheetId="0"/>
      <sheetData sheetId="1"/>
      <sheetData sheetId="2"/>
      <sheetData sheetId="3"/>
      <sheetData sheetId="4"/>
      <sheetData sheetId="5"/>
      <sheetData sheetId="6"/>
      <sheetData sheetId="7"/>
      <sheetData sheetId="8"/>
    </sheetDataSet>
  </externalBook>
</externalLink>
</file>

<file path=xl/externalLinks/externalLink1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sheetName val="Prestaciones"/>
      <sheetName val="Seg social"/>
      <sheetName val="Indexación"/>
      <sheetName val="Intereses"/>
      <sheetName val="IPC DANE"/>
      <sheetName val="Histórico DTF"/>
      <sheetName val="IPC DANE vertical"/>
      <sheetName val="Int Cial"/>
    </sheetNames>
    <sheetDataSet>
      <sheetData sheetId="0"/>
      <sheetData sheetId="1"/>
      <sheetData sheetId="2"/>
      <sheetData sheetId="3"/>
      <sheetData sheetId="4"/>
      <sheetData sheetId="5"/>
      <sheetData sheetId="6"/>
      <sheetData sheetId="7"/>
      <sheetData sheetId="8"/>
    </sheetDataSet>
  </externalBook>
</externalLink>
</file>

<file path=xl/externalLinks/externalLink1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sheetName val="Prestaciones PR"/>
      <sheetName val="Seg social"/>
      <sheetName val="Indexación"/>
      <sheetName val="Intereses"/>
      <sheetName val="IPC DANE"/>
      <sheetName val="Histórico DTF"/>
      <sheetName val="Int Cial"/>
      <sheetName val="IPC DANE vertical"/>
    </sheetNames>
    <sheetDataSet>
      <sheetData sheetId="0">
        <row r="55">
          <cell r="J55">
            <v>22837013.803050119</v>
          </cell>
        </row>
      </sheetData>
      <sheetData sheetId="1"/>
      <sheetData sheetId="2"/>
      <sheetData sheetId="3"/>
      <sheetData sheetId="4"/>
      <sheetData sheetId="5"/>
      <sheetData sheetId="6"/>
      <sheetData sheetId="7"/>
      <sheetData sheetId="8"/>
    </sheetDataSet>
  </externalBook>
</externalLink>
</file>

<file path=xl/externalLinks/externalLink1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sheetName val="Prestaciones"/>
      <sheetName val="Seg social"/>
      <sheetName val="Indexación"/>
      <sheetName val="Intereses"/>
      <sheetName val="IPC DANE"/>
      <sheetName val="Histórico DTF"/>
      <sheetName val="IPC DANE vertical"/>
      <sheetName val="Int Cial"/>
    </sheetNames>
    <sheetDataSet>
      <sheetData sheetId="0"/>
      <sheetData sheetId="1"/>
      <sheetData sheetId="2"/>
      <sheetData sheetId="3"/>
      <sheetData sheetId="4"/>
      <sheetData sheetId="5"/>
      <sheetData sheetId="6"/>
      <sheetData sheetId="7"/>
      <sheetData sheetId="8"/>
    </sheetDataSet>
  </externalBook>
</externalLink>
</file>

<file path=xl/externalLinks/externalLink1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sheetName val="Prestaciones"/>
      <sheetName val="Seg social"/>
      <sheetName val="Indexación"/>
      <sheetName val="Intereses"/>
      <sheetName val="IPC DANE"/>
      <sheetName val="Histórico DTF"/>
      <sheetName val="IPC DANE vertical"/>
      <sheetName val="Int Cial"/>
    </sheetNames>
    <sheetDataSet>
      <sheetData sheetId="0"/>
      <sheetData sheetId="1"/>
      <sheetData sheetId="2"/>
      <sheetData sheetId="3"/>
      <sheetData sheetId="4"/>
      <sheetData sheetId="5"/>
      <sheetData sheetId="6"/>
      <sheetData sheetId="7"/>
      <sheetData sheetId="8"/>
    </sheetDataSet>
  </externalBook>
</externalLink>
</file>

<file path=xl/externalLinks/externalLink1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sheetName val="Prestaciones"/>
      <sheetName val="Seg social"/>
      <sheetName val="Indexación"/>
      <sheetName val="intereses"/>
      <sheetName val="IPC DANE"/>
      <sheetName val="Histórico DTF"/>
      <sheetName val="IPC DANE vertical"/>
      <sheetName val="Int Cial"/>
    </sheetNames>
    <sheetDataSet>
      <sheetData sheetId="0"/>
      <sheetData sheetId="1"/>
      <sheetData sheetId="2"/>
      <sheetData sheetId="3"/>
      <sheetData sheetId="4"/>
      <sheetData sheetId="5"/>
      <sheetData sheetId="6"/>
      <sheetData sheetId="7"/>
      <sheetData sheetId="8"/>
    </sheetDataSet>
  </externalBook>
</externalLink>
</file>

<file path=xl/externalLinks/externalLink1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sheetName val="Prestaciones"/>
      <sheetName val="Seg social"/>
      <sheetName val="Indexación"/>
      <sheetName val="Intereses"/>
      <sheetName val="IPC DANE"/>
      <sheetName val="Histórico DTF"/>
      <sheetName val="Int Cial"/>
    </sheetNames>
    <sheetDataSet>
      <sheetData sheetId="0">
        <row r="56">
          <cell r="N56">
            <v>76667030.871091738</v>
          </cell>
        </row>
      </sheetData>
      <sheetData sheetId="1"/>
      <sheetData sheetId="2"/>
      <sheetData sheetId="3"/>
      <sheetData sheetId="4"/>
      <sheetData sheetId="5"/>
      <sheetData sheetId="6"/>
      <sheetData sheetId="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sheetName val="Prest"/>
      <sheetName val="Seg social"/>
      <sheetName val="Index"/>
      <sheetName val="Intereses"/>
      <sheetName val="IPC DANE"/>
      <sheetName val="Histórico DTF"/>
      <sheetName val="IPC DANE vertical"/>
      <sheetName val="Int Cial"/>
    </sheetNames>
    <sheetDataSet>
      <sheetData sheetId="0">
        <row r="62">
          <cell r="N62">
            <v>904971.33892954316</v>
          </cell>
        </row>
      </sheetData>
      <sheetData sheetId="1"/>
      <sheetData sheetId="2"/>
      <sheetData sheetId="3"/>
      <sheetData sheetId="4"/>
      <sheetData sheetId="5"/>
      <sheetData sheetId="6"/>
      <sheetData sheetId="7"/>
      <sheetData sheetId="8"/>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sheetName val="Prestaciones"/>
      <sheetName val="Seg social"/>
      <sheetName val="Indexación"/>
      <sheetName val="Intereses"/>
      <sheetName val="IPC DANE"/>
      <sheetName val="Histórico DTF"/>
      <sheetName val="IPC DANE vertical"/>
      <sheetName val="Int Cial"/>
    </sheetNames>
    <sheetDataSet>
      <sheetData sheetId="0">
        <row r="72">
          <cell r="J72">
            <v>231395397.13398102</v>
          </cell>
        </row>
      </sheetData>
      <sheetData sheetId="1"/>
      <sheetData sheetId="2"/>
      <sheetData sheetId="3"/>
      <sheetData sheetId="4"/>
      <sheetData sheetId="5"/>
      <sheetData sheetId="6"/>
      <sheetData sheetId="7"/>
      <sheetData sheetId="8"/>
    </sheetDataSet>
  </externalBook>
</externalLink>
</file>

<file path=xl/externalLinks/externalLink2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sheetName val="Prestaciones PR"/>
      <sheetName val="Seg social"/>
      <sheetName val="Indexación"/>
      <sheetName val="Intereses"/>
      <sheetName val="IPC DANE"/>
      <sheetName val="Histórico DTF"/>
      <sheetName val="Int Cial"/>
      <sheetName val="IPC DANE vertical"/>
    </sheetNames>
    <sheetDataSet>
      <sheetData sheetId="0">
        <row r="53">
          <cell r="J53"/>
        </row>
      </sheetData>
      <sheetData sheetId="1"/>
      <sheetData sheetId="2"/>
      <sheetData sheetId="3"/>
      <sheetData sheetId="4"/>
      <sheetData sheetId="5"/>
      <sheetData sheetId="6"/>
      <sheetData sheetId="7"/>
      <sheetData sheetId="8"/>
    </sheetDataSet>
  </externalBook>
</externalLink>
</file>

<file path=xl/externalLinks/externalLink2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sheetName val="Prestaciones PR"/>
      <sheetName val="Seg Social "/>
      <sheetName val="Indexación"/>
      <sheetName val="Intereses"/>
      <sheetName val="IPC DANE"/>
      <sheetName val="Histórico DTF"/>
      <sheetName val="Int Cial"/>
      <sheetName val="IPC DANE vertical"/>
    </sheetNames>
    <sheetDataSet>
      <sheetData sheetId="0">
        <row r="60">
          <cell r="J60"/>
        </row>
      </sheetData>
      <sheetData sheetId="1"/>
      <sheetData sheetId="2"/>
      <sheetData sheetId="3"/>
      <sheetData sheetId="4"/>
      <sheetData sheetId="5"/>
      <sheetData sheetId="6"/>
      <sheetData sheetId="7"/>
      <sheetData sheetId="8"/>
    </sheetDataSet>
  </externalBook>
</externalLink>
</file>

<file path=xl/externalLinks/externalLink2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sheetName val="Seg social"/>
      <sheetName val="Indexación"/>
      <sheetName val="Intereses"/>
      <sheetName val="IPC DANE"/>
      <sheetName val="Histórico DTF"/>
      <sheetName val="IPC DANE vertical"/>
      <sheetName val="Int Cial"/>
    </sheetNames>
    <sheetDataSet>
      <sheetData sheetId="0">
        <row r="49">
          <cell r="J49">
            <v>6207073.2579522114</v>
          </cell>
        </row>
      </sheetData>
      <sheetData sheetId="1"/>
      <sheetData sheetId="2"/>
      <sheetData sheetId="3"/>
      <sheetData sheetId="4"/>
      <sheetData sheetId="5"/>
      <sheetData sheetId="6"/>
      <sheetData sheetId="7"/>
    </sheetDataSet>
  </externalBook>
</externalLink>
</file>

<file path=xl/externalLinks/externalLink2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sheetName val="Prestaciones"/>
      <sheetName val="Seg social"/>
      <sheetName val="Indexación"/>
      <sheetName val="Intereses"/>
      <sheetName val="IPC DANE"/>
      <sheetName val="Histórico DTF"/>
      <sheetName val="IPC DANE vertical"/>
      <sheetName val="Int Cial"/>
    </sheetNames>
    <sheetDataSet>
      <sheetData sheetId="0">
        <row r="62">
          <cell r="J62"/>
        </row>
      </sheetData>
      <sheetData sheetId="1"/>
      <sheetData sheetId="2"/>
      <sheetData sheetId="3"/>
      <sheetData sheetId="4"/>
      <sheetData sheetId="5"/>
      <sheetData sheetId="6"/>
      <sheetData sheetId="7"/>
      <sheetData sheetId="8"/>
    </sheetDataSet>
  </externalBook>
</externalLink>
</file>

<file path=xl/externalLinks/externalLink2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sheetName val="Prestaciones"/>
      <sheetName val="Seg social"/>
      <sheetName val="Indexación"/>
      <sheetName val="Intereses"/>
      <sheetName val="IPC DANE"/>
      <sheetName val="Histórico DTF"/>
      <sheetName val="IPC DANE vertical"/>
      <sheetName val="Int Cial"/>
    </sheetNames>
    <sheetDataSet>
      <sheetData sheetId="0"/>
      <sheetData sheetId="1"/>
      <sheetData sheetId="2"/>
      <sheetData sheetId="3"/>
      <sheetData sheetId="4"/>
      <sheetData sheetId="5"/>
      <sheetData sheetId="6"/>
      <sheetData sheetId="7"/>
      <sheetData sheetId="8"/>
    </sheetDataSet>
  </externalBook>
</externalLink>
</file>

<file path=xl/externalLinks/externalLink2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sheetName val="Prestaciones"/>
      <sheetName val="Seg social"/>
      <sheetName val="Indexación"/>
      <sheetName val="Intereses"/>
      <sheetName val="IPC DANE"/>
      <sheetName val="Histórico DTF"/>
      <sheetName val="IPC DANE vertical"/>
      <sheetName val="Int Cial"/>
    </sheetNames>
    <sheetDataSet>
      <sheetData sheetId="0"/>
      <sheetData sheetId="1"/>
      <sheetData sheetId="2"/>
      <sheetData sheetId="3"/>
      <sheetData sheetId="4"/>
      <sheetData sheetId="5"/>
      <sheetData sheetId="6"/>
      <sheetData sheetId="7"/>
      <sheetData sheetId="8"/>
    </sheetDataSet>
  </externalBook>
</externalLink>
</file>

<file path=xl/externalLinks/externalLink2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sheetName val="Prestaciones"/>
      <sheetName val="Seg social"/>
      <sheetName val="Indexación"/>
      <sheetName val="Intereses"/>
      <sheetName val="IPC DANE"/>
      <sheetName val="Histórico DTF"/>
      <sheetName val="IPC DANE vertical"/>
      <sheetName val="Int Cial"/>
    </sheetNames>
    <sheetDataSet>
      <sheetData sheetId="0"/>
      <sheetData sheetId="1"/>
      <sheetData sheetId="2"/>
      <sheetData sheetId="3"/>
      <sheetData sheetId="4"/>
      <sheetData sheetId="5"/>
      <sheetData sheetId="6"/>
      <sheetData sheetId="7"/>
      <sheetData sheetId="8"/>
    </sheetDataSet>
  </externalBook>
</externalLink>
</file>

<file path=xl/externalLinks/externalLink2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sheetName val="Prestaciones"/>
      <sheetName val="Seg social"/>
      <sheetName val="Indexación"/>
      <sheetName val="intereses"/>
      <sheetName val="IPC DANE"/>
      <sheetName val="Histórico DTF"/>
      <sheetName val="IPC DANE vertical"/>
      <sheetName val="Int Cial"/>
    </sheetNames>
    <sheetDataSet>
      <sheetData sheetId="0">
        <row r="70">
          <cell r="J70"/>
        </row>
      </sheetData>
      <sheetData sheetId="1"/>
      <sheetData sheetId="2"/>
      <sheetData sheetId="3"/>
      <sheetData sheetId="4"/>
      <sheetData sheetId="5"/>
      <sheetData sheetId="6"/>
      <sheetData sheetId="7"/>
      <sheetData sheetId="8"/>
    </sheetDataSet>
  </externalBook>
</externalLink>
</file>

<file path=xl/externalLinks/externalLink2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sheetName val="Prestaciones"/>
      <sheetName val="Seg social"/>
      <sheetName val="Indexación"/>
      <sheetName val="Intereses"/>
      <sheetName val="IPC DANE"/>
      <sheetName val="Histórico DTF"/>
      <sheetName val="IPC DANE vertical"/>
      <sheetName val="Int Cial"/>
    </sheetNames>
    <sheetDataSet>
      <sheetData sheetId="0"/>
      <sheetData sheetId="1"/>
      <sheetData sheetId="2"/>
      <sheetData sheetId="3"/>
      <sheetData sheetId="4"/>
      <sheetData sheetId="5"/>
      <sheetData sheetId="6"/>
      <sheetData sheetId="7"/>
      <sheetData sheetId="8"/>
    </sheetDataSet>
  </externalBook>
</externalLink>
</file>

<file path=xl/externalLinks/externalLink2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sheetName val="Prestaciones"/>
      <sheetName val="Indexación"/>
      <sheetName val="Intereses"/>
      <sheetName val="IPC DANE"/>
      <sheetName val="Histórico DTF"/>
      <sheetName val="IPC DANE vertical"/>
      <sheetName val="Int Cial"/>
    </sheetNames>
    <sheetDataSet>
      <sheetData sheetId="0"/>
      <sheetData sheetId="1"/>
      <sheetData sheetId="2"/>
      <sheetData sheetId="3"/>
      <sheetData sheetId="4"/>
      <sheetData sheetId="5"/>
      <sheetData sheetId="6"/>
      <sheetData sheetId="7"/>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sheetName val="Prestaciones PR"/>
      <sheetName val="Indexación"/>
      <sheetName val="Intereses"/>
      <sheetName val="IPC DANE"/>
      <sheetName val="Histórico DTF"/>
      <sheetName val="Int Cial"/>
      <sheetName val="IPC DANE vertical"/>
    </sheetNames>
    <sheetDataSet>
      <sheetData sheetId="0">
        <row r="47">
          <cell r="J47">
            <v>7337088.0511285411</v>
          </cell>
        </row>
      </sheetData>
      <sheetData sheetId="1"/>
      <sheetData sheetId="2"/>
      <sheetData sheetId="3"/>
      <sheetData sheetId="4"/>
      <sheetData sheetId="5"/>
      <sheetData sheetId="6"/>
      <sheetData sheetId="7"/>
    </sheetDataSet>
  </externalBook>
</externalLink>
</file>

<file path=xl/externalLinks/externalLink2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sheetName val="Prestaciones PR"/>
      <sheetName val="Indexación"/>
      <sheetName val="Intereses"/>
      <sheetName val="IPC DANE"/>
      <sheetName val="Histórico DTF"/>
      <sheetName val="Int Cial"/>
      <sheetName val="IPC DANE vertical"/>
    </sheetNames>
    <sheetDataSet>
      <sheetData sheetId="0"/>
      <sheetData sheetId="1"/>
      <sheetData sheetId="2"/>
      <sheetData sheetId="3"/>
      <sheetData sheetId="4"/>
      <sheetData sheetId="5"/>
      <sheetData sheetId="6"/>
      <sheetData sheetId="7"/>
    </sheetDataSet>
  </externalBook>
</externalLink>
</file>

<file path=xl/externalLinks/externalLink2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sheetName val="Prestaciones"/>
      <sheetName val="Seg social"/>
      <sheetName val="Indexación"/>
      <sheetName val="Intereses"/>
      <sheetName val="IPC DANE"/>
      <sheetName val="Histórico DTF"/>
      <sheetName val="IPC DANE vertical"/>
      <sheetName val="Int Cial"/>
    </sheetNames>
    <sheetDataSet>
      <sheetData sheetId="0">
        <row r="77">
          <cell r="J77">
            <v>210379111.24427828</v>
          </cell>
        </row>
      </sheetData>
      <sheetData sheetId="1"/>
      <sheetData sheetId="2"/>
      <sheetData sheetId="3"/>
      <sheetData sheetId="4"/>
      <sheetData sheetId="5"/>
      <sheetData sheetId="6"/>
      <sheetData sheetId="7"/>
      <sheetData sheetId="8"/>
    </sheetDataSet>
  </externalBook>
</externalLink>
</file>

<file path=xl/externalLinks/externalLink2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sheetName val="Prestaciones"/>
      <sheetName val="Seg social"/>
      <sheetName val="Indexación"/>
      <sheetName val="Intereses"/>
      <sheetName val="IPC DANE"/>
      <sheetName val="Histórico DTF"/>
      <sheetName val="IPC DANE vertical"/>
      <sheetName val="Int Cial"/>
    </sheetNames>
    <sheetDataSet>
      <sheetData sheetId="0"/>
      <sheetData sheetId="1"/>
      <sheetData sheetId="2"/>
      <sheetData sheetId="3"/>
      <sheetData sheetId="4"/>
      <sheetData sheetId="5"/>
      <sheetData sheetId="6"/>
      <sheetData sheetId="7"/>
      <sheetData sheetId="8"/>
    </sheetDataSet>
  </externalBook>
</externalLink>
</file>

<file path=xl/externalLinks/externalLink2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sheetName val="Prestaciones"/>
      <sheetName val="Seg social"/>
      <sheetName val="Indexación"/>
      <sheetName val="Intereses"/>
      <sheetName val="IPC DANE"/>
      <sheetName val="Histórico DTF"/>
      <sheetName val="IPC DANE vertical"/>
      <sheetName val="Int Cial"/>
    </sheetNames>
    <sheetDataSet>
      <sheetData sheetId="0"/>
      <sheetData sheetId="1"/>
      <sheetData sheetId="2"/>
      <sheetData sheetId="3"/>
      <sheetData sheetId="4"/>
      <sheetData sheetId="5"/>
      <sheetData sheetId="6"/>
      <sheetData sheetId="7"/>
      <sheetData sheetId="8"/>
    </sheetDataSet>
  </externalBook>
</externalLink>
</file>

<file path=xl/externalLinks/externalLink2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sheetName val="Prestaciones"/>
      <sheetName val="Seg social"/>
      <sheetName val="Honorarios"/>
      <sheetName val="Diferencia a pagar"/>
      <sheetName val="Indexación"/>
      <sheetName val="Intereses"/>
      <sheetName val="IPC DANE"/>
      <sheetName val="Histórico DTF"/>
      <sheetName val="IPC DANE vertical"/>
      <sheetName val="Int Cial"/>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2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sheetName val="Prestaciones"/>
      <sheetName val="Seg social"/>
      <sheetName val="Indexación"/>
      <sheetName val="Intereses"/>
      <sheetName val="IPC DANE"/>
      <sheetName val="Histórico DTF"/>
      <sheetName val="IPC DANE vertical"/>
      <sheetName val="Int Cial"/>
    </sheetNames>
    <sheetDataSet>
      <sheetData sheetId="0"/>
      <sheetData sheetId="1"/>
      <sheetData sheetId="2"/>
      <sheetData sheetId="3"/>
      <sheetData sheetId="4"/>
      <sheetData sheetId="5"/>
      <sheetData sheetId="6"/>
      <sheetData sheetId="7"/>
      <sheetData sheetId="8"/>
    </sheetDataSet>
  </externalBook>
</externalLink>
</file>

<file path=xl/externalLinks/externalLink2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sheetName val="Prestaciones"/>
      <sheetName val="Seg social"/>
      <sheetName val="Indexación"/>
      <sheetName val="Intereses"/>
      <sheetName val="IPC DANE"/>
      <sheetName val="Histórico DTF"/>
      <sheetName val="IPC DANE vertical"/>
      <sheetName val="Int Cial"/>
    </sheetNames>
    <sheetDataSet>
      <sheetData sheetId="0">
        <row r="78">
          <cell r="J78"/>
        </row>
      </sheetData>
      <sheetData sheetId="1"/>
      <sheetData sheetId="2"/>
      <sheetData sheetId="3"/>
      <sheetData sheetId="4"/>
      <sheetData sheetId="5"/>
      <sheetData sheetId="6"/>
      <sheetData sheetId="7"/>
      <sheetData sheetId="8"/>
    </sheetDataSet>
  </externalBook>
</externalLink>
</file>

<file path=xl/externalLinks/externalLink2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sheetName val="Prestaciones PR"/>
      <sheetName val="Seg social"/>
      <sheetName val="Indexación"/>
      <sheetName val="Intereses"/>
      <sheetName val="IPC DANE"/>
      <sheetName val="Histórico DTF"/>
      <sheetName val="Int Cial"/>
      <sheetName val="IPC DANE vertical"/>
    </sheetNames>
    <sheetDataSet>
      <sheetData sheetId="0">
        <row r="46">
          <cell r="J46"/>
        </row>
      </sheetData>
      <sheetData sheetId="1"/>
      <sheetData sheetId="2"/>
      <sheetData sheetId="3"/>
      <sheetData sheetId="4"/>
      <sheetData sheetId="5"/>
      <sheetData sheetId="6"/>
      <sheetData sheetId="7"/>
      <sheetData sheetId="8"/>
    </sheetDataSet>
  </externalBook>
</externalLink>
</file>

<file path=xl/externalLinks/externalLink2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sheetName val="Prestaciones"/>
      <sheetName val="Seg social"/>
      <sheetName val="Indexación"/>
      <sheetName val="Intereses"/>
      <sheetName val="IPC DANE"/>
      <sheetName val="Histórico DTF"/>
      <sheetName val="IPC DANE vertical"/>
      <sheetName val="Int Cial"/>
    </sheetNames>
    <sheetDataSet>
      <sheetData sheetId="0"/>
      <sheetData sheetId="1"/>
      <sheetData sheetId="2"/>
      <sheetData sheetId="3"/>
      <sheetData sheetId="4"/>
      <sheetData sheetId="5"/>
      <sheetData sheetId="6"/>
      <sheetData sheetId="7"/>
      <sheetData sheetId="8"/>
    </sheetDataSet>
  </externalBook>
</externalLink>
</file>

<file path=xl/externalLinks/externalLink2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sheetName val="Prestaciones"/>
      <sheetName val="Seg social"/>
      <sheetName val="Indexación"/>
      <sheetName val="Intereses"/>
      <sheetName val="IPC DANE"/>
      <sheetName val="Histórico DTF"/>
      <sheetName val="IPC DANE vertical"/>
      <sheetName val="Int Cial"/>
    </sheetNames>
    <sheetDataSet>
      <sheetData sheetId="0"/>
      <sheetData sheetId="1"/>
      <sheetData sheetId="2"/>
      <sheetData sheetId="3"/>
      <sheetData sheetId="4"/>
      <sheetData sheetId="5"/>
      <sheetData sheetId="6"/>
      <sheetData sheetId="7"/>
      <sheetData sheetId="8"/>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sheetName val="Prest"/>
      <sheetName val="Seg social"/>
      <sheetName val="Index"/>
      <sheetName val="Ints"/>
      <sheetName val="IPC DANE"/>
      <sheetName val="Histórico DTF"/>
      <sheetName val="IPC DANE vertical"/>
      <sheetName val="Int Cial"/>
    </sheetNames>
    <sheetDataSet>
      <sheetData sheetId="0">
        <row r="64">
          <cell r="J64">
            <v>233867437.87996742</v>
          </cell>
        </row>
      </sheetData>
      <sheetData sheetId="1"/>
      <sheetData sheetId="2"/>
      <sheetData sheetId="3"/>
      <sheetData sheetId="4"/>
      <sheetData sheetId="5"/>
      <sheetData sheetId="6"/>
      <sheetData sheetId="7"/>
      <sheetData sheetId="8"/>
    </sheetDataSet>
  </externalBook>
</externalLink>
</file>

<file path=xl/externalLinks/externalLink2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sheetName val="Prestaciones"/>
      <sheetName val="Seg social"/>
      <sheetName val="Indexación"/>
      <sheetName val="Intereses"/>
      <sheetName val="IPC DANE"/>
      <sheetName val="Histórico DTF"/>
      <sheetName val="IPC DANE vertical"/>
      <sheetName val="Int Cial"/>
    </sheetNames>
    <sheetDataSet>
      <sheetData sheetId="0"/>
      <sheetData sheetId="1"/>
      <sheetData sheetId="2"/>
      <sheetData sheetId="3"/>
      <sheetData sheetId="4"/>
      <sheetData sheetId="5"/>
      <sheetData sheetId="6"/>
      <sheetData sheetId="7"/>
      <sheetData sheetId="8"/>
    </sheetDataSet>
  </externalBook>
</externalLink>
</file>

<file path=xl/externalLinks/externalLink2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sheetName val="Prestaciones"/>
      <sheetName val="Seg social"/>
      <sheetName val="Indexación"/>
      <sheetName val="Intereses"/>
      <sheetName val="IPC DANE"/>
      <sheetName val="Histórico DTF"/>
      <sheetName val="IPC DANE vertical"/>
      <sheetName val="Int Cial"/>
    </sheetNames>
    <sheetDataSet>
      <sheetData sheetId="0">
        <row r="67">
          <cell r="J67"/>
        </row>
      </sheetData>
      <sheetData sheetId="1"/>
      <sheetData sheetId="2"/>
      <sheetData sheetId="3"/>
      <sheetData sheetId="4"/>
      <sheetData sheetId="5"/>
      <sheetData sheetId="6"/>
      <sheetData sheetId="7"/>
      <sheetData sheetId="8"/>
    </sheetDataSet>
  </externalBook>
</externalLink>
</file>

<file path=xl/externalLinks/externalLink2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sheetName val="Prestaciones PR"/>
      <sheetName val="Seg Social"/>
      <sheetName val="Indexación"/>
      <sheetName val="Intereses"/>
      <sheetName val="IPC DANE"/>
      <sheetName val="Histórico DTF"/>
      <sheetName val="Int Cial"/>
      <sheetName val="IPC DANE vertical"/>
    </sheetNames>
    <sheetDataSet>
      <sheetData sheetId="0">
        <row r="49">
          <cell r="J49"/>
        </row>
      </sheetData>
      <sheetData sheetId="1"/>
      <sheetData sheetId="2"/>
      <sheetData sheetId="3"/>
      <sheetData sheetId="4"/>
      <sheetData sheetId="5"/>
      <sheetData sheetId="6"/>
      <sheetData sheetId="7"/>
      <sheetData sheetId="8"/>
    </sheetDataSet>
  </externalBook>
</externalLink>
</file>

<file path=xl/externalLinks/externalLink2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sheetName val="Prestaciones PR"/>
      <sheetName val="Indexación"/>
      <sheetName val="Intereses"/>
      <sheetName val="IPC DANE"/>
      <sheetName val="Histórico DTF"/>
      <sheetName val="Int Cial"/>
      <sheetName val="IPC DANE vertical"/>
    </sheetNames>
    <sheetDataSet>
      <sheetData sheetId="0">
        <row r="50">
          <cell r="J50"/>
        </row>
      </sheetData>
      <sheetData sheetId="1"/>
      <sheetData sheetId="2"/>
      <sheetData sheetId="3"/>
      <sheetData sheetId="4"/>
      <sheetData sheetId="5"/>
      <sheetData sheetId="6"/>
      <sheetData sheetId="7"/>
    </sheetDataSet>
  </externalBook>
</externalLink>
</file>

<file path=xl/externalLinks/externalLink2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sheetName val="Prestaciones"/>
      <sheetName val="Seg social"/>
      <sheetName val="Indexación"/>
      <sheetName val="Intereses"/>
      <sheetName val="IPC DANE"/>
      <sheetName val="Histórico DTF"/>
      <sheetName val="IPC DANE vertical"/>
      <sheetName val="Int Cial"/>
    </sheetNames>
    <sheetDataSet>
      <sheetData sheetId="0">
        <row r="60">
          <cell r="J60">
            <v>83758965.531959862</v>
          </cell>
        </row>
      </sheetData>
      <sheetData sheetId="1"/>
      <sheetData sheetId="2"/>
      <sheetData sheetId="3"/>
      <sheetData sheetId="4"/>
      <sheetData sheetId="5"/>
      <sheetData sheetId="6"/>
      <sheetData sheetId="7"/>
      <sheetData sheetId="8"/>
    </sheetDataSet>
  </externalBook>
</externalLink>
</file>

<file path=xl/externalLinks/externalLink2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sheetName val="Indexación"/>
      <sheetName val="Intereses"/>
      <sheetName val="IPC DANE"/>
      <sheetName val="Histórico DTF"/>
      <sheetName val="IPC DANE vertical"/>
      <sheetName val="Int Cial"/>
    </sheetNames>
    <sheetDataSet>
      <sheetData sheetId="0"/>
      <sheetData sheetId="1"/>
      <sheetData sheetId="2"/>
      <sheetData sheetId="3"/>
      <sheetData sheetId="4"/>
      <sheetData sheetId="5"/>
      <sheetData sheetId="6"/>
    </sheetDataSet>
  </externalBook>
</externalLink>
</file>

<file path=xl/externalLinks/externalLink2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sheetName val="Prestaciones PR"/>
      <sheetName val="Indexación"/>
      <sheetName val="Intereses"/>
      <sheetName val="IPC DANE"/>
      <sheetName val="Histórico DTF"/>
      <sheetName val="Int Cial"/>
      <sheetName val="IPC DANE vertical"/>
    </sheetNames>
    <sheetDataSet>
      <sheetData sheetId="0">
        <row r="49">
          <cell r="J49"/>
        </row>
      </sheetData>
      <sheetData sheetId="1"/>
      <sheetData sheetId="2"/>
      <sheetData sheetId="3"/>
      <sheetData sheetId="4"/>
      <sheetData sheetId="5"/>
      <sheetData sheetId="6"/>
      <sheetData sheetId="7"/>
    </sheetDataSet>
  </externalBook>
</externalLink>
</file>

<file path=xl/externalLinks/externalLink2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
      <sheetName val="Prestac"/>
      <sheetName val="Cesantías Solas"/>
      <sheetName val="Index"/>
      <sheetName val="Ints"/>
      <sheetName val="IPC DANE"/>
      <sheetName val="Histórico DTF"/>
      <sheetName val="Int Cial"/>
      <sheetName val="IPC DANE vertical"/>
      <sheetName val="Hoja1"/>
    </sheetNames>
    <sheetDataSet>
      <sheetData sheetId="0">
        <row r="64">
          <cell r="J64"/>
        </row>
      </sheetData>
      <sheetData sheetId="1"/>
      <sheetData sheetId="2"/>
      <sheetData sheetId="3"/>
      <sheetData sheetId="4"/>
      <sheetData sheetId="5"/>
      <sheetData sheetId="6"/>
      <sheetData sheetId="7"/>
      <sheetData sheetId="8"/>
      <sheetData sheetId="9"/>
    </sheetDataSet>
  </externalBook>
</externalLink>
</file>

<file path=xl/externalLinks/externalLink2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sheetName val="Prestaciones"/>
      <sheetName val="Seg social"/>
      <sheetName val="Indexación"/>
      <sheetName val="Intereses"/>
      <sheetName val="IPC DANE"/>
      <sheetName val="Histórico DTF"/>
      <sheetName val="IPC DANE vertical"/>
      <sheetName val="Int Cial"/>
    </sheetNames>
    <sheetDataSet>
      <sheetData sheetId="0"/>
      <sheetData sheetId="1"/>
      <sheetData sheetId="2"/>
      <sheetData sheetId="3"/>
      <sheetData sheetId="4"/>
      <sheetData sheetId="5"/>
      <sheetData sheetId="6"/>
      <sheetData sheetId="7"/>
      <sheetData sheetId="8"/>
    </sheetDataSet>
  </externalBook>
</externalLink>
</file>

<file path=xl/externalLinks/externalLink2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sheetName val="Prestaciones PR"/>
      <sheetName val="Cesantías solas"/>
      <sheetName val="Seg social"/>
      <sheetName val="Indexación"/>
      <sheetName val="Intereses"/>
      <sheetName val="IPC DANE"/>
      <sheetName val="Histórico DTF"/>
      <sheetName val="Int Cial"/>
      <sheetName val="IPC DANE vertical"/>
    </sheetNames>
    <sheetDataSet>
      <sheetData sheetId="0">
        <row r="76">
          <cell r="J76"/>
        </row>
      </sheetData>
      <sheetData sheetId="1"/>
      <sheetData sheetId="2"/>
      <sheetData sheetId="3"/>
      <sheetData sheetId="4"/>
      <sheetData sheetId="5"/>
      <sheetData sheetId="6"/>
      <sheetData sheetId="7"/>
      <sheetData sheetId="8"/>
      <sheetData sheetId="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
      <sheetName val="Prestaciones"/>
      <sheetName val="Seg social"/>
      <sheetName val="Indexación"/>
      <sheetName val="Intereses"/>
      <sheetName val="IPC DANE"/>
      <sheetName val="Histórico DTF"/>
      <sheetName val="IPC DANE vertical"/>
      <sheetName val="Int Cial"/>
    </sheetNames>
    <sheetDataSet>
      <sheetData sheetId="0">
        <row r="59">
          <cell r="J59">
            <v>260816524.52138755</v>
          </cell>
        </row>
      </sheetData>
      <sheetData sheetId="1"/>
      <sheetData sheetId="2"/>
      <sheetData sheetId="3"/>
      <sheetData sheetId="4"/>
      <sheetData sheetId="5"/>
      <sheetData sheetId="6"/>
      <sheetData sheetId="7"/>
      <sheetData sheetId="8"/>
    </sheetDataSet>
  </externalBook>
</externalLink>
</file>

<file path=xl/externalLinks/externalLink2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sheetName val="Prestaciones PR"/>
      <sheetName val="Seg social"/>
      <sheetName val="Indexación"/>
      <sheetName val="Intereses"/>
      <sheetName val="IPC DANE"/>
      <sheetName val="Histórico DTF"/>
      <sheetName val="Int Cial"/>
      <sheetName val="IPC DANE vertical"/>
    </sheetNames>
    <sheetDataSet>
      <sheetData sheetId="0">
        <row r="69">
          <cell r="J69"/>
        </row>
      </sheetData>
      <sheetData sheetId="1"/>
      <sheetData sheetId="2"/>
      <sheetData sheetId="3"/>
      <sheetData sheetId="4"/>
      <sheetData sheetId="5"/>
      <sheetData sheetId="6"/>
      <sheetData sheetId="7"/>
      <sheetData sheetId="8"/>
    </sheetDataSet>
  </externalBook>
</externalLink>
</file>

<file path=xl/externalLinks/externalLink2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sheetName val="Prestaciones"/>
      <sheetName val="Seg social"/>
      <sheetName val="Indexación"/>
      <sheetName val="Intereses"/>
      <sheetName val="IPC DANE"/>
      <sheetName val="Histórico DTF"/>
      <sheetName val="IPC DANE vertical"/>
      <sheetName val="Int Cial"/>
    </sheetNames>
    <sheetDataSet>
      <sheetData sheetId="0">
        <row r="72">
          <cell r="J72"/>
        </row>
      </sheetData>
      <sheetData sheetId="1"/>
      <sheetData sheetId="2"/>
      <sheetData sheetId="3"/>
      <sheetData sheetId="4"/>
      <sheetData sheetId="5"/>
      <sheetData sheetId="6"/>
      <sheetData sheetId="7"/>
      <sheetData sheetId="8"/>
    </sheetDataSet>
  </externalBook>
</externalLink>
</file>

<file path=xl/externalLinks/externalLink2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sheetName val="Prestaciones"/>
      <sheetName val="Seg social"/>
      <sheetName val="Indexación"/>
      <sheetName val="Intereses"/>
      <sheetName val="IPC DANE"/>
      <sheetName val="Histórico DTF"/>
      <sheetName val="IPC DANE vertical"/>
      <sheetName val="Int Cial"/>
    </sheetNames>
    <sheetDataSet>
      <sheetData sheetId="0">
        <row r="66">
          <cell r="J66"/>
        </row>
      </sheetData>
      <sheetData sheetId="1"/>
      <sheetData sheetId="2"/>
      <sheetData sheetId="3"/>
      <sheetData sheetId="4"/>
      <sheetData sheetId="5"/>
      <sheetData sheetId="6"/>
      <sheetData sheetId="7"/>
      <sheetData sheetId="8"/>
    </sheetDataSet>
  </externalBook>
</externalLink>
</file>

<file path=xl/externalLinks/externalLink2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sheetName val="Prestaciones"/>
      <sheetName val="Seg social"/>
      <sheetName val="Indexación"/>
      <sheetName val="Intereses"/>
      <sheetName val="IPC DANE"/>
      <sheetName val="Histórico DTF"/>
      <sheetName val="IPC DANE vertical"/>
      <sheetName val="Int Cial"/>
    </sheetNames>
    <sheetDataSet>
      <sheetData sheetId="0"/>
      <sheetData sheetId="1"/>
      <sheetData sheetId="2"/>
      <sheetData sheetId="3"/>
      <sheetData sheetId="4"/>
      <sheetData sheetId="5"/>
      <sheetData sheetId="6"/>
      <sheetData sheetId="7"/>
      <sheetData sheetId="8"/>
    </sheetDataSet>
  </externalBook>
</externalLink>
</file>

<file path=xl/externalLinks/externalLink2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sheetName val="Prestaciones PR"/>
      <sheetName val="Indexación"/>
      <sheetName val="Intereses"/>
      <sheetName val="IPC DANE"/>
      <sheetName val="Histórico DTF"/>
      <sheetName val="Int Cial"/>
      <sheetName val="IPC DANE vertical"/>
    </sheetNames>
    <sheetDataSet>
      <sheetData sheetId="0">
        <row r="45">
          <cell r="J45"/>
        </row>
      </sheetData>
      <sheetData sheetId="1"/>
      <sheetData sheetId="2"/>
      <sheetData sheetId="3"/>
      <sheetData sheetId="4"/>
      <sheetData sheetId="5"/>
      <sheetData sheetId="6"/>
      <sheetData sheetId="7"/>
    </sheetDataSet>
  </externalBook>
</externalLink>
</file>

<file path=xl/externalLinks/externalLink2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sheetName val="Prestaciones"/>
      <sheetName val="Seg social"/>
      <sheetName val="Indexación"/>
      <sheetName val="Intereses"/>
      <sheetName val="IPC DANE"/>
      <sheetName val="Histórico DTF"/>
      <sheetName val="IPC DANE vertical"/>
      <sheetName val="Int Cial"/>
    </sheetNames>
    <sheetDataSet>
      <sheetData sheetId="0"/>
      <sheetData sheetId="1"/>
      <sheetData sheetId="2"/>
      <sheetData sheetId="3"/>
      <sheetData sheetId="4"/>
      <sheetData sheetId="5"/>
      <sheetData sheetId="6"/>
      <sheetData sheetId="7"/>
      <sheetData sheetId="8"/>
    </sheetDataSet>
  </externalBook>
</externalLink>
</file>

<file path=xl/externalLinks/externalLink2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sheetName val="Prestaciones"/>
      <sheetName val="Seg social"/>
      <sheetName val="Indexación"/>
      <sheetName val="Intereses"/>
      <sheetName val="IPC DANE"/>
      <sheetName val="Histórico DTF"/>
      <sheetName val="IPC DANE vertical"/>
      <sheetName val="Int Cial"/>
    </sheetNames>
    <sheetDataSet>
      <sheetData sheetId="0">
        <row r="70">
          <cell r="J70"/>
        </row>
      </sheetData>
      <sheetData sheetId="1"/>
      <sheetData sheetId="2"/>
      <sheetData sheetId="3"/>
      <sheetData sheetId="4"/>
      <sheetData sheetId="5"/>
      <sheetData sheetId="6"/>
      <sheetData sheetId="7"/>
      <sheetData sheetId="8"/>
    </sheetDataSet>
  </externalBook>
</externalLink>
</file>

<file path=xl/externalLinks/externalLink2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sheetName val="Prestaciones PR"/>
      <sheetName val="Indexación"/>
      <sheetName val="Intereses"/>
      <sheetName val="IPC DANE"/>
      <sheetName val="Histórico DTF"/>
      <sheetName val="Int Cial"/>
      <sheetName val="IPC DANE vertical"/>
    </sheetNames>
    <sheetDataSet>
      <sheetData sheetId="0">
        <row r="43">
          <cell r="J43"/>
        </row>
      </sheetData>
      <sheetData sheetId="1"/>
      <sheetData sheetId="2"/>
      <sheetData sheetId="3"/>
      <sheetData sheetId="4"/>
      <sheetData sheetId="5"/>
      <sheetData sheetId="6"/>
      <sheetData sheetId="7"/>
    </sheetDataSet>
  </externalBook>
</externalLink>
</file>

<file path=xl/externalLinks/externalLink2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sheetName val="Prestaciones PR"/>
      <sheetName val="Seg social"/>
      <sheetName val="Indexación"/>
      <sheetName val="Intereses"/>
      <sheetName val="Histórico DTF"/>
      <sheetName val="IPC DANE"/>
      <sheetName val="Int Cial"/>
      <sheetName val="IPC DANE vertical"/>
    </sheetNames>
    <sheetDataSet>
      <sheetData sheetId="0">
        <row r="53">
          <cell r="J53">
            <v>5506248.6994488845</v>
          </cell>
        </row>
      </sheetData>
      <sheetData sheetId="1"/>
      <sheetData sheetId="2"/>
      <sheetData sheetId="3"/>
      <sheetData sheetId="4"/>
      <sheetData sheetId="5"/>
      <sheetData sheetId="6"/>
      <sheetData sheetId="7"/>
      <sheetData sheetId="8"/>
    </sheetDataSet>
  </externalBook>
</externalLink>
</file>

<file path=xl/externalLinks/externalLink2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sheetName val="Prestaciones PR"/>
      <sheetName val="Cesantias solas"/>
      <sheetName val="Seg social"/>
      <sheetName val="Indexación"/>
      <sheetName val="Intereses"/>
      <sheetName val="IPC DANE"/>
      <sheetName val="Histórico DTF"/>
      <sheetName val="Int Cial"/>
      <sheetName val="IPC DANE vertical"/>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sheetName val="Intereses"/>
      <sheetName val="IPC DANE"/>
      <sheetName val="Histórico DTF"/>
      <sheetName val="Int Cial"/>
    </sheetNames>
    <sheetDataSet>
      <sheetData sheetId="0">
        <row r="33">
          <cell r="L33">
            <v>473075546.81611425</v>
          </cell>
        </row>
      </sheetData>
      <sheetData sheetId="1"/>
      <sheetData sheetId="2"/>
      <sheetData sheetId="3"/>
      <sheetData sheetId="4"/>
    </sheetDataSet>
  </externalBook>
</externalLink>
</file>

<file path=xl/externalLinks/externalLink2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sheetName val="Prestaciones PR"/>
      <sheetName val="Seg social"/>
      <sheetName val="Indexación"/>
      <sheetName val="Intereses"/>
      <sheetName val="IPC DANE"/>
      <sheetName val="Histórico DTF"/>
      <sheetName val="Int Cial"/>
      <sheetName val="IPC DANE vertical"/>
    </sheetNames>
    <sheetDataSet>
      <sheetData sheetId="0">
        <row r="60">
          <cell r="J60"/>
        </row>
      </sheetData>
      <sheetData sheetId="1"/>
      <sheetData sheetId="2"/>
      <sheetData sheetId="3"/>
      <sheetData sheetId="4"/>
      <sheetData sheetId="5"/>
      <sheetData sheetId="6"/>
      <sheetData sheetId="7"/>
      <sheetData sheetId="8"/>
    </sheetDataSet>
  </externalBook>
</externalLink>
</file>

<file path=xl/externalLinks/externalLink2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sheetName val="Prestaciones"/>
      <sheetName val="Seg social"/>
      <sheetName val="Indexación"/>
      <sheetName val="Intereses"/>
      <sheetName val="IPC DANE"/>
      <sheetName val="Histórico DTF"/>
      <sheetName val="IPC DANE vertical"/>
      <sheetName val="Int Cial"/>
    </sheetNames>
    <sheetDataSet>
      <sheetData sheetId="0"/>
      <sheetData sheetId="1"/>
      <sheetData sheetId="2"/>
      <sheetData sheetId="3"/>
      <sheetData sheetId="4"/>
      <sheetData sheetId="5"/>
      <sheetData sheetId="6"/>
      <sheetData sheetId="7"/>
      <sheetData sheetId="8"/>
    </sheetDataSet>
  </externalBook>
</externalLink>
</file>

<file path=xl/externalLinks/externalLink2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sheetName val="Prestaciones"/>
      <sheetName val="Seg social"/>
      <sheetName val="Indexación"/>
      <sheetName val="Intereses"/>
      <sheetName val="IPC DANE"/>
      <sheetName val="Histórico DTF"/>
      <sheetName val="IPC DANE vertical"/>
      <sheetName val="Int Cial"/>
    </sheetNames>
    <sheetDataSet>
      <sheetData sheetId="0"/>
      <sheetData sheetId="1"/>
      <sheetData sheetId="2"/>
      <sheetData sheetId="3"/>
      <sheetData sheetId="4"/>
      <sheetData sheetId="5"/>
      <sheetData sheetId="6"/>
      <sheetData sheetId="7"/>
      <sheetData sheetId="8"/>
    </sheetDataSet>
  </externalBook>
</externalLink>
</file>

<file path=xl/externalLinks/externalLink2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sheetName val="Prestaciones PR"/>
      <sheetName val="Seg social"/>
      <sheetName val="Indexación"/>
      <sheetName val="Intereses"/>
      <sheetName val="IPC DANE"/>
      <sheetName val="Histórico DTF"/>
      <sheetName val="Int Cial"/>
      <sheetName val="IPC DANE vertical"/>
    </sheetNames>
    <sheetDataSet>
      <sheetData sheetId="0">
        <row r="62">
          <cell r="J62"/>
        </row>
      </sheetData>
      <sheetData sheetId="1"/>
      <sheetData sheetId="2"/>
      <sheetData sheetId="3"/>
      <sheetData sheetId="4"/>
      <sheetData sheetId="5"/>
      <sheetData sheetId="6"/>
      <sheetData sheetId="7"/>
      <sheetData sheetId="8"/>
    </sheetDataSet>
  </externalBook>
</externalLink>
</file>

<file path=xl/externalLinks/externalLink2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
      <sheetName val="Intereses"/>
      <sheetName val="IPC DANE"/>
      <sheetName val="Histórico DTF"/>
      <sheetName val="Int Cial"/>
    </sheetNames>
    <sheetDataSet>
      <sheetData sheetId="0"/>
      <sheetData sheetId="1"/>
      <sheetData sheetId="2"/>
      <sheetData sheetId="3"/>
      <sheetData sheetId="4"/>
    </sheetDataSet>
  </externalBook>
</externalLink>
</file>

<file path=xl/externalLinks/externalLink2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sheetName val="Prestaciones PR"/>
      <sheetName val="Seg social"/>
      <sheetName val="Indexación"/>
      <sheetName val="Intereses"/>
      <sheetName val="IPC DANE"/>
      <sheetName val="Histórico DTF"/>
      <sheetName val="Int Cial"/>
      <sheetName val="IPC DANE vertical"/>
    </sheetNames>
    <sheetDataSet>
      <sheetData sheetId="0">
        <row r="53">
          <cell r="J53"/>
        </row>
      </sheetData>
      <sheetData sheetId="1"/>
      <sheetData sheetId="2"/>
      <sheetData sheetId="3"/>
      <sheetData sheetId="4"/>
      <sheetData sheetId="5"/>
      <sheetData sheetId="6"/>
      <sheetData sheetId="7"/>
      <sheetData sheetId="8"/>
    </sheetDataSet>
  </externalBook>
</externalLink>
</file>

<file path=xl/externalLinks/externalLink2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sheetName val="Prestaciones PR"/>
      <sheetName val="Seg social"/>
      <sheetName val="Indexación"/>
      <sheetName val="Intereses"/>
      <sheetName val="IPC DANE"/>
      <sheetName val="Histórico DTF"/>
      <sheetName val="Int Cial"/>
      <sheetName val="IPC DANE vertical"/>
    </sheetNames>
    <sheetDataSet>
      <sheetData sheetId="0">
        <row r="50">
          <cell r="J50"/>
        </row>
      </sheetData>
      <sheetData sheetId="1"/>
      <sheetData sheetId="2"/>
      <sheetData sheetId="3"/>
      <sheetData sheetId="4"/>
      <sheetData sheetId="5"/>
      <sheetData sheetId="6"/>
      <sheetData sheetId="7"/>
      <sheetData sheetId="8"/>
    </sheetDataSet>
  </externalBook>
</externalLink>
</file>

<file path=xl/externalLinks/externalLink2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sheetName val="Prestaciones PR"/>
      <sheetName val="Seg social"/>
      <sheetName val="Indexación"/>
      <sheetName val="Intereses"/>
      <sheetName val="IPC DANE"/>
      <sheetName val="Histórico DTF"/>
      <sheetName val="Int Cial"/>
      <sheetName val="IPC DANE vertical"/>
    </sheetNames>
    <sheetDataSet>
      <sheetData sheetId="0">
        <row r="62">
          <cell r="J62"/>
        </row>
      </sheetData>
      <sheetData sheetId="1"/>
      <sheetData sheetId="2"/>
      <sheetData sheetId="3"/>
      <sheetData sheetId="4"/>
      <sheetData sheetId="5"/>
      <sheetData sheetId="6"/>
      <sheetData sheetId="7"/>
      <sheetData sheetId="8"/>
    </sheetDataSet>
  </externalBook>
</externalLink>
</file>

<file path=xl/externalLinks/externalLink2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sheetName val="Prestaciones PR"/>
      <sheetName val="Seg social"/>
      <sheetName val="Indexación"/>
      <sheetName val="Intereses"/>
      <sheetName val="IPC DANE"/>
      <sheetName val="Histórico DTF"/>
      <sheetName val="Int Cial"/>
      <sheetName val="IPC DANE vertical"/>
    </sheetNames>
    <sheetDataSet>
      <sheetData sheetId="0"/>
      <sheetData sheetId="1"/>
      <sheetData sheetId="2"/>
      <sheetData sheetId="3"/>
      <sheetData sheetId="4"/>
      <sheetData sheetId="5"/>
      <sheetData sheetId="6"/>
      <sheetData sheetId="7"/>
      <sheetData sheetId="8"/>
    </sheetDataSet>
  </externalBook>
</externalLink>
</file>

<file path=xl/externalLinks/externalLink2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sheetName val="Prestaciones PR"/>
      <sheetName val="Seg social"/>
      <sheetName val="Indexación"/>
      <sheetName val="Intereses"/>
      <sheetName val="IPC DANE"/>
      <sheetName val="Histórico DTF"/>
      <sheetName val="Int Cial"/>
      <sheetName val="IPC DANE vertical"/>
    </sheetNames>
    <sheetDataSet>
      <sheetData sheetId="0">
        <row r="54">
          <cell r="J54">
            <v>4799085.3412161143</v>
          </cell>
        </row>
      </sheetData>
      <sheetData sheetId="1"/>
      <sheetData sheetId="2"/>
      <sheetData sheetId="3"/>
      <sheetData sheetId="4"/>
      <sheetData sheetId="5"/>
      <sheetData sheetId="6"/>
      <sheetData sheetId="7"/>
      <sheetData sheetId="8"/>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sheetName val="Prestaciones PR"/>
      <sheetName val="Seg Social"/>
      <sheetName val="Indexación"/>
      <sheetName val="Intereses"/>
      <sheetName val="IPC DANE"/>
      <sheetName val="Histórico DTF"/>
      <sheetName val="Int Cial"/>
      <sheetName val="IPC DANE vertical"/>
    </sheetNames>
    <sheetDataSet>
      <sheetData sheetId="0">
        <row r="56">
          <cell r="J56">
            <v>13260965.524554731</v>
          </cell>
        </row>
      </sheetData>
      <sheetData sheetId="1"/>
      <sheetData sheetId="2"/>
      <sheetData sheetId="3"/>
      <sheetData sheetId="4"/>
      <sheetData sheetId="5"/>
      <sheetData sheetId="6"/>
      <sheetData sheetId="7"/>
      <sheetData sheetId="8"/>
    </sheetDataSet>
  </externalBook>
</externalLink>
</file>

<file path=xl/externalLinks/externalLink2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sheetName val="Prestaciones"/>
      <sheetName val="Seg social"/>
      <sheetName val="Indexación"/>
      <sheetName val="Intereses"/>
      <sheetName val="IPC DANE"/>
      <sheetName val="Histórico DTF"/>
      <sheetName val="IPC DANE vertical"/>
      <sheetName val="Int Cial"/>
    </sheetNames>
    <sheetDataSet>
      <sheetData sheetId="0">
        <row r="55">
          <cell r="J55"/>
        </row>
      </sheetData>
      <sheetData sheetId="1"/>
      <sheetData sheetId="2"/>
      <sheetData sheetId="3"/>
      <sheetData sheetId="4"/>
      <sheetData sheetId="5"/>
      <sheetData sheetId="6"/>
      <sheetData sheetId="7"/>
      <sheetData sheetId="8"/>
    </sheetDataSet>
  </externalBook>
</externalLink>
</file>

<file path=xl/externalLinks/externalLink2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sheetName val="Prestac"/>
      <sheetName val="Cesantías solas"/>
      <sheetName val="Seg social"/>
      <sheetName val="Indexación"/>
      <sheetName val="Intereses"/>
      <sheetName val="IPC DANE"/>
      <sheetName val="Histórico DTF"/>
      <sheetName val="Int Cial"/>
      <sheetName val="IPC DANE vertical"/>
    </sheetNames>
    <sheetDataSet>
      <sheetData sheetId="0">
        <row r="76">
          <cell r="J76"/>
        </row>
      </sheetData>
      <sheetData sheetId="1"/>
      <sheetData sheetId="2"/>
      <sheetData sheetId="3"/>
      <sheetData sheetId="4"/>
      <sheetData sheetId="5"/>
      <sheetData sheetId="6"/>
      <sheetData sheetId="7"/>
      <sheetData sheetId="8"/>
      <sheetData sheetId="9"/>
    </sheetDataSet>
  </externalBook>
</externalLink>
</file>

<file path=xl/externalLinks/externalLink2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sheetName val="Prestac"/>
      <sheetName val="Cesantías solas"/>
      <sheetName val="Seg social"/>
      <sheetName val="Indexación"/>
      <sheetName val="Intereses"/>
      <sheetName val="IPC DANE"/>
      <sheetName val="Histórico DTF"/>
      <sheetName val="Int Cial"/>
      <sheetName val="IPC DANE vertical"/>
    </sheetNames>
    <sheetDataSet>
      <sheetData sheetId="0">
        <row r="76">
          <cell r="J76"/>
        </row>
      </sheetData>
      <sheetData sheetId="1"/>
      <sheetData sheetId="2"/>
      <sheetData sheetId="3"/>
      <sheetData sheetId="4"/>
      <sheetData sheetId="5"/>
      <sheetData sheetId="6"/>
      <sheetData sheetId="7"/>
      <sheetData sheetId="8"/>
      <sheetData sheetId="9"/>
    </sheetDataSet>
  </externalBook>
</externalLink>
</file>

<file path=xl/externalLinks/externalLink2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sheetName val="Seg social"/>
      <sheetName val="Indexación"/>
      <sheetName val="Intereses"/>
      <sheetName val="IPC DANE"/>
      <sheetName val="Histórico DTF"/>
      <sheetName val="IPC DANE vertical"/>
      <sheetName val="Int Cial"/>
    </sheetNames>
    <sheetDataSet>
      <sheetData sheetId="0">
        <row r="48">
          <cell r="J48">
            <v>12992040.625481574</v>
          </cell>
        </row>
      </sheetData>
      <sheetData sheetId="1"/>
      <sheetData sheetId="2"/>
      <sheetData sheetId="3"/>
      <sheetData sheetId="4"/>
      <sheetData sheetId="5"/>
      <sheetData sheetId="6"/>
      <sheetData sheetId="7"/>
    </sheetDataSet>
  </externalBook>
</externalLink>
</file>

<file path=xl/externalLinks/externalLink2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sheetName val="Prestaciones PR"/>
      <sheetName val="Cesantías solas"/>
      <sheetName val="Seg social"/>
      <sheetName val="Indexación"/>
      <sheetName val="Intereses"/>
      <sheetName val="Histórico DTF"/>
      <sheetName val="IPC DANE"/>
      <sheetName val="Int Cial"/>
      <sheetName val="IPC DANE vertical"/>
      <sheetName val="Hoja1"/>
    </sheetNames>
    <sheetDataSet>
      <sheetData sheetId="0"/>
      <sheetData sheetId="1"/>
      <sheetData sheetId="2"/>
      <sheetData sheetId="3"/>
      <sheetData sheetId="4"/>
      <sheetData sheetId="5"/>
      <sheetData sheetId="6"/>
      <sheetData sheetId="7"/>
      <sheetData sheetId="8"/>
      <sheetData sheetId="9"/>
      <sheetData sheetId="10" refreshError="1"/>
    </sheetDataSet>
  </externalBook>
</externalLink>
</file>

<file path=xl/externalLinks/externalLink2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sheetName val="Prestaciones PR"/>
      <sheetName val="Cesantías solas"/>
      <sheetName val="Seg social"/>
      <sheetName val="Indexación"/>
      <sheetName val="Intereses"/>
      <sheetName val="IPC DANE"/>
      <sheetName val="Histórico DTF"/>
      <sheetName val="Int Cial"/>
      <sheetName val="IPC DANE vertical"/>
    </sheetNames>
    <sheetDataSet>
      <sheetData sheetId="0">
        <row r="82">
          <cell r="J82"/>
        </row>
      </sheetData>
      <sheetData sheetId="1"/>
      <sheetData sheetId="2"/>
      <sheetData sheetId="3"/>
      <sheetData sheetId="4"/>
      <sheetData sheetId="5"/>
      <sheetData sheetId="6"/>
      <sheetData sheetId="7"/>
      <sheetData sheetId="8"/>
      <sheetData sheetId="9"/>
    </sheetDataSet>
  </externalBook>
</externalLink>
</file>

<file path=xl/externalLinks/externalLink2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DE CONTRATOS "/>
      <sheetName val="Prestaciones PR"/>
      <sheetName val="Seguridad social"/>
      <sheetName val="Indexación"/>
      <sheetName val="Liquidación intereses"/>
      <sheetName val="IPC DANE"/>
      <sheetName val="Histórico DTF"/>
      <sheetName val="Int Cial"/>
      <sheetName val="IPC DANE vertical"/>
    </sheetNames>
    <sheetDataSet>
      <sheetData sheetId="0">
        <row r="58">
          <cell r="J58"/>
        </row>
      </sheetData>
      <sheetData sheetId="1"/>
      <sheetData sheetId="2"/>
      <sheetData sheetId="3"/>
      <sheetData sheetId="4"/>
      <sheetData sheetId="5"/>
      <sheetData sheetId="6"/>
      <sheetData sheetId="7"/>
      <sheetData sheetId="8"/>
    </sheetDataSet>
  </externalBook>
</externalLink>
</file>

<file path=xl/externalLinks/externalLink2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sheetName val="Prestaciones PR"/>
      <sheetName val="Cesantías solas"/>
      <sheetName val="Seg social"/>
      <sheetName val="Indexación"/>
      <sheetName val="Intereses"/>
      <sheetName val="IPC DANE"/>
      <sheetName val="Histórico DTF"/>
      <sheetName val="Int Cial"/>
      <sheetName val="IPC DANE vertical"/>
    </sheetNames>
    <sheetDataSet>
      <sheetData sheetId="0">
        <row r="62">
          <cell r="J62"/>
        </row>
      </sheetData>
      <sheetData sheetId="1"/>
      <sheetData sheetId="2"/>
      <sheetData sheetId="3"/>
      <sheetData sheetId="4"/>
      <sheetData sheetId="5"/>
      <sheetData sheetId="6"/>
      <sheetData sheetId="7"/>
      <sheetData sheetId="8"/>
      <sheetData sheetId="9"/>
    </sheetDataSet>
  </externalBook>
</externalLink>
</file>

<file path=xl/externalLinks/externalLink2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sheetName val="Prestaciones PR"/>
      <sheetName val="Cesantías solas"/>
      <sheetName val="Seg social"/>
      <sheetName val="Indexación"/>
      <sheetName val="Intereses"/>
      <sheetName val="IPC DANE"/>
      <sheetName val="Histórico DTF"/>
      <sheetName val="Int Cial"/>
      <sheetName val="IPC DANE vertical"/>
    </sheetNames>
    <sheetDataSet>
      <sheetData sheetId="0">
        <row r="79">
          <cell r="J79"/>
        </row>
      </sheetData>
      <sheetData sheetId="1"/>
      <sheetData sheetId="2"/>
      <sheetData sheetId="3"/>
      <sheetData sheetId="4"/>
      <sheetData sheetId="5"/>
      <sheetData sheetId="6"/>
      <sheetData sheetId="7"/>
      <sheetData sheetId="8"/>
      <sheetData sheetId="9"/>
    </sheetDataSet>
  </externalBook>
</externalLink>
</file>

<file path=xl/externalLinks/externalLink2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sheetName val="Prest"/>
      <sheetName val="Seg social"/>
      <sheetName val="Ints"/>
      <sheetName val="IPC DANE"/>
      <sheetName val="Histórico DTF"/>
      <sheetName val="IPC DANE vertical"/>
      <sheetName val="Int Cial"/>
    </sheetNames>
    <sheetDataSet>
      <sheetData sheetId="0"/>
      <sheetData sheetId="1"/>
      <sheetData sheetId="2"/>
      <sheetData sheetId="3"/>
      <sheetData sheetId="4"/>
      <sheetData sheetId="5"/>
      <sheetData sheetId="6"/>
      <sheetData sheetId="7"/>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ereses"/>
    </sheetNames>
    <sheetDataSet>
      <sheetData sheetId="0"/>
    </sheetDataSet>
  </externalBook>
</externalLink>
</file>

<file path=xl/externalLinks/externalLink2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DE CONTRATOS "/>
      <sheetName val="Seguridad social"/>
      <sheetName val="Liquidación intereses"/>
      <sheetName val="IPC DANE"/>
      <sheetName val="Histórico DTF"/>
      <sheetName val="IPC DANE vertical"/>
      <sheetName val="Int Cial"/>
    </sheetNames>
    <sheetDataSet>
      <sheetData sheetId="0">
        <row r="49">
          <cell r="I49">
            <v>8034063.2593266414</v>
          </cell>
        </row>
      </sheetData>
      <sheetData sheetId="1"/>
      <sheetData sheetId="2"/>
      <sheetData sheetId="3"/>
      <sheetData sheetId="4"/>
      <sheetData sheetId="5"/>
      <sheetData sheetId="6"/>
    </sheetDataSet>
  </externalBook>
</externalLink>
</file>

<file path=xl/externalLinks/externalLink2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sheetName val="Prestaciones"/>
      <sheetName val="Seg social"/>
      <sheetName val="Indexación"/>
      <sheetName val="Intereses"/>
      <sheetName val="IPC DANE"/>
      <sheetName val="Histórico DTF"/>
      <sheetName val="IPC DANE vertical"/>
      <sheetName val="Int Cial"/>
    </sheetNames>
    <sheetDataSet>
      <sheetData sheetId="0"/>
      <sheetData sheetId="1"/>
      <sheetData sheetId="2"/>
      <sheetData sheetId="3"/>
      <sheetData sheetId="4"/>
      <sheetData sheetId="5"/>
      <sheetData sheetId="6"/>
      <sheetData sheetId="7"/>
      <sheetData sheetId="8"/>
    </sheetDataSet>
  </externalBook>
</externalLink>
</file>

<file path=xl/externalLinks/externalLink2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sheetName val="Prestaciones"/>
      <sheetName val="Seg social"/>
      <sheetName val="SALARIOS"/>
      <sheetName val="Dif a pagar"/>
      <sheetName val="Indexación"/>
      <sheetName val="Intereses"/>
      <sheetName val="IPC DANE"/>
      <sheetName val="Histórico DTF"/>
      <sheetName val="IPC DANE vertical"/>
      <sheetName val="Int Cial"/>
    </sheetNames>
    <sheetDataSet>
      <sheetData sheetId="0">
        <row r="77">
          <cell r="J77"/>
        </row>
      </sheetData>
      <sheetData sheetId="1"/>
      <sheetData sheetId="2"/>
      <sheetData sheetId="3"/>
      <sheetData sheetId="4"/>
      <sheetData sheetId="5"/>
      <sheetData sheetId="6"/>
      <sheetData sheetId="7"/>
      <sheetData sheetId="8"/>
      <sheetData sheetId="9"/>
      <sheetData sheetId="10"/>
    </sheetDataSet>
  </externalBook>
</externalLink>
</file>

<file path=xl/externalLinks/externalLink2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sheetName val="Prestac"/>
      <sheetName val="Cesantías solas"/>
      <sheetName val="Seg social"/>
      <sheetName val="Indexación"/>
      <sheetName val="Intereses"/>
      <sheetName val="IPC DANE"/>
      <sheetName val="Histórico DTF"/>
      <sheetName val="Int Cial"/>
      <sheetName val="IPC DANE vertical"/>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2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sheetName val="Prestaciones PR"/>
      <sheetName val="Seg social"/>
      <sheetName val="Indexación"/>
      <sheetName val="Intereses"/>
      <sheetName val="IPC DANE"/>
      <sheetName val="Histórico DTF"/>
      <sheetName val="Int Cial"/>
      <sheetName val="IPC DANE vertical"/>
    </sheetNames>
    <sheetDataSet>
      <sheetData sheetId="0">
        <row r="53">
          <cell r="J53"/>
        </row>
      </sheetData>
      <sheetData sheetId="1"/>
      <sheetData sheetId="2"/>
      <sheetData sheetId="3"/>
      <sheetData sheetId="4"/>
      <sheetData sheetId="5"/>
      <sheetData sheetId="6"/>
      <sheetData sheetId="7"/>
      <sheetData sheetId="8"/>
    </sheetDataSet>
  </externalBook>
</externalLink>
</file>

<file path=xl/externalLinks/externalLink2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sheetName val="Prestac"/>
      <sheetName val="Cesantías solas"/>
      <sheetName val="Seg social"/>
      <sheetName val="Indexación"/>
      <sheetName val="Intereses"/>
      <sheetName val="IPC DANE"/>
      <sheetName val="Histórico DTF"/>
      <sheetName val="Int Cial"/>
      <sheetName val="IPC DANE vertical"/>
    </sheetNames>
    <sheetDataSet>
      <sheetData sheetId="0">
        <row r="85">
          <cell r="J85"/>
        </row>
      </sheetData>
      <sheetData sheetId="1"/>
      <sheetData sheetId="2"/>
      <sheetData sheetId="3"/>
      <sheetData sheetId="4"/>
      <sheetData sheetId="5"/>
      <sheetData sheetId="6"/>
      <sheetData sheetId="7"/>
      <sheetData sheetId="8"/>
      <sheetData sheetId="9"/>
    </sheetDataSet>
  </externalBook>
</externalLink>
</file>

<file path=xl/externalLinks/externalLink2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sheetName val="Prestaciones PR"/>
      <sheetName val="Cesantías solas"/>
      <sheetName val="Seg social"/>
      <sheetName val="Indexación"/>
      <sheetName val="Intereses"/>
      <sheetName val="IPC DANE"/>
      <sheetName val="Histórico DTF"/>
      <sheetName val="Int Cial"/>
      <sheetName val="IPC DANE vertical"/>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2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sheetName val="Prestaciones"/>
      <sheetName val="Seg social"/>
      <sheetName val="Indexación"/>
      <sheetName val="Intereses"/>
      <sheetName val="IPC DANE"/>
      <sheetName val="Histórico DTF"/>
      <sheetName val="IPC DANE vertical"/>
      <sheetName val="Int Cial"/>
    </sheetNames>
    <sheetDataSet>
      <sheetData sheetId="0">
        <row r="89">
          <cell r="J89"/>
        </row>
      </sheetData>
      <sheetData sheetId="1"/>
      <sheetData sheetId="2"/>
      <sheetData sheetId="3"/>
      <sheetData sheetId="4"/>
      <sheetData sheetId="5"/>
      <sheetData sheetId="6"/>
      <sheetData sheetId="7"/>
      <sheetData sheetId="8"/>
    </sheetDataSet>
  </externalBook>
</externalLink>
</file>

<file path=xl/externalLinks/externalLink2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sheetName val="Prestaciones PR"/>
      <sheetName val="Seg social"/>
      <sheetName val="Indexación"/>
      <sheetName val="Intereses"/>
      <sheetName val="IPC DANE"/>
      <sheetName val="Histórico DTF"/>
      <sheetName val="Int Cial"/>
      <sheetName val="IPC DANE vertical"/>
    </sheetNames>
    <sheetDataSet>
      <sheetData sheetId="0"/>
      <sheetData sheetId="1"/>
      <sheetData sheetId="2"/>
      <sheetData sheetId="3"/>
      <sheetData sheetId="4"/>
      <sheetData sheetId="5"/>
      <sheetData sheetId="6"/>
      <sheetData sheetId="7"/>
      <sheetData sheetId="8"/>
    </sheetDataSet>
  </externalBook>
</externalLink>
</file>

<file path=xl/externalLinks/externalLink2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DE CONTRATOS "/>
      <sheetName val="Prestaciones PR"/>
      <sheetName val="Seguridad social"/>
      <sheetName val="Indexación"/>
      <sheetName val="Liquidación intereses"/>
      <sheetName val="Histórico DTF"/>
      <sheetName val="IPC DANE"/>
      <sheetName val="Int Cial"/>
      <sheetName val="IPC DANE vertical"/>
    </sheetNames>
    <sheetDataSet>
      <sheetData sheetId="0">
        <row r="69">
          <cell r="J69"/>
        </row>
      </sheetData>
      <sheetData sheetId="1"/>
      <sheetData sheetId="2"/>
      <sheetData sheetId="3"/>
      <sheetData sheetId="4"/>
      <sheetData sheetId="5"/>
      <sheetData sheetId="6"/>
      <sheetData sheetId="7"/>
      <sheetData sheetId="8"/>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sheetName val="Prestaciones"/>
      <sheetName val="Seg social"/>
      <sheetName val="Indexación"/>
      <sheetName val="Intereses"/>
      <sheetName val="IPC DANE"/>
      <sheetName val="Histórico DTF"/>
      <sheetName val="IPC DANE vertical"/>
      <sheetName val="Int Cial"/>
    </sheetNames>
    <sheetDataSet>
      <sheetData sheetId="0">
        <row r="77">
          <cell r="J77">
            <v>180047689.67097887</v>
          </cell>
        </row>
      </sheetData>
      <sheetData sheetId="1"/>
      <sheetData sheetId="2"/>
      <sheetData sheetId="3"/>
      <sheetData sheetId="4"/>
      <sheetData sheetId="5"/>
      <sheetData sheetId="6"/>
      <sheetData sheetId="7"/>
      <sheetData sheetId="8"/>
    </sheetDataSet>
  </externalBook>
</externalLink>
</file>

<file path=xl/externalLinks/externalLink2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DE CONTRATOS "/>
      <sheetName val="Prestaciones PR"/>
      <sheetName val="Seguridad social"/>
      <sheetName val="Indexación"/>
      <sheetName val="Liquidación intereses"/>
      <sheetName val="IPC DANE"/>
      <sheetName val="Histórico DTF"/>
      <sheetName val="Int Cial"/>
      <sheetName val="IPC DANE vertical"/>
    </sheetNames>
    <sheetDataSet>
      <sheetData sheetId="0"/>
      <sheetData sheetId="1"/>
      <sheetData sheetId="2"/>
      <sheetData sheetId="3"/>
      <sheetData sheetId="4"/>
      <sheetData sheetId="5"/>
      <sheetData sheetId="6"/>
      <sheetData sheetId="7"/>
      <sheetData sheetId="8"/>
    </sheetDataSet>
  </externalBook>
</externalLink>
</file>

<file path=xl/externalLinks/externalLink2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sheetName val="Prestaciones"/>
      <sheetName val="Seg social"/>
      <sheetName val="Indexación"/>
      <sheetName val="Intereses"/>
      <sheetName val="IPC DANE"/>
      <sheetName val="Histórico DTF"/>
      <sheetName val="IPC DANE vertical"/>
      <sheetName val="Int Cial"/>
    </sheetNames>
    <sheetDataSet>
      <sheetData sheetId="0">
        <row r="80">
          <cell r="J80"/>
        </row>
      </sheetData>
      <sheetData sheetId="1"/>
      <sheetData sheetId="2"/>
      <sheetData sheetId="3"/>
      <sheetData sheetId="4"/>
      <sheetData sheetId="5"/>
      <sheetData sheetId="6"/>
      <sheetData sheetId="7"/>
      <sheetData sheetId="8"/>
    </sheetDataSet>
  </externalBook>
</externalLink>
</file>

<file path=xl/externalLinks/externalLink2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sheetName val="Prestaciones"/>
      <sheetName val="Seg social"/>
      <sheetName val="Indexación"/>
      <sheetName val="Intereses"/>
      <sheetName val="IPC DANE"/>
      <sheetName val="Histórico DTF"/>
      <sheetName val="IPC DANE vertical"/>
      <sheetName val="Int Cial"/>
    </sheetNames>
    <sheetDataSet>
      <sheetData sheetId="0">
        <row r="82">
          <cell r="J82"/>
        </row>
      </sheetData>
      <sheetData sheetId="1"/>
      <sheetData sheetId="2"/>
      <sheetData sheetId="3"/>
      <sheetData sheetId="4"/>
      <sheetData sheetId="5"/>
      <sheetData sheetId="6"/>
      <sheetData sheetId="7"/>
      <sheetData sheetId="8"/>
    </sheetDataSet>
  </externalBook>
</externalLink>
</file>

<file path=xl/externalLinks/externalLink2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sheetName val="Prestaciones"/>
      <sheetName val="Seg social"/>
      <sheetName val="Indexación"/>
      <sheetName val="Intereses"/>
      <sheetName val="IPC DANE"/>
      <sheetName val="Histórico DTF"/>
      <sheetName val="IPC DANE vertical"/>
      <sheetName val="Int Cial"/>
    </sheetNames>
    <sheetDataSet>
      <sheetData sheetId="0">
        <row r="65">
          <cell r="J65"/>
        </row>
      </sheetData>
      <sheetData sheetId="1"/>
      <sheetData sheetId="2"/>
      <sheetData sheetId="3"/>
      <sheetData sheetId="4"/>
      <sheetData sheetId="5"/>
      <sheetData sheetId="6"/>
      <sheetData sheetId="7"/>
      <sheetData sheetId="8"/>
    </sheetDataSet>
  </externalBook>
</externalLink>
</file>

<file path=xl/externalLinks/externalLink2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sheetName val="Prestaciones"/>
      <sheetName val="Seg social"/>
      <sheetName val="Indexación"/>
      <sheetName val="Intereses"/>
      <sheetName val="IPC DANE"/>
      <sheetName val="Histórico DTF"/>
      <sheetName val="IPC DANE vertical"/>
      <sheetName val="Int Cial"/>
    </sheetNames>
    <sheetDataSet>
      <sheetData sheetId="0"/>
      <sheetData sheetId="1"/>
      <sheetData sheetId="2"/>
      <sheetData sheetId="3"/>
      <sheetData sheetId="4"/>
      <sheetData sheetId="5"/>
      <sheetData sheetId="6"/>
      <sheetData sheetId="7"/>
      <sheetData sheetId="8"/>
    </sheetDataSet>
  </externalBook>
</externalLink>
</file>

<file path=xl/externalLinks/externalLink2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sheetName val="Prestaciones"/>
      <sheetName val="Indexación"/>
      <sheetName val="Intereses"/>
      <sheetName val="IPC DANE"/>
      <sheetName val="Histórico DTF"/>
      <sheetName val="IPC DANE vertical"/>
      <sheetName val="Int Cial"/>
    </sheetNames>
    <sheetDataSet>
      <sheetData sheetId="0"/>
      <sheetData sheetId="1"/>
      <sheetData sheetId="2"/>
      <sheetData sheetId="3"/>
      <sheetData sheetId="4"/>
      <sheetData sheetId="5"/>
      <sheetData sheetId="6"/>
      <sheetData sheetId="7"/>
    </sheetDataSet>
  </externalBook>
</externalLink>
</file>

<file path=xl/externalLinks/externalLink2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sheetName val="Prestaciones PR"/>
      <sheetName val="Seg social"/>
      <sheetName val="Indexación"/>
      <sheetName val="Intereses"/>
      <sheetName val="IPC DANE"/>
      <sheetName val="Histórico DTF"/>
      <sheetName val="Int Cial"/>
      <sheetName val="IPC DANE vertical"/>
    </sheetNames>
    <sheetDataSet>
      <sheetData sheetId="0"/>
      <sheetData sheetId="1"/>
      <sheetData sheetId="2"/>
      <sheetData sheetId="3"/>
      <sheetData sheetId="4"/>
      <sheetData sheetId="5"/>
      <sheetData sheetId="6"/>
      <sheetData sheetId="7"/>
      <sheetData sheetId="8"/>
    </sheetDataSet>
  </externalBook>
</externalLink>
</file>

<file path=xl/externalLinks/externalLink2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sheetName val="Prestaciones PR"/>
      <sheetName val="Indexación"/>
      <sheetName val="Intereses"/>
      <sheetName val="IPC DANE"/>
      <sheetName val="Histórico DTF"/>
      <sheetName val="Int Cial"/>
      <sheetName val="IPC DANE vertical"/>
    </sheetNames>
    <sheetDataSet>
      <sheetData sheetId="0"/>
      <sheetData sheetId="1"/>
      <sheetData sheetId="2"/>
      <sheetData sheetId="3"/>
      <sheetData sheetId="4"/>
      <sheetData sheetId="5"/>
      <sheetData sheetId="6"/>
      <sheetData sheetId="7"/>
    </sheetDataSet>
  </externalBook>
</externalLink>
</file>

<file path=xl/externalLinks/externalLink2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sheetName val="Prestaciones PR"/>
      <sheetName val="Seg social"/>
      <sheetName val="Indexación"/>
      <sheetName val="Intereses"/>
      <sheetName val="IPC DANE"/>
      <sheetName val="Histórico DTF"/>
      <sheetName val="Int Cial"/>
      <sheetName val="IPC DANE vertical"/>
    </sheetNames>
    <sheetDataSet>
      <sheetData sheetId="0"/>
      <sheetData sheetId="1"/>
      <sheetData sheetId="2"/>
      <sheetData sheetId="3"/>
      <sheetData sheetId="4"/>
      <sheetData sheetId="5"/>
      <sheetData sheetId="6"/>
      <sheetData sheetId="7"/>
      <sheetData sheetId="8"/>
    </sheetDataSet>
  </externalBook>
</externalLink>
</file>

<file path=xl/externalLinks/externalLink2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sheetName val="Prestaciones"/>
      <sheetName val="Seg social"/>
      <sheetName val="Indexación"/>
      <sheetName val="Intereses"/>
      <sheetName val="IPC DANE"/>
      <sheetName val="Histórico DTF"/>
      <sheetName val="IPC DANE vertical"/>
      <sheetName val="Int Cial"/>
    </sheetNames>
    <sheetDataSet>
      <sheetData sheetId="0">
        <row r="83">
          <cell r="K83"/>
        </row>
      </sheetData>
      <sheetData sheetId="1"/>
      <sheetData sheetId="2"/>
      <sheetData sheetId="3"/>
      <sheetData sheetId="4"/>
      <sheetData sheetId="5"/>
      <sheetData sheetId="6"/>
      <sheetData sheetId="7"/>
      <sheetData sheetId="8"/>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sheetName val="Prestaciones"/>
      <sheetName val="Seg social"/>
      <sheetName val="Indexación"/>
      <sheetName val="Intereses"/>
      <sheetName val="IPC DANE"/>
      <sheetName val="Histórico DTF"/>
      <sheetName val="IPC DANE vertical"/>
      <sheetName val="Int Cial"/>
    </sheetNames>
    <sheetDataSet>
      <sheetData sheetId="0">
        <row r="65">
          <cell r="J65">
            <v>140882305.11355957</v>
          </cell>
        </row>
      </sheetData>
      <sheetData sheetId="1"/>
      <sheetData sheetId="2"/>
      <sheetData sheetId="3"/>
      <sheetData sheetId="4"/>
      <sheetData sheetId="5"/>
      <sheetData sheetId="6"/>
      <sheetData sheetId="7"/>
      <sheetData sheetId="8"/>
    </sheetDataSet>
  </externalBook>
</externalLink>
</file>

<file path=xl/externalLinks/externalLink2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sheetName val="Prestaciones"/>
      <sheetName val="Seg social"/>
      <sheetName val="Indexación"/>
      <sheetName val="Intereses"/>
      <sheetName val="IPC DANE"/>
      <sheetName val="Histórico DTF"/>
      <sheetName val="IPC DANE vertical"/>
      <sheetName val="Int Cial"/>
    </sheetNames>
    <sheetDataSet>
      <sheetData sheetId="0">
        <row r="55">
          <cell r="J55">
            <v>194161311.64092571</v>
          </cell>
        </row>
      </sheetData>
      <sheetData sheetId="1"/>
      <sheetData sheetId="2"/>
      <sheetData sheetId="3"/>
      <sheetData sheetId="4"/>
      <sheetData sheetId="5"/>
      <sheetData sheetId="6"/>
      <sheetData sheetId="7"/>
      <sheetData sheetId="8"/>
    </sheetDataSet>
  </externalBook>
</externalLink>
</file>

<file path=xl/externalLinks/externalLink2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DE CONTRATOS "/>
      <sheetName val="Prestaciones"/>
      <sheetName val="Seguridad social"/>
      <sheetName val="Indexación"/>
      <sheetName val="Liquidación intereses"/>
      <sheetName val="IPC DANE"/>
      <sheetName val="Histórico DTF"/>
      <sheetName val="IPC DANE vertical"/>
      <sheetName val="Int Cial"/>
    </sheetNames>
    <sheetDataSet>
      <sheetData sheetId="0">
        <row r="50">
          <cell r="J50">
            <v>197000367.1581625</v>
          </cell>
        </row>
      </sheetData>
      <sheetData sheetId="1"/>
      <sheetData sheetId="2"/>
      <sheetData sheetId="3"/>
      <sheetData sheetId="4"/>
      <sheetData sheetId="5"/>
      <sheetData sheetId="6"/>
      <sheetData sheetId="7"/>
      <sheetData sheetId="8"/>
    </sheetDataSet>
  </externalBook>
</externalLink>
</file>

<file path=xl/externalLinks/externalLink2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DE CONTRATOS "/>
      <sheetName val="Prestaciones"/>
      <sheetName val="Seguridad social"/>
      <sheetName val="Indexación"/>
      <sheetName val="Liquidación intereses"/>
      <sheetName val="IPC DANE"/>
      <sheetName val="Histórico DTF"/>
      <sheetName val="IPC DANE vertical"/>
      <sheetName val="Int Cial"/>
    </sheetNames>
    <sheetDataSet>
      <sheetData sheetId="0">
        <row r="51">
          <cell r="J51"/>
        </row>
      </sheetData>
      <sheetData sheetId="1"/>
      <sheetData sheetId="2"/>
      <sheetData sheetId="3"/>
      <sheetData sheetId="4"/>
      <sheetData sheetId="5"/>
      <sheetData sheetId="6"/>
      <sheetData sheetId="7"/>
      <sheetData sheetId="8"/>
    </sheetDataSet>
  </externalBook>
</externalLink>
</file>

<file path=xl/externalLinks/externalLink2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sheetName val="Prestaciones"/>
      <sheetName val="Seg social"/>
      <sheetName val="Indexación"/>
      <sheetName val="Intereses"/>
      <sheetName val="IPC DANE"/>
      <sheetName val="Histórico DTF"/>
      <sheetName val="IPC DANE vertical"/>
      <sheetName val="Int Cial"/>
    </sheetNames>
    <sheetDataSet>
      <sheetData sheetId="0">
        <row r="50">
          <cell r="J50">
            <v>241339959.8587876</v>
          </cell>
        </row>
      </sheetData>
      <sheetData sheetId="1"/>
      <sheetData sheetId="2"/>
      <sheetData sheetId="3"/>
      <sheetData sheetId="4"/>
      <sheetData sheetId="5"/>
      <sheetData sheetId="6"/>
      <sheetData sheetId="7"/>
      <sheetData sheetId="8"/>
    </sheetDataSet>
  </externalBook>
</externalLink>
</file>

<file path=xl/externalLinks/externalLink2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sheetName val="Prestac"/>
      <sheetName val="Cesantias solas"/>
      <sheetName val="Seg social"/>
      <sheetName val="Indexación"/>
      <sheetName val="Intereses"/>
      <sheetName val="IPC DANE"/>
      <sheetName val="Histórico DTF"/>
      <sheetName val="Int Cial"/>
      <sheetName val="IPC DANE vertical"/>
    </sheetNames>
    <sheetDataSet>
      <sheetData sheetId="0">
        <row r="72">
          <cell r="J72"/>
        </row>
      </sheetData>
      <sheetData sheetId="1"/>
      <sheetData sheetId="2"/>
      <sheetData sheetId="3"/>
      <sheetData sheetId="4"/>
      <sheetData sheetId="5"/>
      <sheetData sheetId="6"/>
      <sheetData sheetId="7"/>
      <sheetData sheetId="8"/>
      <sheetData sheetId="9"/>
    </sheetDataSet>
  </externalBook>
</externalLink>
</file>

<file path=xl/externalLinks/externalLink2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sheetName val="Prestaciones PR"/>
      <sheetName val="Cesantías"/>
      <sheetName val="Seg Social"/>
      <sheetName val="Indexación"/>
      <sheetName val="Intereses"/>
      <sheetName val="IPC DANE"/>
      <sheetName val="Histórico DTF"/>
      <sheetName val="Int Cial"/>
      <sheetName val="IPC DANE vertical"/>
    </sheetNames>
    <sheetDataSet>
      <sheetData sheetId="0">
        <row r="68">
          <cell r="J68">
            <v>46686308.095653281</v>
          </cell>
        </row>
      </sheetData>
      <sheetData sheetId="1"/>
      <sheetData sheetId="2"/>
      <sheetData sheetId="3"/>
      <sheetData sheetId="4"/>
      <sheetData sheetId="5"/>
      <sheetData sheetId="6"/>
      <sheetData sheetId="7"/>
      <sheetData sheetId="8"/>
      <sheetData sheetId="9"/>
    </sheetDataSet>
  </externalBook>
</externalLink>
</file>

<file path=xl/externalLinks/externalLink2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sheetName val="Prestaciones"/>
      <sheetName val="Seguridad social"/>
      <sheetName val="Indexación"/>
      <sheetName val="Intereses"/>
      <sheetName val="IPC DANE"/>
      <sheetName val="Histórico DTF"/>
      <sheetName val="Int Cial"/>
    </sheetNames>
    <sheetDataSet>
      <sheetData sheetId="0">
        <row r="49">
          <cell r="M49">
            <v>90341736.317731827</v>
          </cell>
        </row>
      </sheetData>
      <sheetData sheetId="1"/>
      <sheetData sheetId="2"/>
      <sheetData sheetId="3"/>
      <sheetData sheetId="4"/>
      <sheetData sheetId="5"/>
      <sheetData sheetId="6"/>
      <sheetData sheetId="7"/>
    </sheetDataSet>
  </externalBook>
</externalLink>
</file>

<file path=xl/externalLinks/externalLink2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sheetName val="Prestaciones"/>
      <sheetName val="Seg social"/>
      <sheetName val="Indexación"/>
      <sheetName val="Intereses"/>
      <sheetName val="IPC DANE"/>
      <sheetName val="Histórico DTF"/>
      <sheetName val="IPC DANE vertical"/>
      <sheetName val="Int Cial"/>
    </sheetNames>
    <sheetDataSet>
      <sheetData sheetId="0">
        <row r="92">
          <cell r="J92">
            <v>252394784.61072001</v>
          </cell>
        </row>
      </sheetData>
      <sheetData sheetId="1"/>
      <sheetData sheetId="2"/>
      <sheetData sheetId="3"/>
      <sheetData sheetId="4"/>
      <sheetData sheetId="5"/>
      <sheetData sheetId="6"/>
      <sheetData sheetId="7"/>
      <sheetData sheetId="8"/>
    </sheetDataSet>
  </externalBook>
</externalLink>
</file>

<file path=xl/externalLinks/externalLink2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sheetName val="Seguridad social"/>
      <sheetName val="Liquidación intereses"/>
      <sheetName val="IPC DANE"/>
      <sheetName val="Histórico DTF"/>
      <sheetName val="Int Cial"/>
    </sheetNames>
    <sheetDataSet>
      <sheetData sheetId="0">
        <row r="36">
          <cell r="I36">
            <v>4840997.2187813725</v>
          </cell>
        </row>
      </sheetData>
      <sheetData sheetId="1"/>
      <sheetData sheetId="2"/>
      <sheetData sheetId="3"/>
      <sheetData sheetId="4"/>
      <sheetData sheetId="5"/>
    </sheetDataSet>
  </externalBook>
</externalLink>
</file>

<file path=xl/externalLinks/externalLink2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DE CONTRATOS "/>
      <sheetName val="Prestaciones"/>
      <sheetName val="Seguridad social"/>
      <sheetName val="Indexación"/>
      <sheetName val="Liquidación intereses"/>
      <sheetName val="IPC DANE"/>
      <sheetName val="Histórico DTF"/>
      <sheetName val="Int Cial"/>
    </sheetNames>
    <sheetDataSet>
      <sheetData sheetId="0"/>
      <sheetData sheetId="1"/>
      <sheetData sheetId="2"/>
      <sheetData sheetId="3"/>
      <sheetData sheetId="4"/>
      <sheetData sheetId="5"/>
      <sheetData sheetId="6"/>
      <sheetData sheetId="7"/>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sheetName val="Prestaciones"/>
      <sheetName val="Seg social"/>
      <sheetName val="Indexación"/>
      <sheetName val="Intereses"/>
      <sheetName val="IPC DANE"/>
      <sheetName val="Histórico DTF"/>
      <sheetName val="IPC DANE vertical"/>
      <sheetName val="Int Cial"/>
    </sheetNames>
    <sheetDataSet>
      <sheetData sheetId="0">
        <row r="59">
          <cell r="J59">
            <v>128622079.52737452</v>
          </cell>
        </row>
      </sheetData>
      <sheetData sheetId="1"/>
      <sheetData sheetId="2"/>
      <sheetData sheetId="3"/>
      <sheetData sheetId="4"/>
      <sheetData sheetId="5"/>
      <sheetData sheetId="6"/>
      <sheetData sheetId="7"/>
      <sheetData sheetId="8"/>
    </sheetDataSet>
  </externalBook>
</externalLink>
</file>

<file path=xl/externalLinks/externalLink2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DE CONTRATOS "/>
      <sheetName val="Liquidación intereses"/>
      <sheetName val="IPC DANE"/>
      <sheetName val="Histórico DTF"/>
      <sheetName val="Int Cial"/>
    </sheetNames>
    <sheetDataSet>
      <sheetData sheetId="0">
        <row r="57">
          <cell r="I57">
            <v>199677536.01806152</v>
          </cell>
        </row>
      </sheetData>
      <sheetData sheetId="1"/>
      <sheetData sheetId="2"/>
      <sheetData sheetId="3"/>
      <sheetData sheetId="4"/>
    </sheetDataSet>
  </externalBook>
</externalLink>
</file>

<file path=xl/externalLinks/externalLink2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sheetName val="Prestaciones"/>
      <sheetName val="Seg social"/>
      <sheetName val="Indexación"/>
      <sheetName val="Intereses"/>
      <sheetName val="IPC DANE"/>
      <sheetName val="Histórico DTF"/>
      <sheetName val="Int Cial"/>
    </sheetNames>
    <sheetDataSet>
      <sheetData sheetId="0">
        <row r="75">
          <cell r="J75">
            <v>150392991.28421897</v>
          </cell>
        </row>
      </sheetData>
      <sheetData sheetId="1"/>
      <sheetData sheetId="2"/>
      <sheetData sheetId="3"/>
      <sheetData sheetId="4"/>
      <sheetData sheetId="5"/>
      <sheetData sheetId="6"/>
      <sheetData sheetId="7"/>
    </sheetDataSet>
  </externalBook>
</externalLink>
</file>

<file path=xl/externalLinks/externalLink2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sheetName val="Prestaciones"/>
      <sheetName val="Seg social"/>
      <sheetName val="Indexación"/>
      <sheetName val="Intereses"/>
      <sheetName val="IPC DANE"/>
      <sheetName val="Histórico DTF"/>
      <sheetName val="Int Cial"/>
    </sheetNames>
    <sheetDataSet>
      <sheetData sheetId="0">
        <row r="58">
          <cell r="J58">
            <v>286851623.31771475</v>
          </cell>
        </row>
      </sheetData>
      <sheetData sheetId="1"/>
      <sheetData sheetId="2"/>
      <sheetData sheetId="3"/>
      <sheetData sheetId="4"/>
      <sheetData sheetId="5"/>
      <sheetData sheetId="6"/>
      <sheetData sheetId="7"/>
    </sheetDataSet>
  </externalBook>
</externalLink>
</file>

<file path=xl/externalLinks/externalLink2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DE CONTRATOS "/>
      <sheetName val="Prestaciones PR"/>
      <sheetName val="Seguridad Social"/>
      <sheetName val="Indexación"/>
      <sheetName val="Liquidación intereses"/>
      <sheetName val="IPC DANE"/>
      <sheetName val="Histórico DTF"/>
      <sheetName val="Int Cial"/>
      <sheetName val="IPC DANE vertical"/>
    </sheetNames>
    <sheetDataSet>
      <sheetData sheetId="0">
        <row r="40">
          <cell r="J40">
            <v>2809488.3948138226</v>
          </cell>
        </row>
      </sheetData>
      <sheetData sheetId="1"/>
      <sheetData sheetId="2"/>
      <sheetData sheetId="3"/>
      <sheetData sheetId="4"/>
      <sheetData sheetId="5"/>
      <sheetData sheetId="6"/>
      <sheetData sheetId="7"/>
      <sheetData sheetId="8"/>
    </sheetDataSet>
  </externalBook>
</externalLink>
</file>

<file path=xl/externalLinks/externalLink2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
      <sheetName val="Prest"/>
      <sheetName val="Seg Social"/>
      <sheetName val="Indexación"/>
      <sheetName val="Intereses"/>
      <sheetName val="IPC DANE"/>
      <sheetName val="Histórico DTF"/>
      <sheetName val="Int Cial"/>
      <sheetName val="IPC DANE vertical"/>
    </sheetNames>
    <sheetDataSet>
      <sheetData sheetId="0"/>
      <sheetData sheetId="1"/>
      <sheetData sheetId="2"/>
      <sheetData sheetId="3"/>
      <sheetData sheetId="4"/>
      <sheetData sheetId="5"/>
      <sheetData sheetId="6"/>
      <sheetData sheetId="7"/>
      <sheetData sheetId="8"/>
    </sheetDataSet>
  </externalBook>
</externalLink>
</file>

<file path=xl/externalLinks/externalLink2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
      <sheetName val="Prest"/>
      <sheetName val="Indexación"/>
      <sheetName val="Intereses"/>
      <sheetName val="IPC DANE"/>
      <sheetName val="Histórico DTF"/>
      <sheetName val="Int Cial"/>
      <sheetName val="IPC DANE vertical"/>
    </sheetNames>
    <sheetDataSet>
      <sheetData sheetId="0">
        <row r="40">
          <cell r="J40">
            <v>2980729.114147211</v>
          </cell>
        </row>
      </sheetData>
      <sheetData sheetId="1"/>
      <sheetData sheetId="2"/>
      <sheetData sheetId="3"/>
      <sheetData sheetId="4"/>
      <sheetData sheetId="5"/>
      <sheetData sheetId="6"/>
      <sheetData sheetId="7"/>
    </sheetDataSet>
  </externalBook>
</externalLink>
</file>

<file path=xl/externalLinks/externalLink2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sheetName val="Seg social"/>
      <sheetName val="Indexación"/>
      <sheetName val="Intereses"/>
      <sheetName val="IPC DANE"/>
      <sheetName val="Histórico DTF"/>
      <sheetName val="IPC DANE vertical"/>
      <sheetName val="Int Cial"/>
    </sheetNames>
    <sheetDataSet>
      <sheetData sheetId="0">
        <row r="68">
          <cell r="J68">
            <v>12998108.430540595</v>
          </cell>
        </row>
      </sheetData>
      <sheetData sheetId="1"/>
      <sheetData sheetId="2"/>
      <sheetData sheetId="3"/>
      <sheetData sheetId="4"/>
      <sheetData sheetId="5"/>
      <sheetData sheetId="6"/>
      <sheetData sheetId="7"/>
    </sheetDataSet>
  </externalBook>
</externalLink>
</file>

<file path=xl/externalLinks/externalLink2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sheetName val="Prest"/>
      <sheetName val="Seg Social"/>
      <sheetName val="Indexación"/>
      <sheetName val="Intereses"/>
      <sheetName val="IPC DANE"/>
      <sheetName val="Histórico DTF"/>
      <sheetName val="Int Cial"/>
      <sheetName val="IPC DANE vertical"/>
    </sheetNames>
    <sheetDataSet>
      <sheetData sheetId="0"/>
      <sheetData sheetId="1"/>
      <sheetData sheetId="2"/>
      <sheetData sheetId="3"/>
      <sheetData sheetId="4"/>
      <sheetData sheetId="5"/>
      <sheetData sheetId="6"/>
      <sheetData sheetId="7"/>
      <sheetData sheetId="8"/>
    </sheetDataSet>
  </externalBook>
</externalLink>
</file>

<file path=xl/externalLinks/externalLink2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sheetName val="Prest"/>
      <sheetName val="Seg Social"/>
      <sheetName val="Indexación"/>
      <sheetName val="Intereses"/>
      <sheetName val="IPC DANE"/>
      <sheetName val="Histórico DTF"/>
      <sheetName val="Int Cial"/>
      <sheetName val="IPC DANE vertical"/>
    </sheetNames>
    <sheetDataSet>
      <sheetData sheetId="0"/>
      <sheetData sheetId="1"/>
      <sheetData sheetId="2"/>
      <sheetData sheetId="3"/>
      <sheetData sheetId="4"/>
      <sheetData sheetId="5"/>
      <sheetData sheetId="6"/>
      <sheetData sheetId="7"/>
      <sheetData sheetId="8"/>
    </sheetDataSet>
  </externalBook>
</externalLink>
</file>

<file path=xl/externalLinks/externalLink2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sheetName val="Prest"/>
      <sheetName val="Seg Social"/>
      <sheetName val="Indexación"/>
      <sheetName val="Intereses"/>
      <sheetName val="IPC DANE"/>
      <sheetName val="Histórico DTF"/>
      <sheetName val="Int Cial"/>
      <sheetName val="IPC DANE vertical"/>
    </sheetNames>
    <sheetDataSet>
      <sheetData sheetId="0"/>
      <sheetData sheetId="1"/>
      <sheetData sheetId="2"/>
      <sheetData sheetId="3"/>
      <sheetData sheetId="4"/>
      <sheetData sheetId="5"/>
      <sheetData sheetId="6"/>
      <sheetData sheetId="7"/>
      <sheetData sheetId="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
      <sheetName val="INDEXACIÓN"/>
      <sheetName val="MATRIZ DE INTERESES -01-84"/>
      <sheetName val="INTERESES DTF SOBRE APORT PAGAD"/>
      <sheetName val="INTERESES"/>
      <sheetName val="DTF"/>
      <sheetName val="Int Cial"/>
    </sheetNames>
    <sheetDataSet>
      <sheetData sheetId="0"/>
      <sheetData sheetId="1"/>
      <sheetData sheetId="2"/>
      <sheetData sheetId="3"/>
      <sheetData sheetId="4">
        <row r="175">
          <cell r="R175">
            <v>8953521.5541788042</v>
          </cell>
        </row>
      </sheetData>
      <sheetData sheetId="5"/>
      <sheetData sheetId="6"/>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sheetName val="Prestaciones"/>
      <sheetName val="Seg social"/>
      <sheetName val="Indexación"/>
      <sheetName val="Intereses"/>
      <sheetName val="IPC DANE"/>
      <sheetName val="Histórico DTF"/>
      <sheetName val="IPC DANE vertical"/>
      <sheetName val="Int Cial"/>
    </sheetNames>
    <sheetDataSet>
      <sheetData sheetId="0">
        <row r="70">
          <cell r="J70">
            <v>184163031.5020974</v>
          </cell>
        </row>
      </sheetData>
      <sheetData sheetId="1"/>
      <sheetData sheetId="2"/>
      <sheetData sheetId="3"/>
      <sheetData sheetId="4"/>
      <sheetData sheetId="5"/>
      <sheetData sheetId="6"/>
      <sheetData sheetId="7"/>
      <sheetData sheetId="8"/>
    </sheetDataSet>
  </externalBook>
</externalLink>
</file>

<file path=xl/externalLinks/externalLink3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sheetName val="Prest"/>
      <sheetName val="Seg social"/>
      <sheetName val="Indexación"/>
      <sheetName val="Intereses"/>
      <sheetName val="IPC DANE"/>
      <sheetName val="Histórico DTF"/>
      <sheetName val="IPC DANE vertical"/>
      <sheetName val="Int Cial"/>
    </sheetNames>
    <sheetDataSet>
      <sheetData sheetId="0">
        <row r="55">
          <cell r="J55">
            <v>46244805.907477878</v>
          </cell>
        </row>
      </sheetData>
      <sheetData sheetId="1"/>
      <sheetData sheetId="2"/>
      <sheetData sheetId="3"/>
      <sheetData sheetId="4"/>
      <sheetData sheetId="5"/>
      <sheetData sheetId="6"/>
      <sheetData sheetId="7"/>
      <sheetData sheetId="8"/>
    </sheetDataSet>
  </externalBook>
</externalLink>
</file>

<file path=xl/externalLinks/externalLink3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sheetName val="Prest"/>
      <sheetName val="Seg Social"/>
      <sheetName val="Indexación"/>
      <sheetName val="Intereses"/>
      <sheetName val="IPC DANE"/>
      <sheetName val="Histórico DTF"/>
      <sheetName val="Int Cial"/>
      <sheetName val="IPC DANE vertical"/>
    </sheetNames>
    <sheetDataSet>
      <sheetData sheetId="0">
        <row r="53">
          <cell r="J53"/>
        </row>
      </sheetData>
      <sheetData sheetId="1"/>
      <sheetData sheetId="2"/>
      <sheetData sheetId="3"/>
      <sheetData sheetId="4"/>
      <sheetData sheetId="5"/>
      <sheetData sheetId="6"/>
      <sheetData sheetId="7"/>
      <sheetData sheetId="8"/>
    </sheetDataSet>
  </externalBook>
</externalLink>
</file>

<file path=xl/externalLinks/externalLink3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
      <sheetName val="Prest"/>
      <sheetName val="Salarios"/>
      <sheetName val="Seg social"/>
      <sheetName val="Indexación"/>
      <sheetName val="Intereses"/>
      <sheetName val="IPC DANE"/>
      <sheetName val="Histórico DTF"/>
      <sheetName val="IPC DANE vertical"/>
      <sheetName val="Int Cial"/>
    </sheetNames>
    <sheetDataSet>
      <sheetData sheetId="0">
        <row r="54">
          <cell r="J54">
            <v>16499806.419117033</v>
          </cell>
        </row>
      </sheetData>
      <sheetData sheetId="1"/>
      <sheetData sheetId="2"/>
      <sheetData sheetId="3"/>
      <sheetData sheetId="4"/>
      <sheetData sheetId="5"/>
      <sheetData sheetId="6"/>
      <sheetData sheetId="7"/>
      <sheetData sheetId="8"/>
      <sheetData sheetId="9"/>
    </sheetDataSet>
  </externalBook>
</externalLink>
</file>

<file path=xl/externalLinks/externalLink3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
      <sheetName val="Prestac"/>
      <sheetName val="Cesantías Solas"/>
      <sheetName val="Seg Social"/>
      <sheetName val="Index"/>
      <sheetName val="Intereses"/>
      <sheetName val="IPC DANE"/>
      <sheetName val="Histórico DTF"/>
      <sheetName val="Int Cial"/>
      <sheetName val="IPC DANE vertical"/>
    </sheetNames>
    <sheetDataSet>
      <sheetData sheetId="0">
        <row r="57">
          <cell r="J57">
            <v>10545551.0822805</v>
          </cell>
        </row>
      </sheetData>
      <sheetData sheetId="1"/>
      <sheetData sheetId="2"/>
      <sheetData sheetId="3"/>
      <sheetData sheetId="4"/>
      <sheetData sheetId="5"/>
      <sheetData sheetId="6"/>
      <sheetData sheetId="7"/>
      <sheetData sheetId="8"/>
      <sheetData sheetId="9"/>
    </sheetDataSet>
  </externalBook>
</externalLink>
</file>

<file path=xl/externalLinks/externalLink3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DE CONTRATOS "/>
      <sheetName val="Liquidación intereses"/>
      <sheetName val="IPC DANE"/>
      <sheetName val="Histórico DTF"/>
      <sheetName val="Int Cial"/>
    </sheetNames>
    <sheetDataSet>
      <sheetData sheetId="0">
        <row r="27">
          <cell r="I27">
            <v>1374064732.8252077</v>
          </cell>
        </row>
      </sheetData>
      <sheetData sheetId="1"/>
      <sheetData sheetId="2"/>
      <sheetData sheetId="3"/>
      <sheetData sheetId="4"/>
    </sheetDataSet>
  </externalBook>
</externalLink>
</file>

<file path=xl/externalLinks/externalLink3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
      <sheetName val="Prest"/>
      <sheetName val="Seg social"/>
      <sheetName val="Indexación"/>
      <sheetName val="Intereses"/>
      <sheetName val="IPC DANE"/>
      <sheetName val="Histórico DTF"/>
      <sheetName val="IPC DANE vertical"/>
      <sheetName val="Int Cial"/>
    </sheetNames>
    <sheetDataSet>
      <sheetData sheetId="0">
        <row r="42">
          <cell r="J42"/>
        </row>
      </sheetData>
      <sheetData sheetId="1"/>
      <sheetData sheetId="2"/>
      <sheetData sheetId="3"/>
      <sheetData sheetId="4"/>
      <sheetData sheetId="5"/>
      <sheetData sheetId="6"/>
      <sheetData sheetId="7"/>
      <sheetData sheetId="8"/>
    </sheetDataSet>
  </externalBook>
</externalLink>
</file>

<file path=xl/externalLinks/externalLink3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sheetName val="Prest"/>
      <sheetName val="Seg social"/>
      <sheetName val="Indexación"/>
      <sheetName val="Intereses"/>
      <sheetName val="IPC DANE"/>
      <sheetName val="Histórico DTF"/>
      <sheetName val="IPC DANE vertical"/>
      <sheetName val="Int Cial"/>
    </sheetNames>
    <sheetDataSet>
      <sheetData sheetId="0">
        <row r="50">
          <cell r="J50">
            <v>143811777.18783551</v>
          </cell>
        </row>
      </sheetData>
      <sheetData sheetId="1"/>
      <sheetData sheetId="2"/>
      <sheetData sheetId="3"/>
      <sheetData sheetId="4"/>
      <sheetData sheetId="5"/>
      <sheetData sheetId="6"/>
      <sheetData sheetId="7"/>
      <sheetData sheetId="8"/>
    </sheetDataSet>
  </externalBook>
</externalLink>
</file>

<file path=xl/externalLinks/externalLink3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
      <sheetName val="Prestac"/>
      <sheetName val="Seg Social"/>
      <sheetName val="Cesantías Solas"/>
      <sheetName val="Indexación"/>
      <sheetName val="Liquidación intereses"/>
      <sheetName val="IPC DANE"/>
      <sheetName val="Histórico DTF"/>
      <sheetName val="Int Cial"/>
      <sheetName val="IPC DANE vertical"/>
    </sheetNames>
    <sheetDataSet>
      <sheetData sheetId="0">
        <row r="64">
          <cell r="J64"/>
        </row>
      </sheetData>
      <sheetData sheetId="1"/>
      <sheetData sheetId="2"/>
      <sheetData sheetId="3"/>
      <sheetData sheetId="4"/>
      <sheetData sheetId="5"/>
      <sheetData sheetId="6"/>
      <sheetData sheetId="7"/>
      <sheetData sheetId="8"/>
      <sheetData sheetId="9"/>
    </sheetDataSet>
  </externalBook>
</externalLink>
</file>

<file path=xl/externalLinks/externalLink3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sheetName val="Seg social"/>
      <sheetName val="Indexación"/>
      <sheetName val="Intereses"/>
      <sheetName val="IPC DANE"/>
      <sheetName val="IPC DANE vertical"/>
      <sheetName val="Histórico DTF"/>
      <sheetName val="Int Cial"/>
    </sheetNames>
    <sheetDataSet>
      <sheetData sheetId="0">
        <row r="37">
          <cell r="J37">
            <v>8459765.6948298551</v>
          </cell>
        </row>
      </sheetData>
      <sheetData sheetId="1"/>
      <sheetData sheetId="2"/>
      <sheetData sheetId="3"/>
      <sheetData sheetId="4"/>
      <sheetData sheetId="5"/>
      <sheetData sheetId="6"/>
      <sheetData sheetId="7"/>
    </sheetDataSet>
  </externalBook>
</externalLink>
</file>

<file path=xl/externalLinks/externalLink3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
      <sheetName val="Prest"/>
      <sheetName val="Salarios-Honorarios"/>
      <sheetName val="Seg social"/>
      <sheetName val="Indexación"/>
      <sheetName val="Intereses"/>
      <sheetName val="IPC DANE"/>
      <sheetName val="Histórico DTF"/>
      <sheetName val="IPC DANE vertical"/>
      <sheetName val="Int Cial"/>
    </sheetNames>
    <sheetDataSet>
      <sheetData sheetId="0">
        <row r="52">
          <cell r="J52">
            <v>8387789.738301442</v>
          </cell>
        </row>
      </sheetData>
      <sheetData sheetId="1"/>
      <sheetData sheetId="2"/>
      <sheetData sheetId="3"/>
      <sheetData sheetId="4"/>
      <sheetData sheetId="5"/>
      <sheetData sheetId="6"/>
      <sheetData sheetId="7"/>
      <sheetData sheetId="8"/>
      <sheetData sheetId="9"/>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sheetName val="Prestaciones"/>
      <sheetName val="Seg social"/>
      <sheetName val="Indexación"/>
      <sheetName val="Intereses"/>
      <sheetName val="IPC DANE"/>
      <sheetName val="Histórico DTF"/>
      <sheetName val="IPC DANE vertical"/>
      <sheetName val="Int Cial"/>
    </sheetNames>
    <sheetDataSet>
      <sheetData sheetId="0">
        <row r="51">
          <cell r="J51">
            <v>29137019.752681408</v>
          </cell>
        </row>
      </sheetData>
      <sheetData sheetId="1"/>
      <sheetData sheetId="2"/>
      <sheetData sheetId="3"/>
      <sheetData sheetId="4"/>
      <sheetData sheetId="5"/>
      <sheetData sheetId="6"/>
      <sheetData sheetId="7"/>
      <sheetData sheetId="8"/>
    </sheetDataSet>
  </externalBook>
</externalLink>
</file>

<file path=xl/externalLinks/externalLink3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sheetName val="Prest"/>
      <sheetName val="Seg Social"/>
      <sheetName val="Indexación"/>
      <sheetName val="Intereses"/>
      <sheetName val="IPC DANE"/>
      <sheetName val="Histórico DTF"/>
      <sheetName val="Int Cial"/>
      <sheetName val="IPC DANE vertical"/>
    </sheetNames>
    <sheetDataSet>
      <sheetData sheetId="0"/>
      <sheetData sheetId="1"/>
      <sheetData sheetId="2"/>
      <sheetData sheetId="3"/>
      <sheetData sheetId="4"/>
      <sheetData sheetId="5"/>
      <sheetData sheetId="6"/>
      <sheetData sheetId="7"/>
      <sheetData sheetId="8"/>
    </sheetDataSet>
  </externalBook>
</externalLink>
</file>

<file path=xl/externalLinks/externalLink3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sheetName val="Prest"/>
      <sheetName val="Seg social"/>
      <sheetName val="Index"/>
      <sheetName val="Ints"/>
      <sheetName val="IPC DANE"/>
      <sheetName val="Histórico DTF"/>
      <sheetName val="IPC DANE vertical"/>
      <sheetName val="Int Cial"/>
    </sheetNames>
    <sheetDataSet>
      <sheetData sheetId="0">
        <row r="68">
          <cell r="J68">
            <v>202437548.69527352</v>
          </cell>
        </row>
      </sheetData>
      <sheetData sheetId="1"/>
      <sheetData sheetId="2"/>
      <sheetData sheetId="3"/>
      <sheetData sheetId="4"/>
      <sheetData sheetId="5"/>
      <sheetData sheetId="6"/>
      <sheetData sheetId="7"/>
      <sheetData sheetId="8"/>
    </sheetDataSet>
  </externalBook>
</externalLink>
</file>

<file path=xl/externalLinks/externalLink3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sheetName val="Prest"/>
      <sheetName val="Seg social"/>
      <sheetName val="Index"/>
      <sheetName val="Ints"/>
      <sheetName val="IPC DANE"/>
      <sheetName val="Histórico DTF"/>
      <sheetName val="IPC DANE vertical"/>
      <sheetName val="Int Cial"/>
    </sheetNames>
    <sheetDataSet>
      <sheetData sheetId="0"/>
      <sheetData sheetId="1"/>
      <sheetData sheetId="2"/>
      <sheetData sheetId="3"/>
      <sheetData sheetId="4"/>
      <sheetData sheetId="5"/>
      <sheetData sheetId="6"/>
      <sheetData sheetId="7"/>
      <sheetData sheetId="8"/>
    </sheetDataSet>
  </externalBook>
</externalLink>
</file>

<file path=xl/externalLinks/externalLink3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sheetName val="Intereses"/>
      <sheetName val="IPC DANE"/>
      <sheetName val="Histórico DTF"/>
      <sheetName val="Int Cial"/>
    </sheetNames>
    <sheetDataSet>
      <sheetData sheetId="0">
        <row r="32">
          <cell r="G32">
            <v>5197000173</v>
          </cell>
        </row>
      </sheetData>
      <sheetData sheetId="1"/>
      <sheetData sheetId="2"/>
      <sheetData sheetId="3"/>
      <sheetData sheetId="4"/>
    </sheetDataSet>
  </externalBook>
</externalLink>
</file>

<file path=xl/externalLinks/externalLink3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
      <sheetName val="Prestac"/>
      <sheetName val="Cesantías Solas"/>
      <sheetName val="Index"/>
      <sheetName val="Ints"/>
      <sheetName val="IPC DANE"/>
      <sheetName val="Histórico DTF"/>
      <sheetName val="Int Cial"/>
      <sheetName val="IPC DANE vertical"/>
    </sheetNames>
    <sheetDataSet>
      <sheetData sheetId="0">
        <row r="57">
          <cell r="J57"/>
        </row>
      </sheetData>
      <sheetData sheetId="1"/>
      <sheetData sheetId="2"/>
      <sheetData sheetId="3"/>
      <sheetData sheetId="4"/>
      <sheetData sheetId="5"/>
      <sheetData sheetId="6"/>
      <sheetData sheetId="7"/>
      <sheetData sheetId="8"/>
    </sheetDataSet>
  </externalBook>
</externalLink>
</file>

<file path=xl/externalLinks/externalLink3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sheetName val="Prest"/>
      <sheetName val="Seg Social"/>
      <sheetName val="Index"/>
      <sheetName val="IntS"/>
      <sheetName val="IPC DANE"/>
      <sheetName val="Histórico DTF"/>
      <sheetName val="Int Cial"/>
      <sheetName val="IPC DANE vertical"/>
    </sheetNames>
    <sheetDataSet>
      <sheetData sheetId="0"/>
      <sheetData sheetId="1"/>
      <sheetData sheetId="2"/>
      <sheetData sheetId="3"/>
      <sheetData sheetId="4"/>
      <sheetData sheetId="5"/>
      <sheetData sheetId="6"/>
      <sheetData sheetId="7"/>
      <sheetData sheetId="8"/>
    </sheetDataSet>
  </externalBook>
</externalLink>
</file>

<file path=xl/externalLinks/externalLink3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sheetName val="Prest"/>
      <sheetName val="Seg Social"/>
      <sheetName val="Index"/>
      <sheetName val="IntS"/>
      <sheetName val="IPC DANE"/>
      <sheetName val="Histórico DTF"/>
      <sheetName val="Int Cial"/>
      <sheetName val="IPC DANE vertical"/>
    </sheetNames>
    <sheetDataSet>
      <sheetData sheetId="0">
        <row r="53">
          <cell r="J53">
            <v>6227908.9783383664</v>
          </cell>
        </row>
      </sheetData>
      <sheetData sheetId="1"/>
      <sheetData sheetId="2"/>
      <sheetData sheetId="3"/>
      <sheetData sheetId="4"/>
      <sheetData sheetId="5"/>
      <sheetData sheetId="6"/>
      <sheetData sheetId="7"/>
      <sheetData sheetId="8"/>
    </sheetDataSet>
  </externalBook>
</externalLink>
</file>

<file path=xl/externalLinks/externalLink3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sheetName val="Prestaciones"/>
      <sheetName val="Seg social"/>
      <sheetName val="Indexación"/>
      <sheetName val="Intereses"/>
      <sheetName val="IPC DANE"/>
      <sheetName val="Histórico DTF"/>
      <sheetName val="IPC DANE vertical"/>
      <sheetName val="Int Cial"/>
    </sheetNames>
    <sheetDataSet>
      <sheetData sheetId="0">
        <row r="55">
          <cell r="J55">
            <v>233384452.59175727</v>
          </cell>
        </row>
      </sheetData>
      <sheetData sheetId="1"/>
      <sheetData sheetId="2"/>
      <sheetData sheetId="3"/>
      <sheetData sheetId="4"/>
      <sheetData sheetId="5"/>
      <sheetData sheetId="6"/>
      <sheetData sheetId="7"/>
      <sheetData sheetId="8"/>
    </sheetDataSet>
  </externalBook>
</externalLink>
</file>

<file path=xl/externalLinks/externalLink3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sheetName val="Prest"/>
      <sheetName val="Seg social"/>
      <sheetName val="Indexación"/>
      <sheetName val="Intereses"/>
      <sheetName val="IPC DANE"/>
      <sheetName val="Histórico DTF"/>
      <sheetName val="IPC DANE vertical"/>
      <sheetName val="Int Cial"/>
    </sheetNames>
    <sheetDataSet>
      <sheetData sheetId="0">
        <row r="53">
          <cell r="J53"/>
        </row>
      </sheetData>
      <sheetData sheetId="1"/>
      <sheetData sheetId="2"/>
      <sheetData sheetId="3"/>
      <sheetData sheetId="4"/>
      <sheetData sheetId="5"/>
      <sheetData sheetId="6"/>
      <sheetData sheetId="7"/>
      <sheetData sheetId="8"/>
    </sheetDataSet>
  </externalBook>
</externalLink>
</file>

<file path=xl/externalLinks/externalLink3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
      <sheetName val="Prest"/>
      <sheetName val="Seg social"/>
      <sheetName val="Indexación"/>
      <sheetName val="Intereses"/>
      <sheetName val="IPC DANE"/>
      <sheetName val="Histórico DTF"/>
      <sheetName val="IPC DANE vertical"/>
      <sheetName val="Int Cial"/>
    </sheetNames>
    <sheetDataSet>
      <sheetData sheetId="0">
        <row r="45">
          <cell r="J45">
            <v>12087888.116701774</v>
          </cell>
        </row>
      </sheetData>
      <sheetData sheetId="1"/>
      <sheetData sheetId="2"/>
      <sheetData sheetId="3"/>
      <sheetData sheetId="4"/>
      <sheetData sheetId="5"/>
      <sheetData sheetId="6"/>
      <sheetData sheetId="7"/>
      <sheetData sheetId="8"/>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sheetName val="Prestaciones"/>
      <sheetName val="Seg social"/>
      <sheetName val="Rtefte"/>
      <sheetName val="Indexación"/>
      <sheetName val="Intereses"/>
      <sheetName val="IPC DANE"/>
      <sheetName val="Histórico DTF"/>
      <sheetName val="IPC DANE vertical"/>
      <sheetName val="Int Cial"/>
    </sheetNames>
    <sheetDataSet>
      <sheetData sheetId="0">
        <row r="85">
          <cell r="J85">
            <v>353432002.19251931</v>
          </cell>
        </row>
      </sheetData>
      <sheetData sheetId="1"/>
      <sheetData sheetId="2"/>
      <sheetData sheetId="3"/>
      <sheetData sheetId="4"/>
      <sheetData sheetId="5"/>
      <sheetData sheetId="6"/>
      <sheetData sheetId="7"/>
      <sheetData sheetId="8"/>
      <sheetData sheetId="9"/>
    </sheetDataSet>
  </externalBook>
</externalLink>
</file>

<file path=xl/externalLinks/externalLink3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sheetName val="Prest"/>
      <sheetName val="Seg social"/>
      <sheetName val="Index"/>
      <sheetName val="Intereses"/>
      <sheetName val="IPC DANE"/>
      <sheetName val="Histórico DTF"/>
      <sheetName val="IPC DANE vertical"/>
      <sheetName val="Int Cial"/>
      <sheetName val="Hoja1"/>
    </sheetNames>
    <sheetDataSet>
      <sheetData sheetId="0">
        <row r="75">
          <cell r="J75"/>
        </row>
      </sheetData>
      <sheetData sheetId="1"/>
      <sheetData sheetId="2"/>
      <sheetData sheetId="3"/>
      <sheetData sheetId="4"/>
      <sheetData sheetId="5"/>
      <sheetData sheetId="6"/>
      <sheetData sheetId="7"/>
      <sheetData sheetId="8"/>
      <sheetData sheetId="9"/>
    </sheetDataSet>
  </externalBook>
</externalLink>
</file>

<file path=xl/externalLinks/externalLink3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sheetName val="Prest"/>
      <sheetName val="Seg Social"/>
      <sheetName val="Indexación"/>
      <sheetName val="Intereses"/>
      <sheetName val="IPC DANE"/>
      <sheetName val="Histórico DTF"/>
      <sheetName val="Int Cial"/>
      <sheetName val="IPC DANE vertical"/>
    </sheetNames>
    <sheetDataSet>
      <sheetData sheetId="0"/>
      <sheetData sheetId="1"/>
      <sheetData sheetId="2"/>
      <sheetData sheetId="3"/>
      <sheetData sheetId="4"/>
      <sheetData sheetId="5"/>
      <sheetData sheetId="6"/>
      <sheetData sheetId="7"/>
      <sheetData sheetId="8"/>
    </sheetDataSet>
  </externalBook>
</externalLink>
</file>

<file path=xl/externalLinks/externalLink3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DE CONTRATOS "/>
      <sheetName val="Prestaciones"/>
      <sheetName val="Seguridad social"/>
      <sheetName val="Indexación"/>
      <sheetName val="Liquidación intereses"/>
      <sheetName val="IPC DANE"/>
      <sheetName val="Histórico DTF"/>
      <sheetName val="IPC DANE vertical"/>
      <sheetName val="Int Cial"/>
    </sheetNames>
    <sheetDataSet>
      <sheetData sheetId="0"/>
      <sheetData sheetId="1"/>
      <sheetData sheetId="2"/>
      <sheetData sheetId="3"/>
      <sheetData sheetId="4"/>
      <sheetData sheetId="5"/>
      <sheetData sheetId="6"/>
      <sheetData sheetId="7"/>
      <sheetData sheetId="8"/>
    </sheetDataSet>
  </externalBook>
</externalLink>
</file>

<file path=xl/externalLinks/externalLink3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sheetName val="Prestaciones PR"/>
      <sheetName val="Cesantias solas"/>
      <sheetName val="Seg social"/>
      <sheetName val="Indexación"/>
      <sheetName val="intereses"/>
      <sheetName val="IPC DANE"/>
      <sheetName val="Histórico DTF"/>
      <sheetName val="Int Cial"/>
      <sheetName val="IPC DANE vertical"/>
    </sheetNames>
    <sheetDataSet>
      <sheetData sheetId="0">
        <row r="68">
          <cell r="J68"/>
        </row>
      </sheetData>
      <sheetData sheetId="1"/>
      <sheetData sheetId="2"/>
      <sheetData sheetId="3"/>
      <sheetData sheetId="4"/>
      <sheetData sheetId="5"/>
      <sheetData sheetId="6"/>
      <sheetData sheetId="7"/>
      <sheetData sheetId="8"/>
      <sheetData sheetId="9"/>
    </sheetDataSet>
  </externalBook>
</externalLink>
</file>

<file path=xl/externalLinks/externalLink3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DE CONTRATOS "/>
      <sheetName val="Prestaciones"/>
      <sheetName val="Seguridad social"/>
      <sheetName val="Indexación"/>
      <sheetName val="Liquidación intereses"/>
      <sheetName val="IPC DANE"/>
      <sheetName val="Histórico DTF"/>
      <sheetName val="IPC DANE vertical"/>
      <sheetName val="Int Cial"/>
    </sheetNames>
    <sheetDataSet>
      <sheetData sheetId="0">
        <row r="79">
          <cell r="K79"/>
        </row>
      </sheetData>
      <sheetData sheetId="1"/>
      <sheetData sheetId="2"/>
      <sheetData sheetId="3"/>
      <sheetData sheetId="4"/>
      <sheetData sheetId="5"/>
      <sheetData sheetId="6"/>
      <sheetData sheetId="7"/>
      <sheetData sheetId="8"/>
    </sheetDataSet>
  </externalBook>
</externalLink>
</file>

<file path=xl/externalLinks/externalLink3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DE CONTRATOS "/>
      <sheetName val="Prestaciones PR"/>
      <sheetName val="Cesantias solas"/>
      <sheetName val="Seguridad social"/>
      <sheetName val="Indexación"/>
      <sheetName val="Liquidación intereses"/>
      <sheetName val="IPC DANE"/>
      <sheetName val="Histórico DTF"/>
      <sheetName val="Int Cial"/>
      <sheetName val="IPC DANE vertical"/>
    </sheetNames>
    <sheetDataSet>
      <sheetData sheetId="0">
        <row r="71">
          <cell r="J71">
            <v>14558931.212344304</v>
          </cell>
        </row>
      </sheetData>
      <sheetData sheetId="1"/>
      <sheetData sheetId="2"/>
      <sheetData sheetId="3"/>
      <sheetData sheetId="4"/>
      <sheetData sheetId="5"/>
      <sheetData sheetId="6"/>
      <sheetData sheetId="7"/>
      <sheetData sheetId="8"/>
      <sheetData sheetId="9"/>
    </sheetDataSet>
  </externalBook>
</externalLink>
</file>

<file path=xl/externalLinks/externalLink3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
      <sheetName val="Prest"/>
      <sheetName val="Salarios"/>
      <sheetName val="Seg social"/>
      <sheetName val="Indexación"/>
      <sheetName val="Intereses"/>
      <sheetName val="IPC DANE"/>
      <sheetName val="Histórico DTF"/>
      <sheetName val="IPC DANE vertical"/>
      <sheetName val="Int Cial"/>
    </sheetNames>
    <sheetDataSet>
      <sheetData sheetId="0">
        <row r="55">
          <cell r="J55">
            <v>106968169.82707715</v>
          </cell>
        </row>
      </sheetData>
      <sheetData sheetId="1"/>
      <sheetData sheetId="2"/>
      <sheetData sheetId="3"/>
      <sheetData sheetId="4"/>
      <sheetData sheetId="5"/>
      <sheetData sheetId="6"/>
      <sheetData sheetId="7"/>
      <sheetData sheetId="8"/>
      <sheetData sheetId="9"/>
    </sheetDataSet>
  </externalBook>
</externalLink>
</file>

<file path=xl/externalLinks/externalLink3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
      <sheetName val="Intereses"/>
      <sheetName val="IPC DANE"/>
      <sheetName val="Histórico DTF"/>
      <sheetName val="IPC DANE vertical"/>
      <sheetName val="Int Cial"/>
    </sheetNames>
    <sheetDataSet>
      <sheetData sheetId="0">
        <row r="29">
          <cell r="I29">
            <v>116887306.4259174</v>
          </cell>
        </row>
      </sheetData>
      <sheetData sheetId="1"/>
      <sheetData sheetId="2"/>
      <sheetData sheetId="3"/>
      <sheetData sheetId="4"/>
      <sheetData sheetId="5"/>
    </sheetDataSet>
  </externalBook>
</externalLink>
</file>

<file path=xl/externalLinks/externalLink3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sheetName val="Prest"/>
      <sheetName val="Seg Social"/>
      <sheetName val="Indexación"/>
      <sheetName val="Intereses"/>
      <sheetName val="IPC DANE"/>
      <sheetName val="Histórico DTF"/>
      <sheetName val="Int Cial"/>
      <sheetName val="IPC DANE vertical"/>
    </sheetNames>
    <sheetDataSet>
      <sheetData sheetId="0"/>
      <sheetData sheetId="1"/>
      <sheetData sheetId="2"/>
      <sheetData sheetId="3"/>
      <sheetData sheetId="4"/>
      <sheetData sheetId="5"/>
      <sheetData sheetId="6"/>
      <sheetData sheetId="7"/>
      <sheetData sheetId="8"/>
    </sheetDataSet>
  </externalBook>
</externalLink>
</file>

<file path=xl/externalLinks/externalLink3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sheetName val="Prest"/>
      <sheetName val="Seg social"/>
      <sheetName val="Indexación"/>
      <sheetName val="Intereses"/>
      <sheetName val="IPC DANE"/>
      <sheetName val="Histórico DTF"/>
      <sheetName val="IPC DANE vertical"/>
      <sheetName val="Int Cial"/>
    </sheetNames>
    <sheetDataSet>
      <sheetData sheetId="0"/>
      <sheetData sheetId="1"/>
      <sheetData sheetId="2"/>
      <sheetData sheetId="3"/>
      <sheetData sheetId="4"/>
      <sheetData sheetId="5"/>
      <sheetData sheetId="6"/>
      <sheetData sheetId="7"/>
      <sheetData sheetId="8"/>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
      <sheetName val="Prest"/>
      <sheetName val="Seg Social"/>
      <sheetName val="Indexación"/>
      <sheetName val="Intereses"/>
      <sheetName val="IPC DANE"/>
      <sheetName val="Histórico DTF"/>
      <sheetName val="IPC DANE vertical"/>
      <sheetName val="Int Cial"/>
    </sheetNames>
    <sheetDataSet>
      <sheetData sheetId="0">
        <row r="85">
          <cell r="J85">
            <v>363376016.29210895</v>
          </cell>
        </row>
      </sheetData>
      <sheetData sheetId="1"/>
      <sheetData sheetId="2"/>
      <sheetData sheetId="3"/>
      <sheetData sheetId="4"/>
      <sheetData sheetId="5"/>
      <sheetData sheetId="6"/>
      <sheetData sheetId="7"/>
      <sheetData sheetId="8"/>
    </sheetDataSet>
  </externalBook>
</externalLink>
</file>

<file path=xl/externalLinks/externalLink3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NEFICIARIOS"/>
      <sheetName val="Liquidación intereses"/>
      <sheetName val="IPC DANE"/>
      <sheetName val="Histórico DTF"/>
      <sheetName val="Int Cial"/>
    </sheetNames>
    <sheetDataSet>
      <sheetData sheetId="0">
        <row r="35">
          <cell r="L35">
            <v>33530789.026864741</v>
          </cell>
        </row>
      </sheetData>
      <sheetData sheetId="1"/>
      <sheetData sheetId="2"/>
      <sheetData sheetId="3"/>
      <sheetData sheetId="4"/>
    </sheetDataSet>
  </externalBook>
</externalLink>
</file>

<file path=xl/externalLinks/externalLink3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sheetName val="Intereses"/>
      <sheetName val="IPC DANE"/>
      <sheetName val="Histórico DTF"/>
      <sheetName val="Int Cial"/>
    </sheetNames>
    <sheetDataSet>
      <sheetData sheetId="0"/>
      <sheetData sheetId="1"/>
      <sheetData sheetId="2"/>
      <sheetData sheetId="3"/>
      <sheetData sheetId="4"/>
    </sheetDataSet>
  </externalBook>
</externalLink>
</file>

<file path=xl/externalLinks/externalLink3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DE CONTRATOS "/>
      <sheetName val="Prestaciones"/>
      <sheetName val="Seguridad social"/>
      <sheetName val="Indexación"/>
      <sheetName val="Liquidación intereses"/>
      <sheetName val="IPC DANE"/>
      <sheetName val="Histórico DTF"/>
      <sheetName val="IPC DANE vertical"/>
      <sheetName val="Int Cial"/>
    </sheetNames>
    <sheetDataSet>
      <sheetData sheetId="0"/>
      <sheetData sheetId="1"/>
      <sheetData sheetId="2"/>
      <sheetData sheetId="3"/>
      <sheetData sheetId="4"/>
      <sheetData sheetId="5"/>
      <sheetData sheetId="6"/>
      <sheetData sheetId="7"/>
      <sheetData sheetId="8"/>
    </sheetDataSet>
  </externalBook>
</externalLink>
</file>

<file path=xl/externalLinks/externalLink3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DE CONTRATOS "/>
      <sheetName val="Prestaciones PR"/>
      <sheetName val="Seguridad Social"/>
      <sheetName val="Indexación"/>
      <sheetName val="Liquidación intereses"/>
      <sheetName val="IPC DANE"/>
      <sheetName val="Histórico DTF"/>
      <sheetName val="Int Cial"/>
      <sheetName val="IPC DANE vertical"/>
    </sheetNames>
    <sheetDataSet>
      <sheetData sheetId="0"/>
      <sheetData sheetId="1"/>
      <sheetData sheetId="2"/>
      <sheetData sheetId="3"/>
      <sheetData sheetId="4"/>
      <sheetData sheetId="5"/>
      <sheetData sheetId="6"/>
      <sheetData sheetId="7"/>
      <sheetData sheetId="8"/>
    </sheetDataSet>
  </externalBook>
</externalLink>
</file>

<file path=xl/externalLinks/externalLink3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sheetName val="Prest"/>
      <sheetName val="Seg social"/>
      <sheetName val="Indexación"/>
      <sheetName val="Intereses"/>
      <sheetName val="IPC DANE"/>
      <sheetName val="Histórico DTF"/>
      <sheetName val="IPC DANE vertical"/>
      <sheetName val="Int Cial"/>
    </sheetNames>
    <sheetDataSet>
      <sheetData sheetId="0">
        <row r="39">
          <cell r="J39">
            <v>11796497.645993808</v>
          </cell>
        </row>
      </sheetData>
      <sheetData sheetId="1"/>
      <sheetData sheetId="2"/>
      <sheetData sheetId="3"/>
      <sheetData sheetId="4"/>
      <sheetData sheetId="5"/>
      <sheetData sheetId="6"/>
      <sheetData sheetId="7"/>
      <sheetData sheetId="8"/>
    </sheetDataSet>
  </externalBook>
</externalLink>
</file>

<file path=xl/externalLinks/externalLink3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sheetName val="Prestaciones"/>
      <sheetName val="Seg social"/>
      <sheetName val="Indexación"/>
      <sheetName val="Intereses"/>
      <sheetName val="IPC DANE"/>
      <sheetName val="Histórico DTF"/>
      <sheetName val="Int Cial"/>
    </sheetNames>
    <sheetDataSet>
      <sheetData sheetId="0">
        <row r="61">
          <cell r="J61">
            <v>42434152.059719354</v>
          </cell>
        </row>
      </sheetData>
      <sheetData sheetId="1"/>
      <sheetData sheetId="2"/>
      <sheetData sheetId="3"/>
      <sheetData sheetId="4"/>
      <sheetData sheetId="5"/>
      <sheetData sheetId="6"/>
      <sheetData sheetId="7"/>
    </sheetDataSet>
  </externalBook>
</externalLink>
</file>

<file path=xl/externalLinks/externalLink3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sheetName val="Intereses"/>
      <sheetName val="IPC DANE"/>
      <sheetName val="Histórico DTF"/>
      <sheetName val="Int Cial"/>
    </sheetNames>
    <sheetDataSet>
      <sheetData sheetId="0">
        <row r="29">
          <cell r="I29"/>
        </row>
      </sheetData>
      <sheetData sheetId="1"/>
      <sheetData sheetId="2"/>
      <sheetData sheetId="3"/>
      <sheetData sheetId="4"/>
    </sheetDataSet>
  </externalBook>
</externalLink>
</file>

<file path=xl/externalLinks/externalLink3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sheetName val="Prestaciones"/>
      <sheetName val="Seg social"/>
      <sheetName val="Indexación"/>
      <sheetName val="Intereses"/>
      <sheetName val="IPC DANE"/>
      <sheetName val="Histórico DTF"/>
      <sheetName val="IPC DANE vertical"/>
      <sheetName val="Int Cial"/>
    </sheetNames>
    <sheetDataSet>
      <sheetData sheetId="0">
        <row r="51">
          <cell r="K51"/>
        </row>
      </sheetData>
      <sheetData sheetId="1"/>
      <sheetData sheetId="2"/>
      <sheetData sheetId="3"/>
      <sheetData sheetId="4"/>
      <sheetData sheetId="5"/>
      <sheetData sheetId="6"/>
      <sheetData sheetId="7"/>
      <sheetData sheetId="8"/>
    </sheetDataSet>
  </externalBook>
</externalLink>
</file>

<file path=xl/externalLinks/externalLink3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sheetName val="Prestaciones"/>
      <sheetName val="Seg social"/>
      <sheetName val="Indexación"/>
      <sheetName val="Intereses"/>
      <sheetName val="IPC DANE"/>
      <sheetName val="Histórico DTF"/>
      <sheetName val="IPC DANE vertical"/>
      <sheetName val="Int Cial"/>
    </sheetNames>
    <sheetDataSet>
      <sheetData sheetId="0"/>
      <sheetData sheetId="1"/>
      <sheetData sheetId="2"/>
      <sheetData sheetId="3"/>
      <sheetData sheetId="4"/>
      <sheetData sheetId="5"/>
      <sheetData sheetId="6"/>
      <sheetData sheetId="7"/>
      <sheetData sheetId="8"/>
    </sheetDataSet>
  </externalBook>
</externalLink>
</file>

<file path=xl/externalLinks/externalLink3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sheetName val="Prest"/>
      <sheetName val="Seg social"/>
      <sheetName val="Indexación"/>
      <sheetName val="Intereses"/>
      <sheetName val="IPC DANE"/>
      <sheetName val="Histórico DTF"/>
      <sheetName val="IPC DANE vertical"/>
      <sheetName val="Int Cial"/>
    </sheetNames>
    <sheetDataSet>
      <sheetData sheetId="0">
        <row r="63">
          <cell r="J63">
            <v>171370548.85444686</v>
          </cell>
        </row>
      </sheetData>
      <sheetData sheetId="1"/>
      <sheetData sheetId="2"/>
      <sheetData sheetId="3"/>
      <sheetData sheetId="4"/>
      <sheetData sheetId="5"/>
      <sheetData sheetId="6"/>
      <sheetData sheetId="7"/>
      <sheetData sheetId="8"/>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sheetName val="Prest"/>
      <sheetName val="Seg social"/>
      <sheetName val="Index"/>
      <sheetName val="Ints"/>
      <sheetName val="IPC DANE"/>
      <sheetName val="Histórico DTF"/>
      <sheetName val="IPC DANE vertical"/>
      <sheetName val="Int Cial"/>
      <sheetName val="Hoja1"/>
    </sheetNames>
    <sheetDataSet>
      <sheetData sheetId="0">
        <row r="72">
          <cell r="J72">
            <v>156844948.55776522</v>
          </cell>
        </row>
      </sheetData>
      <sheetData sheetId="1"/>
      <sheetData sheetId="2"/>
      <sheetData sheetId="3"/>
      <sheetData sheetId="4"/>
      <sheetData sheetId="5"/>
      <sheetData sheetId="6"/>
      <sheetData sheetId="7"/>
      <sheetData sheetId="8"/>
      <sheetData sheetId="9"/>
    </sheetDataSet>
  </externalBook>
</externalLink>
</file>

<file path=xl/externalLinks/externalLink3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DE CONTRATOS "/>
      <sheetName val="Prestaciones"/>
      <sheetName val="Seguridad social"/>
      <sheetName val="Indexación"/>
      <sheetName val="Intereses"/>
      <sheetName val="IPC DANE"/>
      <sheetName val="Histórico DTF"/>
      <sheetName val="IPC DANE vertical"/>
      <sheetName val="Int Cial"/>
    </sheetNames>
    <sheetDataSet>
      <sheetData sheetId="0"/>
      <sheetData sheetId="1"/>
      <sheetData sheetId="2"/>
      <sheetData sheetId="3"/>
      <sheetData sheetId="4"/>
      <sheetData sheetId="5"/>
      <sheetData sheetId="6"/>
      <sheetData sheetId="7"/>
      <sheetData sheetId="8"/>
    </sheetDataSet>
  </externalBook>
</externalLink>
</file>

<file path=xl/externalLinks/externalLink3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sheetName val="Seg social"/>
      <sheetName val="Indexación"/>
      <sheetName val="Intereses"/>
      <sheetName val="IPC DANE"/>
      <sheetName val="Histórico DTF"/>
      <sheetName val="IPC DANE vertical"/>
      <sheetName val="Int Cial"/>
    </sheetNames>
    <sheetDataSet>
      <sheetData sheetId="0">
        <row r="65">
          <cell r="J65"/>
        </row>
      </sheetData>
      <sheetData sheetId="1"/>
      <sheetData sheetId="2"/>
      <sheetData sheetId="3"/>
      <sheetData sheetId="4"/>
      <sheetData sheetId="5"/>
      <sheetData sheetId="6"/>
      <sheetData sheetId="7"/>
    </sheetDataSet>
  </externalBook>
</externalLink>
</file>

<file path=xl/externalLinks/externalLink3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sheetName val="Prest"/>
      <sheetName val="Seg social"/>
      <sheetName val="Retenciones"/>
      <sheetName val="Indexación"/>
      <sheetName val="Intereses"/>
      <sheetName val="IPC DANE"/>
      <sheetName val="Histórico DTF"/>
      <sheetName val="IPC DANE vertical"/>
      <sheetName val="Int Cial"/>
    </sheetNames>
    <sheetDataSet>
      <sheetData sheetId="0">
        <row r="52">
          <cell r="J52"/>
        </row>
      </sheetData>
      <sheetData sheetId="1"/>
      <sheetData sheetId="2"/>
      <sheetData sheetId="3"/>
      <sheetData sheetId="4"/>
      <sheetData sheetId="5"/>
      <sheetData sheetId="6"/>
      <sheetData sheetId="7"/>
      <sheetData sheetId="8"/>
      <sheetData sheetId="9"/>
    </sheetDataSet>
  </externalBook>
</externalLink>
</file>

<file path=xl/externalLinks/externalLink3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sheetName val="Prestaciones"/>
      <sheetName val="Seg social"/>
      <sheetName val="Salarios-Honorarios"/>
      <sheetName val="Indexación"/>
      <sheetName val="Intereses"/>
      <sheetName val="IPC DANE"/>
      <sheetName val="Histórico DTF"/>
      <sheetName val="IPC DANE vertical"/>
      <sheetName val="Int Cial"/>
    </sheetNames>
    <sheetDataSet>
      <sheetData sheetId="0">
        <row r="72">
          <cell r="J72">
            <v>5788510.4951560302</v>
          </cell>
        </row>
      </sheetData>
      <sheetData sheetId="1"/>
      <sheetData sheetId="2"/>
      <sheetData sheetId="3"/>
      <sheetData sheetId="4"/>
      <sheetData sheetId="5"/>
      <sheetData sheetId="6"/>
      <sheetData sheetId="7"/>
      <sheetData sheetId="8"/>
      <sheetData sheetId="9"/>
    </sheetDataSet>
  </externalBook>
</externalLink>
</file>

<file path=xl/externalLinks/externalLink3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sheetName val="Prestaciones PR"/>
      <sheetName val="Seg social"/>
      <sheetName val="Indexación"/>
      <sheetName val="Intereses"/>
      <sheetName val="IPC DANE"/>
      <sheetName val="Histórico DTF"/>
      <sheetName val="Int Cial"/>
      <sheetName val="IPC DANE vertical"/>
    </sheetNames>
    <sheetDataSet>
      <sheetData sheetId="0">
        <row r="55">
          <cell r="J55">
            <v>4668764.9130352326</v>
          </cell>
        </row>
      </sheetData>
      <sheetData sheetId="1"/>
      <sheetData sheetId="2"/>
      <sheetData sheetId="3"/>
      <sheetData sheetId="4"/>
      <sheetData sheetId="5"/>
      <sheetData sheetId="6"/>
      <sheetData sheetId="7"/>
      <sheetData sheetId="8"/>
    </sheetDataSet>
  </externalBook>
</externalLink>
</file>

<file path=xl/externalLinks/externalLink3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sheetName val="Prestaciones"/>
      <sheetName val="Seg social"/>
      <sheetName val="Indexación"/>
      <sheetName val="Intereses"/>
      <sheetName val="IPC DANE"/>
      <sheetName val="Histórico DTF"/>
      <sheetName val="IPC DANE vertical"/>
      <sheetName val="Int Cial"/>
    </sheetNames>
    <sheetDataSet>
      <sheetData sheetId="0"/>
      <sheetData sheetId="1"/>
      <sheetData sheetId="2"/>
      <sheetData sheetId="3"/>
      <sheetData sheetId="4"/>
      <sheetData sheetId="5"/>
      <sheetData sheetId="6"/>
      <sheetData sheetId="7"/>
      <sheetData sheetId="8"/>
    </sheetDataSet>
  </externalBook>
</externalLink>
</file>

<file path=xl/externalLinks/externalLink3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sheetName val="Prestaciones"/>
      <sheetName val="Seg social"/>
      <sheetName val="Indexación"/>
      <sheetName val="Intereses"/>
      <sheetName val="IPC DANE"/>
      <sheetName val="Histórico DTF"/>
      <sheetName val="IPC DANE vertical"/>
      <sheetName val="Int Cial"/>
    </sheetNames>
    <sheetDataSet>
      <sheetData sheetId="0"/>
      <sheetData sheetId="1"/>
      <sheetData sheetId="2"/>
      <sheetData sheetId="3"/>
      <sheetData sheetId="4"/>
      <sheetData sheetId="5"/>
      <sheetData sheetId="6"/>
      <sheetData sheetId="7"/>
      <sheetData sheetId="8"/>
    </sheetDataSet>
  </externalBook>
</externalLink>
</file>

<file path=xl/externalLinks/externalLink3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
      <sheetName val="Prestaciones"/>
      <sheetName val="Seg social"/>
      <sheetName val="Indexación"/>
      <sheetName val="Intereses"/>
      <sheetName val="IPC DANE"/>
      <sheetName val="Histórico DTF"/>
      <sheetName val="IPC DANE vertical"/>
      <sheetName val="Int Cial"/>
    </sheetNames>
    <sheetDataSet>
      <sheetData sheetId="0"/>
      <sheetData sheetId="1"/>
      <sheetData sheetId="2"/>
      <sheetData sheetId="3"/>
      <sheetData sheetId="4"/>
      <sheetData sheetId="5"/>
      <sheetData sheetId="6"/>
      <sheetData sheetId="7"/>
      <sheetData sheetId="8"/>
    </sheetDataSet>
  </externalBook>
</externalLink>
</file>

<file path=xl/externalLinks/externalLink3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sheetName val="Seg social"/>
      <sheetName val="Intereses"/>
      <sheetName val="IPC DANE"/>
      <sheetName val="Histórico DTF"/>
      <sheetName val="Int Cial"/>
    </sheetNames>
    <sheetDataSet>
      <sheetData sheetId="0">
        <row r="33">
          <cell r="I33">
            <v>2403446.3012266201</v>
          </cell>
        </row>
      </sheetData>
      <sheetData sheetId="1"/>
      <sheetData sheetId="2"/>
      <sheetData sheetId="3"/>
      <sheetData sheetId="4"/>
      <sheetData sheetId="5"/>
    </sheetDataSet>
  </externalBook>
</externalLink>
</file>

<file path=xl/externalLinks/externalLink3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sheetName val="Prest"/>
      <sheetName val="Seg social"/>
      <sheetName val="Index"/>
      <sheetName val="Intereses"/>
      <sheetName val="IPC DANE"/>
      <sheetName val="Histórico DTF"/>
      <sheetName val="IPC DANE vertical"/>
      <sheetName val="Int Cial"/>
    </sheetNames>
    <sheetDataSet>
      <sheetData sheetId="0"/>
      <sheetData sheetId="1"/>
      <sheetData sheetId="2"/>
      <sheetData sheetId="3"/>
      <sheetData sheetId="4"/>
      <sheetData sheetId="5"/>
      <sheetData sheetId="6"/>
      <sheetData sheetId="7"/>
      <sheetData sheetId="8"/>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sheetName val="Prestaciones PR"/>
      <sheetName val="Seg social"/>
      <sheetName val="Indexación"/>
      <sheetName val="IPC DANE"/>
      <sheetName val="Histórico DTF"/>
      <sheetName val="Intereses"/>
      <sheetName val="Int Cial"/>
      <sheetName val="IPC DANE vertical"/>
    </sheetNames>
    <sheetDataSet>
      <sheetData sheetId="0">
        <row r="54">
          <cell r="J54">
            <v>7498309.7937856857</v>
          </cell>
        </row>
      </sheetData>
      <sheetData sheetId="1"/>
      <sheetData sheetId="2"/>
      <sheetData sheetId="3"/>
      <sheetData sheetId="4"/>
      <sheetData sheetId="5"/>
      <sheetData sheetId="6"/>
      <sheetData sheetId="7"/>
      <sheetData sheetId="8"/>
    </sheetDataSet>
  </externalBook>
</externalLink>
</file>

<file path=xl/externalLinks/externalLink3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sheetName val="Prestaciones"/>
      <sheetName val="Seg social"/>
      <sheetName val="salarios-contratos"/>
      <sheetName val="Indexación"/>
      <sheetName val="Intereses"/>
      <sheetName val="IPC DANE"/>
      <sheetName val="Histórico DTF"/>
      <sheetName val="IPC DANE vertical"/>
      <sheetName val="Int Cial"/>
    </sheetNames>
    <sheetDataSet>
      <sheetData sheetId="0">
        <row r="73">
          <cell r="P73"/>
        </row>
      </sheetData>
      <sheetData sheetId="1"/>
      <sheetData sheetId="2"/>
      <sheetData sheetId="3"/>
      <sheetData sheetId="4"/>
      <sheetData sheetId="5"/>
      <sheetData sheetId="6"/>
      <sheetData sheetId="7"/>
      <sheetData sheetId="8"/>
      <sheetData sheetId="9"/>
    </sheetDataSet>
  </externalBook>
</externalLink>
</file>

<file path=xl/externalLinks/externalLink3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sheetName val="Prest"/>
      <sheetName val="Seg social"/>
      <sheetName val="Index"/>
      <sheetName val="Intereses"/>
      <sheetName val="IPC DANE"/>
      <sheetName val="Histórico DTF"/>
      <sheetName val="IPC DANE vertical"/>
      <sheetName val="Int Cial"/>
    </sheetNames>
    <sheetDataSet>
      <sheetData sheetId="0"/>
      <sheetData sheetId="1"/>
      <sheetData sheetId="2"/>
      <sheetData sheetId="3"/>
      <sheetData sheetId="4"/>
      <sheetData sheetId="5"/>
      <sheetData sheetId="6"/>
      <sheetData sheetId="7"/>
      <sheetData sheetId="8"/>
    </sheetDataSet>
  </externalBook>
</externalLink>
</file>

<file path=xl/externalLinks/externalLink3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sheetName val="Prest"/>
      <sheetName val="Seg social"/>
      <sheetName val="Index"/>
      <sheetName val="Intereses"/>
      <sheetName val="IPC DANE"/>
      <sheetName val="Histórico DTF"/>
      <sheetName val="IPC DANE vertical"/>
      <sheetName val="Int Cial"/>
      <sheetName val="Hoja1"/>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3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sheetName val="Seg social"/>
      <sheetName val="Indexación"/>
      <sheetName val="Intereses"/>
      <sheetName val="IPC DANE"/>
      <sheetName val="Histórico DTF"/>
      <sheetName val="IPC DANE vertical"/>
      <sheetName val="Int Cial"/>
    </sheetNames>
    <sheetDataSet>
      <sheetData sheetId="0">
        <row r="43">
          <cell r="J43">
            <v>625249.56537179661</v>
          </cell>
        </row>
      </sheetData>
      <sheetData sheetId="1"/>
      <sheetData sheetId="2"/>
      <sheetData sheetId="3"/>
      <sheetData sheetId="4"/>
      <sheetData sheetId="5"/>
      <sheetData sheetId="6"/>
      <sheetData sheetId="7"/>
    </sheetDataSet>
  </externalBook>
</externalLink>
</file>

<file path=xl/externalLinks/externalLink3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sheetName val="Prestac"/>
      <sheetName val="Cesantías solas"/>
      <sheetName val="Seg social"/>
      <sheetName val="Indexación"/>
      <sheetName val="Intereses"/>
      <sheetName val="IPC DANE"/>
      <sheetName val="Histórico DTF"/>
      <sheetName val="Int Cial"/>
      <sheetName val="IPC DANE vertical"/>
    </sheetNames>
    <sheetDataSet>
      <sheetData sheetId="0">
        <row r="70">
          <cell r="J70"/>
        </row>
      </sheetData>
      <sheetData sheetId="1"/>
      <sheetData sheetId="2"/>
      <sheetData sheetId="3"/>
      <sheetData sheetId="4"/>
      <sheetData sheetId="5"/>
      <sheetData sheetId="6"/>
      <sheetData sheetId="7"/>
      <sheetData sheetId="8"/>
      <sheetData sheetId="9"/>
    </sheetDataSet>
  </externalBook>
</externalLink>
</file>

<file path=xl/externalLinks/externalLink3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sheetName val="Prest"/>
      <sheetName val="Seg social"/>
      <sheetName val="Index"/>
      <sheetName val="Intereses"/>
      <sheetName val="IPC DANE"/>
      <sheetName val="Histórico DTF"/>
      <sheetName val="IPC DANE vertical"/>
      <sheetName val="Int Cial"/>
      <sheetName val="Hoja1"/>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3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sheetName val="Prestaciones"/>
      <sheetName val="salarios"/>
      <sheetName val="Seg social"/>
      <sheetName val="Indexación"/>
      <sheetName val="Intereses"/>
      <sheetName val="IPC DANE"/>
      <sheetName val="Histórico DTF"/>
      <sheetName val="IPC DANE vertical"/>
      <sheetName val="Int Cial"/>
    </sheetNames>
    <sheetDataSet>
      <sheetData sheetId="0">
        <row r="71">
          <cell r="J71"/>
        </row>
      </sheetData>
      <sheetData sheetId="1"/>
      <sheetData sheetId="2"/>
      <sheetData sheetId="3"/>
      <sheetData sheetId="4"/>
      <sheetData sheetId="5"/>
      <sheetData sheetId="6"/>
      <sheetData sheetId="7"/>
      <sheetData sheetId="8"/>
      <sheetData sheetId="9"/>
    </sheetDataSet>
  </externalBook>
</externalLink>
</file>

<file path=xl/externalLinks/externalLink3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sheetName val="Prestaciones"/>
      <sheetName val="Seg social"/>
      <sheetName val="Indexación"/>
      <sheetName val="Intereses"/>
      <sheetName val="IPC DANE"/>
      <sheetName val="Histórico DTF"/>
      <sheetName val="IPC DANE vertical"/>
      <sheetName val="Int Cial"/>
    </sheetNames>
    <sheetDataSet>
      <sheetData sheetId="0">
        <row r="64">
          <cell r="J64">
            <v>33141719.614260476</v>
          </cell>
        </row>
      </sheetData>
      <sheetData sheetId="1"/>
      <sheetData sheetId="2"/>
      <sheetData sheetId="3"/>
      <sheetData sheetId="4"/>
      <sheetData sheetId="5"/>
      <sheetData sheetId="6"/>
      <sheetData sheetId="7"/>
      <sheetData sheetId="8"/>
    </sheetDataSet>
  </externalBook>
</externalLink>
</file>

<file path=xl/externalLinks/externalLink3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sheetName val="Prestaciones PR"/>
      <sheetName val="Indexación"/>
      <sheetName val="Intereses"/>
      <sheetName val="IPC DANE"/>
      <sheetName val="Histórico DTF"/>
      <sheetName val="Int Cial"/>
      <sheetName val="IPC DANE vertical"/>
    </sheetNames>
    <sheetDataSet>
      <sheetData sheetId="0"/>
      <sheetData sheetId="1"/>
      <sheetData sheetId="2"/>
      <sheetData sheetId="3"/>
      <sheetData sheetId="4"/>
      <sheetData sheetId="5"/>
      <sheetData sheetId="6"/>
      <sheetData sheetId="7"/>
    </sheetDataSet>
  </externalBook>
</externalLink>
</file>

<file path=xl/externalLinks/externalLink3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sheetName val="Prestaciones"/>
      <sheetName val="Seg social"/>
      <sheetName val="Indexación"/>
      <sheetName val="Intereses"/>
      <sheetName val="IPC DANE"/>
      <sheetName val="Histórico DTF"/>
      <sheetName val="IPC DANE vertical"/>
      <sheetName val="Int Cial"/>
    </sheetNames>
    <sheetDataSet>
      <sheetData sheetId="0">
        <row r="67">
          <cell r="J67">
            <v>9391966.4348468296</v>
          </cell>
        </row>
      </sheetData>
      <sheetData sheetId="1"/>
      <sheetData sheetId="2"/>
      <sheetData sheetId="3"/>
      <sheetData sheetId="4"/>
      <sheetData sheetId="5"/>
      <sheetData sheetId="6"/>
      <sheetData sheetId="7"/>
      <sheetData sheetId="8"/>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sheetName val="Prestaciones"/>
      <sheetName val="Seg social"/>
      <sheetName val="Indexación"/>
      <sheetName val="Intereses"/>
      <sheetName val="IPC DANE"/>
      <sheetName val="Histórico DTF"/>
      <sheetName val="IPC DANE vertical"/>
      <sheetName val="Int Cial"/>
      <sheetName val="Hoja1"/>
    </sheetNames>
    <sheetDataSet>
      <sheetData sheetId="0">
        <row r="50">
          <cell r="J50">
            <v>31945819.965546872</v>
          </cell>
        </row>
      </sheetData>
      <sheetData sheetId="1"/>
      <sheetData sheetId="2"/>
      <sheetData sheetId="3"/>
      <sheetData sheetId="4"/>
      <sheetData sheetId="5"/>
      <sheetData sheetId="6"/>
      <sheetData sheetId="7"/>
      <sheetData sheetId="8"/>
      <sheetData sheetId="9"/>
    </sheetDataSet>
  </externalBook>
</externalLink>
</file>

<file path=xl/externalLinks/externalLink3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sheetName val="Prestaciones"/>
      <sheetName val="Seg social"/>
      <sheetName val="Indexación"/>
      <sheetName val="Intereses"/>
      <sheetName val="IPC DANE"/>
      <sheetName val="Histórico DTF"/>
      <sheetName val="IPC DANE vertical"/>
      <sheetName val="Int Cial"/>
    </sheetNames>
    <sheetDataSet>
      <sheetData sheetId="0">
        <row r="75">
          <cell r="J75">
            <v>253125251.67581594</v>
          </cell>
        </row>
      </sheetData>
      <sheetData sheetId="1"/>
      <sheetData sheetId="2"/>
      <sheetData sheetId="3"/>
      <sheetData sheetId="4"/>
      <sheetData sheetId="5"/>
      <sheetData sheetId="6"/>
      <sheetData sheetId="7"/>
      <sheetData sheetId="8"/>
    </sheetDataSet>
  </externalBook>
</externalLink>
</file>

<file path=xl/externalLinks/externalLink3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sheetName val="Prestaciones"/>
      <sheetName val="Seg social"/>
      <sheetName val="Indexación"/>
      <sheetName val="Intereses"/>
      <sheetName val="IPC DANE"/>
      <sheetName val="Histórico DTF"/>
      <sheetName val="IPC DANE vertical"/>
      <sheetName val="Int Cial"/>
    </sheetNames>
    <sheetDataSet>
      <sheetData sheetId="0"/>
      <sheetData sheetId="1"/>
      <sheetData sheetId="2"/>
      <sheetData sheetId="3"/>
      <sheetData sheetId="4"/>
      <sheetData sheetId="5"/>
      <sheetData sheetId="6"/>
      <sheetData sheetId="7"/>
      <sheetData sheetId="8"/>
    </sheetDataSet>
  </externalBook>
</externalLink>
</file>

<file path=xl/externalLinks/externalLink3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sheetName val="Seg Social"/>
      <sheetName val="Indexación"/>
      <sheetName val="Intereses"/>
      <sheetName val="IPC DANE"/>
      <sheetName val="Histórico DTF"/>
      <sheetName val="IPC DANE vertical"/>
      <sheetName val="Int Cial"/>
    </sheetNames>
    <sheetDataSet>
      <sheetData sheetId="0">
        <row r="45">
          <cell r="J45">
            <v>5987957.5992662553</v>
          </cell>
        </row>
      </sheetData>
      <sheetData sheetId="1"/>
      <sheetData sheetId="2"/>
      <sheetData sheetId="3"/>
      <sheetData sheetId="4"/>
      <sheetData sheetId="5"/>
      <sheetData sheetId="6"/>
      <sheetData sheetId="7"/>
    </sheetDataSet>
  </externalBook>
</externalLink>
</file>

<file path=xl/externalLinks/externalLink3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sheetName val="Prestaciones"/>
      <sheetName val="Seg social"/>
      <sheetName val="Indexación"/>
      <sheetName val="Intereses"/>
      <sheetName val="IPC DANE"/>
      <sheetName val="Histórico DTF"/>
      <sheetName val="IPC DANE vertical"/>
      <sheetName val="Int Cial"/>
    </sheetNames>
    <sheetDataSet>
      <sheetData sheetId="0">
        <row r="34">
          <cell r="J34">
            <v>5228763.1031028461</v>
          </cell>
        </row>
      </sheetData>
      <sheetData sheetId="1"/>
      <sheetData sheetId="2"/>
      <sheetData sheetId="3"/>
      <sheetData sheetId="4"/>
      <sheetData sheetId="5"/>
      <sheetData sheetId="6"/>
      <sheetData sheetId="7"/>
      <sheetData sheetId="8"/>
    </sheetDataSet>
  </externalBook>
</externalLink>
</file>

<file path=xl/externalLinks/externalLink3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sheetName val="Prestaciones"/>
      <sheetName val="Seg social"/>
      <sheetName val="Indexación"/>
      <sheetName val="Intereses"/>
      <sheetName val="IPC DANE"/>
      <sheetName val="Histórico DTF"/>
      <sheetName val="IPC DANE vertical"/>
      <sheetName val="Int Cial"/>
    </sheetNames>
    <sheetDataSet>
      <sheetData sheetId="0">
        <row r="67">
          <cell r="J67">
            <v>147712330.22102886</v>
          </cell>
        </row>
      </sheetData>
      <sheetData sheetId="1"/>
      <sheetData sheetId="2"/>
      <sheetData sheetId="3"/>
      <sheetData sheetId="4"/>
      <sheetData sheetId="5"/>
      <sheetData sheetId="6"/>
      <sheetData sheetId="7"/>
      <sheetData sheetId="8"/>
    </sheetDataSet>
  </externalBook>
</externalLink>
</file>

<file path=xl/externalLinks/externalLink3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sheetName val="Prestaciones"/>
      <sheetName val="Seg social"/>
      <sheetName val="Indexación"/>
      <sheetName val="Intereses"/>
      <sheetName val="IPC DANE"/>
      <sheetName val="Histórico DTF"/>
      <sheetName val="IPC DANE vertical"/>
      <sheetName val="Int Cial"/>
    </sheetNames>
    <sheetDataSet>
      <sheetData sheetId="0"/>
      <sheetData sheetId="1"/>
      <sheetData sheetId="2"/>
      <sheetData sheetId="3"/>
      <sheetData sheetId="4"/>
      <sheetData sheetId="5"/>
      <sheetData sheetId="6"/>
      <sheetData sheetId="7"/>
      <sheetData sheetId="8"/>
    </sheetDataSet>
  </externalBook>
</externalLink>
</file>

<file path=xl/externalLinks/externalLink3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sheetName val="Prestaciones"/>
      <sheetName val="Seg social"/>
      <sheetName val="Indexación"/>
      <sheetName val="Intereses"/>
      <sheetName val="IPC DANE"/>
      <sheetName val="Histórico DTF"/>
      <sheetName val="IPC DANE vertical"/>
      <sheetName val="Int Cial"/>
    </sheetNames>
    <sheetDataSet>
      <sheetData sheetId="0"/>
      <sheetData sheetId="1"/>
      <sheetData sheetId="2"/>
      <sheetData sheetId="3"/>
      <sheetData sheetId="4"/>
      <sheetData sheetId="5"/>
      <sheetData sheetId="6"/>
      <sheetData sheetId="7"/>
      <sheetData sheetId="8"/>
    </sheetDataSet>
  </externalBook>
</externalLink>
</file>

<file path=xl/externalLinks/externalLink3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sheetName val="Prestaciones"/>
      <sheetName val="Seg social"/>
      <sheetName val="Indexación"/>
      <sheetName val="Intereses"/>
      <sheetName val="IPC DANE"/>
      <sheetName val="Histórico DTF"/>
      <sheetName val="IPC DANE vertical"/>
      <sheetName val="Int Cial"/>
    </sheetNames>
    <sheetDataSet>
      <sheetData sheetId="0">
        <row r="69">
          <cell r="J69">
            <v>51733762.181981184</v>
          </cell>
        </row>
      </sheetData>
      <sheetData sheetId="1"/>
      <sheetData sheetId="2"/>
      <sheetData sheetId="3"/>
      <sheetData sheetId="4"/>
      <sheetData sheetId="5"/>
      <sheetData sheetId="6"/>
      <sheetData sheetId="7"/>
      <sheetData sheetId="8"/>
    </sheetDataSet>
  </externalBook>
</externalLink>
</file>

<file path=xl/externalLinks/externalLink3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sheetName val="Prestaciones"/>
      <sheetName val="Seg social"/>
      <sheetName val="Indexación"/>
      <sheetName val="Intereses"/>
      <sheetName val="IPC DANE"/>
      <sheetName val="Histórico DTF"/>
      <sheetName val="Int Cial"/>
      <sheetName val="IPC DANE vertical"/>
    </sheetNames>
    <sheetDataSet>
      <sheetData sheetId="0">
        <row r="44">
          <cell r="K44"/>
        </row>
      </sheetData>
      <sheetData sheetId="1"/>
      <sheetData sheetId="2"/>
      <sheetData sheetId="3"/>
      <sheetData sheetId="4"/>
      <sheetData sheetId="5"/>
      <sheetData sheetId="6"/>
      <sheetData sheetId="7"/>
      <sheetData sheetId="8"/>
    </sheetDataSet>
  </externalBook>
</externalLink>
</file>

<file path=xl/externalLinks/externalLink3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sheetName val="Prestaciones"/>
      <sheetName val="Seg social"/>
      <sheetName val="Indexación"/>
      <sheetName val="Intereses"/>
      <sheetName val="IPC DANE"/>
      <sheetName val="Histórico DTF"/>
      <sheetName val="IPC DANE vertical"/>
      <sheetName val="Int Cial"/>
    </sheetNames>
    <sheetDataSet>
      <sheetData sheetId="0"/>
      <sheetData sheetId="1"/>
      <sheetData sheetId="2"/>
      <sheetData sheetId="3"/>
      <sheetData sheetId="4"/>
      <sheetData sheetId="5"/>
      <sheetData sheetId="6"/>
      <sheetData sheetId="7"/>
      <sheetData sheetId="8"/>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sheetName val="Prestaciones"/>
      <sheetName val="Seg social"/>
      <sheetName val="Indexación"/>
      <sheetName val="Intereses"/>
      <sheetName val="IPC DANE"/>
      <sheetName val="Histórico DTF"/>
      <sheetName val="IPC DANE vertical"/>
      <sheetName val="Int Cial"/>
    </sheetNames>
    <sheetDataSet>
      <sheetData sheetId="0">
        <row r="71">
          <cell r="J71">
            <v>248814999.81698108</v>
          </cell>
        </row>
      </sheetData>
      <sheetData sheetId="1"/>
      <sheetData sheetId="2"/>
      <sheetData sheetId="3"/>
      <sheetData sheetId="4"/>
      <sheetData sheetId="5"/>
      <sheetData sheetId="6"/>
      <sheetData sheetId="7"/>
      <sheetData sheetId="8"/>
    </sheetDataSet>
  </externalBook>
</externalLink>
</file>

<file path=xl/externalLinks/externalLink3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sheetName val="Prestaciones PR"/>
      <sheetName val="Cesantias solas"/>
      <sheetName val="Seg social"/>
      <sheetName val="Indexación"/>
      <sheetName val="Intereses"/>
      <sheetName val="IPC DANE"/>
      <sheetName val="Histórico DTF"/>
      <sheetName val="Int Cial"/>
      <sheetName val="IPC DANE vertical"/>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3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sheetName val="Prestaciones"/>
      <sheetName val="Seg social"/>
      <sheetName val="Indexación"/>
      <sheetName val="Intereses"/>
      <sheetName val="IPC DANE"/>
      <sheetName val="Histórico DTF"/>
      <sheetName val="IPC DANE vertical"/>
      <sheetName val="Int Cial"/>
    </sheetNames>
    <sheetDataSet>
      <sheetData sheetId="0">
        <row r="74">
          <cell r="J74">
            <v>84580407.606386036</v>
          </cell>
        </row>
      </sheetData>
      <sheetData sheetId="1"/>
      <sheetData sheetId="2"/>
      <sheetData sheetId="3"/>
      <sheetData sheetId="4"/>
      <sheetData sheetId="5"/>
      <sheetData sheetId="6"/>
      <sheetData sheetId="7"/>
      <sheetData sheetId="8"/>
    </sheetDataSet>
  </externalBook>
</externalLink>
</file>

<file path=xl/externalLinks/externalLink3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sheetName val="Prestaciones"/>
      <sheetName val="Seg social"/>
      <sheetName val="Indexación"/>
      <sheetName val="Intereses"/>
      <sheetName val="IPC DANE"/>
      <sheetName val="Histórico DTF"/>
      <sheetName val="IPC DANE vertical"/>
      <sheetName val="Int Cial"/>
    </sheetNames>
    <sheetDataSet>
      <sheetData sheetId="0"/>
      <sheetData sheetId="1"/>
      <sheetData sheetId="2"/>
      <sheetData sheetId="3"/>
      <sheetData sheetId="4"/>
      <sheetData sheetId="5"/>
      <sheetData sheetId="6"/>
      <sheetData sheetId="7"/>
      <sheetData sheetId="8"/>
    </sheetDataSet>
  </externalBook>
</externalLink>
</file>

<file path=xl/externalLinks/externalLink3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sheetName val="Prestaciones"/>
      <sheetName val="Seg social"/>
      <sheetName val="Indexación"/>
      <sheetName val="Intereses"/>
      <sheetName val="IPC DANE"/>
      <sheetName val="Histórico DTF"/>
      <sheetName val="IPC DANE vertical"/>
      <sheetName val="Int Cial"/>
    </sheetNames>
    <sheetDataSet>
      <sheetData sheetId="0"/>
      <sheetData sheetId="1"/>
      <sheetData sheetId="2"/>
      <sheetData sheetId="3"/>
      <sheetData sheetId="4"/>
      <sheetData sheetId="5"/>
      <sheetData sheetId="6"/>
      <sheetData sheetId="7"/>
      <sheetData sheetId="8"/>
    </sheetDataSet>
  </externalBook>
</externalLink>
</file>

<file path=xl/externalLinks/externalLink3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sheetName val="Prestaciones"/>
      <sheetName val="Seg social"/>
      <sheetName val="Indexación"/>
      <sheetName val="Intereses"/>
      <sheetName val="IPC DANE"/>
      <sheetName val="Histórico DTF"/>
      <sheetName val="IPC DANE vertical"/>
      <sheetName val="Int Cial"/>
    </sheetNames>
    <sheetDataSet>
      <sheetData sheetId="0"/>
      <sheetData sheetId="1"/>
      <sheetData sheetId="2"/>
      <sheetData sheetId="3"/>
      <sheetData sheetId="4"/>
      <sheetData sheetId="5"/>
      <sheetData sheetId="6"/>
      <sheetData sheetId="7"/>
      <sheetData sheetId="8"/>
    </sheetDataSet>
  </externalBook>
</externalLink>
</file>

<file path=xl/externalLinks/externalLink3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sheetName val="Prestaciones"/>
      <sheetName val="Seg social"/>
      <sheetName val="Indexación"/>
      <sheetName val="Intereses"/>
      <sheetName val="IPC DANE"/>
      <sheetName val="Histórico DTF"/>
      <sheetName val="IPC DANE vertical"/>
      <sheetName val="Int Cial"/>
    </sheetNames>
    <sheetDataSet>
      <sheetData sheetId="0"/>
      <sheetData sheetId="1"/>
      <sheetData sheetId="2"/>
      <sheetData sheetId="3"/>
      <sheetData sheetId="4"/>
      <sheetData sheetId="5"/>
      <sheetData sheetId="6"/>
      <sheetData sheetId="7"/>
      <sheetData sheetId="8"/>
    </sheetDataSet>
  </externalBook>
</externalLink>
</file>

<file path=xl/externalLinks/externalLink3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
      <sheetName val="Prestaciones"/>
      <sheetName val="Indexación"/>
      <sheetName val="Intereses"/>
      <sheetName val="IPC DANE"/>
      <sheetName val="Histórico DTF"/>
      <sheetName val="IPC DANE vertical"/>
      <sheetName val="Int Cial"/>
    </sheetNames>
    <sheetDataSet>
      <sheetData sheetId="0"/>
      <sheetData sheetId="1"/>
      <sheetData sheetId="2"/>
      <sheetData sheetId="3"/>
      <sheetData sheetId="4"/>
      <sheetData sheetId="5"/>
      <sheetData sheetId="6"/>
      <sheetData sheetId="7"/>
    </sheetDataSet>
  </externalBook>
</externalLink>
</file>

<file path=xl/externalLinks/externalLink3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sheetName val="Prestaciones"/>
      <sheetName val="Seg social"/>
      <sheetName val="Indexación"/>
      <sheetName val="Intereses"/>
      <sheetName val="IPC DANE"/>
      <sheetName val="Histórico DTF"/>
      <sheetName val="IPC DANE vertical"/>
      <sheetName val="Int Cial"/>
    </sheetNames>
    <sheetDataSet>
      <sheetData sheetId="0">
        <row r="51">
          <cell r="J51">
            <v>12411429.156991171</v>
          </cell>
        </row>
      </sheetData>
      <sheetData sheetId="1"/>
      <sheetData sheetId="2"/>
      <sheetData sheetId="3"/>
      <sheetData sheetId="4"/>
      <sheetData sheetId="5"/>
      <sheetData sheetId="6"/>
      <sheetData sheetId="7"/>
      <sheetData sheetId="8"/>
    </sheetDataSet>
  </externalBook>
</externalLink>
</file>

<file path=xl/externalLinks/externalLink3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sheetName val="Prestaciones"/>
      <sheetName val="Seg social"/>
      <sheetName val="Indexación"/>
      <sheetName val="Intereses"/>
      <sheetName val="IPC DANE"/>
      <sheetName val="Histórico DTF"/>
      <sheetName val="IPC DANE vertical"/>
      <sheetName val="Int Cial"/>
    </sheetNames>
    <sheetDataSet>
      <sheetData sheetId="0"/>
      <sheetData sheetId="1"/>
      <sheetData sheetId="2"/>
      <sheetData sheetId="3"/>
      <sheetData sheetId="4"/>
      <sheetData sheetId="5"/>
      <sheetData sheetId="6"/>
      <sheetData sheetId="7"/>
      <sheetData sheetId="8"/>
    </sheetDataSet>
  </externalBook>
</externalLink>
</file>

<file path=xl/externalLinks/externalLink3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sheetName val="Prestaciones"/>
      <sheetName val="Seg social"/>
      <sheetName val="Indexación"/>
      <sheetName val="Intereses"/>
      <sheetName val="IPC DANE"/>
      <sheetName val="Histórico DTF"/>
      <sheetName val="IPC DANE vertical"/>
      <sheetName val="Int Cial"/>
    </sheetNames>
    <sheetDataSet>
      <sheetData sheetId="0"/>
      <sheetData sheetId="1"/>
      <sheetData sheetId="2"/>
      <sheetData sheetId="3"/>
      <sheetData sheetId="4"/>
      <sheetData sheetId="5"/>
      <sheetData sheetId="6"/>
      <sheetData sheetId="7"/>
      <sheetData sheetId="8"/>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sheetName val="Prestaciones"/>
      <sheetName val="Seg social"/>
      <sheetName val="Indexación"/>
      <sheetName val="Intereses"/>
      <sheetName val="IPC DANE"/>
      <sheetName val="Histórico DTF"/>
      <sheetName val="IPC DANE vertical"/>
      <sheetName val="Int Cial"/>
      <sheetName val="Hoja1"/>
    </sheetNames>
    <sheetDataSet>
      <sheetData sheetId="0">
        <row r="68">
          <cell r="J68">
            <v>180603885.52666748</v>
          </cell>
        </row>
      </sheetData>
      <sheetData sheetId="1"/>
      <sheetData sheetId="2"/>
      <sheetData sheetId="3"/>
      <sheetData sheetId="4"/>
      <sheetData sheetId="5"/>
      <sheetData sheetId="6"/>
      <sheetData sheetId="7"/>
      <sheetData sheetId="8"/>
      <sheetData sheetId="9"/>
    </sheetDataSet>
  </externalBook>
</externalLink>
</file>

<file path=xl/externalLinks/externalLink3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sheetName val="Prestaciones"/>
      <sheetName val="Seg social"/>
      <sheetName val="Indexación"/>
      <sheetName val="Intereses"/>
      <sheetName val="IPC DANE"/>
      <sheetName val="Histórico DTF"/>
      <sheetName val="IPC DANE vertical"/>
      <sheetName val="Int Cial"/>
    </sheetNames>
    <sheetDataSet>
      <sheetData sheetId="0">
        <row r="74">
          <cell r="J74"/>
        </row>
      </sheetData>
      <sheetData sheetId="1"/>
      <sheetData sheetId="2"/>
      <sheetData sheetId="3"/>
      <sheetData sheetId="4"/>
      <sheetData sheetId="5"/>
      <sheetData sheetId="6"/>
      <sheetData sheetId="7"/>
      <sheetData sheetId="8"/>
    </sheetDataSet>
  </externalBook>
</externalLink>
</file>

<file path=xl/externalLinks/externalLink3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sheetName val="Prest"/>
      <sheetName val="Seg social"/>
      <sheetName val="Index"/>
      <sheetName val="Intereses"/>
      <sheetName val="IPC DANE"/>
      <sheetName val="Histórico DTF"/>
      <sheetName val="IPC DANE vertical"/>
      <sheetName val="Int Cial"/>
    </sheetNames>
    <sheetDataSet>
      <sheetData sheetId="0">
        <row r="88">
          <cell r="J88"/>
        </row>
      </sheetData>
      <sheetData sheetId="1"/>
      <sheetData sheetId="2"/>
      <sheetData sheetId="3"/>
      <sheetData sheetId="4"/>
      <sheetData sheetId="5"/>
      <sheetData sheetId="6"/>
      <sheetData sheetId="7"/>
      <sheetData sheetId="8"/>
    </sheetDataSet>
  </externalBook>
</externalLink>
</file>

<file path=xl/externalLinks/externalLink3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sheetName val="Prestaciones PR"/>
      <sheetName val="Seg social"/>
      <sheetName val="Indexación"/>
      <sheetName val="Intereses"/>
      <sheetName val="IPC DANE"/>
      <sheetName val="Histórico DTF"/>
      <sheetName val="Int Cial"/>
      <sheetName val="IPC DANE vertical"/>
    </sheetNames>
    <sheetDataSet>
      <sheetData sheetId="0">
        <row r="54">
          <cell r="J54"/>
        </row>
      </sheetData>
      <sheetData sheetId="1"/>
      <sheetData sheetId="2"/>
      <sheetData sheetId="3"/>
      <sheetData sheetId="4"/>
      <sheetData sheetId="5"/>
      <sheetData sheetId="6"/>
      <sheetData sheetId="7"/>
      <sheetData sheetId="8"/>
    </sheetDataSet>
  </externalBook>
</externalLink>
</file>

<file path=xl/externalLinks/externalLink3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sheetName val="Prestaciones PR"/>
      <sheetName val="Seg social"/>
      <sheetName val="Indexación"/>
      <sheetName val="Intereses"/>
      <sheetName val="IPC DANE"/>
      <sheetName val="Histórico DTF"/>
      <sheetName val="Int Cial"/>
      <sheetName val="IPC DANE vertical"/>
    </sheetNames>
    <sheetDataSet>
      <sheetData sheetId="0">
        <row r="59">
          <cell r="J59">
            <v>5366373.0104015749</v>
          </cell>
        </row>
      </sheetData>
      <sheetData sheetId="1"/>
      <sheetData sheetId="2"/>
      <sheetData sheetId="3"/>
      <sheetData sheetId="4"/>
      <sheetData sheetId="5"/>
      <sheetData sheetId="6"/>
      <sheetData sheetId="7"/>
      <sheetData sheetId="8"/>
    </sheetDataSet>
  </externalBook>
</externalLink>
</file>

<file path=xl/externalLinks/externalLink3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sheetName val="Prestaciones"/>
      <sheetName val="Seg social"/>
      <sheetName val="Indexación"/>
      <sheetName val="Intereses"/>
      <sheetName val="IPC DANE"/>
      <sheetName val="Histórico DTF"/>
      <sheetName val="IPC DANE vertical"/>
      <sheetName val="Int Cial"/>
    </sheetNames>
    <sheetDataSet>
      <sheetData sheetId="0">
        <row r="43">
          <cell r="J43"/>
        </row>
      </sheetData>
      <sheetData sheetId="1"/>
      <sheetData sheetId="2"/>
      <sheetData sheetId="3"/>
      <sheetData sheetId="4"/>
      <sheetData sheetId="5"/>
      <sheetData sheetId="6"/>
      <sheetData sheetId="7"/>
      <sheetData sheetId="8"/>
    </sheetDataSet>
  </externalBook>
</externalLink>
</file>

<file path=xl/externalLinks/externalLink3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sheetName val="Prestaciones"/>
      <sheetName val="Seg social"/>
      <sheetName val="Indexación"/>
      <sheetName val="Intereses"/>
      <sheetName val="IPC DANE"/>
      <sheetName val="Histórico DTF"/>
      <sheetName val="IPC DANE vertical"/>
      <sheetName val="Int Cial"/>
    </sheetNames>
    <sheetDataSet>
      <sheetData sheetId="0"/>
      <sheetData sheetId="1"/>
      <sheetData sheetId="2"/>
      <sheetData sheetId="3"/>
      <sheetData sheetId="4"/>
      <sheetData sheetId="5"/>
      <sheetData sheetId="6"/>
      <sheetData sheetId="7"/>
      <sheetData sheetId="8"/>
    </sheetDataSet>
  </externalBook>
</externalLink>
</file>

<file path=xl/externalLinks/externalLink3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sheetName val="Prestaciones"/>
      <sheetName val="Indexación"/>
      <sheetName val="Intereses"/>
      <sheetName val="IPC DANE"/>
      <sheetName val="Histórico DTF"/>
      <sheetName val="IPC DANE vertical"/>
      <sheetName val="Int Cial"/>
    </sheetNames>
    <sheetDataSet>
      <sheetData sheetId="0">
        <row r="69">
          <cell r="J69"/>
        </row>
      </sheetData>
      <sheetData sheetId="1"/>
      <sheetData sheetId="2"/>
      <sheetData sheetId="3"/>
      <sheetData sheetId="4"/>
      <sheetData sheetId="5"/>
      <sheetData sheetId="6"/>
      <sheetData sheetId="7"/>
    </sheetDataSet>
  </externalBook>
</externalLink>
</file>

<file path=xl/externalLinks/externalLink3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sheetName val="Prestaciones"/>
      <sheetName val="Seg social"/>
      <sheetName val="Indexación"/>
      <sheetName val="Intereses"/>
      <sheetName val="IPC DANE"/>
      <sheetName val="Histórico DTF"/>
      <sheetName val="IPC DANE vertical"/>
      <sheetName val="Int Cial"/>
    </sheetNames>
    <sheetDataSet>
      <sheetData sheetId="0">
        <row r="63">
          <cell r="J63">
            <v>61981964.047384664</v>
          </cell>
        </row>
      </sheetData>
      <sheetData sheetId="1"/>
      <sheetData sheetId="2"/>
      <sheetData sheetId="3"/>
      <sheetData sheetId="4"/>
      <sheetData sheetId="5"/>
      <sheetData sheetId="6"/>
      <sheetData sheetId="7"/>
      <sheetData sheetId="8"/>
    </sheetDataSet>
  </externalBook>
</externalLink>
</file>

<file path=xl/externalLinks/externalLink3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
      <sheetName val="Prestaciones"/>
      <sheetName val="Seg social"/>
      <sheetName val="Indexación"/>
      <sheetName val="Intereses"/>
      <sheetName val="IPC DANE"/>
      <sheetName val="Histórico DTF"/>
      <sheetName val="IPC DANE vertical"/>
      <sheetName val="Int Cial"/>
    </sheetNames>
    <sheetDataSet>
      <sheetData sheetId="0">
        <row r="80">
          <cell r="J80"/>
        </row>
      </sheetData>
      <sheetData sheetId="1"/>
      <sheetData sheetId="2"/>
      <sheetData sheetId="3"/>
      <sheetData sheetId="4"/>
      <sheetData sheetId="5"/>
      <sheetData sheetId="6"/>
      <sheetData sheetId="7"/>
      <sheetData sheetId="8"/>
    </sheetDataSet>
  </externalBook>
</externalLink>
</file>

<file path=xl/externalLinks/externalLink3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sheetName val="Seg social"/>
      <sheetName val="Indexación"/>
      <sheetName val="Intereses"/>
      <sheetName val="IPC DANE"/>
      <sheetName val="Histórico DTF"/>
      <sheetName val="IPC DANE vertical"/>
      <sheetName val="Int Cial"/>
    </sheetNames>
    <sheetDataSet>
      <sheetData sheetId="0"/>
      <sheetData sheetId="1"/>
      <sheetData sheetId="2"/>
      <sheetData sheetId="3"/>
      <sheetData sheetId="4"/>
      <sheetData sheetId="5"/>
      <sheetData sheetId="6"/>
      <sheetData sheetId="7"/>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sheetName val="Prest"/>
      <sheetName val="Seg social"/>
      <sheetName val="Indexación"/>
      <sheetName val="Intereses"/>
      <sheetName val="IPC DANE"/>
      <sheetName val="Histórico DTF"/>
      <sheetName val="IPC DANE vertical"/>
      <sheetName val="Int Cial"/>
    </sheetNames>
    <sheetDataSet>
      <sheetData sheetId="0">
        <row r="73">
          <cell r="J73">
            <v>226164711.72569871</v>
          </cell>
        </row>
      </sheetData>
      <sheetData sheetId="1"/>
      <sheetData sheetId="2"/>
      <sheetData sheetId="3"/>
      <sheetData sheetId="4"/>
      <sheetData sheetId="5"/>
      <sheetData sheetId="6"/>
      <sheetData sheetId="7"/>
      <sheetData sheetId="8"/>
    </sheetDataSet>
  </externalBook>
</externalLink>
</file>

<file path=xl/externalLinks/externalLink3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
      <sheetName val="Prestaciones"/>
      <sheetName val="Seg social"/>
      <sheetName val="Indexación"/>
      <sheetName val="Intereses"/>
      <sheetName val="IPC DANE"/>
      <sheetName val="Histórico DTF"/>
      <sheetName val="IPC DANE vertical"/>
      <sheetName val="Int Cial"/>
    </sheetNames>
    <sheetDataSet>
      <sheetData sheetId="0">
        <row r="61">
          <cell r="J61"/>
        </row>
      </sheetData>
      <sheetData sheetId="1"/>
      <sheetData sheetId="2"/>
      <sheetData sheetId="3"/>
      <sheetData sheetId="4"/>
      <sheetData sheetId="5"/>
      <sheetData sheetId="6"/>
      <sheetData sheetId="7"/>
      <sheetData sheetId="8"/>
    </sheetDataSet>
  </externalBook>
</externalLink>
</file>

<file path=xl/externalLinks/externalLink3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
      <sheetName val="Prestaciones"/>
      <sheetName val="Seg social"/>
      <sheetName val="Indexación"/>
      <sheetName val="Intereses"/>
      <sheetName val="IPC DANE"/>
      <sheetName val="Histórico DTF"/>
      <sheetName val="IPC DANE vertical"/>
      <sheetName val="Int Cial"/>
    </sheetNames>
    <sheetDataSet>
      <sheetData sheetId="0">
        <row r="73">
          <cell r="J73"/>
        </row>
      </sheetData>
      <sheetData sheetId="1"/>
      <sheetData sheetId="2"/>
      <sheetData sheetId="3"/>
      <sheetData sheetId="4"/>
      <sheetData sheetId="5"/>
      <sheetData sheetId="6"/>
      <sheetData sheetId="7"/>
      <sheetData sheetId="8"/>
    </sheetDataSet>
  </externalBook>
</externalLink>
</file>

<file path=xl/externalLinks/externalLink3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sheetName val="Seg social"/>
      <sheetName val="Indexación"/>
      <sheetName val="Intereses"/>
      <sheetName val="IPC DANE"/>
      <sheetName val="Histórico DTF"/>
      <sheetName val="IPC DANE vertical"/>
      <sheetName val="Int Cial"/>
    </sheetNames>
    <sheetDataSet>
      <sheetData sheetId="0">
        <row r="51">
          <cell r="J51">
            <v>7862561.5227647033</v>
          </cell>
        </row>
      </sheetData>
      <sheetData sheetId="1"/>
      <sheetData sheetId="2"/>
      <sheetData sheetId="3"/>
      <sheetData sheetId="4"/>
      <sheetData sheetId="5"/>
      <sheetData sheetId="6"/>
      <sheetData sheetId="7"/>
    </sheetDataSet>
  </externalBook>
</externalLink>
</file>

<file path=xl/externalLinks/externalLink3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
      <sheetName val="Prestaciones"/>
      <sheetName val="Seg social"/>
      <sheetName val="Indexación"/>
      <sheetName val="Intereses"/>
      <sheetName val="IPC DANE"/>
      <sheetName val="Histórico DTF"/>
      <sheetName val="IPC DANE vertical"/>
      <sheetName val="Int Cial"/>
    </sheetNames>
    <sheetDataSet>
      <sheetData sheetId="0">
        <row r="54">
          <cell r="J54"/>
        </row>
      </sheetData>
      <sheetData sheetId="1"/>
      <sheetData sheetId="2"/>
      <sheetData sheetId="3"/>
      <sheetData sheetId="4"/>
      <sheetData sheetId="5"/>
      <sheetData sheetId="6"/>
      <sheetData sheetId="7"/>
      <sheetData sheetId="8"/>
    </sheetDataSet>
  </externalBook>
</externalLink>
</file>

<file path=xl/externalLinks/externalLink3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
      <sheetName val="Prestaciones"/>
      <sheetName val="Seg social"/>
      <sheetName val="Indexación"/>
      <sheetName val="Intereses"/>
      <sheetName val="IPC DANE"/>
      <sheetName val="Histórico DTF"/>
      <sheetName val="IPC DANE vertical"/>
      <sheetName val="Int Cial"/>
    </sheetNames>
    <sheetDataSet>
      <sheetData sheetId="0">
        <row r="50">
          <cell r="J50"/>
        </row>
      </sheetData>
      <sheetData sheetId="1"/>
      <sheetData sheetId="2"/>
      <sheetData sheetId="3"/>
      <sheetData sheetId="4"/>
      <sheetData sheetId="5"/>
      <sheetData sheetId="6"/>
      <sheetData sheetId="7"/>
      <sheetData sheetId="8"/>
    </sheetDataSet>
  </externalBook>
</externalLink>
</file>

<file path=xl/externalLinks/externalLink3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
      <sheetName val="Prestaciones"/>
      <sheetName val="Indexación"/>
      <sheetName val="Intereses"/>
      <sheetName val="IPC DANE"/>
      <sheetName val="Histórico DTF"/>
      <sheetName val="IPC DANE vertical"/>
      <sheetName val="Int Cial"/>
    </sheetNames>
    <sheetDataSet>
      <sheetData sheetId="0"/>
      <sheetData sheetId="1"/>
      <sheetData sheetId="2"/>
      <sheetData sheetId="3"/>
      <sheetData sheetId="4"/>
      <sheetData sheetId="5"/>
      <sheetData sheetId="6"/>
      <sheetData sheetId="7"/>
    </sheetDataSet>
  </externalBook>
</externalLink>
</file>

<file path=xl/externalLinks/externalLink3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
      <sheetName val="Prestaciones"/>
      <sheetName val="Indexación"/>
      <sheetName val="Intereses"/>
      <sheetName val="IPC DANE"/>
      <sheetName val="Histórico DTF"/>
      <sheetName val="IPC DANE vertical"/>
      <sheetName val="Int Cial"/>
      <sheetName val="Seg social"/>
    </sheetNames>
    <sheetDataSet>
      <sheetData sheetId="0"/>
      <sheetData sheetId="1"/>
      <sheetData sheetId="2"/>
      <sheetData sheetId="3"/>
      <sheetData sheetId="4"/>
      <sheetData sheetId="5"/>
      <sheetData sheetId="6"/>
      <sheetData sheetId="7"/>
      <sheetData sheetId="8" refreshError="1"/>
    </sheetDataSet>
  </externalBook>
</externalLink>
</file>

<file path=xl/externalLinks/externalLink3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
      <sheetName val="Prestaciones"/>
      <sheetName val="Seg social"/>
      <sheetName val="Indexación"/>
      <sheetName val="Intereses"/>
      <sheetName val="IPC DANE"/>
      <sheetName val="Histórico DTF"/>
      <sheetName val="IPC DANE vertical"/>
      <sheetName val="Int Cial"/>
    </sheetNames>
    <sheetDataSet>
      <sheetData sheetId="0">
        <row r="72">
          <cell r="J72"/>
        </row>
      </sheetData>
      <sheetData sheetId="1"/>
      <sheetData sheetId="2"/>
      <sheetData sheetId="3"/>
      <sheetData sheetId="4"/>
      <sheetData sheetId="5"/>
      <sheetData sheetId="6"/>
      <sheetData sheetId="7"/>
      <sheetData sheetId="8"/>
    </sheetDataSet>
  </externalBook>
</externalLink>
</file>

<file path=xl/externalLinks/externalLink3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DE CONTRATOS "/>
      <sheetName val="Liquidación intereses"/>
      <sheetName val="IPC DANE"/>
      <sheetName val="Histórico DTF"/>
      <sheetName val="Int Cial"/>
    </sheetNames>
    <sheetDataSet>
      <sheetData sheetId="0"/>
      <sheetData sheetId="1"/>
      <sheetData sheetId="2"/>
      <sheetData sheetId="3"/>
      <sheetData sheetId="4"/>
    </sheetDataSet>
  </externalBook>
</externalLink>
</file>

<file path=xl/externalLinks/externalLink3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
      <sheetName val="Prestaciones"/>
      <sheetName val="Seg social"/>
      <sheetName val="Indexación"/>
      <sheetName val="Intereses"/>
      <sheetName val="IPC DANE"/>
      <sheetName val="Histórico DTF"/>
      <sheetName val="IPC DANE vertical"/>
      <sheetName val="Int Cial"/>
    </sheetNames>
    <sheetDataSet>
      <sheetData sheetId="0">
        <row r="78">
          <cell r="J78"/>
        </row>
      </sheetData>
      <sheetData sheetId="1"/>
      <sheetData sheetId="2"/>
      <sheetData sheetId="3"/>
      <sheetData sheetId="4"/>
      <sheetData sheetId="5"/>
      <sheetData sheetId="6"/>
      <sheetData sheetId="7"/>
      <sheetData sheetId="8"/>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sheetName val="Prestaciones"/>
      <sheetName val="Seg social"/>
      <sheetName val="Indexación"/>
      <sheetName val="Intereses"/>
      <sheetName val="IPC DANE"/>
      <sheetName val="Histórico DTF"/>
      <sheetName val="Int Cial"/>
      <sheetName val="IPC DANE vertical"/>
    </sheetNames>
    <sheetDataSet>
      <sheetData sheetId="0">
        <row r="50">
          <cell r="N50">
            <v>131716132.85225226</v>
          </cell>
        </row>
      </sheetData>
      <sheetData sheetId="1"/>
      <sheetData sheetId="2"/>
      <sheetData sheetId="3"/>
      <sheetData sheetId="4"/>
      <sheetData sheetId="5"/>
      <sheetData sheetId="6"/>
      <sheetData sheetId="7"/>
      <sheetData sheetId="8"/>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sheetName val="Prest"/>
      <sheetName val="Seg social"/>
      <sheetName val="Index"/>
      <sheetName val="Intereses"/>
      <sheetName val="IPC DANE"/>
      <sheetName val="Histórico DTF"/>
      <sheetName val="IPC DANE vertical"/>
      <sheetName val="Int Cial"/>
    </sheetNames>
    <sheetDataSet>
      <sheetData sheetId="0">
        <row r="69">
          <cell r="J69">
            <v>229881205.1177066</v>
          </cell>
        </row>
      </sheetData>
      <sheetData sheetId="1"/>
      <sheetData sheetId="2"/>
      <sheetData sheetId="3"/>
      <sheetData sheetId="4"/>
      <sheetData sheetId="5"/>
      <sheetData sheetId="6"/>
      <sheetData sheetId="7"/>
      <sheetData sheetId="8"/>
    </sheetDataSet>
  </externalBook>
</externalLink>
</file>

<file path=xl/externalLinks/externalLink4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sheetName val="Prestaciones"/>
      <sheetName val="Seg social"/>
      <sheetName val="Indexación"/>
      <sheetName val="Intereses"/>
      <sheetName val="IPC DANE"/>
      <sheetName val="Histórico DTF"/>
      <sheetName val="IPC DANE vertical"/>
      <sheetName val="Int Cial"/>
    </sheetNames>
    <sheetDataSet>
      <sheetData sheetId="0">
        <row r="54">
          <cell r="J54">
            <v>127558795.24556109</v>
          </cell>
        </row>
      </sheetData>
      <sheetData sheetId="1"/>
      <sheetData sheetId="2"/>
      <sheetData sheetId="3"/>
      <sheetData sheetId="4"/>
      <sheetData sheetId="5"/>
      <sheetData sheetId="6"/>
      <sheetData sheetId="7"/>
      <sheetData sheetId="8"/>
    </sheetDataSet>
  </externalBook>
</externalLink>
</file>

<file path=xl/externalLinks/externalLink4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sheetName val="Prestaciones PR"/>
      <sheetName val="Seg social"/>
      <sheetName val="Indexación"/>
      <sheetName val="Intereses"/>
      <sheetName val="IPC DANE"/>
      <sheetName val="Histórico DTF"/>
      <sheetName val="Int Cial"/>
      <sheetName val="IPC DANE vertical"/>
    </sheetNames>
    <sheetDataSet>
      <sheetData sheetId="0">
        <row r="59">
          <cell r="J59">
            <v>4946697.960777808</v>
          </cell>
        </row>
      </sheetData>
      <sheetData sheetId="1"/>
      <sheetData sheetId="2"/>
      <sheetData sheetId="3"/>
      <sheetData sheetId="4"/>
      <sheetData sheetId="5"/>
      <sheetData sheetId="6"/>
      <sheetData sheetId="7"/>
      <sheetData sheetId="8"/>
    </sheetDataSet>
  </externalBook>
</externalLink>
</file>

<file path=xl/externalLinks/externalLink4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sheetName val="Seg social"/>
      <sheetName val="Indexación"/>
      <sheetName val="Intereses"/>
      <sheetName val="IPC DANE"/>
      <sheetName val="Histórico DTF"/>
      <sheetName val="IPC DANE vertical"/>
      <sheetName val="Int Cial"/>
    </sheetNames>
    <sheetDataSet>
      <sheetData sheetId="0"/>
      <sheetData sheetId="1"/>
      <sheetData sheetId="2"/>
      <sheetData sheetId="3"/>
      <sheetData sheetId="4"/>
      <sheetData sheetId="5"/>
      <sheetData sheetId="6"/>
      <sheetData sheetId="7"/>
    </sheetDataSet>
  </externalBook>
</externalLink>
</file>

<file path=xl/externalLinks/externalLink4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
      <sheetName val="Prestaciones"/>
      <sheetName val="Seg social"/>
      <sheetName val="Indexación"/>
      <sheetName val="Intereses"/>
      <sheetName val="IPC DANE"/>
      <sheetName val="Histórico DTF"/>
      <sheetName val="IPC DANE vertical"/>
      <sheetName val="Int Cial"/>
    </sheetNames>
    <sheetDataSet>
      <sheetData sheetId="0">
        <row r="79">
          <cell r="J79"/>
        </row>
      </sheetData>
      <sheetData sheetId="1"/>
      <sheetData sheetId="2"/>
      <sheetData sheetId="3"/>
      <sheetData sheetId="4"/>
      <sheetData sheetId="5"/>
      <sheetData sheetId="6"/>
      <sheetData sheetId="7"/>
      <sheetData sheetId="8"/>
    </sheetDataSet>
  </externalBook>
</externalLink>
</file>

<file path=xl/externalLinks/externalLink4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
      <sheetName val="Prestaciones"/>
      <sheetName val="Seg social"/>
      <sheetName val="Indexación"/>
      <sheetName val="Intereses"/>
      <sheetName val="IPC DANE"/>
      <sheetName val="Histórico DTF"/>
      <sheetName val="IPC DANE vertical"/>
      <sheetName val="Int Cial"/>
    </sheetNames>
    <sheetDataSet>
      <sheetData sheetId="0"/>
      <sheetData sheetId="1"/>
      <sheetData sheetId="2"/>
      <sheetData sheetId="3"/>
      <sheetData sheetId="4"/>
      <sheetData sheetId="5"/>
      <sheetData sheetId="6"/>
      <sheetData sheetId="7"/>
      <sheetData sheetId="8"/>
    </sheetDataSet>
  </externalBook>
</externalLink>
</file>

<file path=xl/externalLinks/externalLink4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sheetName val="Prestaciones"/>
      <sheetName val="Seg social"/>
      <sheetName val="Indexación"/>
      <sheetName val="Intereses"/>
      <sheetName val="IPC_DANE"/>
      <sheetName val="IPC DANE vertical"/>
      <sheetName val="Int Cial"/>
    </sheetNames>
    <sheetDataSet>
      <sheetData sheetId="0"/>
      <sheetData sheetId="1"/>
      <sheetData sheetId="2"/>
      <sheetData sheetId="3"/>
      <sheetData sheetId="4"/>
      <sheetData sheetId="5"/>
      <sheetData sheetId="6"/>
      <sheetData sheetId="7"/>
    </sheetDataSet>
  </externalBook>
</externalLink>
</file>

<file path=xl/externalLinks/externalLink4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
      <sheetName val="Prestaciones"/>
      <sheetName val="Seg social"/>
      <sheetName val="Indexación"/>
      <sheetName val="Intereses"/>
      <sheetName val="IPC DANE"/>
      <sheetName val="Histórico DTF"/>
      <sheetName val="IPC DANE vertical"/>
      <sheetName val="Int Cial"/>
    </sheetNames>
    <sheetDataSet>
      <sheetData sheetId="0">
        <row r="76">
          <cell r="J76"/>
        </row>
      </sheetData>
      <sheetData sheetId="1"/>
      <sheetData sheetId="2"/>
      <sheetData sheetId="3"/>
      <sheetData sheetId="4"/>
      <sheetData sheetId="5"/>
      <sheetData sheetId="6"/>
      <sheetData sheetId="7"/>
      <sheetData sheetId="8"/>
    </sheetDataSet>
  </externalBook>
</externalLink>
</file>

<file path=xl/externalLinks/externalLink4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
      <sheetName val="Prestaciones"/>
      <sheetName val="Seg social"/>
      <sheetName val="Indexación"/>
      <sheetName val="Intereses"/>
      <sheetName val="IPC DANE"/>
      <sheetName val="Histórico DTF"/>
      <sheetName val="IPC DANE vertical"/>
      <sheetName val="Int Cial"/>
    </sheetNames>
    <sheetDataSet>
      <sheetData sheetId="0">
        <row r="87">
          <cell r="J87">
            <v>260616644.8477231</v>
          </cell>
        </row>
      </sheetData>
      <sheetData sheetId="1"/>
      <sheetData sheetId="2"/>
      <sheetData sheetId="3"/>
      <sheetData sheetId="4"/>
      <sheetData sheetId="5"/>
      <sheetData sheetId="6"/>
      <sheetData sheetId="7"/>
      <sheetData sheetId="8"/>
    </sheetDataSet>
  </externalBook>
</externalLink>
</file>

<file path=xl/externalLinks/externalLink4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
      <sheetName val="Prestaciones"/>
      <sheetName val="Seg social"/>
      <sheetName val="Indexación"/>
      <sheetName val="Intereses"/>
      <sheetName val="IPC DANE"/>
      <sheetName val="Histórico DTF"/>
      <sheetName val="IPC DANE vertical"/>
      <sheetName val="Int Cial"/>
    </sheetNames>
    <sheetDataSet>
      <sheetData sheetId="0">
        <row r="82">
          <cell r="J82"/>
        </row>
      </sheetData>
      <sheetData sheetId="1"/>
      <sheetData sheetId="2"/>
      <sheetData sheetId="3"/>
      <sheetData sheetId="4"/>
      <sheetData sheetId="5"/>
      <sheetData sheetId="6"/>
      <sheetData sheetId="7"/>
      <sheetData sheetId="8"/>
    </sheetDataSet>
  </externalBook>
</externalLink>
</file>

<file path=xl/externalLinks/externalLink4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
      <sheetName val="Prestaciones"/>
      <sheetName val="Seg social"/>
      <sheetName val="Indexación"/>
      <sheetName val="Intereses"/>
      <sheetName val="IPC DANE"/>
      <sheetName val="Histórico DTF"/>
      <sheetName val="IPC DANE vertical"/>
      <sheetName val="Int Cial"/>
    </sheetNames>
    <sheetDataSet>
      <sheetData sheetId="0">
        <row r="86">
          <cell r="J86">
            <v>232119836.45400378</v>
          </cell>
        </row>
      </sheetData>
      <sheetData sheetId="1"/>
      <sheetData sheetId="2"/>
      <sheetData sheetId="3"/>
      <sheetData sheetId="4"/>
      <sheetData sheetId="5"/>
      <sheetData sheetId="6"/>
      <sheetData sheetId="7"/>
      <sheetData sheetId="8"/>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sheetName val="Prest"/>
      <sheetName val="Seg social"/>
      <sheetName val="Indexación"/>
      <sheetName val="Intereses"/>
      <sheetName val="IPC DANE"/>
      <sheetName val="Histórico DTF"/>
      <sheetName val="IPC DANE vertical"/>
      <sheetName val="Int Cial"/>
    </sheetNames>
    <sheetDataSet>
      <sheetData sheetId="0">
        <row r="67">
          <cell r="J67">
            <v>162867996.18878928</v>
          </cell>
        </row>
      </sheetData>
      <sheetData sheetId="1"/>
      <sheetData sheetId="2"/>
      <sheetData sheetId="3"/>
      <sheetData sheetId="4"/>
      <sheetData sheetId="5"/>
      <sheetData sheetId="6"/>
      <sheetData sheetId="7"/>
      <sheetData sheetId="8"/>
    </sheetDataSet>
  </externalBook>
</externalLink>
</file>

<file path=xl/externalLinks/externalLink4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
      <sheetName val="Seg social"/>
      <sheetName val="Indexación"/>
      <sheetName val="Intereses"/>
      <sheetName val="IPC DANE"/>
      <sheetName val="Histórico DTF"/>
      <sheetName val="IPC DANE vertical"/>
      <sheetName val="Int Cial"/>
    </sheetNames>
    <sheetDataSet>
      <sheetData sheetId="0">
        <row r="49">
          <cell r="J49">
            <v>19349868.218232088</v>
          </cell>
        </row>
      </sheetData>
      <sheetData sheetId="1"/>
      <sheetData sheetId="2"/>
      <sheetData sheetId="3"/>
      <sheetData sheetId="4"/>
      <sheetData sheetId="5"/>
      <sheetData sheetId="6"/>
      <sheetData sheetId="7"/>
    </sheetDataSet>
  </externalBook>
</externalLink>
</file>

<file path=xl/externalLinks/externalLink4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DE CONTRATOS "/>
      <sheetName val="Liquidación intereses"/>
      <sheetName val="IPC DANE"/>
      <sheetName val="Histórico DTF"/>
      <sheetName val="Int Cial"/>
    </sheetNames>
    <sheetDataSet>
      <sheetData sheetId="0">
        <row r="61">
          <cell r="I61">
            <v>299270844.30471265</v>
          </cell>
        </row>
      </sheetData>
      <sheetData sheetId="1"/>
      <sheetData sheetId="2"/>
      <sheetData sheetId="3"/>
      <sheetData sheetId="4"/>
    </sheetDataSet>
  </externalBook>
</externalLink>
</file>

<file path=xl/externalLinks/externalLink4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
      <sheetName val="Prestaciones"/>
      <sheetName val="Seg social"/>
      <sheetName val="Indexación"/>
      <sheetName val="Intereses"/>
      <sheetName val="IPC DANE"/>
      <sheetName val="Histórico DTF"/>
      <sheetName val="IPC DANE vertical"/>
      <sheetName val="Int Cial"/>
    </sheetNames>
    <sheetDataSet>
      <sheetData sheetId="0">
        <row r="84">
          <cell r="J84">
            <v>165369470.57269907</v>
          </cell>
        </row>
      </sheetData>
      <sheetData sheetId="1"/>
      <sheetData sheetId="2"/>
      <sheetData sheetId="3"/>
      <sheetData sheetId="4"/>
      <sheetData sheetId="5"/>
      <sheetData sheetId="6"/>
      <sheetData sheetId="7"/>
      <sheetData sheetId="8"/>
    </sheetDataSet>
  </externalBook>
</externalLink>
</file>

<file path=xl/externalLinks/externalLink4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VICOL"/>
    </sheetNames>
    <sheetDataSet>
      <sheetData sheetId="0">
        <row r="35">
          <cell r="K35">
            <v>4592055739.4651098</v>
          </cell>
        </row>
      </sheetData>
    </sheetDataSet>
  </externalBook>
</externalLink>
</file>

<file path=xl/externalLinks/externalLink4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
      <sheetName val="Prestaciones"/>
      <sheetName val="Seg social"/>
      <sheetName val="Indexación"/>
      <sheetName val="Intereses"/>
      <sheetName val="IPC DANE"/>
      <sheetName val="Histórico DTF"/>
      <sheetName val="IPC DANE vertical"/>
      <sheetName val="Int Cial"/>
    </sheetNames>
    <sheetDataSet>
      <sheetData sheetId="0">
        <row r="60">
          <cell r="J60">
            <v>96194906.014095545</v>
          </cell>
        </row>
      </sheetData>
      <sheetData sheetId="1"/>
      <sheetData sheetId="2"/>
      <sheetData sheetId="3"/>
      <sheetData sheetId="4"/>
      <sheetData sheetId="5"/>
      <sheetData sheetId="6"/>
      <sheetData sheetId="7"/>
      <sheetData sheetId="8"/>
    </sheetDataSet>
  </externalBook>
</externalLink>
</file>

<file path=xl/externalLinks/externalLink4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DE CONTRATOS "/>
      <sheetName val="Liquidación intereses"/>
      <sheetName val="IPC DANE"/>
      <sheetName val="Histórico DTF"/>
      <sheetName val="Int Cial"/>
    </sheetNames>
    <sheetDataSet>
      <sheetData sheetId="0">
        <row r="24">
          <cell r="J24">
            <v>197052369.14700428</v>
          </cell>
        </row>
      </sheetData>
      <sheetData sheetId="1"/>
      <sheetData sheetId="2"/>
      <sheetData sheetId="3"/>
      <sheetData sheetId="4"/>
    </sheetDataSet>
  </externalBook>
</externalLink>
</file>

<file path=xl/externalLinks/externalLink4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
      <sheetName val="Prestaciones"/>
      <sheetName val="Seg social"/>
      <sheetName val="Indexación"/>
      <sheetName val="Intereses"/>
      <sheetName val="IPC DANE"/>
      <sheetName val="Histórico DTF"/>
      <sheetName val="IPC DANE vertical"/>
      <sheetName val="Int Cial"/>
    </sheetNames>
    <sheetDataSet>
      <sheetData sheetId="0">
        <row r="66">
          <cell r="J66">
            <v>54256562.609873056</v>
          </cell>
        </row>
      </sheetData>
      <sheetData sheetId="1"/>
      <sheetData sheetId="2"/>
      <sheetData sheetId="3"/>
      <sheetData sheetId="4"/>
      <sheetData sheetId="5"/>
      <sheetData sheetId="6"/>
      <sheetData sheetId="7"/>
      <sheetData sheetId="8"/>
    </sheetDataSet>
  </externalBook>
</externalLink>
</file>

<file path=xl/externalLinks/externalLink4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
      <sheetName val="Seg social"/>
      <sheetName val="Indexación"/>
      <sheetName val="Intereses"/>
      <sheetName val="IPC DANE"/>
      <sheetName val="Histórico DTF"/>
      <sheetName val="IPC DANE vertical"/>
      <sheetName val="Int Cial"/>
    </sheetNames>
    <sheetDataSet>
      <sheetData sheetId="0">
        <row r="45">
          <cell r="J45">
            <v>8446782.4996306319</v>
          </cell>
        </row>
      </sheetData>
      <sheetData sheetId="1"/>
      <sheetData sheetId="2"/>
      <sheetData sheetId="3"/>
      <sheetData sheetId="4"/>
      <sheetData sheetId="5"/>
      <sheetData sheetId="6"/>
      <sheetData sheetId="7"/>
    </sheetDataSet>
  </externalBook>
</externalLink>
</file>

<file path=xl/externalLinks/externalLink4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DE CONTRATOS "/>
      <sheetName val="Liquidación intereses"/>
      <sheetName val="IPC DANE"/>
      <sheetName val="Histórico DTF"/>
      <sheetName val="Int Cial"/>
    </sheetNames>
    <sheetDataSet>
      <sheetData sheetId="0">
        <row r="28">
          <cell r="H28">
            <v>462740594.29268706</v>
          </cell>
        </row>
      </sheetData>
      <sheetData sheetId="1"/>
      <sheetData sheetId="2"/>
      <sheetData sheetId="3"/>
      <sheetData sheetId="4"/>
    </sheetDataSet>
  </externalBook>
</externalLink>
</file>

<file path=xl/externalLinks/externalLink4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
      <sheetName val="Prestac"/>
      <sheetName val="Cesantías Solas"/>
      <sheetName val="Indexación"/>
      <sheetName val="Liquidación intereses"/>
      <sheetName val="IPC DANE"/>
      <sheetName val="Histórico DTF"/>
      <sheetName val="Int Cial"/>
      <sheetName val="IPC DANE vertical"/>
    </sheetNames>
    <sheetDataSet>
      <sheetData sheetId="0">
        <row r="57">
          <cell r="J57">
            <v>11963901.141977495</v>
          </cell>
        </row>
      </sheetData>
      <sheetData sheetId="1"/>
      <sheetData sheetId="2"/>
      <sheetData sheetId="3"/>
      <sheetData sheetId="4"/>
      <sheetData sheetId="5"/>
      <sheetData sheetId="6"/>
      <sheetData sheetId="7"/>
      <sheetData sheetId="8"/>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sheetName val="Prestaciones"/>
      <sheetName val="Seg social"/>
      <sheetName val="Indexación"/>
      <sheetName val="Intereses"/>
      <sheetName val="IPC DANE"/>
      <sheetName val="Histórico DTF"/>
      <sheetName val="IPC DANE vertical"/>
      <sheetName val="Int Cial"/>
      <sheetName val="Hoja1"/>
    </sheetNames>
    <sheetDataSet>
      <sheetData sheetId="0">
        <row r="66">
          <cell r="J66">
            <v>154881691.81996134</v>
          </cell>
        </row>
      </sheetData>
      <sheetData sheetId="1"/>
      <sheetData sheetId="2"/>
      <sheetData sheetId="3"/>
      <sheetData sheetId="4"/>
      <sheetData sheetId="5"/>
      <sheetData sheetId="6"/>
      <sheetData sheetId="7"/>
      <sheetData sheetId="8"/>
      <sheetData sheetId="9"/>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sheetName val="Prestaciones"/>
      <sheetName val="Seg social"/>
      <sheetName val="Indexación"/>
      <sheetName val="Intereses"/>
      <sheetName val="IPC DANE"/>
      <sheetName val="Histórico DTF"/>
      <sheetName val="IPC DANE vertical"/>
      <sheetName val="Int Cial"/>
      <sheetName val="Hoja1"/>
    </sheetNames>
    <sheetDataSet>
      <sheetData sheetId="0">
        <row r="56">
          <cell r="J56">
            <v>150490633.75561067</v>
          </cell>
        </row>
      </sheetData>
      <sheetData sheetId="1"/>
      <sheetData sheetId="2"/>
      <sheetData sheetId="3"/>
      <sheetData sheetId="4"/>
      <sheetData sheetId="5"/>
      <sheetData sheetId="6"/>
      <sheetData sheetId="7"/>
      <sheetData sheetId="8"/>
      <sheetData sheetId="9"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sheetName val="Prestaciones"/>
      <sheetName val="Seg social"/>
      <sheetName val="Indexación"/>
      <sheetName val="Intereses"/>
      <sheetName val="IPC DANE"/>
      <sheetName val="Histórico DTF"/>
      <sheetName val="IPC DANE vertical"/>
      <sheetName val="Int Cial"/>
    </sheetNames>
    <sheetDataSet>
      <sheetData sheetId="0">
        <row r="57">
          <cell r="J57">
            <v>77591758.937287897</v>
          </cell>
        </row>
      </sheetData>
      <sheetData sheetId="1"/>
      <sheetData sheetId="2"/>
      <sheetData sheetId="3"/>
      <sheetData sheetId="4"/>
      <sheetData sheetId="5"/>
      <sheetData sheetId="6"/>
      <sheetData sheetId="7"/>
      <sheetData sheetId="8"/>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sheetName val="Prest"/>
      <sheetName val="Seg social"/>
      <sheetName val="Rtefte"/>
      <sheetName val="Index"/>
      <sheetName val="Ints"/>
      <sheetName val="IPC DANE"/>
      <sheetName val="Histórico DTF"/>
      <sheetName val="IPC DANE vertical"/>
      <sheetName val="Int Cial"/>
    </sheetNames>
    <sheetDataSet>
      <sheetData sheetId="0">
        <row r="54">
          <cell r="J54">
            <v>70325840.109218687</v>
          </cell>
        </row>
      </sheetData>
      <sheetData sheetId="1"/>
      <sheetData sheetId="2"/>
      <sheetData sheetId="3"/>
      <sheetData sheetId="4"/>
      <sheetData sheetId="5"/>
      <sheetData sheetId="6"/>
      <sheetData sheetId="7"/>
      <sheetData sheetId="8"/>
      <sheetData sheetId="9"/>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sheetName val="Prest"/>
      <sheetName val="Seg social"/>
      <sheetName val="Index"/>
      <sheetName val="Intereses"/>
      <sheetName val="IPC DANE"/>
      <sheetName val="Histórico DTF"/>
      <sheetName val="IPC DANE vertical"/>
      <sheetName val="Int Cial"/>
    </sheetNames>
    <sheetDataSet>
      <sheetData sheetId="0">
        <row r="68">
          <cell r="J68">
            <v>230555742.69000617</v>
          </cell>
        </row>
      </sheetData>
      <sheetData sheetId="1"/>
      <sheetData sheetId="2"/>
      <sheetData sheetId="3"/>
      <sheetData sheetId="4"/>
      <sheetData sheetId="5"/>
      <sheetData sheetId="6"/>
      <sheetData sheetId="7"/>
      <sheetData sheetId="8"/>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sheetName val="Prestaciones PR"/>
      <sheetName val="Seg social"/>
      <sheetName val="Indexación"/>
      <sheetName val="Intereses"/>
      <sheetName val="IPC DANE"/>
      <sheetName val="Histórico DTF"/>
      <sheetName val="Int Cial"/>
      <sheetName val="IPC DANE vertical"/>
    </sheetNames>
    <sheetDataSet>
      <sheetData sheetId="0">
        <row r="59">
          <cell r="J59">
            <v>17679258.953870885</v>
          </cell>
        </row>
      </sheetData>
      <sheetData sheetId="1"/>
      <sheetData sheetId="2"/>
      <sheetData sheetId="3"/>
      <sheetData sheetId="4"/>
      <sheetData sheetId="5"/>
      <sheetData sheetId="6"/>
      <sheetData sheetId="7"/>
      <sheetData sheetId="8"/>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sheetName val="Prestaciones"/>
      <sheetName val="Seg social"/>
      <sheetName val="Indexación"/>
      <sheetName val="Intereses"/>
      <sheetName val="IPC DANE"/>
      <sheetName val="Histórico DTF"/>
      <sheetName val="IPC DANE vertical"/>
      <sheetName val="Int Cial"/>
      <sheetName val="Hoja1"/>
    </sheetNames>
    <sheetDataSet>
      <sheetData sheetId="0">
        <row r="73">
          <cell r="J73">
            <v>135251746.92893082</v>
          </cell>
        </row>
      </sheetData>
      <sheetData sheetId="1"/>
      <sheetData sheetId="2"/>
      <sheetData sheetId="3"/>
      <sheetData sheetId="4"/>
      <sheetData sheetId="5"/>
      <sheetData sheetId="6"/>
      <sheetData sheetId="7"/>
      <sheetData sheetId="8"/>
      <sheetData sheetId="9"/>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sheetName val="Prestaciones"/>
      <sheetName val="Seg social"/>
      <sheetName val="Indexación"/>
      <sheetName val="Intereses"/>
      <sheetName val="IPC DANE"/>
      <sheetName val="Histórico DTF"/>
      <sheetName val="IPC DANE vertical"/>
      <sheetName val="Int Cial"/>
    </sheetNames>
    <sheetDataSet>
      <sheetData sheetId="0">
        <row r="70">
          <cell r="J70">
            <v>215804425.13979802</v>
          </cell>
        </row>
      </sheetData>
      <sheetData sheetId="1"/>
      <sheetData sheetId="2"/>
      <sheetData sheetId="3"/>
      <sheetData sheetId="4"/>
      <sheetData sheetId="5"/>
      <sheetData sheetId="6"/>
      <sheetData sheetId="7"/>
      <sheetData sheetId="8"/>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DE CONTRATOS "/>
      <sheetName val="Prestaciones"/>
      <sheetName val="Seguridad social"/>
      <sheetName val="Indexación"/>
      <sheetName val="Liquidación intereses"/>
      <sheetName val="IPC DANE"/>
      <sheetName val="Histórico DTF"/>
      <sheetName val="Int Cial"/>
    </sheetNames>
    <sheetDataSet>
      <sheetData sheetId="0">
        <row r="52">
          <cell r="P52">
            <v>83717095</v>
          </cell>
        </row>
      </sheetData>
      <sheetData sheetId="1"/>
      <sheetData sheetId="2"/>
      <sheetData sheetId="3"/>
      <sheetData sheetId="4"/>
      <sheetData sheetId="5"/>
      <sheetData sheetId="6"/>
      <sheetData sheetId="7"/>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sheetName val="Prestaciones"/>
      <sheetName val="Seg social"/>
      <sheetName val="SALARIOS"/>
      <sheetName val="Diferencia a pagar"/>
      <sheetName val="Indexación"/>
      <sheetName val="Intereses"/>
      <sheetName val="IPC DANE"/>
      <sheetName val="Histórico DTF"/>
      <sheetName val="IPC DANE vertical"/>
      <sheetName val="Int Cial"/>
    </sheetNames>
    <sheetDataSet>
      <sheetData sheetId="0">
        <row r="60">
          <cell r="J60">
            <v>4483624.2594861891</v>
          </cell>
        </row>
      </sheetData>
      <sheetData sheetId="1"/>
      <sheetData sheetId="2"/>
      <sheetData sheetId="3"/>
      <sheetData sheetId="4"/>
      <sheetData sheetId="5"/>
      <sheetData sheetId="6"/>
      <sheetData sheetId="7"/>
      <sheetData sheetId="8"/>
      <sheetData sheetId="9"/>
      <sheetData sheetId="10"/>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sheetName val="Prestaciones PR"/>
      <sheetName val="Indexación"/>
      <sheetName val="Intereses"/>
      <sheetName val="IPC DANE"/>
      <sheetName val="Histórico DTF"/>
      <sheetName val="Int Cial"/>
      <sheetName val="IPC DANE vertical"/>
    </sheetNames>
    <sheetDataSet>
      <sheetData sheetId="0">
        <row r="47">
          <cell r="J47">
            <v>12748210.411507342</v>
          </cell>
        </row>
      </sheetData>
      <sheetData sheetId="1"/>
      <sheetData sheetId="2"/>
      <sheetData sheetId="3"/>
      <sheetData sheetId="4"/>
      <sheetData sheetId="5"/>
      <sheetData sheetId="6"/>
      <sheetData sheetId="7"/>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sheetName val="Prestaciones"/>
      <sheetName val="Indexación"/>
      <sheetName val="Intereses"/>
      <sheetName val="IPC DANE"/>
      <sheetName val="Histórico DTF"/>
      <sheetName val="IPC DANE vertical"/>
      <sheetName val="Int Cial"/>
    </sheetNames>
    <sheetDataSet>
      <sheetData sheetId="0">
        <row r="73">
          <cell r="J73">
            <v>211927890.19749224</v>
          </cell>
        </row>
      </sheetData>
      <sheetData sheetId="1"/>
      <sheetData sheetId="2"/>
      <sheetData sheetId="3"/>
      <sheetData sheetId="4"/>
      <sheetData sheetId="5"/>
      <sheetData sheetId="6"/>
      <sheetData sheetId="7"/>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sheetName val="Prestaciones"/>
      <sheetName val="Seg social"/>
      <sheetName val="Indexación"/>
      <sheetName val="Intereses"/>
      <sheetName val="IPC DANE"/>
      <sheetName val="Histórico DTF"/>
      <sheetName val="IPC DANE vertical"/>
      <sheetName val="Int Cial"/>
    </sheetNames>
    <sheetDataSet>
      <sheetData sheetId="0">
        <row r="53">
          <cell r="J53">
            <v>24860977.009271674</v>
          </cell>
        </row>
      </sheetData>
      <sheetData sheetId="1"/>
      <sheetData sheetId="2"/>
      <sheetData sheetId="3"/>
      <sheetData sheetId="4"/>
      <sheetData sheetId="5"/>
      <sheetData sheetId="6"/>
      <sheetData sheetId="7"/>
      <sheetData sheetId="8"/>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sheetName val="Prest"/>
      <sheetName val="Seg social"/>
      <sheetName val="Index"/>
      <sheetName val="Ints"/>
      <sheetName val="IPC DANE"/>
      <sheetName val="Histórico DTF"/>
      <sheetName val="IPC DANE vertical"/>
      <sheetName val="Int Cial"/>
    </sheetNames>
    <sheetDataSet>
      <sheetData sheetId="0">
        <row r="76">
          <cell r="J76">
            <v>326010564.49876511</v>
          </cell>
        </row>
      </sheetData>
      <sheetData sheetId="1"/>
      <sheetData sheetId="2"/>
      <sheetData sheetId="3"/>
      <sheetData sheetId="4"/>
      <sheetData sheetId="5"/>
      <sheetData sheetId="6"/>
      <sheetData sheetId="7"/>
      <sheetData sheetId="8"/>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sheetName val="Prestaciones"/>
      <sheetName val="Seg social"/>
      <sheetName val="Indexación"/>
      <sheetName val="Intereses"/>
      <sheetName val="IPC DANE"/>
      <sheetName val="Histórico DTF"/>
      <sheetName val="IPC DANE vertical"/>
      <sheetName val="Int Cial"/>
    </sheetNames>
    <sheetDataSet>
      <sheetData sheetId="0"/>
      <sheetData sheetId="1"/>
      <sheetData sheetId="2"/>
      <sheetData sheetId="3"/>
      <sheetData sheetId="4"/>
      <sheetData sheetId="5"/>
      <sheetData sheetId="6"/>
      <sheetData sheetId="7"/>
      <sheetData sheetId="8"/>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sheetName val="Prestaciones"/>
      <sheetName val="Seg social"/>
      <sheetName val="Indexación"/>
      <sheetName val="Intereses"/>
      <sheetName val="IPC DANE"/>
      <sheetName val="Histórico DTF"/>
      <sheetName val="IPC DANE vertical"/>
      <sheetName val="Int Cial"/>
    </sheetNames>
    <sheetDataSet>
      <sheetData sheetId="0">
        <row r="51">
          <cell r="J51">
            <v>132715102.3458422</v>
          </cell>
        </row>
      </sheetData>
      <sheetData sheetId="1"/>
      <sheetData sheetId="2"/>
      <sheetData sheetId="3"/>
      <sheetData sheetId="4"/>
      <sheetData sheetId="5"/>
      <sheetData sheetId="6"/>
      <sheetData sheetId="7"/>
      <sheetData sheetId="8"/>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
      <sheetName val="Prestaciones"/>
      <sheetName val="Seg social"/>
      <sheetName val="Indexación"/>
      <sheetName val="Intereses"/>
      <sheetName val="IPC DANE"/>
      <sheetName val="Histórico DTF"/>
      <sheetName val="IPC DANE vertical"/>
      <sheetName val="Int Cial"/>
    </sheetNames>
    <sheetDataSet>
      <sheetData sheetId="0">
        <row r="62">
          <cell r="J62">
            <v>52515391.646933831</v>
          </cell>
        </row>
      </sheetData>
      <sheetData sheetId="1"/>
      <sheetData sheetId="2"/>
      <sheetData sheetId="3"/>
      <sheetData sheetId="4"/>
      <sheetData sheetId="5"/>
      <sheetData sheetId="6"/>
      <sheetData sheetId="7"/>
      <sheetData sheetId="8"/>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sheetName val="Intereses"/>
      <sheetName val="IPC DANE"/>
      <sheetName val="Histórico DTF"/>
      <sheetName val="Int Cial"/>
    </sheetNames>
    <sheetDataSet>
      <sheetData sheetId="0">
        <row r="26">
          <cell r="J26">
            <v>570626633.44008124</v>
          </cell>
        </row>
      </sheetData>
      <sheetData sheetId="1"/>
      <sheetData sheetId="2"/>
      <sheetData sheetId="3"/>
      <sheetData sheetId="4"/>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sheetName val="Prestaciones"/>
      <sheetName val="Seg social"/>
      <sheetName val="SALARIOS"/>
      <sheetName val="Indexación"/>
      <sheetName val="Intereses"/>
      <sheetName val="IPC DANE"/>
      <sheetName val="Histórico DTF"/>
      <sheetName val="IPC DANE vertical"/>
      <sheetName val="Int Cial"/>
    </sheetNames>
    <sheetDataSet>
      <sheetData sheetId="0">
        <row r="75">
          <cell r="P75">
            <v>5801076.9352113027</v>
          </cell>
        </row>
      </sheetData>
      <sheetData sheetId="1"/>
      <sheetData sheetId="2"/>
      <sheetData sheetId="3"/>
      <sheetData sheetId="4"/>
      <sheetData sheetId="5"/>
      <sheetData sheetId="6"/>
      <sheetData sheetId="7"/>
      <sheetData sheetId="8"/>
      <sheetData sheetId="9"/>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
      <sheetName val="Intereses"/>
      <sheetName val="IPC DANE"/>
      <sheetName val="Histórico DTF"/>
      <sheetName val="IPC DANE vertical"/>
      <sheetName val="Int Cial"/>
    </sheetNames>
    <sheetDataSet>
      <sheetData sheetId="0">
        <row r="29">
          <cell r="I29">
            <v>93476004.55531776</v>
          </cell>
        </row>
      </sheetData>
      <sheetData sheetId="1"/>
      <sheetData sheetId="2"/>
      <sheetData sheetId="3"/>
      <sheetData sheetId="4"/>
      <sheetData sheetId="5"/>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sheetName val="Prestaciones"/>
      <sheetName val="Seg social"/>
      <sheetName val="Indexación"/>
      <sheetName val="Intereses"/>
      <sheetName val="IPC DANE"/>
      <sheetName val="Histórico DTF"/>
      <sheetName val="IPC DANE vertical"/>
      <sheetName val="Int Cial"/>
    </sheetNames>
    <sheetDataSet>
      <sheetData sheetId="0">
        <row r="75">
          <cell r="J75">
            <v>207782898.55593002</v>
          </cell>
        </row>
      </sheetData>
      <sheetData sheetId="1"/>
      <sheetData sheetId="2"/>
      <sheetData sheetId="3"/>
      <sheetData sheetId="4"/>
      <sheetData sheetId="5"/>
      <sheetData sheetId="6"/>
      <sheetData sheetId="7"/>
      <sheetData sheetId="8"/>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sheetName val="Prestaciones"/>
      <sheetName val="Seg social"/>
      <sheetName val="Salarios"/>
      <sheetName val="Diferencia "/>
      <sheetName val="Indexación"/>
      <sheetName val="Intereses"/>
      <sheetName val="IPC DANE"/>
      <sheetName val="Histórico DTF"/>
      <sheetName val="IPC DANE vertical"/>
      <sheetName val="Int Cial"/>
    </sheetNames>
    <sheetDataSet>
      <sheetData sheetId="0">
        <row r="67">
          <cell r="J67">
            <v>23568426.304928981</v>
          </cell>
        </row>
      </sheetData>
      <sheetData sheetId="1"/>
      <sheetData sheetId="2"/>
      <sheetData sheetId="3"/>
      <sheetData sheetId="4"/>
      <sheetData sheetId="5"/>
      <sheetData sheetId="6"/>
      <sheetData sheetId="7"/>
      <sheetData sheetId="8"/>
      <sheetData sheetId="9"/>
      <sheetData sheetId="10"/>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sheetName val="Prestaciones PR"/>
      <sheetName val="Seg social"/>
      <sheetName val="Indexación"/>
      <sheetName val="Intereses"/>
      <sheetName val="IPC DANE"/>
      <sheetName val="Histórico DTF"/>
      <sheetName val="Int Cial"/>
      <sheetName val="IPC DANE vertical"/>
    </sheetNames>
    <sheetDataSet>
      <sheetData sheetId="0">
        <row r="51">
          <cell r="J51">
            <v>7972209.9130274523</v>
          </cell>
        </row>
      </sheetData>
      <sheetData sheetId="1"/>
      <sheetData sheetId="2"/>
      <sheetData sheetId="3"/>
      <sheetData sheetId="4"/>
      <sheetData sheetId="5"/>
      <sheetData sheetId="6"/>
      <sheetData sheetId="7"/>
      <sheetData sheetId="8"/>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
      <sheetName val="Prestaciones"/>
      <sheetName val="Seg social"/>
      <sheetName val="Indexación"/>
      <sheetName val="Intereses"/>
      <sheetName val="IPC DANE"/>
      <sheetName val="Histórico DTF"/>
      <sheetName val="Int Cial"/>
    </sheetNames>
    <sheetDataSet>
      <sheetData sheetId="0"/>
      <sheetData sheetId="1"/>
      <sheetData sheetId="2"/>
      <sheetData sheetId="3"/>
      <sheetData sheetId="4"/>
      <sheetData sheetId="5"/>
      <sheetData sheetId="6"/>
      <sheetData sheetId="7"/>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
      <sheetName val="Prestaciones"/>
      <sheetName val="Seg social"/>
      <sheetName val="Indexación"/>
      <sheetName val="Intereses"/>
      <sheetName val="IPC DANE"/>
      <sheetName val="Histórico DTF"/>
      <sheetName val="IPC DANE vertical"/>
      <sheetName val="Int Cial"/>
    </sheetNames>
    <sheetDataSet>
      <sheetData sheetId="0">
        <row r="64">
          <cell r="J64">
            <v>107117103.45328246</v>
          </cell>
        </row>
      </sheetData>
      <sheetData sheetId="1"/>
      <sheetData sheetId="2"/>
      <sheetData sheetId="3"/>
      <sheetData sheetId="4"/>
      <sheetData sheetId="5"/>
      <sheetData sheetId="6"/>
      <sheetData sheetId="7"/>
      <sheetData sheetId="8"/>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sheetName val="Prestaciones"/>
      <sheetName val="Seg social"/>
      <sheetName val="Indexación"/>
      <sheetName val="Intereses"/>
      <sheetName val="IPC DANE"/>
      <sheetName val="Histórico DTF"/>
      <sheetName val="IPC DANE vertical"/>
      <sheetName val="Int Cial"/>
    </sheetNames>
    <sheetDataSet>
      <sheetData sheetId="0">
        <row r="75">
          <cell r="J75">
            <v>282376276.24177855</v>
          </cell>
        </row>
      </sheetData>
      <sheetData sheetId="1"/>
      <sheetData sheetId="2"/>
      <sheetData sheetId="3"/>
      <sheetData sheetId="4"/>
      <sheetData sheetId="5"/>
      <sheetData sheetId="6"/>
      <sheetData sheetId="7"/>
      <sheetData sheetId="8"/>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sheetName val="Intereses"/>
      <sheetName val="IPC DANE"/>
      <sheetName val="Histórico DTF"/>
      <sheetName val="Int Cial"/>
    </sheetNames>
    <sheetDataSet>
      <sheetData sheetId="0">
        <row r="32">
          <cell r="K32">
            <v>320778963.82308954</v>
          </cell>
        </row>
      </sheetData>
      <sheetData sheetId="1"/>
      <sheetData sheetId="2"/>
      <sheetData sheetId="3"/>
      <sheetData sheetId="4"/>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sheetName val="Prestaciones"/>
      <sheetName val="Seg social"/>
      <sheetName val="Indexación"/>
      <sheetName val="Intereses"/>
      <sheetName val="IPC DANE"/>
      <sheetName val="Histórico DTF"/>
      <sheetName val="IPC DANE vertical"/>
      <sheetName val="Int Cial"/>
    </sheetNames>
    <sheetDataSet>
      <sheetData sheetId="0">
        <row r="63">
          <cell r="J63">
            <v>104378098.58928154</v>
          </cell>
        </row>
      </sheetData>
      <sheetData sheetId="1"/>
      <sheetData sheetId="2"/>
      <sheetData sheetId="3"/>
      <sheetData sheetId="4"/>
      <sheetData sheetId="5"/>
      <sheetData sheetId="6"/>
      <sheetData sheetId="7"/>
      <sheetData sheetId="8"/>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sheetName val="Prestaciones"/>
      <sheetName val="Seg social"/>
      <sheetName val="Indexación"/>
      <sheetName val="Intereses"/>
      <sheetName val="IPC DANE"/>
      <sheetName val="Histórico DTF"/>
      <sheetName val="IPC DANE vertical"/>
      <sheetName val="Int Cial"/>
    </sheetNames>
    <sheetDataSet>
      <sheetData sheetId="0">
        <row r="51">
          <cell r="J51">
            <v>160903.8624907335</v>
          </cell>
        </row>
      </sheetData>
      <sheetData sheetId="1"/>
      <sheetData sheetId="2"/>
      <sheetData sheetId="3"/>
      <sheetData sheetId="4"/>
      <sheetData sheetId="5"/>
      <sheetData sheetId="6"/>
      <sheetData sheetId="7"/>
      <sheetData sheetId="8"/>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sheetName val="Prestaciones"/>
      <sheetName val="Seg social"/>
      <sheetName val="Indexación"/>
      <sheetName val="Intereses"/>
      <sheetName val="IPC DANE"/>
      <sheetName val="Histórico DTF"/>
      <sheetName val="IPC DANE vertical"/>
      <sheetName val="Int Cial"/>
    </sheetNames>
    <sheetDataSet>
      <sheetData sheetId="0">
        <row r="58">
          <cell r="J58">
            <v>64586610.319622204</v>
          </cell>
        </row>
      </sheetData>
      <sheetData sheetId="1"/>
      <sheetData sheetId="2"/>
      <sheetData sheetId="3"/>
      <sheetData sheetId="4"/>
      <sheetData sheetId="5"/>
      <sheetData sheetId="6"/>
      <sheetData sheetId="7"/>
      <sheetData sheetId="8"/>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quidación intereses"/>
      <sheetName val="reliquidacion"/>
      <sheetName val="reliquidacion aportes pension"/>
      <sheetName val="IPC DANE"/>
      <sheetName val="Histórico DTF"/>
      <sheetName val="Int Cial"/>
    </sheetNames>
    <sheetDataSet>
      <sheetData sheetId="0"/>
      <sheetData sheetId="1"/>
      <sheetData sheetId="2">
        <row r="63">
          <cell r="J63">
            <v>5552945.840854574</v>
          </cell>
        </row>
      </sheetData>
      <sheetData sheetId="3"/>
      <sheetData sheetId="4"/>
      <sheetData sheetId="5"/>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
      <sheetName val="Prestaciones PR"/>
      <sheetName val="Indexación"/>
      <sheetName val="Intereses"/>
      <sheetName val="Histórico DTF"/>
      <sheetName val="IPC DANE"/>
      <sheetName val="Int Cial"/>
      <sheetName val="IPC DANE vertical"/>
    </sheetNames>
    <sheetDataSet>
      <sheetData sheetId="0">
        <row r="63">
          <cell r="J63">
            <v>44798875.90217828</v>
          </cell>
        </row>
      </sheetData>
      <sheetData sheetId="1"/>
      <sheetData sheetId="2"/>
      <sheetData sheetId="3"/>
      <sheetData sheetId="4"/>
      <sheetData sheetId="5"/>
      <sheetData sheetId="6"/>
      <sheetData sheetId="7"/>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sheetName val="Prestaciones"/>
      <sheetName val="Seg social"/>
      <sheetName val="Indexación"/>
      <sheetName val="Intereses"/>
      <sheetName val="IPC DANE"/>
      <sheetName val="Histórico DTF"/>
      <sheetName val="IPC DANE vertical"/>
      <sheetName val="Int Cial"/>
      <sheetName val="Porcentajes"/>
    </sheetNames>
    <sheetDataSet>
      <sheetData sheetId="0">
        <row r="82">
          <cell r="J82">
            <v>231280602.32809886</v>
          </cell>
        </row>
      </sheetData>
      <sheetData sheetId="1"/>
      <sheetData sheetId="2"/>
      <sheetData sheetId="3"/>
      <sheetData sheetId="4"/>
      <sheetData sheetId="5"/>
      <sheetData sheetId="6"/>
      <sheetData sheetId="7"/>
      <sheetData sheetId="8"/>
      <sheetData sheetId="9"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sheetName val="Prestaciones"/>
      <sheetName val="Seg social"/>
      <sheetName val="Indexación"/>
      <sheetName val="Intereses"/>
      <sheetName val="IPC DANE"/>
      <sheetName val="Histórico DTF"/>
      <sheetName val="IPC DANE vertical"/>
      <sheetName val="Int Cial"/>
    </sheetNames>
    <sheetDataSet>
      <sheetData sheetId="0">
        <row r="49">
          <cell r="J49">
            <v>52163553.846997373</v>
          </cell>
        </row>
      </sheetData>
      <sheetData sheetId="1"/>
      <sheetData sheetId="2"/>
      <sheetData sheetId="3"/>
      <sheetData sheetId="4"/>
      <sheetData sheetId="5"/>
      <sheetData sheetId="6"/>
      <sheetData sheetId="7"/>
      <sheetData sheetId="8"/>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
      <sheetName val="Prestaciones"/>
      <sheetName val="Seg social"/>
      <sheetName val="Indexación"/>
      <sheetName val="Intereses"/>
      <sheetName val="IPC DANE"/>
      <sheetName val="Histórico DTF"/>
      <sheetName val="IPC DANE vertical"/>
      <sheetName val="Int Cial"/>
    </sheetNames>
    <sheetDataSet>
      <sheetData sheetId="0">
        <row r="75">
          <cell r="J75">
            <v>215907238.94303879</v>
          </cell>
        </row>
      </sheetData>
      <sheetData sheetId="1"/>
      <sheetData sheetId="2"/>
      <sheetData sheetId="3"/>
      <sheetData sheetId="4"/>
      <sheetData sheetId="5"/>
      <sheetData sheetId="6"/>
      <sheetData sheetId="7"/>
      <sheetData sheetId="8"/>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sheetName val="Prestaciones PR"/>
      <sheetName val="Seg Social"/>
      <sheetName val="Indexación"/>
      <sheetName val="Intereses"/>
      <sheetName val="IPC DANE"/>
      <sheetName val="Histórico DTF"/>
      <sheetName val="Int Cial"/>
      <sheetName val="IPC DANE vertical"/>
    </sheetNames>
    <sheetDataSet>
      <sheetData sheetId="0">
        <row r="50">
          <cell r="J50">
            <v>7689079.5074290577</v>
          </cell>
        </row>
      </sheetData>
      <sheetData sheetId="1"/>
      <sheetData sheetId="2"/>
      <sheetData sheetId="3"/>
      <sheetData sheetId="4"/>
      <sheetData sheetId="5"/>
      <sheetData sheetId="6"/>
      <sheetData sheetId="7"/>
      <sheetData sheetId="8"/>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sheetName val="Prestaciones PR"/>
      <sheetName val="Seg social"/>
      <sheetName val="Indexación"/>
      <sheetName val="Intereses"/>
      <sheetName val="IPC DANE"/>
      <sheetName val="Histórico DTF"/>
      <sheetName val="Int Cial"/>
      <sheetName val="IPC DANE vertical"/>
    </sheetNames>
    <sheetDataSet>
      <sheetData sheetId="0">
        <row r="60">
          <cell r="J60">
            <v>17413707.581017613</v>
          </cell>
        </row>
      </sheetData>
      <sheetData sheetId="1"/>
      <sheetData sheetId="2"/>
      <sheetData sheetId="3"/>
      <sheetData sheetId="4"/>
      <sheetData sheetId="5"/>
      <sheetData sheetId="6"/>
      <sheetData sheetId="7"/>
      <sheetData sheetId="8"/>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sheetName val="Prestaciones"/>
      <sheetName val="Seg social"/>
      <sheetName val="Indexación"/>
      <sheetName val="Intereses"/>
      <sheetName val="IPC DANE"/>
      <sheetName val="Histórico DTF"/>
      <sheetName val="IPC DANE vertical"/>
      <sheetName val="Int Cial"/>
    </sheetNames>
    <sheetDataSet>
      <sheetData sheetId="0">
        <row r="71">
          <cell r="J71">
            <v>9611239.1110321097</v>
          </cell>
        </row>
      </sheetData>
      <sheetData sheetId="1"/>
      <sheetData sheetId="2"/>
      <sheetData sheetId="3"/>
      <sheetData sheetId="4"/>
      <sheetData sheetId="5"/>
      <sheetData sheetId="6"/>
      <sheetData sheetId="7"/>
      <sheetData sheetId="8"/>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sheetName val="Prestaciones"/>
      <sheetName val="Seg social"/>
      <sheetName val="Indexación"/>
      <sheetName val="IPC DANE"/>
      <sheetName val="Histórico DTF"/>
      <sheetName val="Intereses"/>
      <sheetName val="IPC DANE vertical"/>
      <sheetName val="Int Cial"/>
    </sheetNames>
    <sheetDataSet>
      <sheetData sheetId="0">
        <row r="84">
          <cell r="J84">
            <v>285085459.58411109</v>
          </cell>
        </row>
      </sheetData>
      <sheetData sheetId="1"/>
      <sheetData sheetId="2"/>
      <sheetData sheetId="3"/>
      <sheetData sheetId="4"/>
      <sheetData sheetId="5"/>
      <sheetData sheetId="6"/>
      <sheetData sheetId="7"/>
      <sheetData sheetId="8"/>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sheetName val="Intereses"/>
      <sheetName val="IPC DANE"/>
      <sheetName val="Histórico DTF"/>
      <sheetName val="Int Cial"/>
      <sheetName val="MATRIZ CCA"/>
      <sheetName val="Intereses CCA"/>
      <sheetName val="MATRIZ CPACA"/>
      <sheetName val="Intereses CPACA"/>
    </sheetNames>
    <sheetDataSet>
      <sheetData sheetId="0" refreshError="1">
        <row r="27">
          <cell r="H27">
            <v>512901408</v>
          </cell>
          <cell r="J27">
            <v>736555418.58903086</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sheetName val="Prestaciones"/>
      <sheetName val="Seg social"/>
      <sheetName val="Indexación"/>
      <sheetName val="Intereses"/>
      <sheetName val="IPC DANE"/>
      <sheetName val="Histórico DTF"/>
      <sheetName val="IPC DANE vertical"/>
      <sheetName val="Int Cial"/>
    </sheetNames>
    <sheetDataSet>
      <sheetData sheetId="0">
        <row r="72">
          <cell r="J72">
            <v>148000990.17107144</v>
          </cell>
        </row>
      </sheetData>
      <sheetData sheetId="1"/>
      <sheetData sheetId="2"/>
      <sheetData sheetId="3"/>
      <sheetData sheetId="4"/>
      <sheetData sheetId="5"/>
      <sheetData sheetId="6"/>
      <sheetData sheetId="7"/>
      <sheetData sheetId="8"/>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sheetName val="Intereses"/>
      <sheetName val="IPC DANE"/>
      <sheetName val="Histórico DTF"/>
      <sheetName val="Int Cial"/>
    </sheetNames>
    <sheetDataSet>
      <sheetData sheetId="0">
        <row r="44">
          <cell r="N44">
            <v>297550965.84295726</v>
          </cell>
        </row>
      </sheetData>
      <sheetData sheetId="1"/>
      <sheetData sheetId="2"/>
      <sheetData sheetId="3"/>
      <sheetData sheetId="4"/>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sheetName val="Prest"/>
      <sheetName val="Seg social"/>
      <sheetName val="Index"/>
      <sheetName val="Intereses"/>
      <sheetName val="IPC DANE"/>
      <sheetName val="Histórico DTF"/>
      <sheetName val="IPC DANE vertical"/>
      <sheetName val="Int Cial"/>
    </sheetNames>
    <sheetDataSet>
      <sheetData sheetId="0">
        <row r="80">
          <cell r="N80">
            <v>154291654.25717771</v>
          </cell>
        </row>
      </sheetData>
      <sheetData sheetId="1"/>
      <sheetData sheetId="2"/>
      <sheetData sheetId="3"/>
      <sheetData sheetId="4"/>
      <sheetData sheetId="5"/>
      <sheetData sheetId="6"/>
      <sheetData sheetId="7"/>
      <sheetData sheetId="8"/>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sheetName val="Prestaciones"/>
      <sheetName val="Seg social"/>
      <sheetName val="Indexación"/>
      <sheetName val="Intereses"/>
      <sheetName val="IPC DANE"/>
      <sheetName val="Histórico DTF"/>
      <sheetName val="IPC DANE vertical"/>
      <sheetName val="Int Cial"/>
    </sheetNames>
    <sheetDataSet>
      <sheetData sheetId="0">
        <row r="70">
          <cell r="J70">
            <v>117146272.90302528</v>
          </cell>
        </row>
      </sheetData>
      <sheetData sheetId="1"/>
      <sheetData sheetId="2"/>
      <sheetData sheetId="3"/>
      <sheetData sheetId="4"/>
      <sheetData sheetId="5"/>
      <sheetData sheetId="6"/>
      <sheetData sheetId="7"/>
      <sheetData sheetId="8"/>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q Mandamiento de Pago"/>
    </sheetNames>
    <sheetDataSet>
      <sheetData sheetId="0">
        <row r="52">
          <cell r="J52">
            <v>49446685.971556403</v>
          </cell>
        </row>
      </sheetData>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sheetName val="Prest"/>
      <sheetName val="Seg social"/>
      <sheetName val="Index"/>
      <sheetName val="Intereses"/>
      <sheetName val="Ints MANDAMIENTO PAGO"/>
      <sheetName val="IPC DANE"/>
      <sheetName val="Histórico DTF"/>
      <sheetName val="IPC DANE vertical"/>
      <sheetName val="Int Cial"/>
    </sheetNames>
    <sheetDataSet>
      <sheetData sheetId="0">
        <row r="70">
          <cell r="N70">
            <v>28793064.735941246</v>
          </cell>
        </row>
      </sheetData>
      <sheetData sheetId="1"/>
      <sheetData sheetId="2"/>
      <sheetData sheetId="3"/>
      <sheetData sheetId="4"/>
      <sheetData sheetId="5"/>
      <sheetData sheetId="6"/>
      <sheetData sheetId="7"/>
      <sheetData sheetId="8"/>
      <sheetData sheetId="9"/>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sheetName val="Prestaciones"/>
      <sheetName val="Seg social"/>
      <sheetName val="Indexación"/>
      <sheetName val="Intereses"/>
      <sheetName val="IPC DANE"/>
      <sheetName val="Histórico DTF"/>
      <sheetName val="IPC DANE vertical"/>
      <sheetName val="Int Cial"/>
    </sheetNames>
    <sheetDataSet>
      <sheetData sheetId="0">
        <row r="72">
          <cell r="N72">
            <v>53735922.436509609</v>
          </cell>
        </row>
      </sheetData>
      <sheetData sheetId="1"/>
      <sheetData sheetId="2"/>
      <sheetData sheetId="3"/>
      <sheetData sheetId="4"/>
      <sheetData sheetId="5"/>
      <sheetData sheetId="6"/>
      <sheetData sheetId="7"/>
      <sheetData sheetId="8"/>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sheetName val="Prestaciones"/>
      <sheetName val="Seg social"/>
      <sheetName val="Indexación"/>
      <sheetName val="Intereses"/>
      <sheetName val="IPC DANE"/>
      <sheetName val="Histórico DTF"/>
      <sheetName val="IPC DANE vertical"/>
      <sheetName val="Int Cial"/>
    </sheetNames>
    <sheetDataSet>
      <sheetData sheetId="0">
        <row r="85">
          <cell r="J85">
            <v>2961364.221132616</v>
          </cell>
        </row>
      </sheetData>
      <sheetData sheetId="1"/>
      <sheetData sheetId="2"/>
      <sheetData sheetId="3"/>
      <sheetData sheetId="4"/>
      <sheetData sheetId="5"/>
      <sheetData sheetId="6"/>
      <sheetData sheetId="7"/>
      <sheetData sheetId="8"/>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sheetName val="Prestaciones"/>
      <sheetName val="Seguridad social"/>
      <sheetName val="Indexación"/>
      <sheetName val="Liquidación intereses"/>
      <sheetName val="IPC DANE"/>
      <sheetName val="Histórico DTF"/>
      <sheetName val="Int Cial"/>
    </sheetNames>
    <sheetDataSet>
      <sheetData sheetId="0">
        <row r="54">
          <cell r="O54">
            <v>107698345.33034953</v>
          </cell>
        </row>
      </sheetData>
      <sheetData sheetId="1"/>
      <sheetData sheetId="2"/>
      <sheetData sheetId="3"/>
      <sheetData sheetId="4"/>
      <sheetData sheetId="5"/>
      <sheetData sheetId="6"/>
      <sheetData sheetId="7"/>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DE CONTRATOS "/>
      <sheetName val="Prestaciones PR"/>
      <sheetName val="Seguridad social"/>
      <sheetName val="Indexación"/>
      <sheetName val="Liquidación intereses"/>
      <sheetName val="IPC DANE"/>
      <sheetName val="Histórico DTF"/>
      <sheetName val="Int Cial"/>
      <sheetName val="IPC DANE vertical"/>
    </sheetNames>
    <sheetDataSet>
      <sheetData sheetId="0">
        <row r="59">
          <cell r="J59">
            <v>10827435.452570764</v>
          </cell>
        </row>
      </sheetData>
      <sheetData sheetId="1"/>
      <sheetData sheetId="2"/>
      <sheetData sheetId="3"/>
      <sheetData sheetId="4"/>
      <sheetData sheetId="5"/>
      <sheetData sheetId="6"/>
      <sheetData sheetId="7"/>
      <sheetData sheetId="8"/>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
      <sheetName val="Salarios"/>
      <sheetName val="Prestac."/>
      <sheetName val="Seg social"/>
      <sheetName val="Index"/>
      <sheetName val="Ints Salarios"/>
      <sheetName val="Ints Prestac"/>
      <sheetName val="Ints Salud"/>
      <sheetName val="Ints Pension"/>
      <sheetName val="IPC DANE"/>
      <sheetName val="Histórico DTF"/>
      <sheetName val="IPC DANE vertical"/>
      <sheetName val="Int Cial"/>
    </sheetNames>
    <sheetDataSet>
      <sheetData sheetId="0">
        <row r="52">
          <cell r="J52">
            <v>279218900.14692515</v>
          </cell>
        </row>
      </sheetData>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
      <sheetName val="Salarios"/>
      <sheetName val="Prestac."/>
      <sheetName val="Seg social"/>
      <sheetName val="Index"/>
      <sheetName val="Ints Salarios"/>
      <sheetName val="Ints Prestac"/>
      <sheetName val="Ints Salud"/>
      <sheetName val="Ints Pension"/>
      <sheetName val="IPC DANE"/>
      <sheetName val="Histórico DTF"/>
      <sheetName val="IPC DANE vertical"/>
      <sheetName val="Int Cial"/>
    </sheetNames>
    <sheetDataSet>
      <sheetData sheetId="0">
        <row r="54">
          <cell r="J54">
            <v>266076779.74400896</v>
          </cell>
        </row>
      </sheetData>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sheetName val="Prest"/>
      <sheetName val="Seg social"/>
      <sheetName val="Index"/>
      <sheetName val="Intereses"/>
      <sheetName val="IPC DANE"/>
      <sheetName val="Histórico DTF"/>
      <sheetName val="IPC DANE vertical"/>
      <sheetName val="Int Cial"/>
    </sheetNames>
    <sheetDataSet>
      <sheetData sheetId="0">
        <row r="76">
          <cell r="N76">
            <v>116914836.429539</v>
          </cell>
        </row>
      </sheetData>
      <sheetData sheetId="1"/>
      <sheetData sheetId="2"/>
      <sheetData sheetId="3"/>
      <sheetData sheetId="4"/>
      <sheetData sheetId="5"/>
      <sheetData sheetId="6"/>
      <sheetData sheetId="7"/>
      <sheetData sheetId="8"/>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sheetName val="Prestaciones"/>
      <sheetName val="Seg social"/>
      <sheetName val="Indexación"/>
      <sheetName val="Intereses"/>
      <sheetName val="IPC DANE"/>
      <sheetName val="Histórico DTF"/>
      <sheetName val="IPC DANE vertical"/>
      <sheetName val="Int Cial"/>
    </sheetNames>
    <sheetDataSet>
      <sheetData sheetId="0">
        <row r="62">
          <cell r="J62">
            <v>95467999.158296123</v>
          </cell>
        </row>
      </sheetData>
      <sheetData sheetId="1"/>
      <sheetData sheetId="2"/>
      <sheetData sheetId="3"/>
      <sheetData sheetId="4"/>
      <sheetData sheetId="5"/>
      <sheetData sheetId="6"/>
      <sheetData sheetId="7"/>
      <sheetData sheetId="8"/>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sheetName val="Seg social"/>
      <sheetName val="Indexación"/>
      <sheetName val="Intereses"/>
      <sheetName val="IPC DANE"/>
      <sheetName val="Histórico DTF"/>
      <sheetName val="IPC DANE vertical"/>
      <sheetName val="Int Cial"/>
    </sheetNames>
    <sheetDataSet>
      <sheetData sheetId="0">
        <row r="59">
          <cell r="J59">
            <v>15420038.581640972</v>
          </cell>
        </row>
      </sheetData>
      <sheetData sheetId="1"/>
      <sheetData sheetId="2"/>
      <sheetData sheetId="3"/>
      <sheetData sheetId="4"/>
      <sheetData sheetId="5"/>
      <sheetData sheetId="6"/>
      <sheetData sheetId="7"/>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sheetName val="Prestaciones"/>
      <sheetName val="Seg social"/>
      <sheetName val="Indexación"/>
      <sheetName val="Intereses"/>
      <sheetName val="IPC DANE"/>
      <sheetName val="Histórico DTF"/>
      <sheetName val="IPC DANE vertical"/>
      <sheetName val="Int Cial"/>
    </sheetNames>
    <sheetDataSet>
      <sheetData sheetId="0"/>
      <sheetData sheetId="1"/>
      <sheetData sheetId="2"/>
      <sheetData sheetId="3"/>
      <sheetData sheetId="4"/>
      <sheetData sheetId="5"/>
      <sheetData sheetId="6"/>
      <sheetData sheetId="7"/>
      <sheetData sheetId="8"/>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sheetName val="Prestaciones"/>
      <sheetName val="Seg social"/>
      <sheetName val="Indexación"/>
      <sheetName val="Intereses"/>
      <sheetName val="IPC DANE"/>
      <sheetName val="Histórico DTF"/>
      <sheetName val="IPC DANE vertical"/>
      <sheetName val="Int Cial"/>
    </sheetNames>
    <sheetDataSet>
      <sheetData sheetId="0"/>
      <sheetData sheetId="1"/>
      <sheetData sheetId="2"/>
      <sheetData sheetId="3"/>
      <sheetData sheetId="4"/>
      <sheetData sheetId="5"/>
      <sheetData sheetId="6"/>
      <sheetData sheetId="7"/>
      <sheetData sheetId="8"/>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sheetName val="Prestaciones"/>
      <sheetName val="Seg social"/>
      <sheetName val="Indexación"/>
      <sheetName val="Intereses"/>
      <sheetName val="IPC DANE"/>
      <sheetName val="Histórico DTF"/>
      <sheetName val="IPC DANE vertical"/>
      <sheetName val="Int Cial"/>
    </sheetNames>
    <sheetDataSet>
      <sheetData sheetId="0">
        <row r="55">
          <cell r="J55">
            <v>92541655.787294865</v>
          </cell>
        </row>
      </sheetData>
      <sheetData sheetId="1"/>
      <sheetData sheetId="2"/>
      <sheetData sheetId="3"/>
      <sheetData sheetId="4"/>
      <sheetData sheetId="5"/>
      <sheetData sheetId="6"/>
      <sheetData sheetId="7"/>
      <sheetData sheetId="8"/>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sheetName val="Prestaciones"/>
      <sheetName val="Seg social"/>
      <sheetName val="SALARIOS"/>
      <sheetName val="Dif a pagar"/>
      <sheetName val="Indexación"/>
      <sheetName val="Intereses"/>
      <sheetName val="IPC DANE"/>
      <sheetName val="Histórico DTF"/>
      <sheetName val="IPC DANE vertical"/>
      <sheetName val="Int Cial"/>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sheetName val="Prestaciones PR"/>
      <sheetName val="Seguridad social"/>
      <sheetName val="Indexación"/>
      <sheetName val="Intereses"/>
      <sheetName val="IPC DANE"/>
      <sheetName val="Histórico DTF"/>
      <sheetName val="Int Cial"/>
      <sheetName val="IPC DANE vertical"/>
    </sheetNames>
    <sheetDataSet>
      <sheetData sheetId="0">
        <row r="53">
          <cell r="J53"/>
        </row>
      </sheetData>
      <sheetData sheetId="1"/>
      <sheetData sheetId="2"/>
      <sheetData sheetId="3"/>
      <sheetData sheetId="4"/>
      <sheetData sheetId="5"/>
      <sheetData sheetId="6"/>
      <sheetData sheetId="7"/>
      <sheetData sheetId="8"/>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sheetName val="Prestaciones PR"/>
      <sheetName val="Indexación"/>
      <sheetName val="Intereses"/>
      <sheetName val="IPC DANE"/>
      <sheetName val="Histórico DTF"/>
      <sheetName val="Int Cial"/>
      <sheetName val="IPC DANE vertical"/>
      <sheetName val="Hoja1"/>
    </sheetNames>
    <sheetDataSet>
      <sheetData sheetId="0"/>
      <sheetData sheetId="1"/>
      <sheetData sheetId="2"/>
      <sheetData sheetId="3"/>
      <sheetData sheetId="4"/>
      <sheetData sheetId="5"/>
      <sheetData sheetId="6"/>
      <sheetData sheetId="7"/>
      <sheetData sheetId="8"/>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sheetName val="Prestaciones PR"/>
      <sheetName val="Seg social"/>
      <sheetName val="Indexación"/>
      <sheetName val="Intereses"/>
      <sheetName val="IPC DANE"/>
      <sheetName val="Histórico DTF"/>
      <sheetName val="Int Cial"/>
      <sheetName val="IPC DANE vertical"/>
    </sheetNames>
    <sheetDataSet>
      <sheetData sheetId="0">
        <row r="54">
          <cell r="J54"/>
        </row>
      </sheetData>
      <sheetData sheetId="1"/>
      <sheetData sheetId="2"/>
      <sheetData sheetId="3"/>
      <sheetData sheetId="4"/>
      <sheetData sheetId="5"/>
      <sheetData sheetId="6"/>
      <sheetData sheetId="7"/>
      <sheetData sheetId="8"/>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sheetName val="Prestaciones PR"/>
      <sheetName val="Seg Social"/>
      <sheetName val="Indexación"/>
      <sheetName val="Intereses"/>
      <sheetName val="IPC DANE"/>
      <sheetName val="Histórico DTF"/>
      <sheetName val="Int Cial"/>
      <sheetName val="IPC DANE vertical"/>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17" Type="http://schemas.openxmlformats.org/officeDocument/2006/relationships/hyperlink" Target="mailto:adrian.bernal@unp.gov.co02-02-2018" TargetMode="External"/><Relationship Id="rId21" Type="http://schemas.openxmlformats.org/officeDocument/2006/relationships/hyperlink" Target="mailto:fasj@hotmail.com30/01/18" TargetMode="External"/><Relationship Id="rId63" Type="http://schemas.openxmlformats.org/officeDocument/2006/relationships/hyperlink" Target="mailto:ABOGADO-OCAMPOGONZALEZ@HOTMAIL.COM%2026/01/18" TargetMode="External"/><Relationship Id="rId159" Type="http://schemas.openxmlformats.org/officeDocument/2006/relationships/hyperlink" Target="mailto:elalquimistamix@hotmail.com07-06-2017" TargetMode="External"/><Relationship Id="rId170" Type="http://schemas.openxmlformats.org/officeDocument/2006/relationships/hyperlink" Target="mailto:fredy.rayo@correo.policia.gov.co02-03-2018" TargetMode="External"/><Relationship Id="rId226" Type="http://schemas.openxmlformats.org/officeDocument/2006/relationships/hyperlink" Target="mailto:diego.rengifo@unp.gov.co15/06/18" TargetMode="External"/><Relationship Id="rId268" Type="http://schemas.openxmlformats.org/officeDocument/2006/relationships/hyperlink" Target="mailto:colmenaresabogados2013@outlook.com26-06-2019" TargetMode="External"/><Relationship Id="rId32" Type="http://schemas.openxmlformats.org/officeDocument/2006/relationships/hyperlink" Target="mailto:CONSULTINGRISK@CR-ABOGADOS.COM15/05/18" TargetMode="External"/><Relationship Id="rId74" Type="http://schemas.openxmlformats.org/officeDocument/2006/relationships/hyperlink" Target="mailto:ABOGADO-OCAMPOGONZALEZ@HOTMAIL.COM%2029/01/18" TargetMode="External"/><Relationship Id="rId128" Type="http://schemas.openxmlformats.org/officeDocument/2006/relationships/hyperlink" Target="mailto:segundo.enriquez@unp.gov.co02-11-2017" TargetMode="External"/><Relationship Id="rId5" Type="http://schemas.openxmlformats.org/officeDocument/2006/relationships/hyperlink" Target="mailto:joaljipa@yahoo.es%2030/01/18" TargetMode="External"/><Relationship Id="rId95" Type="http://schemas.openxmlformats.org/officeDocument/2006/relationships/hyperlink" Target="mailto:ANGELPORTOGUZMAN@HOTMAIL.COM18-06-2018" TargetMode="External"/><Relationship Id="rId160" Type="http://schemas.openxmlformats.org/officeDocument/2006/relationships/hyperlink" Target="mailto:dany.jimenez@unp.gov.co01-02-2018" TargetMode="External"/><Relationship Id="rId181" Type="http://schemas.openxmlformats.org/officeDocument/2006/relationships/hyperlink" Target="mailto:dario_juanda@hotmail.com29-03-2017" TargetMode="External"/><Relationship Id="rId216" Type="http://schemas.openxmlformats.org/officeDocument/2006/relationships/hyperlink" Target="mailto:rafael.osorio@unp.gov.co01-02-2018" TargetMode="External"/><Relationship Id="rId237" Type="http://schemas.openxmlformats.org/officeDocument/2006/relationships/hyperlink" Target="mailto:ana.aide@unp.gov.co31-01-2018" TargetMode="External"/><Relationship Id="rId258" Type="http://schemas.openxmlformats.org/officeDocument/2006/relationships/hyperlink" Target="mailto:fasj@hotmail.com21-05-2019" TargetMode="External"/><Relationship Id="rId22" Type="http://schemas.openxmlformats.org/officeDocument/2006/relationships/hyperlink" Target="mailto:abogados-ocampogonzalez@hotmail.com%2031/01/18" TargetMode="External"/><Relationship Id="rId43" Type="http://schemas.openxmlformats.org/officeDocument/2006/relationships/hyperlink" Target="mailto:CHERRON@MODERLINE.COM%2029/01/18" TargetMode="External"/><Relationship Id="rId64" Type="http://schemas.openxmlformats.org/officeDocument/2006/relationships/hyperlink" Target="mailto:chro_50@hotmail.com%2026/01/18" TargetMode="External"/><Relationship Id="rId118" Type="http://schemas.openxmlformats.org/officeDocument/2006/relationships/hyperlink" Target="mailto:gustavo.cabezas@unp.gov.co01-02-2018" TargetMode="External"/><Relationship Id="rId139" Type="http://schemas.openxmlformats.org/officeDocument/2006/relationships/hyperlink" Target="mailto:carlos.guevara@unp.gov.co02-11-2017" TargetMode="External"/><Relationship Id="rId85" Type="http://schemas.openxmlformats.org/officeDocument/2006/relationships/hyperlink" Target="mailto:ARTUROGOTRU@GMAIL.COM15/05/18" TargetMode="External"/><Relationship Id="rId150" Type="http://schemas.openxmlformats.org/officeDocument/2006/relationships/hyperlink" Target="mailto:alexander.benavides@unp.gov.co07-04-2017" TargetMode="External"/><Relationship Id="rId171" Type="http://schemas.openxmlformats.org/officeDocument/2006/relationships/hyperlink" Target="mailto:william.ardila@unp.gov.co07-04-2017.%20%20%20el%20mensaje%20no%20se%20pudo%20entrega%20a%20estos%20destinatarios." TargetMode="External"/><Relationship Id="rId192" Type="http://schemas.openxmlformats.org/officeDocument/2006/relationships/hyperlink" Target="mailto:lucia.ballesteros@unp.gov.co%2002/03/18" TargetMode="External"/><Relationship Id="rId206" Type="http://schemas.openxmlformats.org/officeDocument/2006/relationships/hyperlink" Target="mailto:javier.gutierrez@unp.gov.co02/11/2017" TargetMode="External"/><Relationship Id="rId227" Type="http://schemas.openxmlformats.org/officeDocument/2006/relationships/hyperlink" Target="mailto:wilmar.rodriguez@unp.gov.co31-01-2018" TargetMode="External"/><Relationship Id="rId248" Type="http://schemas.openxmlformats.org/officeDocument/2006/relationships/hyperlink" Target="mailto:joaljipa@yahoo.es04-04-2019" TargetMode="External"/><Relationship Id="rId269" Type="http://schemas.openxmlformats.org/officeDocument/2006/relationships/hyperlink" Target="mailto:alejandro0522@hotmail.com12-06-2019" TargetMode="External"/><Relationship Id="rId12" Type="http://schemas.openxmlformats.org/officeDocument/2006/relationships/hyperlink" Target="mailto:suasesorlegal01@yahoo.com01/02/18" TargetMode="External"/><Relationship Id="rId33" Type="http://schemas.openxmlformats.org/officeDocument/2006/relationships/hyperlink" Target="mailto:SUASESORLEGAL01@YAHOO.COM%2015/05/18" TargetMode="External"/><Relationship Id="rId108" Type="http://schemas.openxmlformats.org/officeDocument/2006/relationships/hyperlink" Target="mailto:carlos.aguirre@unp.gov.co29-03-2017" TargetMode="External"/><Relationship Id="rId129" Type="http://schemas.openxmlformats.org/officeDocument/2006/relationships/hyperlink" Target="mailto:jorge.escalante@unp.gov.co01-02-2018" TargetMode="External"/><Relationship Id="rId54" Type="http://schemas.openxmlformats.org/officeDocument/2006/relationships/hyperlink" Target="mailto:SENTENCIAJUSTA@HOTMAIL.COM26/01/18" TargetMode="External"/><Relationship Id="rId75" Type="http://schemas.openxmlformats.org/officeDocument/2006/relationships/hyperlink" Target="mailto:alejandro0522@hotmail.com%2029/01/18" TargetMode="External"/><Relationship Id="rId96" Type="http://schemas.openxmlformats.org/officeDocument/2006/relationships/hyperlink" Target="mailto:dimas.suarez@unp.gov.co02-11-2017" TargetMode="External"/><Relationship Id="rId140" Type="http://schemas.openxmlformats.org/officeDocument/2006/relationships/hyperlink" Target="mailto:hector.hernandez@unp.gov.co01-02-2018" TargetMode="External"/><Relationship Id="rId161" Type="http://schemas.openxmlformats.org/officeDocument/2006/relationships/hyperlink" Target="mailto:alexander.leal@unp.gov.co02-11-2017" TargetMode="External"/><Relationship Id="rId182" Type="http://schemas.openxmlformats.org/officeDocument/2006/relationships/hyperlink" Target="mailto:helmut.garzon@unp.gov.co29-03-2017" TargetMode="External"/><Relationship Id="rId217" Type="http://schemas.openxmlformats.org/officeDocument/2006/relationships/hyperlink" Target="mailto:dagoberto.padilla@unp.gov.co15/06/18" TargetMode="External"/><Relationship Id="rId6" Type="http://schemas.openxmlformats.org/officeDocument/2006/relationships/hyperlink" Target="mailto:correapinedaclaudia@hotmail.com%2030/01/18" TargetMode="External"/><Relationship Id="rId238" Type="http://schemas.openxmlformats.org/officeDocument/2006/relationships/hyperlink" Target="mailto:john.tamayo@unp.gov.co01-02-2018" TargetMode="External"/><Relationship Id="rId259" Type="http://schemas.openxmlformats.org/officeDocument/2006/relationships/hyperlink" Target="mailto:clinicajuridica@une.net.co11-06-2019" TargetMode="External"/><Relationship Id="rId23" Type="http://schemas.openxmlformats.org/officeDocument/2006/relationships/hyperlink" Target="mailto:framuvarabogado@yahoo.es" TargetMode="External"/><Relationship Id="rId119" Type="http://schemas.openxmlformats.org/officeDocument/2006/relationships/hyperlink" Target="mailto:helbert.camacho@unp.gov.co17-07-18" TargetMode="External"/><Relationship Id="rId270" Type="http://schemas.openxmlformats.org/officeDocument/2006/relationships/hyperlink" Target="mailto:diegoarturotz@hotmail.com17-06-2019" TargetMode="External"/><Relationship Id="rId44" Type="http://schemas.openxmlformats.org/officeDocument/2006/relationships/hyperlink" Target="mailto:joaljipa@yahoo.es%2015-05-2019" TargetMode="External"/><Relationship Id="rId65" Type="http://schemas.openxmlformats.org/officeDocument/2006/relationships/hyperlink" Target="mailto:ABOGADO-OCAMPOGONZALEZ@HOTMAIL.COM26/01/18" TargetMode="External"/><Relationship Id="rId86" Type="http://schemas.openxmlformats.org/officeDocument/2006/relationships/hyperlink" Target="mailto:ABOGADA.ALBALIDIA@HOTMAIL.COM08/03/18" TargetMode="External"/><Relationship Id="rId130" Type="http://schemas.openxmlformats.org/officeDocument/2006/relationships/hyperlink" Target="mailto:conrado.espinosa@unp.gov.co02-02-2018" TargetMode="External"/><Relationship Id="rId151" Type="http://schemas.openxmlformats.org/officeDocument/2006/relationships/hyperlink" Target="mailto:wilson.plazas@unp.gov.co24-01-2017" TargetMode="External"/><Relationship Id="rId172" Type="http://schemas.openxmlformats.org/officeDocument/2006/relationships/hyperlink" Target="mailto:julio.nuztez@unp.gov.co24-01-2017" TargetMode="External"/><Relationship Id="rId193" Type="http://schemas.openxmlformats.org/officeDocument/2006/relationships/hyperlink" Target="mailto:luis.bello@unp.gov.cvo%2021/03/18" TargetMode="External"/><Relationship Id="rId207" Type="http://schemas.openxmlformats.org/officeDocument/2006/relationships/hyperlink" Target="mailto:rodolfo.hurtado@unp.gov.co15/06/18" TargetMode="External"/><Relationship Id="rId228" Type="http://schemas.openxmlformats.org/officeDocument/2006/relationships/hyperlink" Target="mailto:carlosa.romero@unp.gov.co31-01-2018" TargetMode="External"/><Relationship Id="rId249" Type="http://schemas.openxmlformats.org/officeDocument/2006/relationships/hyperlink" Target="mailto:jaime_mt1982@hotmail.com05-04-2019" TargetMode="External"/><Relationship Id="rId13" Type="http://schemas.openxmlformats.org/officeDocument/2006/relationships/hyperlink" Target="mailto:jorge.portocarrero@hotmail.com%2030/01/18" TargetMode="External"/><Relationship Id="rId109" Type="http://schemas.openxmlformats.org/officeDocument/2006/relationships/hyperlink" Target="mailto:luis.alonso@unp.gov.co02-11-2017" TargetMode="External"/><Relationship Id="rId260" Type="http://schemas.openxmlformats.org/officeDocument/2006/relationships/hyperlink" Target="mailto:joaljipa@yahoo.es11-06-2019" TargetMode="External"/><Relationship Id="rId34" Type="http://schemas.openxmlformats.org/officeDocument/2006/relationships/hyperlink" Target="mailto:CLINICAJURIDICA@UNE.NET.CO%2015/05/18" TargetMode="External"/><Relationship Id="rId55" Type="http://schemas.openxmlformats.org/officeDocument/2006/relationships/hyperlink" Target="mailto:SENTENCIAJUSTA@HOTMAIL.COM29/01/18" TargetMode="External"/><Relationship Id="rId76" Type="http://schemas.openxmlformats.org/officeDocument/2006/relationships/hyperlink" Target="mailto:chro_50@hotmail.com%2029/01/18" TargetMode="External"/><Relationship Id="rId97" Type="http://schemas.openxmlformats.org/officeDocument/2006/relationships/hyperlink" Target="mailto:hernando.vanegas@unp.gov.co08-11-2017" TargetMode="External"/><Relationship Id="rId120" Type="http://schemas.openxmlformats.org/officeDocument/2006/relationships/hyperlink" Target="mailto:alfonso.carrillo@unp.gov.co06-04-2018" TargetMode="External"/><Relationship Id="rId141" Type="http://schemas.openxmlformats.org/officeDocument/2006/relationships/hyperlink" Target="mailto:hector.herrera@unp.gov.co01-02-2018" TargetMode="External"/><Relationship Id="rId7" Type="http://schemas.openxmlformats.org/officeDocument/2006/relationships/hyperlink" Target="mailto:nelsondiaz3971@hotmail.com" TargetMode="External"/><Relationship Id="rId162" Type="http://schemas.openxmlformats.org/officeDocument/2006/relationships/hyperlink" Target="mailto:edgar.leon@unp.gov.co02-11-2017" TargetMode="External"/><Relationship Id="rId183" Type="http://schemas.openxmlformats.org/officeDocument/2006/relationships/hyperlink" Target="mailto:alfonso.carrillo@unp.gov.co29-03-2017" TargetMode="External"/><Relationship Id="rId218" Type="http://schemas.openxmlformats.org/officeDocument/2006/relationships/hyperlink" Target="mailto:javier.paez@unp.gov.co01-02-2018" TargetMode="External"/><Relationship Id="rId239" Type="http://schemas.openxmlformats.org/officeDocument/2006/relationships/hyperlink" Target="mailto:enilso.torres@unp.gov.co01-02-2018" TargetMode="External"/><Relationship Id="rId250" Type="http://schemas.openxmlformats.org/officeDocument/2006/relationships/hyperlink" Target="mailto:abogadodiaz1@gmail.com04-04-2019" TargetMode="External"/><Relationship Id="rId271" Type="http://schemas.openxmlformats.org/officeDocument/2006/relationships/hyperlink" Target="mailto:pedrovega1970@hotmail.com11-06-2019" TargetMode="External"/><Relationship Id="rId24" Type="http://schemas.openxmlformats.org/officeDocument/2006/relationships/hyperlink" Target="mailto:marcela.torres@tytconsultores.com.co" TargetMode="External"/><Relationship Id="rId45" Type="http://schemas.openxmlformats.org/officeDocument/2006/relationships/hyperlink" Target="mailto:IFDURANS@COLPENSIONES.GOV.CO" TargetMode="External"/><Relationship Id="rId66" Type="http://schemas.openxmlformats.org/officeDocument/2006/relationships/hyperlink" Target="mailto:ABOGADO-OCAMPOGONZALEZ@HOTMAIL.COM%2026/01/18" TargetMode="External"/><Relationship Id="rId87" Type="http://schemas.openxmlformats.org/officeDocument/2006/relationships/hyperlink" Target="mailto:ARTUROGOTRU@GMAIL.COM15/05/18" TargetMode="External"/><Relationship Id="rId110" Type="http://schemas.openxmlformats.org/officeDocument/2006/relationships/hyperlink" Target="mailto:javier.arango@unp.gov.co01-02-2018" TargetMode="External"/><Relationship Id="rId131" Type="http://schemas.openxmlformats.org/officeDocument/2006/relationships/hyperlink" Target="mailto:anneline.espitia@unp.gov.co08-11-2017" TargetMode="External"/><Relationship Id="rId152" Type="http://schemas.openxmlformats.org/officeDocument/2006/relationships/hyperlink" Target="mailto:raul.bonilla@unp.gov.co24-01-2017" TargetMode="External"/><Relationship Id="rId173" Type="http://schemas.openxmlformats.org/officeDocument/2006/relationships/hyperlink" Target="mailto:caidrobo72@yahoo.es27-07-2018" TargetMode="External"/><Relationship Id="rId194" Type="http://schemas.openxmlformats.org/officeDocument/2006/relationships/hyperlink" Target="mailto:julio.carrillo@unp.gov.co15/06/18" TargetMode="External"/><Relationship Id="rId208" Type="http://schemas.openxmlformats.org/officeDocument/2006/relationships/hyperlink" Target="mailto:miguel.martinez@unp.gov.co15/06/18" TargetMode="External"/><Relationship Id="rId229" Type="http://schemas.openxmlformats.org/officeDocument/2006/relationships/hyperlink" Target="mailto:luis.roncancio@unp.gov.co15/06/18" TargetMode="External"/><Relationship Id="rId240" Type="http://schemas.openxmlformats.org/officeDocument/2006/relationships/hyperlink" Target="mailto:alfonso.uribe@unp.gov.co15/06/18" TargetMode="External"/><Relationship Id="rId261" Type="http://schemas.openxmlformats.org/officeDocument/2006/relationships/hyperlink" Target="mailto:gustar111@hotmail.com11-06-2019" TargetMode="External"/><Relationship Id="rId14" Type="http://schemas.openxmlformats.org/officeDocument/2006/relationships/hyperlink" Target="mailto:abogados-ocampogonzalez@hotmail.com01/02/18" TargetMode="External"/><Relationship Id="rId35" Type="http://schemas.openxmlformats.org/officeDocument/2006/relationships/hyperlink" Target="mailto:JOALJIPA@YAHOO.ES%2015/05/18" TargetMode="External"/><Relationship Id="rId56" Type="http://schemas.openxmlformats.org/officeDocument/2006/relationships/hyperlink" Target="mailto:AEFERNANDEZ@UNICAUCA.EDU.CO26/01/18" TargetMode="External"/><Relationship Id="rId77" Type="http://schemas.openxmlformats.org/officeDocument/2006/relationships/hyperlink" Target="mailto:JORGE.PORTOCARRERO@HOTMAIL.COM01/02/18" TargetMode="External"/><Relationship Id="rId100" Type="http://schemas.openxmlformats.org/officeDocument/2006/relationships/hyperlink" Target="mailto:john.sanchez@unp.gov.co%2003-11-2017" TargetMode="External"/><Relationship Id="rId8" Type="http://schemas.openxmlformats.org/officeDocument/2006/relationships/hyperlink" Target="mailto:alejandro0522@hotmail.com%2015/05/18" TargetMode="External"/><Relationship Id="rId98" Type="http://schemas.openxmlformats.org/officeDocument/2006/relationships/hyperlink" Target="mailto:julian.villareal@unp.gov.co02-11-2017" TargetMode="External"/><Relationship Id="rId121" Type="http://schemas.openxmlformats.org/officeDocument/2006/relationships/hyperlink" Target="mailto:sebastian.castano@unp.gov.co08/11/2017" TargetMode="External"/><Relationship Id="rId142" Type="http://schemas.openxmlformats.org/officeDocument/2006/relationships/hyperlink" Target="mailto:wilfran.hurtado@unp.gov.co02-11-2017" TargetMode="External"/><Relationship Id="rId163" Type="http://schemas.openxmlformats.org/officeDocument/2006/relationships/hyperlink" Target="mailto:christian.mactorel@unp.gov.co02-11-2017" TargetMode="External"/><Relationship Id="rId184" Type="http://schemas.openxmlformats.org/officeDocument/2006/relationships/hyperlink" Target="mailto:jose.franco@unp.gov.co29-03-2017" TargetMode="External"/><Relationship Id="rId219" Type="http://schemas.openxmlformats.org/officeDocument/2006/relationships/hyperlink" Target="mailto:natalia.perez@unp.gov.co02/03/18" TargetMode="External"/><Relationship Id="rId230" Type="http://schemas.openxmlformats.org/officeDocument/2006/relationships/hyperlink" Target="mailto:javier.roya@unp.gov.co15/06/18" TargetMode="External"/><Relationship Id="rId251" Type="http://schemas.openxmlformats.org/officeDocument/2006/relationships/hyperlink" Target="mailto:diegosotomayors@hotmail.com04-04-2019" TargetMode="External"/><Relationship Id="rId25" Type="http://schemas.openxmlformats.org/officeDocument/2006/relationships/hyperlink" Target="mailto:colmenaresabogados2013@outlook.com" TargetMode="External"/><Relationship Id="rId46" Type="http://schemas.openxmlformats.org/officeDocument/2006/relationships/hyperlink" Target="mailto:LEGALIZIMOS@HOTMAIL.COM" TargetMode="External"/><Relationship Id="rId67" Type="http://schemas.openxmlformats.org/officeDocument/2006/relationships/hyperlink" Target="mailto:abogadodiaz1@gmail.com26/01/18" TargetMode="External"/><Relationship Id="rId272" Type="http://schemas.openxmlformats.org/officeDocument/2006/relationships/hyperlink" Target="mailto:joaljipa@yahoo.es22-01-2020" TargetMode="External"/><Relationship Id="rId88" Type="http://schemas.openxmlformats.org/officeDocument/2006/relationships/hyperlink" Target="mailto:CLINICAJURIDICA@UNE.NET.CO%2015/06/18" TargetMode="External"/><Relationship Id="rId111" Type="http://schemas.openxmlformats.org/officeDocument/2006/relationships/hyperlink" Target="mailto:fredy.ardila@unp.gov.co01-02-2018" TargetMode="External"/><Relationship Id="rId132" Type="http://schemas.openxmlformats.org/officeDocument/2006/relationships/hyperlink" Target="mailto:yolner.fernandez@unp.gov.co02-02-2018" TargetMode="External"/><Relationship Id="rId153" Type="http://schemas.openxmlformats.org/officeDocument/2006/relationships/hyperlink" Target="mailto:jose.naranjo@unp.gov.co24-01-2017" TargetMode="External"/><Relationship Id="rId174" Type="http://schemas.openxmlformats.org/officeDocument/2006/relationships/hyperlink" Target="mailto:alejandro0552@hotmail.com" TargetMode="External"/><Relationship Id="rId195" Type="http://schemas.openxmlformats.org/officeDocument/2006/relationships/hyperlink" Target="mailto:luz.cifuentes@unp.gov.co21/03/18" TargetMode="External"/><Relationship Id="rId209" Type="http://schemas.openxmlformats.org/officeDocument/2006/relationships/hyperlink" Target="mailto:jhon.maya@unp.gov.co15/06/18" TargetMode="External"/><Relationship Id="rId220" Type="http://schemas.openxmlformats.org/officeDocument/2006/relationships/hyperlink" Target="mailto:hair.pinzon@unp.gov.co01-02-2018" TargetMode="External"/><Relationship Id="rId241" Type="http://schemas.openxmlformats.org/officeDocument/2006/relationships/hyperlink" Target="mailto:edinson.valdez@unp.gov.co15/06/18" TargetMode="External"/><Relationship Id="rId15" Type="http://schemas.openxmlformats.org/officeDocument/2006/relationships/hyperlink" Target="mailto:suasesorlegal01@yahoo.com01/02/18" TargetMode="External"/><Relationship Id="rId36" Type="http://schemas.openxmlformats.org/officeDocument/2006/relationships/hyperlink" Target="mailto:CORREAPINEDACLAUDIA@HOTMAIL.COM%2015/05/18" TargetMode="External"/><Relationship Id="rId57" Type="http://schemas.openxmlformats.org/officeDocument/2006/relationships/hyperlink" Target="mailto:ABOGADO-OCAMPOGONZALEZ@HOTMAIL.COM%2001/02/18" TargetMode="External"/><Relationship Id="rId262" Type="http://schemas.openxmlformats.org/officeDocument/2006/relationships/hyperlink" Target="mailto:joaljipa@yahoo.es11-06-2019" TargetMode="External"/><Relationship Id="rId78" Type="http://schemas.openxmlformats.org/officeDocument/2006/relationships/hyperlink" Target="mailto:ABOGADO-OCAMPOGONZALEZ@HOTMAIL.COM%2030/01/2018" TargetMode="External"/><Relationship Id="rId99" Type="http://schemas.openxmlformats.org/officeDocument/2006/relationships/hyperlink" Target="mailto:daniel.salazar@unp.gov.co02-11-2018" TargetMode="External"/><Relationship Id="rId101" Type="http://schemas.openxmlformats.org/officeDocument/2006/relationships/hyperlink" Target="mailto:silvio.morales@unp.gov.co03-11-2017" TargetMode="External"/><Relationship Id="rId122" Type="http://schemas.openxmlformats.org/officeDocument/2006/relationships/hyperlink" Target="mailto:carlos.chaves@unp.gov.co02/11/2017" TargetMode="External"/><Relationship Id="rId143" Type="http://schemas.openxmlformats.org/officeDocument/2006/relationships/hyperlink" Target="mailto:fredy.imbachi@unp.gov.co02-11-2017" TargetMode="External"/><Relationship Id="rId164" Type="http://schemas.openxmlformats.org/officeDocument/2006/relationships/hyperlink" Target="mailto:jhon.maduro@unp.gov.co02-11-2017" TargetMode="External"/><Relationship Id="rId185" Type="http://schemas.openxmlformats.org/officeDocument/2006/relationships/hyperlink" Target="mailto:oscar.oso.1967@hotmail.com29-03-2017" TargetMode="External"/><Relationship Id="rId9" Type="http://schemas.openxmlformats.org/officeDocument/2006/relationships/hyperlink" Target="mailto:clinicajuridica@une.net.co" TargetMode="External"/><Relationship Id="rId210" Type="http://schemas.openxmlformats.org/officeDocument/2006/relationships/hyperlink" Target="mailto:roberto.mazo@unp.gov.co21/03/18" TargetMode="External"/><Relationship Id="rId26" Type="http://schemas.openxmlformats.org/officeDocument/2006/relationships/hyperlink" Target="mailto:alejandro0552@hotmail.com" TargetMode="External"/><Relationship Id="rId231" Type="http://schemas.openxmlformats.org/officeDocument/2006/relationships/hyperlink" Target="mailto:jorge.rozo@unp.gov.co15/06/18" TargetMode="External"/><Relationship Id="rId252" Type="http://schemas.openxmlformats.org/officeDocument/2006/relationships/hyperlink" Target="mailto:clauherlen@gmail.com04-04-2019" TargetMode="External"/><Relationship Id="rId273" Type="http://schemas.openxmlformats.org/officeDocument/2006/relationships/hyperlink" Target="mailto:aofigomezg@yahoo.es15-05-2019" TargetMode="External"/><Relationship Id="rId47" Type="http://schemas.openxmlformats.org/officeDocument/2006/relationships/hyperlink" Target="mailto:joaljipa@yahoo.es" TargetMode="External"/><Relationship Id="rId68" Type="http://schemas.openxmlformats.org/officeDocument/2006/relationships/hyperlink" Target="mailto:ABOGADOERWINVERA@HOTMAIL.COM%2026/01/18" TargetMode="External"/><Relationship Id="rId89" Type="http://schemas.openxmlformats.org/officeDocument/2006/relationships/hyperlink" Target="mailto:carlosaugustojaimesbohorquez@gmail.com15/06/18" TargetMode="External"/><Relationship Id="rId112" Type="http://schemas.openxmlformats.org/officeDocument/2006/relationships/hyperlink" Target="mailto:miguel.arenas@unp.gov.co01-02-2018" TargetMode="External"/><Relationship Id="rId133" Type="http://schemas.openxmlformats.org/officeDocument/2006/relationships/hyperlink" Target="mailto:alcides.galvan@unp.gov.co02-02-2018" TargetMode="External"/><Relationship Id="rId154" Type="http://schemas.openxmlformats.org/officeDocument/2006/relationships/hyperlink" Target="mailto:diego.mora@unp.gov.co24-01-2017" TargetMode="External"/><Relationship Id="rId175" Type="http://schemas.openxmlformats.org/officeDocument/2006/relationships/hyperlink" Target="mailto:joralvasquez1@hotmail.com27-07-2018" TargetMode="External"/><Relationship Id="rId196" Type="http://schemas.openxmlformats.org/officeDocument/2006/relationships/hyperlink" Target="mailto:wilson.correa@unp.gov.co02-02-2018" TargetMode="External"/><Relationship Id="rId200" Type="http://schemas.openxmlformats.org/officeDocument/2006/relationships/hyperlink" Target="mailto:jose.farfan@unp.gov.co15/06/18" TargetMode="External"/><Relationship Id="rId16" Type="http://schemas.openxmlformats.org/officeDocument/2006/relationships/hyperlink" Target="mailto:jorge.portocarrero@hotmail.com01/02/18" TargetMode="External"/><Relationship Id="rId221" Type="http://schemas.openxmlformats.org/officeDocument/2006/relationships/hyperlink" Target="mailto:jader.plaza@unp.gov.co02/02/18" TargetMode="External"/><Relationship Id="rId242" Type="http://schemas.openxmlformats.org/officeDocument/2006/relationships/hyperlink" Target="mailto:paulo.yepez@unp.gov.co31-01-2018" TargetMode="External"/><Relationship Id="rId263" Type="http://schemas.openxmlformats.org/officeDocument/2006/relationships/hyperlink" Target="mailto:joaljipa@yahoo.es11-06-2019" TargetMode="External"/><Relationship Id="rId37" Type="http://schemas.openxmlformats.org/officeDocument/2006/relationships/hyperlink" Target="mailto:JOALJIPA@YAHOO.ES%2015/05/18" TargetMode="External"/><Relationship Id="rId58" Type="http://schemas.openxmlformats.org/officeDocument/2006/relationships/hyperlink" Target="mailto:ABOGADOERWINVERA@HOTMAIL.COM%2026/01/18" TargetMode="External"/><Relationship Id="rId79" Type="http://schemas.openxmlformats.org/officeDocument/2006/relationships/hyperlink" Target="mailto:TORRESMARTINEZABOGADOS@YAHOO.ES07/06/18" TargetMode="External"/><Relationship Id="rId102" Type="http://schemas.openxmlformats.org/officeDocument/2006/relationships/hyperlink" Target="mailto:diego.ossa@unp.gov.co02-11-2017" TargetMode="External"/><Relationship Id="rId123" Type="http://schemas.openxmlformats.org/officeDocument/2006/relationships/hyperlink" Target="mailto:rubiel.cifuentes@unp.gov.co01-02-2018" TargetMode="External"/><Relationship Id="rId144" Type="http://schemas.openxmlformats.org/officeDocument/2006/relationships/hyperlink" Target="mailto:javier.jimenez@unp.gov.co01-02-2018" TargetMode="External"/><Relationship Id="rId90" Type="http://schemas.openxmlformats.org/officeDocument/2006/relationships/hyperlink" Target="mailto:ingridps@gmail.com%2015/06/2018" TargetMode="External"/><Relationship Id="rId165" Type="http://schemas.openxmlformats.org/officeDocument/2006/relationships/hyperlink" Target="mailto:luis.marin@unp.gov.co02-11-2017" TargetMode="External"/><Relationship Id="rId186" Type="http://schemas.openxmlformats.org/officeDocument/2006/relationships/hyperlink" Target="mailto:formair10@gmail.com29-03-2017" TargetMode="External"/><Relationship Id="rId211" Type="http://schemas.openxmlformats.org/officeDocument/2006/relationships/hyperlink" Target="mailto:alvaro.mejia@unp.gov.co01-02-2018" TargetMode="External"/><Relationship Id="rId232" Type="http://schemas.openxmlformats.org/officeDocument/2006/relationships/hyperlink" Target="mailto:yuri.rueda@unp.gov.co25/06/18" TargetMode="External"/><Relationship Id="rId253" Type="http://schemas.openxmlformats.org/officeDocument/2006/relationships/hyperlink" Target="mailto:abogadosatiempo@gmail.com16-05-2019" TargetMode="External"/><Relationship Id="rId274" Type="http://schemas.openxmlformats.org/officeDocument/2006/relationships/printerSettings" Target="../printerSettings/printerSettings1.bin"/><Relationship Id="rId27" Type="http://schemas.openxmlformats.org/officeDocument/2006/relationships/hyperlink" Target="mailto:abogados-ocampogonzalez@hotmail.com%2002/03/18" TargetMode="External"/><Relationship Id="rId48" Type="http://schemas.openxmlformats.org/officeDocument/2006/relationships/hyperlink" Target="mailto:SUASESORLEGAL01@YAHOO.COM29/01/18" TargetMode="External"/><Relationship Id="rId69" Type="http://schemas.openxmlformats.org/officeDocument/2006/relationships/hyperlink" Target="mailto:ABOGADO-OCAMPOGONZALEZ@HOTMAIL.COM%2026/01/18" TargetMode="External"/><Relationship Id="rId113" Type="http://schemas.openxmlformats.org/officeDocument/2006/relationships/hyperlink" Target="mailto:jose.arias@unp.gov.co31-01-2018" TargetMode="External"/><Relationship Id="rId134" Type="http://schemas.openxmlformats.org/officeDocument/2006/relationships/hyperlink" Target="mailto:cesar.garay@unp.gov.co02-11-2017" TargetMode="External"/><Relationship Id="rId80" Type="http://schemas.openxmlformats.org/officeDocument/2006/relationships/hyperlink" Target="mailto:SUASESORLEGAL01@YAHOO.COM28/05/18" TargetMode="External"/><Relationship Id="rId155" Type="http://schemas.openxmlformats.org/officeDocument/2006/relationships/hyperlink" Target="mailto:edgar.cifuentes@unp.gov.co24-01-2017" TargetMode="External"/><Relationship Id="rId176" Type="http://schemas.openxmlformats.org/officeDocument/2006/relationships/hyperlink" Target="mailto:arturogotru@gmail.com27-07-2018" TargetMode="External"/><Relationship Id="rId197" Type="http://schemas.openxmlformats.org/officeDocument/2006/relationships/hyperlink" Target="mailto:wilson.deiva@unp.gov.co15/06/18" TargetMode="External"/><Relationship Id="rId201" Type="http://schemas.openxmlformats.org/officeDocument/2006/relationships/hyperlink" Target="mailto:fabian.gaitan@unp.gov.co29-06-2018" TargetMode="External"/><Relationship Id="rId222" Type="http://schemas.openxmlformats.org/officeDocument/2006/relationships/hyperlink" Target="mailto:carlos.poveda@unp.gov.co17-07-2018" TargetMode="External"/><Relationship Id="rId243" Type="http://schemas.openxmlformats.org/officeDocument/2006/relationships/hyperlink" Target="mailto:abogadoerwinvera@hotmail.com" TargetMode="External"/><Relationship Id="rId264" Type="http://schemas.openxmlformats.org/officeDocument/2006/relationships/hyperlink" Target="mailto:colmenaresabogados2013@outlook.com%2013-06-2019" TargetMode="External"/><Relationship Id="rId17" Type="http://schemas.openxmlformats.org/officeDocument/2006/relationships/hyperlink" Target="mailto:jorge.portocarrero@hotmail.com%2001/02/18" TargetMode="External"/><Relationship Id="rId38" Type="http://schemas.openxmlformats.org/officeDocument/2006/relationships/hyperlink" Target="mailto:JOALJIPA@YAHOO.ES" TargetMode="External"/><Relationship Id="rId59" Type="http://schemas.openxmlformats.org/officeDocument/2006/relationships/hyperlink" Target="mailto:ABOGADO-OCAMPOGONZALEZ@HOTMAIL.COM%2029/01/18" TargetMode="External"/><Relationship Id="rId103" Type="http://schemas.openxmlformats.org/officeDocument/2006/relationships/hyperlink" Target="mailto:manuel.poveda@unp.gov.co%2002-11-2017" TargetMode="External"/><Relationship Id="rId124" Type="http://schemas.openxmlformats.org/officeDocument/2006/relationships/hyperlink" Target="mailto:rodrigo.correa@unp.gov.co02-02-2018" TargetMode="External"/><Relationship Id="rId70" Type="http://schemas.openxmlformats.org/officeDocument/2006/relationships/hyperlink" Target="mailto:LUIS.DIAZ@MINHACIENDA.GOV.CO29/01/18" TargetMode="External"/><Relationship Id="rId91" Type="http://schemas.openxmlformats.org/officeDocument/2006/relationships/hyperlink" Target="mailto:joaljipa@yahoo.es%20%20%2015/06/2018" TargetMode="External"/><Relationship Id="rId145" Type="http://schemas.openxmlformats.org/officeDocument/2006/relationships/hyperlink" Target="mailto:luis.alfaro@unp.gov.co24-01-2017" TargetMode="External"/><Relationship Id="rId166" Type="http://schemas.openxmlformats.org/officeDocument/2006/relationships/hyperlink" Target="mailto:jorge.marin@unp.gov.co15/06/2018" TargetMode="External"/><Relationship Id="rId187" Type="http://schemas.openxmlformats.org/officeDocument/2006/relationships/hyperlink" Target="mailto:carlos2812bautista@hotmail.com29-03-2017" TargetMode="External"/><Relationship Id="rId1" Type="http://schemas.openxmlformats.org/officeDocument/2006/relationships/hyperlink" Target="mailto:abogados-ocampogonzalez@hotmail.com30/01/18" TargetMode="External"/><Relationship Id="rId212" Type="http://schemas.openxmlformats.org/officeDocument/2006/relationships/hyperlink" Target="mailto:jose.moreno@unp.gov.co01-02-2018" TargetMode="External"/><Relationship Id="rId233" Type="http://schemas.openxmlformats.org/officeDocument/2006/relationships/hyperlink" Target="mailto:alexander.ruiz@unp.gov.co31-01-2018" TargetMode="External"/><Relationship Id="rId254" Type="http://schemas.openxmlformats.org/officeDocument/2006/relationships/hyperlink" Target="mailto:aofigomezg@yahoo.es15-05-2019" TargetMode="External"/><Relationship Id="rId28" Type="http://schemas.openxmlformats.org/officeDocument/2006/relationships/hyperlink" Target="mailto:jorge.portocarrero@hotmail.com%2002/03/18" TargetMode="External"/><Relationship Id="rId49" Type="http://schemas.openxmlformats.org/officeDocument/2006/relationships/hyperlink" Target="mailto:alejandro0522@hotmail.com%2029/01/18" TargetMode="External"/><Relationship Id="rId114" Type="http://schemas.openxmlformats.org/officeDocument/2006/relationships/hyperlink" Target="mailto:edilberto.barreto@unp.gov.co01-02-2018" TargetMode="External"/><Relationship Id="rId275" Type="http://schemas.openxmlformats.org/officeDocument/2006/relationships/drawing" Target="../drawings/drawing1.xml"/><Relationship Id="rId60" Type="http://schemas.openxmlformats.org/officeDocument/2006/relationships/hyperlink" Target="mailto:ABOGADO-OCAMPOGONZALEZ@HOTMAIL.COM%2030/01/18" TargetMode="External"/><Relationship Id="rId81" Type="http://schemas.openxmlformats.org/officeDocument/2006/relationships/hyperlink" Target="mailto:COLMENARESABOGADOS2013@OUTLOOK.COM28/05/18" TargetMode="External"/><Relationship Id="rId135" Type="http://schemas.openxmlformats.org/officeDocument/2006/relationships/hyperlink" Target="mailto:luis.gomez@unp.gov.co01-02-2018" TargetMode="External"/><Relationship Id="rId156" Type="http://schemas.openxmlformats.org/officeDocument/2006/relationships/hyperlink" Target="mailto:adolfo.cardenas@unp.gov.co24-01-2017" TargetMode="External"/><Relationship Id="rId177" Type="http://schemas.openxmlformats.org/officeDocument/2006/relationships/hyperlink" Target="mailto:nederes@hotmail.com07-04-2017" TargetMode="External"/><Relationship Id="rId198" Type="http://schemas.openxmlformats.org/officeDocument/2006/relationships/hyperlink" Target="mailto:edilber.diaz@unp.gov.co15/06/18" TargetMode="External"/><Relationship Id="rId202" Type="http://schemas.openxmlformats.org/officeDocument/2006/relationships/hyperlink" Target="mailto:fernando.garzon@unp.gov.co02-11-2017" TargetMode="External"/><Relationship Id="rId223" Type="http://schemas.openxmlformats.org/officeDocument/2006/relationships/hyperlink" Target="mailto:cesar.puentes@unp.gov.co" TargetMode="External"/><Relationship Id="rId244" Type="http://schemas.openxmlformats.org/officeDocument/2006/relationships/hyperlink" Target="mailto:abogadoerwinvera@hotmail.com29-01-18" TargetMode="External"/><Relationship Id="rId18" Type="http://schemas.openxmlformats.org/officeDocument/2006/relationships/hyperlink" Target="mailto:joaljipa@yahoo.es%2031/01/18" TargetMode="External"/><Relationship Id="rId39" Type="http://schemas.openxmlformats.org/officeDocument/2006/relationships/hyperlink" Target="mailto:JOALJIPA@YAHOO.ES" TargetMode="External"/><Relationship Id="rId265" Type="http://schemas.openxmlformats.org/officeDocument/2006/relationships/hyperlink" Target="mailto:joaljipa@yahoo.es26-06-2019" TargetMode="External"/><Relationship Id="rId50" Type="http://schemas.openxmlformats.org/officeDocument/2006/relationships/hyperlink" Target="mailto:ABOGADO-OCAMPOGONZALEZ@HOTMAIL.COM%2029/01/18" TargetMode="External"/><Relationship Id="rId104" Type="http://schemas.openxmlformats.org/officeDocument/2006/relationships/hyperlink" Target="mailto:jairo.reyes@unp.gov.co02-11-2017" TargetMode="External"/><Relationship Id="rId125" Type="http://schemas.openxmlformats.org/officeDocument/2006/relationships/hyperlink" Target="mailto:jorge.corzo@unp.gov.co02-11-2017" TargetMode="External"/><Relationship Id="rId146" Type="http://schemas.openxmlformats.org/officeDocument/2006/relationships/hyperlink" Target="mailto:satelap@hotmail.com07-04-2017" TargetMode="External"/><Relationship Id="rId167" Type="http://schemas.openxmlformats.org/officeDocument/2006/relationships/hyperlink" Target="mailto:mauricio.martinez@unp.gov.co01-02-2018" TargetMode="External"/><Relationship Id="rId188" Type="http://schemas.openxmlformats.org/officeDocument/2006/relationships/hyperlink" Target="mailto:tito-zapata@hotmail.com07-06-2017" TargetMode="External"/><Relationship Id="rId71" Type="http://schemas.openxmlformats.org/officeDocument/2006/relationships/hyperlink" Target="mailto:SENTENCIAJUSTA@HOTMAIL.COM29/01/18" TargetMode="External"/><Relationship Id="rId92" Type="http://schemas.openxmlformats.org/officeDocument/2006/relationships/hyperlink" Target="mailto:correapinedaclaudia@hotmail.com15/06/2018" TargetMode="External"/><Relationship Id="rId213" Type="http://schemas.openxmlformats.org/officeDocument/2006/relationships/hyperlink" Target="mailto:rosa.ortega@unp.gov.co02/03/18" TargetMode="External"/><Relationship Id="rId234" Type="http://schemas.openxmlformats.org/officeDocument/2006/relationships/hyperlink" Target="mailto:reinelio.salazar@unp.gov.co01-02-2018" TargetMode="External"/><Relationship Id="rId2" Type="http://schemas.openxmlformats.org/officeDocument/2006/relationships/hyperlink" Target="mailto:milsanco65@hotmail.com" TargetMode="External"/><Relationship Id="rId29" Type="http://schemas.openxmlformats.org/officeDocument/2006/relationships/hyperlink" Target="mailto:sentenciajusta@hotmail.com%2015/05/18" TargetMode="External"/><Relationship Id="rId255" Type="http://schemas.openxmlformats.org/officeDocument/2006/relationships/hyperlink" Target="mailto:abogadosatiempo@gmail.com15-05-2019" TargetMode="External"/><Relationship Id="rId40" Type="http://schemas.openxmlformats.org/officeDocument/2006/relationships/hyperlink" Target="mailto:JOALJIPA@YAHOO.ES%2016/05/18" TargetMode="External"/><Relationship Id="rId115" Type="http://schemas.openxmlformats.org/officeDocument/2006/relationships/hyperlink" Target="mailto:rafael.barrientos@unp.gov.co" TargetMode="External"/><Relationship Id="rId136" Type="http://schemas.openxmlformats.org/officeDocument/2006/relationships/hyperlink" Target="mailto:ramiro.gomez@unp.gov.co17-07-2018" TargetMode="External"/><Relationship Id="rId157" Type="http://schemas.openxmlformats.org/officeDocument/2006/relationships/hyperlink" Target="mailto:leo122424@gmail.com07-06-2017" TargetMode="External"/><Relationship Id="rId178" Type="http://schemas.openxmlformats.org/officeDocument/2006/relationships/hyperlink" Target="mailto:artificero_83@hotmail.com07-04-2017" TargetMode="External"/><Relationship Id="rId61" Type="http://schemas.openxmlformats.org/officeDocument/2006/relationships/hyperlink" Target="mailto:MARCELA250581@GMAIL.COM26/01/18" TargetMode="External"/><Relationship Id="rId82" Type="http://schemas.openxmlformats.org/officeDocument/2006/relationships/hyperlink" Target="mailto:notificacionesjudiciales@cisa.gov.co28/05/18" TargetMode="External"/><Relationship Id="rId199" Type="http://schemas.openxmlformats.org/officeDocument/2006/relationships/hyperlink" Target="mailto:wilson.fandi&#241;o@unp.gov.co15/06/18" TargetMode="External"/><Relationship Id="rId203" Type="http://schemas.openxmlformats.org/officeDocument/2006/relationships/hyperlink" Target="mailto:william.garzon@unp.gov.co15/06/18" TargetMode="External"/><Relationship Id="rId19" Type="http://schemas.openxmlformats.org/officeDocument/2006/relationships/hyperlink" Target="mailto:joaljipa@yahoo.es%2030/01/18" TargetMode="External"/><Relationship Id="rId224" Type="http://schemas.openxmlformats.org/officeDocument/2006/relationships/hyperlink" Target="mailto:herminsut.puerto@unp.gov.co02-02-2018" TargetMode="External"/><Relationship Id="rId245" Type="http://schemas.openxmlformats.org/officeDocument/2006/relationships/hyperlink" Target="mailto:ingrid.ortega@mininterior.gov.co%2015/06/18" TargetMode="External"/><Relationship Id="rId266" Type="http://schemas.openxmlformats.org/officeDocument/2006/relationships/hyperlink" Target="mailto:luzmarina811@hotmail.com26-06-2019" TargetMode="External"/><Relationship Id="rId30" Type="http://schemas.openxmlformats.org/officeDocument/2006/relationships/hyperlink" Target="mailto:CHRO_50@HOTMAIL.COM%2015/05/18" TargetMode="External"/><Relationship Id="rId105" Type="http://schemas.openxmlformats.org/officeDocument/2006/relationships/hyperlink" Target="mailto:jorge.rodriguez@unp.gov.co08-11-2017" TargetMode="External"/><Relationship Id="rId126" Type="http://schemas.openxmlformats.org/officeDocument/2006/relationships/hyperlink" Target="mailto:jose.davila@unp.gov.co30-01-2018" TargetMode="External"/><Relationship Id="rId147" Type="http://schemas.openxmlformats.org/officeDocument/2006/relationships/hyperlink" Target="mailto:jairo.parra@unp.gov.co10-04-2017" TargetMode="External"/><Relationship Id="rId168" Type="http://schemas.openxmlformats.org/officeDocument/2006/relationships/hyperlink" Target="mailto:edgardo.martinez@unp.gov.co01-02-2018" TargetMode="External"/><Relationship Id="rId51" Type="http://schemas.openxmlformats.org/officeDocument/2006/relationships/hyperlink" Target="mailto:SENTENCIAJUSTA@HOTMAIL.COM29/01/18" TargetMode="External"/><Relationship Id="rId72" Type="http://schemas.openxmlformats.org/officeDocument/2006/relationships/hyperlink" Target="mailto:ARTUROGOTRU@GMAIL.COM31/01/18" TargetMode="External"/><Relationship Id="rId93" Type="http://schemas.openxmlformats.org/officeDocument/2006/relationships/hyperlink" Target="mailto:correapinedaclaudia@hotmail.com21-06-2018" TargetMode="External"/><Relationship Id="rId189" Type="http://schemas.openxmlformats.org/officeDocument/2006/relationships/hyperlink" Target="mailto:trianawil69@yahoo.es07-04-2017" TargetMode="External"/><Relationship Id="rId3" Type="http://schemas.openxmlformats.org/officeDocument/2006/relationships/hyperlink" Target="mailto:milsanco65@hotmail.com" TargetMode="External"/><Relationship Id="rId214" Type="http://schemas.openxmlformats.org/officeDocument/2006/relationships/hyperlink" Target="mailto:hanssemenova.ortiz@unp.gov.co01/02/2018" TargetMode="External"/><Relationship Id="rId235" Type="http://schemas.openxmlformats.org/officeDocument/2006/relationships/hyperlink" Target="mailto:victor.salinas@unp.gov.co01-02-2018" TargetMode="External"/><Relationship Id="rId256" Type="http://schemas.openxmlformats.org/officeDocument/2006/relationships/hyperlink" Target="mailto:abogadosatiempo@gmail.com15-05-2019" TargetMode="External"/><Relationship Id="rId116" Type="http://schemas.openxmlformats.org/officeDocument/2006/relationships/hyperlink" Target="mailto:eder.bejarano@unp.gov.co01-02-18" TargetMode="External"/><Relationship Id="rId137" Type="http://schemas.openxmlformats.org/officeDocument/2006/relationships/hyperlink" Target="mailto:daniel.gomez@unp.gov.co02-11-2017" TargetMode="External"/><Relationship Id="rId158" Type="http://schemas.openxmlformats.org/officeDocument/2006/relationships/hyperlink" Target="mailto:dagorojas123@hotmail.com07-06-2017" TargetMode="External"/><Relationship Id="rId20" Type="http://schemas.openxmlformats.org/officeDocument/2006/relationships/hyperlink" Target="mailto:fabioacosta12@gmail.com%2001/02/18" TargetMode="External"/><Relationship Id="rId41" Type="http://schemas.openxmlformats.org/officeDocument/2006/relationships/hyperlink" Target="mailto:JOALJIPA@YAHOO.ES%2016/05/18" TargetMode="External"/><Relationship Id="rId62" Type="http://schemas.openxmlformats.org/officeDocument/2006/relationships/hyperlink" Target="mailto:JOSENIXON03@YAHOO.ES26/01/18" TargetMode="External"/><Relationship Id="rId83" Type="http://schemas.openxmlformats.org/officeDocument/2006/relationships/hyperlink" Target="mailto:CONSULTINGRISK@CR-ABOGADOS.COM28/05/18" TargetMode="External"/><Relationship Id="rId179" Type="http://schemas.openxmlformats.org/officeDocument/2006/relationships/hyperlink" Target="mailto:hermes.ordones@unp.gov.co07-04-2017" TargetMode="External"/><Relationship Id="rId190" Type="http://schemas.openxmlformats.org/officeDocument/2006/relationships/hyperlink" Target="mailto:haidy@giraldoabogados.net30/01/18" TargetMode="External"/><Relationship Id="rId204" Type="http://schemas.openxmlformats.org/officeDocument/2006/relationships/hyperlink" Target="mailto:edwin.garzon@unp.gov.co15/06/18" TargetMode="External"/><Relationship Id="rId225" Type="http://schemas.openxmlformats.org/officeDocument/2006/relationships/hyperlink" Target="mailto:holman.pulido@unp.gov.co15/06/18" TargetMode="External"/><Relationship Id="rId246" Type="http://schemas.openxmlformats.org/officeDocument/2006/relationships/hyperlink" Target="mailto:joaljipa@yahoo.es" TargetMode="External"/><Relationship Id="rId267" Type="http://schemas.openxmlformats.org/officeDocument/2006/relationships/hyperlink" Target="mailto:raulsegundocuellobarrios@hotmail.com27-06-2019" TargetMode="External"/><Relationship Id="rId106" Type="http://schemas.openxmlformats.org/officeDocument/2006/relationships/hyperlink" Target="mailto:hernan.acevedo@unp.gov.co01-02-2018" TargetMode="External"/><Relationship Id="rId127" Type="http://schemas.openxmlformats.org/officeDocument/2006/relationships/hyperlink" Target="mailto:edwin.molina@unp.gov.co01-02-2018" TargetMode="External"/><Relationship Id="rId10" Type="http://schemas.openxmlformats.org/officeDocument/2006/relationships/hyperlink" Target="mailto:clinicajuridica@une.net.co" TargetMode="External"/><Relationship Id="rId31" Type="http://schemas.openxmlformats.org/officeDocument/2006/relationships/hyperlink" Target="mailto:FASJ@HOTMAIL.COM%2015/05/18" TargetMode="External"/><Relationship Id="rId52" Type="http://schemas.openxmlformats.org/officeDocument/2006/relationships/hyperlink" Target="mailto:SENTENCIAJUSTA@HOTMAIL.COM29/01/18" TargetMode="External"/><Relationship Id="rId73" Type="http://schemas.openxmlformats.org/officeDocument/2006/relationships/hyperlink" Target="mailto:FASJ@HOTMAIL.COM29/01/18" TargetMode="External"/><Relationship Id="rId94" Type="http://schemas.openxmlformats.org/officeDocument/2006/relationships/hyperlink" Target="mailto:ARMANDOCOLON1971@GMAIL.COM19-06-2018" TargetMode="External"/><Relationship Id="rId148" Type="http://schemas.openxmlformats.org/officeDocument/2006/relationships/hyperlink" Target="mailto:hreyesbasto@hotmail.com07-04-2017" TargetMode="External"/><Relationship Id="rId169" Type="http://schemas.openxmlformats.org/officeDocument/2006/relationships/hyperlink" Target="mailto:fredy.ortiz@unp.gov.co01-02-2018" TargetMode="External"/><Relationship Id="rId4" Type="http://schemas.openxmlformats.org/officeDocument/2006/relationships/hyperlink" Target="file:///\\trinity\AppData\Local\Microsoft\Windows\Temporary%20Internet%20Files\Roaming\Microsoft\EXT%20Archivos%20PDF\EXT15-00004085%20Luis%20Alfredo%20L&#243;pez%20D&#237;az.pdf" TargetMode="External"/><Relationship Id="rId180" Type="http://schemas.openxmlformats.org/officeDocument/2006/relationships/hyperlink" Target="mailto:yezid.cancelado@unp.gov.co07-04-2017" TargetMode="External"/><Relationship Id="rId215" Type="http://schemas.openxmlformats.org/officeDocument/2006/relationships/hyperlink" Target="mailto:vicky.ortiz@unp.gov.co02-02-2018" TargetMode="External"/><Relationship Id="rId236" Type="http://schemas.openxmlformats.org/officeDocument/2006/relationships/hyperlink" Target="mailto:yinsor.sanchez@unp.gov.co15/06/18" TargetMode="External"/><Relationship Id="rId257" Type="http://schemas.openxmlformats.org/officeDocument/2006/relationships/hyperlink" Target="mailto:joaljipa@yahoo.es15-05-2019" TargetMode="External"/><Relationship Id="rId42" Type="http://schemas.openxmlformats.org/officeDocument/2006/relationships/hyperlink" Target="mailto:ABOGADOS_OCAMPOGONZALEZ@HOTMAIL.COM" TargetMode="External"/><Relationship Id="rId84" Type="http://schemas.openxmlformats.org/officeDocument/2006/relationships/hyperlink" Target="mailto:GUSANFER1@HOTMAIL.COM03/05/18" TargetMode="External"/><Relationship Id="rId138" Type="http://schemas.openxmlformats.org/officeDocument/2006/relationships/hyperlink" Target="mailto:fabio.guataquira@unp.gov.co02-11-2017" TargetMode="External"/><Relationship Id="rId191" Type="http://schemas.openxmlformats.org/officeDocument/2006/relationships/hyperlink" Target="mailto:exever.alvarado@unp.gov.co%2015/06/18" TargetMode="External"/><Relationship Id="rId205" Type="http://schemas.openxmlformats.org/officeDocument/2006/relationships/hyperlink" Target="mailto:leon.giraldo@unp.gov.co01-02-2018" TargetMode="External"/><Relationship Id="rId247" Type="http://schemas.openxmlformats.org/officeDocument/2006/relationships/hyperlink" Target="mailto:haidy@giraldoabogados.net30/01/18" TargetMode="External"/><Relationship Id="rId107" Type="http://schemas.openxmlformats.org/officeDocument/2006/relationships/hyperlink" Target="mailto:erika.acosta@unp.gov.co17-07-2018" TargetMode="External"/><Relationship Id="rId11" Type="http://schemas.openxmlformats.org/officeDocument/2006/relationships/hyperlink" Target="mailto:suasesorlegal01@hahoo.com03/02/18" TargetMode="External"/><Relationship Id="rId53" Type="http://schemas.openxmlformats.org/officeDocument/2006/relationships/hyperlink" Target="mailto:DIANAONOFRE@HOTMAIL.COM29/01/18" TargetMode="External"/><Relationship Id="rId149" Type="http://schemas.openxmlformats.org/officeDocument/2006/relationships/hyperlink" Target="mailto:arturoserrano29@hotmail.com07-04-2017"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file:///\\trinity\AppData\Local\Microsoft\Windows\Temporary%20Internet%20Files\Roaming\Microsoft\EXT%20Archivos%20PDF\EXT15-00004085%20Luis%20Alfredo%20L&#243;pez%20D&#237;az.pdf"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444942-E9B8-478C-9E83-A28C83FED175}">
  <dimension ref="A1:UI1026"/>
  <sheetViews>
    <sheetView tabSelected="1" topLeftCell="X1" zoomScale="64" zoomScaleNormal="64" workbookViewId="0">
      <pane ySplit="4" topLeftCell="A812" activePane="bottomLeft" state="frozen"/>
      <selection activeCell="AO4" sqref="AO4"/>
      <selection pane="bottomLeft" activeCell="AL816" sqref="AL816"/>
    </sheetView>
  </sheetViews>
  <sheetFormatPr baseColWidth="10" defaultRowHeight="16.5"/>
  <cols>
    <col min="1" max="1" width="9" customWidth="1"/>
    <col min="2" max="2" width="29.85546875" customWidth="1"/>
    <col min="3" max="3" width="10.85546875" customWidth="1"/>
    <col min="4" max="4" width="15.7109375" customWidth="1"/>
    <col min="5" max="6" width="11.42578125" customWidth="1"/>
    <col min="7" max="7" width="13.140625" customWidth="1"/>
    <col min="8" max="8" width="16.28515625" customWidth="1"/>
    <col min="9" max="9" width="17.28515625" style="371" customWidth="1"/>
    <col min="10" max="11" width="11.42578125" customWidth="1"/>
    <col min="12" max="12" width="13" customWidth="1"/>
    <col min="13" max="13" width="16.28515625" customWidth="1"/>
    <col min="14" max="14" width="16.140625" style="371" customWidth="1"/>
    <col min="15" max="15" width="11.42578125" customWidth="1"/>
    <col min="16" max="16" width="12.7109375" customWidth="1"/>
    <col min="17" max="17" width="12.5703125" customWidth="1"/>
    <col min="18" max="18" width="15.42578125" customWidth="1"/>
    <col min="19" max="19" width="22.5703125" style="371" customWidth="1"/>
    <col min="20" max="21" width="11.42578125" customWidth="1"/>
    <col min="22" max="22" width="28.42578125" customWidth="1"/>
    <col min="23" max="23" width="13.42578125" customWidth="1"/>
    <col min="24" max="24" width="18.5703125" style="371" customWidth="1"/>
    <col min="25" max="26" width="11.42578125" customWidth="1"/>
    <col min="27" max="27" width="12.85546875" customWidth="1"/>
    <col min="28" max="28" width="16.28515625" customWidth="1"/>
    <col min="29" max="29" width="13.85546875" style="371" customWidth="1"/>
    <col min="30" max="31" width="11.42578125" customWidth="1"/>
    <col min="32" max="32" width="12.5703125" customWidth="1"/>
    <col min="33" max="33" width="13.140625" customWidth="1"/>
    <col min="34" max="34" width="16.140625" style="371" customWidth="1"/>
    <col min="35" max="35" width="11.42578125" customWidth="1"/>
    <col min="36" max="36" width="13.7109375" customWidth="1"/>
    <col min="37" max="37" width="13.140625" customWidth="1"/>
    <col min="38" max="38" width="14.140625" customWidth="1"/>
    <col min="39" max="39" width="15.7109375" style="371" customWidth="1"/>
    <col min="40" max="40" width="19.7109375" customWidth="1"/>
    <col min="41" max="41" width="12" style="486" customWidth="1"/>
    <col min="42" max="42" width="11.42578125" customWidth="1"/>
    <col min="43" max="43" width="22.85546875" customWidth="1"/>
    <col min="44" max="44" width="13.42578125" customWidth="1"/>
    <col min="45" max="46" width="11.42578125" customWidth="1"/>
    <col min="47" max="48" width="26.28515625" customWidth="1"/>
    <col min="49" max="49" width="15" customWidth="1"/>
    <col min="50" max="50" width="21.28515625" customWidth="1"/>
    <col min="51" max="51" width="11.42578125" customWidth="1"/>
    <col min="52" max="52" width="17.28515625" customWidth="1"/>
    <col min="53" max="53" width="11.42578125" customWidth="1"/>
    <col min="54" max="54" width="11.42578125" style="685" customWidth="1"/>
    <col min="55" max="55" width="15.85546875" customWidth="1"/>
    <col min="56" max="56" width="13" customWidth="1"/>
    <col min="57" max="57" width="22.7109375" customWidth="1"/>
    <col min="58" max="58" width="32.85546875" customWidth="1"/>
    <col min="59" max="59" width="17.28515625" customWidth="1"/>
    <col min="60" max="60" width="11.7109375" customWidth="1"/>
    <col min="61" max="61" width="19.5703125" customWidth="1"/>
    <col min="62" max="63" width="12.7109375" customWidth="1"/>
    <col min="64" max="64" width="13.85546875" customWidth="1"/>
    <col min="65" max="65" width="12" customWidth="1"/>
    <col min="66" max="66" width="9.85546875" customWidth="1"/>
    <col min="67" max="67" width="34.28515625" style="451" customWidth="1"/>
    <col min="68" max="68" width="17.42578125" style="393" customWidth="1"/>
    <col min="69" max="69" width="35.5703125" customWidth="1"/>
    <col min="70" max="70" width="24.85546875" customWidth="1"/>
    <col min="71" max="71" width="22.42578125" customWidth="1"/>
    <col min="72" max="72" width="20.5703125" customWidth="1"/>
    <col min="73" max="73" width="21" customWidth="1"/>
    <col min="74" max="74" width="12.140625" customWidth="1"/>
    <col min="75" max="75" width="12.85546875" customWidth="1"/>
    <col min="76" max="76" width="13" customWidth="1"/>
    <col min="77" max="78" width="11.42578125" customWidth="1"/>
    <col min="79" max="555" width="11.42578125" style="1"/>
  </cols>
  <sheetData>
    <row r="1" spans="1:555" ht="40.5" customHeight="1">
      <c r="A1" s="982"/>
      <c r="B1" s="982"/>
      <c r="C1" s="982"/>
      <c r="D1" s="983" t="s">
        <v>7346</v>
      </c>
      <c r="E1" s="984"/>
      <c r="F1" s="984"/>
      <c r="G1" s="984"/>
      <c r="H1" s="984"/>
      <c r="I1" s="984"/>
      <c r="J1" s="984"/>
      <c r="K1" s="984"/>
      <c r="L1" s="984"/>
      <c r="M1" s="984"/>
      <c r="N1" s="984"/>
      <c r="O1" s="984"/>
      <c r="P1" s="984"/>
      <c r="Q1" s="984"/>
      <c r="R1" s="984"/>
      <c r="S1" s="984"/>
      <c r="T1" s="984"/>
      <c r="U1" s="984"/>
      <c r="V1" s="984"/>
      <c r="W1" s="984"/>
      <c r="X1" s="984"/>
      <c r="Y1" s="984"/>
      <c r="Z1" s="984"/>
      <c r="AA1" s="984"/>
      <c r="AB1" s="984"/>
      <c r="AC1" s="984"/>
      <c r="AD1" s="984"/>
      <c r="AE1" s="984"/>
      <c r="AF1" s="984"/>
      <c r="AG1" s="984"/>
      <c r="AH1" s="984"/>
      <c r="AI1" s="984"/>
      <c r="AJ1" s="984"/>
      <c r="AK1" s="984"/>
      <c r="AL1" s="984"/>
      <c r="AM1" s="984"/>
      <c r="AN1" s="984"/>
      <c r="AO1" s="985"/>
      <c r="AP1" s="984"/>
      <c r="AQ1" s="984"/>
      <c r="AR1" s="984"/>
      <c r="AS1" s="984"/>
      <c r="AT1" s="984"/>
      <c r="AU1" s="984"/>
      <c r="AV1" s="984"/>
      <c r="AW1" s="984"/>
      <c r="AX1" s="984"/>
      <c r="AY1" s="984"/>
      <c r="AZ1" s="984"/>
      <c r="BA1" s="984"/>
      <c r="BB1" s="986"/>
      <c r="BC1" s="984"/>
      <c r="BD1" s="984"/>
      <c r="BE1" s="984"/>
      <c r="BF1" s="984"/>
      <c r="BG1" s="984"/>
      <c r="BH1" s="984"/>
      <c r="BI1" s="984"/>
      <c r="BJ1" s="984"/>
      <c r="BK1" s="984"/>
      <c r="BL1" s="984"/>
      <c r="BM1" s="984"/>
      <c r="BN1" s="984"/>
      <c r="BO1" s="984"/>
      <c r="BP1" s="984"/>
      <c r="BQ1" s="984"/>
      <c r="BR1" s="984"/>
      <c r="BS1" s="984"/>
      <c r="BT1" s="984"/>
      <c r="BU1" s="984"/>
      <c r="BV1" s="984"/>
      <c r="BW1" s="984"/>
      <c r="BX1" s="982"/>
      <c r="BY1" s="982"/>
      <c r="BZ1" s="982"/>
    </row>
    <row r="2" spans="1:555" ht="45.75" customHeight="1">
      <c r="A2" s="982"/>
      <c r="B2" s="982"/>
      <c r="C2" s="982"/>
      <c r="D2" s="983" t="s">
        <v>0</v>
      </c>
      <c r="E2" s="983"/>
      <c r="F2" s="983"/>
      <c r="G2" s="983"/>
      <c r="H2" s="983"/>
      <c r="I2" s="983"/>
      <c r="J2" s="983"/>
      <c r="K2" s="983"/>
      <c r="L2" s="983"/>
      <c r="M2" s="983"/>
      <c r="N2" s="983"/>
      <c r="O2" s="983"/>
      <c r="P2" s="983"/>
      <c r="Q2" s="983"/>
      <c r="R2" s="983"/>
      <c r="S2" s="983"/>
      <c r="T2" s="983"/>
      <c r="U2" s="983"/>
      <c r="V2" s="983"/>
      <c r="W2" s="983"/>
      <c r="X2" s="983"/>
      <c r="Y2" s="983"/>
      <c r="Z2" s="983"/>
      <c r="AA2" s="983"/>
      <c r="AB2" s="983"/>
      <c r="AC2" s="983"/>
      <c r="AD2" s="983"/>
      <c r="AE2" s="983"/>
      <c r="AF2" s="983"/>
      <c r="AG2" s="983"/>
      <c r="AH2" s="983"/>
      <c r="AI2" s="983"/>
      <c r="AJ2" s="983"/>
      <c r="AK2" s="983"/>
      <c r="AL2" s="983"/>
      <c r="AM2" s="983"/>
      <c r="AN2" s="983"/>
      <c r="AO2" s="983"/>
      <c r="AP2" s="983"/>
      <c r="AQ2" s="983"/>
      <c r="AR2" s="983"/>
      <c r="AS2" s="983"/>
      <c r="AT2" s="983"/>
      <c r="AU2" s="983"/>
      <c r="AV2" s="983"/>
      <c r="AW2" s="983"/>
      <c r="AX2" s="983"/>
      <c r="AY2" s="983"/>
      <c r="AZ2" s="983"/>
      <c r="BA2" s="983"/>
      <c r="BB2" s="983"/>
      <c r="BC2" s="983"/>
      <c r="BD2" s="983"/>
      <c r="BE2" s="983"/>
      <c r="BF2" s="983"/>
      <c r="BG2" s="983"/>
      <c r="BH2" s="983"/>
      <c r="BI2" s="983"/>
      <c r="BJ2" s="983"/>
      <c r="BK2" s="983"/>
      <c r="BL2" s="983"/>
      <c r="BM2" s="983"/>
      <c r="BN2" s="983"/>
      <c r="BO2" s="983"/>
      <c r="BP2" s="983"/>
      <c r="BQ2" s="983"/>
      <c r="BR2" s="983"/>
      <c r="BS2" s="983"/>
      <c r="BT2" s="983"/>
      <c r="BU2" s="983"/>
      <c r="BV2" s="983"/>
      <c r="BW2" s="983"/>
      <c r="BX2" s="982"/>
      <c r="BY2" s="982"/>
      <c r="BZ2" s="982"/>
    </row>
    <row r="3" spans="1:555" ht="54.75" customHeight="1">
      <c r="A3" s="982"/>
      <c r="B3" s="982"/>
      <c r="C3" s="982"/>
      <c r="D3" s="987" t="s">
        <v>1</v>
      </c>
      <c r="E3" s="988"/>
      <c r="F3" s="988"/>
      <c r="G3" s="988"/>
      <c r="H3" s="988"/>
      <c r="I3" s="988"/>
      <c r="J3" s="988"/>
      <c r="K3" s="988"/>
      <c r="L3" s="988"/>
      <c r="M3" s="988"/>
      <c r="N3" s="988"/>
      <c r="O3" s="988"/>
      <c r="P3" s="988"/>
      <c r="Q3" s="988"/>
      <c r="R3" s="988"/>
      <c r="S3" s="988"/>
      <c r="T3" s="988"/>
      <c r="U3" s="988"/>
      <c r="V3" s="988"/>
      <c r="W3" s="988"/>
      <c r="X3" s="988"/>
      <c r="Y3" s="988"/>
      <c r="Z3" s="988"/>
      <c r="AA3" s="988"/>
      <c r="AB3" s="988"/>
      <c r="AC3" s="988"/>
      <c r="AD3" s="988"/>
      <c r="AE3" s="988"/>
      <c r="AF3" s="988"/>
      <c r="AG3" s="988"/>
      <c r="AH3" s="988"/>
      <c r="AI3" s="988"/>
      <c r="AJ3" s="988"/>
      <c r="AK3" s="988"/>
      <c r="AL3" s="988"/>
      <c r="AM3" s="988"/>
      <c r="AN3" s="988"/>
      <c r="AO3" s="988"/>
      <c r="AP3" s="988"/>
      <c r="AQ3" s="988"/>
      <c r="AR3" s="988"/>
      <c r="AS3" s="988"/>
      <c r="AT3" s="988"/>
      <c r="AU3" s="988"/>
      <c r="AV3" s="988"/>
      <c r="AW3" s="988"/>
      <c r="AX3" s="988"/>
      <c r="AY3" s="988"/>
      <c r="AZ3" s="988"/>
      <c r="BA3" s="988"/>
      <c r="BB3" s="988"/>
      <c r="BC3" s="988"/>
      <c r="BD3" s="988"/>
      <c r="BE3" s="988"/>
      <c r="BF3" s="988"/>
      <c r="BG3" s="988"/>
      <c r="BH3" s="988"/>
      <c r="BI3" s="988"/>
      <c r="BJ3" s="988"/>
      <c r="BK3" s="988"/>
      <c r="BL3" s="988"/>
      <c r="BM3" s="988"/>
      <c r="BN3" s="988"/>
      <c r="BO3" s="988"/>
      <c r="BP3" s="988"/>
      <c r="BQ3" s="988"/>
      <c r="BR3" s="988"/>
      <c r="BS3" s="988"/>
      <c r="BT3" s="988"/>
      <c r="BU3" s="988"/>
      <c r="BV3" s="988"/>
      <c r="BW3" s="988"/>
      <c r="BX3" s="982"/>
      <c r="BY3" s="982"/>
      <c r="BZ3" s="982"/>
    </row>
    <row r="4" spans="1:555" ht="90" customHeight="1">
      <c r="A4" s="2" t="s">
        <v>2</v>
      </c>
      <c r="B4" s="2" t="s">
        <v>3</v>
      </c>
      <c r="C4" s="3" t="s">
        <v>4</v>
      </c>
      <c r="D4" s="4" t="s">
        <v>5</v>
      </c>
      <c r="E4" s="5" t="s">
        <v>6</v>
      </c>
      <c r="F4" s="6" t="s">
        <v>7</v>
      </c>
      <c r="G4" s="7" t="s">
        <v>8</v>
      </c>
      <c r="H4" s="2" t="s">
        <v>9</v>
      </c>
      <c r="I4" s="2" t="s">
        <v>10</v>
      </c>
      <c r="J4" s="5" t="s">
        <v>11</v>
      </c>
      <c r="K4" s="6" t="s">
        <v>12</v>
      </c>
      <c r="L4" s="7" t="s">
        <v>13</v>
      </c>
      <c r="M4" s="2" t="s">
        <v>9</v>
      </c>
      <c r="N4" s="2" t="s">
        <v>10</v>
      </c>
      <c r="O4" s="5" t="s">
        <v>14</v>
      </c>
      <c r="P4" s="6" t="s">
        <v>15</v>
      </c>
      <c r="Q4" s="7" t="s">
        <v>16</v>
      </c>
      <c r="R4" s="2" t="s">
        <v>9</v>
      </c>
      <c r="S4" s="2" t="s">
        <v>10</v>
      </c>
      <c r="T4" s="5" t="s">
        <v>17</v>
      </c>
      <c r="U4" s="6" t="s">
        <v>18</v>
      </c>
      <c r="V4" s="7" t="s">
        <v>19</v>
      </c>
      <c r="W4" s="2" t="s">
        <v>9</v>
      </c>
      <c r="X4" s="2" t="s">
        <v>10</v>
      </c>
      <c r="Y4" s="5" t="s">
        <v>20</v>
      </c>
      <c r="Z4" s="6" t="s">
        <v>21</v>
      </c>
      <c r="AA4" s="7" t="s">
        <v>22</v>
      </c>
      <c r="AB4" s="2" t="s">
        <v>9</v>
      </c>
      <c r="AC4" s="2" t="s">
        <v>10</v>
      </c>
      <c r="AD4" s="5" t="s">
        <v>23</v>
      </c>
      <c r="AE4" s="6" t="s">
        <v>24</v>
      </c>
      <c r="AF4" s="7" t="s">
        <v>25</v>
      </c>
      <c r="AG4" s="2" t="s">
        <v>9</v>
      </c>
      <c r="AH4" s="2" t="s">
        <v>10</v>
      </c>
      <c r="AI4" s="5" t="s">
        <v>26</v>
      </c>
      <c r="AJ4" s="6" t="s">
        <v>27</v>
      </c>
      <c r="AK4" s="7" t="s">
        <v>28</v>
      </c>
      <c r="AL4" s="2" t="s">
        <v>9</v>
      </c>
      <c r="AM4" s="2" t="s">
        <v>10</v>
      </c>
      <c r="AN4" s="2" t="s">
        <v>29</v>
      </c>
      <c r="AO4" s="472" t="s">
        <v>7945</v>
      </c>
      <c r="AP4" s="8" t="s">
        <v>30</v>
      </c>
      <c r="AQ4" s="7" t="s">
        <v>31</v>
      </c>
      <c r="AR4" s="2" t="s">
        <v>32</v>
      </c>
      <c r="AS4" s="5" t="s">
        <v>33</v>
      </c>
      <c r="AT4" s="5" t="s">
        <v>34</v>
      </c>
      <c r="AU4" s="2" t="s">
        <v>35</v>
      </c>
      <c r="AV4" s="2" t="s">
        <v>10371</v>
      </c>
      <c r="AW4" s="2" t="s">
        <v>36</v>
      </c>
      <c r="AX4" s="2" t="s">
        <v>37</v>
      </c>
      <c r="AY4" s="5" t="s">
        <v>38</v>
      </c>
      <c r="AZ4" s="2" t="s">
        <v>39</v>
      </c>
      <c r="BA4" s="5" t="s">
        <v>40</v>
      </c>
      <c r="BB4" s="677" t="s">
        <v>41</v>
      </c>
      <c r="BC4" s="2" t="s">
        <v>42</v>
      </c>
      <c r="BD4" s="2" t="s">
        <v>43</v>
      </c>
      <c r="BE4" s="2" t="s">
        <v>44</v>
      </c>
      <c r="BF4" s="7" t="s">
        <v>45</v>
      </c>
      <c r="BG4" s="7" t="s">
        <v>46</v>
      </c>
      <c r="BH4" s="7" t="s">
        <v>47</v>
      </c>
      <c r="BI4" s="7" t="s">
        <v>48</v>
      </c>
      <c r="BJ4" s="9" t="s">
        <v>49</v>
      </c>
      <c r="BK4" s="9" t="s">
        <v>50</v>
      </c>
      <c r="BL4" s="580" t="s">
        <v>7589</v>
      </c>
      <c r="BM4" s="5" t="s">
        <v>51</v>
      </c>
      <c r="BN4" s="6" t="s">
        <v>52</v>
      </c>
      <c r="BO4" s="11" t="s">
        <v>53</v>
      </c>
      <c r="BP4" s="389" t="s">
        <v>7446</v>
      </c>
      <c r="BQ4" s="11" t="s">
        <v>7590</v>
      </c>
      <c r="BR4" s="11" t="s">
        <v>35</v>
      </c>
      <c r="BS4" s="7" t="s">
        <v>54</v>
      </c>
      <c r="BT4" s="12" t="s">
        <v>55</v>
      </c>
      <c r="BU4" s="12" t="s">
        <v>56</v>
      </c>
      <c r="BV4" s="7" t="s">
        <v>7588</v>
      </c>
      <c r="BW4" s="13" t="s">
        <v>57</v>
      </c>
      <c r="BX4" s="10" t="s">
        <v>7589</v>
      </c>
      <c r="BY4" s="5" t="s">
        <v>51</v>
      </c>
      <c r="BZ4" s="6" t="s">
        <v>52</v>
      </c>
    </row>
    <row r="5" spans="1:555" ht="67.5" customHeight="1">
      <c r="A5" s="296">
        <v>1</v>
      </c>
      <c r="B5" s="297" t="s">
        <v>7560</v>
      </c>
      <c r="C5" s="298" t="s">
        <v>60</v>
      </c>
      <c r="D5" s="354" t="s">
        <v>61</v>
      </c>
      <c r="E5" s="299">
        <v>41677</v>
      </c>
      <c r="F5" s="300">
        <v>41671</v>
      </c>
      <c r="G5" s="301" t="s">
        <v>62</v>
      </c>
      <c r="H5" s="297" t="s">
        <v>63</v>
      </c>
      <c r="I5" s="297" t="s">
        <v>64</v>
      </c>
      <c r="J5" s="299"/>
      <c r="K5" s="300"/>
      <c r="L5" s="301"/>
      <c r="M5" s="297"/>
      <c r="N5" s="297"/>
      <c r="O5" s="299"/>
      <c r="P5" s="302"/>
      <c r="Q5" s="301"/>
      <c r="R5" s="297"/>
      <c r="S5" s="297"/>
      <c r="T5" s="299"/>
      <c r="U5" s="300"/>
      <c r="V5" s="301"/>
      <c r="W5" s="297"/>
      <c r="X5" s="297"/>
      <c r="Y5" s="299"/>
      <c r="Z5" s="300"/>
      <c r="AA5" s="301"/>
      <c r="AB5" s="297"/>
      <c r="AC5" s="297"/>
      <c r="AD5" s="299"/>
      <c r="AE5" s="300"/>
      <c r="AF5" s="301"/>
      <c r="AG5" s="303"/>
      <c r="AH5" s="297"/>
      <c r="AI5" s="304"/>
      <c r="AJ5" s="300"/>
      <c r="AK5" s="301"/>
      <c r="AL5" s="297"/>
      <c r="AM5" s="297"/>
      <c r="AN5" s="297"/>
      <c r="AO5" s="473"/>
      <c r="AP5" s="297"/>
      <c r="AQ5" s="301" t="s">
        <v>65</v>
      </c>
      <c r="AR5" s="297" t="s">
        <v>66</v>
      </c>
      <c r="AS5" s="299" t="s">
        <v>67</v>
      </c>
      <c r="AT5" s="299" t="s">
        <v>67</v>
      </c>
      <c r="AU5" s="297" t="s">
        <v>68</v>
      </c>
      <c r="AV5" s="297"/>
      <c r="AW5" s="297" t="s">
        <v>69</v>
      </c>
      <c r="AX5" s="297" t="s">
        <v>8181</v>
      </c>
      <c r="AY5" s="299">
        <v>41613</v>
      </c>
      <c r="AZ5" s="297" t="s">
        <v>70</v>
      </c>
      <c r="BA5" s="299">
        <v>41624</v>
      </c>
      <c r="BB5" s="678">
        <v>41626</v>
      </c>
      <c r="BC5" s="303" t="s">
        <v>71</v>
      </c>
      <c r="BD5" s="303" t="s">
        <v>6447</v>
      </c>
      <c r="BE5" s="297"/>
      <c r="BF5" s="301"/>
      <c r="BG5" s="301" t="s">
        <v>72</v>
      </c>
      <c r="BH5" s="301" t="s">
        <v>73</v>
      </c>
      <c r="BI5" s="301" t="s">
        <v>74</v>
      </c>
      <c r="BJ5" s="306">
        <f>+'[1]LIQUIDACIÓN NUCCI'!$H$112</f>
        <v>71617016</v>
      </c>
      <c r="BK5" s="306">
        <v>71617016</v>
      </c>
      <c r="BL5" s="307">
        <v>364416215</v>
      </c>
      <c r="BM5" s="305">
        <v>42349</v>
      </c>
      <c r="BN5" s="300" t="s">
        <v>75</v>
      </c>
      <c r="BO5" s="394"/>
      <c r="BP5" s="390"/>
      <c r="BQ5" s="297"/>
      <c r="BR5" s="303"/>
      <c r="BS5" s="308"/>
      <c r="BT5" s="308"/>
      <c r="BU5" s="308"/>
      <c r="BV5" s="308"/>
      <c r="BW5" s="309"/>
      <c r="BX5" s="310"/>
      <c r="BY5" s="305"/>
      <c r="BZ5" s="311"/>
    </row>
    <row r="6" spans="1:555" ht="90.75" customHeight="1">
      <c r="A6" s="296">
        <v>2</v>
      </c>
      <c r="B6" s="297" t="s">
        <v>76</v>
      </c>
      <c r="C6" s="298">
        <v>93393124</v>
      </c>
      <c r="D6" s="354" t="s">
        <v>77</v>
      </c>
      <c r="E6" s="299">
        <v>42069</v>
      </c>
      <c r="F6" s="300">
        <v>42064</v>
      </c>
      <c r="G6" s="301" t="s">
        <v>78</v>
      </c>
      <c r="H6" s="297" t="s">
        <v>5</v>
      </c>
      <c r="I6" s="297" t="s">
        <v>79</v>
      </c>
      <c r="J6" s="299">
        <v>43245</v>
      </c>
      <c r="K6" s="300">
        <v>43191</v>
      </c>
      <c r="L6" s="301" t="s">
        <v>80</v>
      </c>
      <c r="M6" s="297" t="s">
        <v>63</v>
      </c>
      <c r="N6" s="297" t="s">
        <v>81</v>
      </c>
      <c r="O6" s="305">
        <v>43291</v>
      </c>
      <c r="P6" s="302">
        <v>43291</v>
      </c>
      <c r="Q6" s="315" t="s">
        <v>82</v>
      </c>
      <c r="R6" s="297" t="s">
        <v>5</v>
      </c>
      <c r="S6" s="315" t="s">
        <v>83</v>
      </c>
      <c r="T6" s="305">
        <v>43293</v>
      </c>
      <c r="U6" s="300">
        <v>43293</v>
      </c>
      <c r="V6" s="315" t="s">
        <v>84</v>
      </c>
      <c r="W6" s="315" t="s">
        <v>63</v>
      </c>
      <c r="X6" s="315" t="s">
        <v>85</v>
      </c>
      <c r="Y6" s="299">
        <v>43363</v>
      </c>
      <c r="Z6" s="300">
        <v>43363</v>
      </c>
      <c r="AA6" s="315" t="s">
        <v>86</v>
      </c>
      <c r="AB6" s="297" t="s">
        <v>63</v>
      </c>
      <c r="AC6" s="315" t="s">
        <v>87</v>
      </c>
      <c r="AD6" s="299">
        <v>43447</v>
      </c>
      <c r="AE6" s="300">
        <v>43447</v>
      </c>
      <c r="AF6" s="301" t="s">
        <v>7972</v>
      </c>
      <c r="AG6" s="297" t="s">
        <v>63</v>
      </c>
      <c r="AH6" s="297" t="s">
        <v>107</v>
      </c>
      <c r="AI6" s="299" t="s">
        <v>8399</v>
      </c>
      <c r="AJ6" s="300" t="s">
        <v>8400</v>
      </c>
      <c r="AK6" s="301" t="s">
        <v>8494</v>
      </c>
      <c r="AL6" s="297" t="s">
        <v>555</v>
      </c>
      <c r="AM6" s="315" t="s">
        <v>8495</v>
      </c>
      <c r="AN6" s="297" t="s">
        <v>88</v>
      </c>
      <c r="AO6" s="479">
        <v>41803</v>
      </c>
      <c r="AP6" s="297"/>
      <c r="AQ6" s="301" t="s">
        <v>89</v>
      </c>
      <c r="AR6" s="297" t="s">
        <v>90</v>
      </c>
      <c r="AS6" s="319" t="s">
        <v>91</v>
      </c>
      <c r="AT6" s="319">
        <v>39794</v>
      </c>
      <c r="AU6" s="297" t="s">
        <v>8015</v>
      </c>
      <c r="AV6" s="297"/>
      <c r="AW6" s="297" t="s">
        <v>92</v>
      </c>
      <c r="AX6" s="297" t="s">
        <v>93</v>
      </c>
      <c r="AY6" s="299">
        <v>41026</v>
      </c>
      <c r="AZ6" s="297" t="s">
        <v>94</v>
      </c>
      <c r="BA6" s="299">
        <v>41509</v>
      </c>
      <c r="BB6" s="382">
        <v>41528</v>
      </c>
      <c r="BC6" s="297" t="s">
        <v>95</v>
      </c>
      <c r="BD6" s="297" t="s">
        <v>8104</v>
      </c>
      <c r="BE6" s="297"/>
      <c r="BF6" s="301" t="s">
        <v>8221</v>
      </c>
      <c r="BG6" s="297" t="s">
        <v>96</v>
      </c>
      <c r="BH6" s="297" t="s">
        <v>8454</v>
      </c>
      <c r="BI6" s="301" t="s">
        <v>97</v>
      </c>
      <c r="BJ6" s="312" t="e">
        <f>+#REF!</f>
        <v>#REF!</v>
      </c>
      <c r="BK6" s="312" t="s">
        <v>8455</v>
      </c>
      <c r="BL6" s="313" t="s">
        <v>8537</v>
      </c>
      <c r="BM6" s="299" t="s">
        <v>8538</v>
      </c>
      <c r="BN6" s="314" t="s">
        <v>8539</v>
      </c>
      <c r="BO6" s="531" t="s">
        <v>8574</v>
      </c>
      <c r="BP6" s="390"/>
      <c r="BQ6" s="297"/>
      <c r="BR6" s="303"/>
      <c r="BS6" s="308"/>
      <c r="BT6" s="308"/>
      <c r="BU6" s="308"/>
      <c r="BV6" s="308"/>
      <c r="BW6" s="309"/>
      <c r="BX6" s="310"/>
      <c r="BY6" s="305"/>
      <c r="BZ6" s="311"/>
    </row>
    <row r="7" spans="1:555" ht="70.5" customHeight="1">
      <c r="A7" s="296">
        <v>3</v>
      </c>
      <c r="B7" s="297" t="s">
        <v>98</v>
      </c>
      <c r="C7" s="298">
        <v>72255571</v>
      </c>
      <c r="D7" s="354" t="s">
        <v>99</v>
      </c>
      <c r="E7" s="299">
        <v>41845</v>
      </c>
      <c r="F7" s="300">
        <v>41821</v>
      </c>
      <c r="G7" s="301" t="s">
        <v>100</v>
      </c>
      <c r="H7" s="297" t="s">
        <v>63</v>
      </c>
      <c r="I7" s="297" t="s">
        <v>101</v>
      </c>
      <c r="J7" s="299">
        <v>41975</v>
      </c>
      <c r="K7" s="300">
        <v>41975</v>
      </c>
      <c r="L7" s="301" t="s">
        <v>102</v>
      </c>
      <c r="M7" s="297" t="s">
        <v>103</v>
      </c>
      <c r="N7" s="297" t="s">
        <v>104</v>
      </c>
      <c r="O7" s="299">
        <v>41992</v>
      </c>
      <c r="P7" s="302">
        <v>41992</v>
      </c>
      <c r="Q7" s="301" t="s">
        <v>105</v>
      </c>
      <c r="R7" s="297" t="s">
        <v>5</v>
      </c>
      <c r="S7" s="297" t="s">
        <v>85</v>
      </c>
      <c r="T7" s="299">
        <v>42067</v>
      </c>
      <c r="U7" s="300">
        <v>42067</v>
      </c>
      <c r="V7" s="301" t="s">
        <v>106</v>
      </c>
      <c r="W7" s="297" t="s">
        <v>5</v>
      </c>
      <c r="X7" s="297" t="s">
        <v>107</v>
      </c>
      <c r="Y7" s="299">
        <v>42228</v>
      </c>
      <c r="Z7" s="300">
        <v>42228</v>
      </c>
      <c r="AA7" s="301" t="s">
        <v>108</v>
      </c>
      <c r="AB7" s="297" t="s">
        <v>103</v>
      </c>
      <c r="AC7" s="297" t="s">
        <v>104</v>
      </c>
      <c r="AD7" s="299"/>
      <c r="AE7" s="300"/>
      <c r="AF7" s="301"/>
      <c r="AG7" s="297"/>
      <c r="AH7" s="297"/>
      <c r="AI7" s="304"/>
      <c r="AJ7" s="300"/>
      <c r="AK7" s="301"/>
      <c r="AL7" s="297"/>
      <c r="AM7" s="297"/>
      <c r="AN7" s="297"/>
      <c r="AO7" s="473"/>
      <c r="AP7" s="297"/>
      <c r="AQ7" s="301" t="s">
        <v>109</v>
      </c>
      <c r="AR7" s="297" t="s">
        <v>66</v>
      </c>
      <c r="AS7" s="299">
        <v>38777</v>
      </c>
      <c r="AT7" s="299">
        <v>40786</v>
      </c>
      <c r="AU7" s="297" t="s">
        <v>110</v>
      </c>
      <c r="AV7" s="297"/>
      <c r="AW7" s="297" t="s">
        <v>69</v>
      </c>
      <c r="AX7" s="297" t="s">
        <v>111</v>
      </c>
      <c r="AY7" s="299">
        <v>41578</v>
      </c>
      <c r="AZ7" s="297" t="s">
        <v>112</v>
      </c>
      <c r="BA7" s="299">
        <v>41739</v>
      </c>
      <c r="BB7" s="382">
        <v>41758</v>
      </c>
      <c r="BC7" s="297" t="s">
        <v>95</v>
      </c>
      <c r="BD7" s="297" t="s">
        <v>566</v>
      </c>
      <c r="BE7" s="297"/>
      <c r="BF7" s="301" t="s">
        <v>113</v>
      </c>
      <c r="BG7" s="301" t="s">
        <v>114</v>
      </c>
      <c r="BH7" s="301" t="s">
        <v>115</v>
      </c>
      <c r="BI7" s="301" t="s">
        <v>116</v>
      </c>
      <c r="BJ7" s="312">
        <v>87366660</v>
      </c>
      <c r="BK7" s="312">
        <v>87366660</v>
      </c>
      <c r="BL7" s="313">
        <v>243855015</v>
      </c>
      <c r="BM7" s="299">
        <v>42249</v>
      </c>
      <c r="BN7" s="314">
        <v>42248</v>
      </c>
      <c r="BO7" s="394"/>
      <c r="BP7" s="390"/>
      <c r="BQ7" s="297"/>
      <c r="BR7" s="303"/>
      <c r="BS7" s="308"/>
      <c r="BT7" s="308"/>
      <c r="BU7" s="308"/>
      <c r="BV7" s="308"/>
      <c r="BW7" s="309"/>
      <c r="BX7" s="310"/>
      <c r="BY7" s="305"/>
      <c r="BZ7" s="311"/>
    </row>
    <row r="8" spans="1:555" ht="78.75" customHeight="1">
      <c r="A8" s="296">
        <v>4</v>
      </c>
      <c r="B8" s="297" t="s">
        <v>117</v>
      </c>
      <c r="C8" s="298">
        <v>14253499</v>
      </c>
      <c r="D8" s="354" t="s">
        <v>118</v>
      </c>
      <c r="E8" s="299">
        <v>41850</v>
      </c>
      <c r="F8" s="300">
        <v>41821</v>
      </c>
      <c r="G8" s="301" t="s">
        <v>119</v>
      </c>
      <c r="H8" s="297" t="s">
        <v>5</v>
      </c>
      <c r="I8" s="297" t="s">
        <v>101</v>
      </c>
      <c r="J8" s="299">
        <v>43291</v>
      </c>
      <c r="K8" s="300">
        <v>43291</v>
      </c>
      <c r="L8" s="304" t="s">
        <v>120</v>
      </c>
      <c r="M8" s="304" t="s">
        <v>63</v>
      </c>
      <c r="N8" s="304" t="s">
        <v>121</v>
      </c>
      <c r="O8" s="299">
        <v>43363</v>
      </c>
      <c r="P8" s="302">
        <v>43363</v>
      </c>
      <c r="Q8" s="315" t="s">
        <v>122</v>
      </c>
      <c r="R8" s="297" t="s">
        <v>63</v>
      </c>
      <c r="S8" s="297" t="s">
        <v>121</v>
      </c>
      <c r="T8" s="299"/>
      <c r="U8" s="300"/>
      <c r="V8" s="301"/>
      <c r="W8" s="297"/>
      <c r="X8" s="297"/>
      <c r="Y8" s="299"/>
      <c r="Z8" s="300"/>
      <c r="AA8" s="301"/>
      <c r="AB8" s="297"/>
      <c r="AC8" s="297"/>
      <c r="AD8" s="299"/>
      <c r="AE8" s="300"/>
      <c r="AF8" s="301"/>
      <c r="AG8" s="297"/>
      <c r="AH8" s="297"/>
      <c r="AI8" s="304"/>
      <c r="AJ8" s="300"/>
      <c r="AK8" s="301"/>
      <c r="AL8" s="297"/>
      <c r="AM8" s="297"/>
      <c r="AN8" s="297"/>
      <c r="AO8" s="479">
        <v>41850</v>
      </c>
      <c r="AP8" s="297"/>
      <c r="AQ8" s="301" t="s">
        <v>123</v>
      </c>
      <c r="AR8" s="297" t="s">
        <v>66</v>
      </c>
      <c r="AS8" s="299">
        <v>37834</v>
      </c>
      <c r="AT8" s="299">
        <v>39813</v>
      </c>
      <c r="AU8" s="297" t="s">
        <v>8013</v>
      </c>
      <c r="AV8" s="297"/>
      <c r="AW8" s="297" t="s">
        <v>92</v>
      </c>
      <c r="AX8" s="297" t="s">
        <v>124</v>
      </c>
      <c r="AY8" s="299">
        <v>41789</v>
      </c>
      <c r="AZ8" s="297" t="s">
        <v>67</v>
      </c>
      <c r="BA8" s="299" t="s">
        <v>67</v>
      </c>
      <c r="BB8" s="382">
        <v>41815</v>
      </c>
      <c r="BC8" s="297" t="s">
        <v>95</v>
      </c>
      <c r="BD8" s="297" t="s">
        <v>566</v>
      </c>
      <c r="BE8" s="297"/>
      <c r="BF8" s="301"/>
      <c r="BG8" s="297" t="s">
        <v>125</v>
      </c>
      <c r="BH8" s="301" t="s">
        <v>126</v>
      </c>
      <c r="BI8" s="301" t="s">
        <v>127</v>
      </c>
      <c r="BJ8" s="312">
        <f>+[2]MATRIZ!$N$62</f>
        <v>904971.33892954316</v>
      </c>
      <c r="BK8" s="312">
        <v>94706809</v>
      </c>
      <c r="BL8" s="313">
        <v>263107915</v>
      </c>
      <c r="BM8" s="299">
        <v>42264</v>
      </c>
      <c r="BN8" s="314">
        <v>42248</v>
      </c>
      <c r="BO8" s="394"/>
      <c r="BP8" s="390"/>
      <c r="BQ8" s="297"/>
      <c r="BR8" s="303"/>
      <c r="BS8" s="308"/>
      <c r="BT8" s="308"/>
      <c r="BU8" s="308"/>
      <c r="BV8" s="308"/>
      <c r="BW8" s="309"/>
      <c r="BX8" s="310"/>
      <c r="BY8" s="305"/>
      <c r="BZ8" s="553"/>
    </row>
    <row r="9" spans="1:555" ht="69.75" customHeight="1">
      <c r="A9" s="296">
        <v>5</v>
      </c>
      <c r="B9" s="297" t="s">
        <v>128</v>
      </c>
      <c r="C9" s="298">
        <v>91075956</v>
      </c>
      <c r="D9" s="354" t="s">
        <v>118</v>
      </c>
      <c r="E9" s="299">
        <v>41851</v>
      </c>
      <c r="F9" s="300">
        <v>41821</v>
      </c>
      <c r="G9" s="301" t="s">
        <v>129</v>
      </c>
      <c r="H9" s="297" t="s">
        <v>5</v>
      </c>
      <c r="I9" s="297" t="s">
        <v>101</v>
      </c>
      <c r="J9" s="299">
        <v>41878</v>
      </c>
      <c r="K9" s="300">
        <v>41852</v>
      </c>
      <c r="L9" s="301" t="s">
        <v>130</v>
      </c>
      <c r="M9" s="297" t="s">
        <v>5</v>
      </c>
      <c r="N9" s="297" t="s">
        <v>131</v>
      </c>
      <c r="O9" s="299">
        <v>43363</v>
      </c>
      <c r="P9" s="302">
        <v>43363</v>
      </c>
      <c r="Q9" s="301" t="s">
        <v>132</v>
      </c>
      <c r="R9" s="297" t="s">
        <v>63</v>
      </c>
      <c r="S9" s="304" t="s">
        <v>133</v>
      </c>
      <c r="T9" s="299"/>
      <c r="U9" s="300"/>
      <c r="V9" s="301"/>
      <c r="W9" s="297"/>
      <c r="X9" s="297"/>
      <c r="Y9" s="299"/>
      <c r="Z9" s="300"/>
      <c r="AA9" s="301"/>
      <c r="AB9" s="297"/>
      <c r="AC9" s="297"/>
      <c r="AD9" s="299"/>
      <c r="AE9" s="300"/>
      <c r="AF9" s="301"/>
      <c r="AG9" s="297"/>
      <c r="AH9" s="297"/>
      <c r="AI9" s="304"/>
      <c r="AJ9" s="300"/>
      <c r="AK9" s="301"/>
      <c r="AL9" s="297"/>
      <c r="AM9" s="297"/>
      <c r="AN9" s="297"/>
      <c r="AO9" s="479">
        <v>41828</v>
      </c>
      <c r="AP9" s="297"/>
      <c r="AQ9" s="301" t="s">
        <v>134</v>
      </c>
      <c r="AR9" s="297" t="s">
        <v>66</v>
      </c>
      <c r="AS9" s="299">
        <v>38538</v>
      </c>
      <c r="AT9" s="299">
        <v>40002</v>
      </c>
      <c r="AU9" s="297" t="s">
        <v>135</v>
      </c>
      <c r="AV9" s="297"/>
      <c r="AW9" s="297" t="s">
        <v>92</v>
      </c>
      <c r="AX9" s="297" t="s">
        <v>124</v>
      </c>
      <c r="AY9" s="299">
        <v>41396</v>
      </c>
      <c r="AZ9" s="297" t="s">
        <v>136</v>
      </c>
      <c r="BA9" s="299">
        <v>41768</v>
      </c>
      <c r="BB9" s="382">
        <v>41781</v>
      </c>
      <c r="BC9" s="297" t="s">
        <v>95</v>
      </c>
      <c r="BD9" s="297" t="s">
        <v>566</v>
      </c>
      <c r="BE9" s="297"/>
      <c r="BF9" s="301"/>
      <c r="BG9" s="301" t="s">
        <v>137</v>
      </c>
      <c r="BH9" s="301" t="s">
        <v>137</v>
      </c>
      <c r="BI9" s="301" t="s">
        <v>116</v>
      </c>
      <c r="BJ9" s="312">
        <v>70787535</v>
      </c>
      <c r="BK9" s="312">
        <v>70787535</v>
      </c>
      <c r="BL9" s="313">
        <v>243878015</v>
      </c>
      <c r="BM9" s="299">
        <v>42249</v>
      </c>
      <c r="BN9" s="314">
        <v>42248</v>
      </c>
      <c r="BO9" s="394"/>
      <c r="BP9" s="390"/>
      <c r="BQ9" s="297"/>
      <c r="BR9" s="303"/>
      <c r="BS9" s="308"/>
      <c r="BT9" s="308"/>
      <c r="BU9" s="308"/>
      <c r="BV9" s="308"/>
      <c r="BW9" s="309"/>
      <c r="BX9" s="310"/>
      <c r="BY9" s="305"/>
      <c r="BZ9" s="311"/>
    </row>
    <row r="10" spans="1:555" ht="60.75" customHeight="1">
      <c r="A10" s="296">
        <v>6</v>
      </c>
      <c r="B10" s="297" t="s">
        <v>138</v>
      </c>
      <c r="C10" s="298">
        <v>14011325</v>
      </c>
      <c r="D10" s="354" t="s">
        <v>99</v>
      </c>
      <c r="E10" s="299">
        <v>41856</v>
      </c>
      <c r="F10" s="300">
        <v>41852</v>
      </c>
      <c r="G10" s="301" t="s">
        <v>139</v>
      </c>
      <c r="H10" s="297" t="s">
        <v>63</v>
      </c>
      <c r="I10" s="297" t="s">
        <v>101</v>
      </c>
      <c r="J10" s="299">
        <v>43383</v>
      </c>
      <c r="K10" s="300">
        <v>43383</v>
      </c>
      <c r="L10" s="301" t="s">
        <v>7247</v>
      </c>
      <c r="M10" s="297" t="s">
        <v>208</v>
      </c>
      <c r="N10" s="297" t="s">
        <v>107</v>
      </c>
      <c r="O10" s="299">
        <v>43711</v>
      </c>
      <c r="P10" s="302">
        <v>43711</v>
      </c>
      <c r="Q10" s="301" t="s">
        <v>9143</v>
      </c>
      <c r="R10" s="297" t="s">
        <v>63</v>
      </c>
      <c r="S10" s="297" t="s">
        <v>8894</v>
      </c>
      <c r="T10" s="299"/>
      <c r="U10" s="300"/>
      <c r="V10" s="301"/>
      <c r="W10" s="297"/>
      <c r="X10" s="297"/>
      <c r="Y10" s="299"/>
      <c r="Z10" s="300"/>
      <c r="AA10" s="301"/>
      <c r="AB10" s="297"/>
      <c r="AC10" s="297"/>
      <c r="AD10" s="299"/>
      <c r="AE10" s="300"/>
      <c r="AF10" s="301"/>
      <c r="AG10" s="297"/>
      <c r="AH10" s="297"/>
      <c r="AI10" s="304"/>
      <c r="AJ10" s="300"/>
      <c r="AK10" s="301"/>
      <c r="AL10" s="297"/>
      <c r="AM10" s="297"/>
      <c r="AN10" s="297"/>
      <c r="AO10" s="540" t="s">
        <v>7950</v>
      </c>
      <c r="AP10" s="297"/>
      <c r="AQ10" s="301" t="s">
        <v>7248</v>
      </c>
      <c r="AR10" s="297" t="s">
        <v>81</v>
      </c>
      <c r="AS10" s="299">
        <v>38660</v>
      </c>
      <c r="AT10" s="299">
        <v>40779</v>
      </c>
      <c r="AU10" s="297" t="s">
        <v>8016</v>
      </c>
      <c r="AV10" s="297"/>
      <c r="AW10" s="297" t="s">
        <v>69</v>
      </c>
      <c r="AX10" s="297" t="s">
        <v>141</v>
      </c>
      <c r="AY10" s="299">
        <v>41514</v>
      </c>
      <c r="AZ10" s="297" t="s">
        <v>142</v>
      </c>
      <c r="BA10" s="299">
        <v>41662</v>
      </c>
      <c r="BB10" s="382">
        <v>41694</v>
      </c>
      <c r="BC10" s="297" t="s">
        <v>95</v>
      </c>
      <c r="BD10" s="297" t="s">
        <v>1792</v>
      </c>
      <c r="BE10" s="297"/>
      <c r="BF10" s="301"/>
      <c r="BG10" s="301" t="s">
        <v>143</v>
      </c>
      <c r="BH10" s="297" t="s">
        <v>8508</v>
      </c>
      <c r="BI10" s="301" t="s">
        <v>116</v>
      </c>
      <c r="BJ10" s="312">
        <f>+[3]INTERESES!$R$175</f>
        <v>8953521.5541788042</v>
      </c>
      <c r="BK10" s="312" t="s">
        <v>8509</v>
      </c>
      <c r="BL10" s="313" t="s">
        <v>8510</v>
      </c>
      <c r="BM10" s="299" t="s">
        <v>8511</v>
      </c>
      <c r="BN10" s="314" t="s">
        <v>8512</v>
      </c>
      <c r="BO10" s="394"/>
      <c r="BP10" s="390" t="s">
        <v>9125</v>
      </c>
      <c r="BQ10" s="297" t="s">
        <v>9126</v>
      </c>
      <c r="BR10" s="303"/>
      <c r="BS10" s="308"/>
      <c r="BT10" s="308"/>
      <c r="BU10" s="308"/>
      <c r="BV10" s="308"/>
      <c r="BW10" s="309"/>
      <c r="BX10" s="310"/>
      <c r="BY10" s="305"/>
      <c r="BZ10" s="311"/>
    </row>
    <row r="11" spans="1:555" ht="30.75" customHeight="1">
      <c r="A11" s="296">
        <v>8</v>
      </c>
      <c r="B11" s="297" t="s">
        <v>166</v>
      </c>
      <c r="C11" s="298">
        <v>6609080</v>
      </c>
      <c r="D11" s="354" t="s">
        <v>167</v>
      </c>
      <c r="E11" s="299">
        <v>41864</v>
      </c>
      <c r="F11" s="300">
        <v>41852</v>
      </c>
      <c r="G11" s="301" t="s">
        <v>168</v>
      </c>
      <c r="H11" s="297" t="s">
        <v>5</v>
      </c>
      <c r="I11" s="297" t="s">
        <v>101</v>
      </c>
      <c r="J11" s="299">
        <v>42207</v>
      </c>
      <c r="K11" s="300">
        <v>42186</v>
      </c>
      <c r="L11" s="301" t="s">
        <v>78</v>
      </c>
      <c r="M11" s="297" t="s">
        <v>5</v>
      </c>
      <c r="N11" s="297" t="s">
        <v>169</v>
      </c>
      <c r="O11" s="299">
        <v>42635</v>
      </c>
      <c r="P11" s="302">
        <v>42614</v>
      </c>
      <c r="Q11" s="301" t="s">
        <v>170</v>
      </c>
      <c r="R11" s="297" t="s">
        <v>171</v>
      </c>
      <c r="S11" s="297" t="s">
        <v>172</v>
      </c>
      <c r="T11" s="299">
        <v>43348</v>
      </c>
      <c r="U11" s="300">
        <v>43348</v>
      </c>
      <c r="V11" s="301" t="s">
        <v>173</v>
      </c>
      <c r="W11" s="297" t="s">
        <v>171</v>
      </c>
      <c r="X11" s="297" t="s">
        <v>174</v>
      </c>
      <c r="Y11" s="299">
        <v>43669</v>
      </c>
      <c r="Z11" s="300">
        <v>43669</v>
      </c>
      <c r="AA11" s="301" t="s">
        <v>9066</v>
      </c>
      <c r="AB11" s="297" t="s">
        <v>9067</v>
      </c>
      <c r="AC11" s="297" t="s">
        <v>9068</v>
      </c>
      <c r="AD11" s="299"/>
      <c r="AE11" s="300"/>
      <c r="AF11" s="301"/>
      <c r="AG11" s="297"/>
      <c r="AH11" s="297"/>
      <c r="AI11" s="304"/>
      <c r="AJ11" s="300"/>
      <c r="AK11" s="301"/>
      <c r="AL11" s="297"/>
      <c r="AM11" s="297"/>
      <c r="AN11" s="297"/>
      <c r="AO11" s="479">
        <v>41803</v>
      </c>
      <c r="AP11" s="297"/>
      <c r="AQ11" s="301" t="s">
        <v>175</v>
      </c>
      <c r="AR11" s="297" t="s">
        <v>66</v>
      </c>
      <c r="AS11" s="299">
        <v>37956</v>
      </c>
      <c r="AT11" s="299">
        <v>39794</v>
      </c>
      <c r="AU11" s="297" t="s">
        <v>8445</v>
      </c>
      <c r="AV11" s="297"/>
      <c r="AW11" s="297" t="s">
        <v>92</v>
      </c>
      <c r="AX11" s="297" t="s">
        <v>176</v>
      </c>
      <c r="AY11" s="299">
        <v>40841</v>
      </c>
      <c r="AZ11" s="297" t="s">
        <v>177</v>
      </c>
      <c r="BA11" s="299">
        <v>41480</v>
      </c>
      <c r="BB11" s="382">
        <v>41493</v>
      </c>
      <c r="BC11" s="297" t="s">
        <v>95</v>
      </c>
      <c r="BD11" s="297" t="s">
        <v>566</v>
      </c>
      <c r="BE11" s="297"/>
      <c r="BF11" s="301" t="s">
        <v>8115</v>
      </c>
      <c r="BG11" s="297" t="s">
        <v>178</v>
      </c>
      <c r="BH11" s="297" t="s">
        <v>8474</v>
      </c>
      <c r="BI11" s="301" t="s">
        <v>179</v>
      </c>
      <c r="BJ11" s="312">
        <f>+[4]MATRIZ!$N$50</f>
        <v>131716132.85225226</v>
      </c>
      <c r="BK11" s="312" t="s">
        <v>8313</v>
      </c>
      <c r="BL11" s="313" t="s">
        <v>8314</v>
      </c>
      <c r="BM11" s="299" t="s">
        <v>8315</v>
      </c>
      <c r="BN11" s="314" t="s">
        <v>8316</v>
      </c>
      <c r="BO11" s="394"/>
      <c r="BP11" s="390"/>
      <c r="BQ11" s="297"/>
      <c r="BR11" s="303"/>
      <c r="BS11" s="308" t="s">
        <v>180</v>
      </c>
      <c r="BT11" s="308"/>
      <c r="BU11" s="308"/>
      <c r="BV11" s="308"/>
      <c r="BW11" s="309"/>
      <c r="BX11" s="310"/>
      <c r="BY11" s="305"/>
      <c r="BZ11" s="311"/>
    </row>
    <row r="12" spans="1:555" s="509" customFormat="1" ht="42.75" customHeight="1">
      <c r="A12" s="296">
        <v>9</v>
      </c>
      <c r="B12" s="297" t="s">
        <v>181</v>
      </c>
      <c r="C12" s="298">
        <v>91493762</v>
      </c>
      <c r="D12" s="354" t="s">
        <v>167</v>
      </c>
      <c r="E12" s="299">
        <v>41871</v>
      </c>
      <c r="F12" s="300">
        <v>41852</v>
      </c>
      <c r="G12" s="301" t="s">
        <v>182</v>
      </c>
      <c r="H12" s="297" t="s">
        <v>171</v>
      </c>
      <c r="I12" s="297" t="s">
        <v>183</v>
      </c>
      <c r="J12" s="299">
        <v>42037</v>
      </c>
      <c r="K12" s="300">
        <v>42036</v>
      </c>
      <c r="L12" s="301" t="s">
        <v>184</v>
      </c>
      <c r="M12" s="297" t="s">
        <v>5</v>
      </c>
      <c r="N12" s="297" t="s">
        <v>101</v>
      </c>
      <c r="O12" s="299">
        <v>42207</v>
      </c>
      <c r="P12" s="302">
        <v>42917</v>
      </c>
      <c r="Q12" s="301" t="s">
        <v>78</v>
      </c>
      <c r="R12" s="297" t="s">
        <v>5</v>
      </c>
      <c r="S12" s="297" t="s">
        <v>169</v>
      </c>
      <c r="T12" s="299"/>
      <c r="U12" s="300"/>
      <c r="V12" s="301"/>
      <c r="W12" s="297"/>
      <c r="X12" s="297"/>
      <c r="Y12" s="299"/>
      <c r="Z12" s="300"/>
      <c r="AA12" s="301"/>
      <c r="AB12" s="297"/>
      <c r="AC12" s="297"/>
      <c r="AD12" s="299"/>
      <c r="AE12" s="300"/>
      <c r="AF12" s="301"/>
      <c r="AG12" s="297"/>
      <c r="AH12" s="297"/>
      <c r="AI12" s="304"/>
      <c r="AJ12" s="300"/>
      <c r="AK12" s="301"/>
      <c r="AL12" s="297"/>
      <c r="AM12" s="297"/>
      <c r="AN12" s="297"/>
      <c r="AO12" s="473"/>
      <c r="AP12" s="297"/>
      <c r="AQ12" s="301" t="s">
        <v>185</v>
      </c>
      <c r="AR12" s="297" t="s">
        <v>66</v>
      </c>
      <c r="AS12" s="299">
        <v>38777</v>
      </c>
      <c r="AT12" s="299">
        <v>40561</v>
      </c>
      <c r="AU12" s="297" t="s">
        <v>186</v>
      </c>
      <c r="AV12" s="297"/>
      <c r="AW12" s="297" t="s">
        <v>92</v>
      </c>
      <c r="AX12" s="297" t="s">
        <v>187</v>
      </c>
      <c r="AY12" s="299">
        <v>41486</v>
      </c>
      <c r="AZ12" s="297" t="s">
        <v>67</v>
      </c>
      <c r="BA12" s="299" t="s">
        <v>67</v>
      </c>
      <c r="BB12" s="382">
        <v>42018</v>
      </c>
      <c r="BC12" s="297" t="s">
        <v>95</v>
      </c>
      <c r="BD12" s="297" t="s">
        <v>1792</v>
      </c>
      <c r="BE12" s="297"/>
      <c r="BF12" s="301"/>
      <c r="BG12" s="297" t="s">
        <v>188</v>
      </c>
      <c r="BH12" s="297" t="s">
        <v>189</v>
      </c>
      <c r="BI12" s="301" t="s">
        <v>190</v>
      </c>
      <c r="BJ12" s="312">
        <v>87349752</v>
      </c>
      <c r="BK12" s="312">
        <v>87349752</v>
      </c>
      <c r="BL12" s="313" t="s">
        <v>191</v>
      </c>
      <c r="BM12" s="299">
        <v>42667</v>
      </c>
      <c r="BN12" s="314">
        <v>42644</v>
      </c>
      <c r="BO12" s="394"/>
      <c r="BP12" s="390"/>
      <c r="BQ12" s="297"/>
      <c r="BR12" s="303"/>
      <c r="BS12" s="301"/>
      <c r="BT12" s="301"/>
      <c r="BU12" s="301"/>
      <c r="BV12" s="301"/>
      <c r="BW12" s="316"/>
      <c r="BX12" s="304"/>
      <c r="BY12" s="299"/>
      <c r="BZ12" s="317"/>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c r="IU12" s="1"/>
      <c r="IV12" s="1"/>
      <c r="IW12" s="1"/>
      <c r="IX12" s="1"/>
      <c r="IY12" s="1"/>
      <c r="IZ12" s="1"/>
      <c r="JA12" s="1"/>
      <c r="JB12" s="1"/>
      <c r="JC12" s="1"/>
      <c r="JD12" s="1"/>
      <c r="JE12" s="1"/>
      <c r="JF12" s="1"/>
      <c r="JG12" s="1"/>
      <c r="JH12" s="1"/>
      <c r="JI12" s="1"/>
      <c r="JJ12" s="1"/>
      <c r="JK12" s="1"/>
      <c r="JL12" s="1"/>
      <c r="JM12" s="1"/>
      <c r="JN12" s="1"/>
      <c r="JO12" s="1"/>
      <c r="JP12" s="1"/>
      <c r="JQ12" s="1"/>
      <c r="JR12" s="1"/>
      <c r="JS12" s="1"/>
      <c r="JT12" s="1"/>
      <c r="JU12" s="1"/>
      <c r="JV12" s="1"/>
      <c r="JW12" s="1"/>
      <c r="JX12" s="1"/>
      <c r="JY12" s="1"/>
      <c r="JZ12" s="1"/>
      <c r="KA12" s="1"/>
      <c r="KB12" s="1"/>
      <c r="KC12" s="1"/>
      <c r="KD12" s="1"/>
      <c r="KE12" s="1"/>
      <c r="KF12" s="1"/>
      <c r="KG12" s="1"/>
      <c r="KH12" s="1"/>
      <c r="KI12" s="1"/>
      <c r="KJ12" s="1"/>
      <c r="KK12" s="1"/>
      <c r="KL12" s="1"/>
      <c r="KM12" s="1"/>
      <c r="KN12" s="1"/>
      <c r="KO12" s="1"/>
      <c r="KP12" s="1"/>
      <c r="KQ12" s="1"/>
      <c r="KR12" s="1"/>
      <c r="KS12" s="1"/>
      <c r="KT12" s="1"/>
      <c r="KU12" s="1"/>
      <c r="KV12" s="1"/>
      <c r="KW12" s="1"/>
      <c r="KX12" s="1"/>
      <c r="KY12" s="1"/>
      <c r="KZ12" s="1"/>
      <c r="LA12" s="1"/>
      <c r="LB12" s="1"/>
      <c r="LC12" s="1"/>
      <c r="LD12" s="1"/>
      <c r="LE12" s="1"/>
      <c r="LF12" s="1"/>
      <c r="LG12" s="1"/>
      <c r="LH12" s="1"/>
      <c r="LI12" s="1"/>
      <c r="LJ12" s="1"/>
      <c r="LK12" s="1"/>
      <c r="LL12" s="1"/>
      <c r="LM12" s="1"/>
      <c r="LN12" s="1"/>
      <c r="LO12" s="1"/>
      <c r="LP12" s="1"/>
      <c r="LQ12" s="1"/>
      <c r="LR12" s="1"/>
      <c r="LS12" s="1"/>
      <c r="LT12" s="1"/>
      <c r="LU12" s="1"/>
      <c r="LV12" s="1"/>
      <c r="LW12" s="1"/>
      <c r="LX12" s="1"/>
      <c r="LY12" s="1"/>
      <c r="LZ12" s="1"/>
      <c r="MA12" s="1"/>
      <c r="MB12" s="1"/>
      <c r="MC12" s="1"/>
      <c r="MD12" s="1"/>
      <c r="ME12" s="1"/>
      <c r="MF12" s="1"/>
      <c r="MG12" s="1"/>
      <c r="MH12" s="1"/>
      <c r="MI12" s="1"/>
      <c r="MJ12" s="1"/>
      <c r="MK12" s="1"/>
      <c r="ML12" s="1"/>
      <c r="MM12" s="1"/>
      <c r="MN12" s="1"/>
      <c r="MO12" s="1"/>
      <c r="MP12" s="1"/>
      <c r="MQ12" s="1"/>
      <c r="MR12" s="1"/>
      <c r="MS12" s="1"/>
      <c r="MT12" s="1"/>
      <c r="MU12" s="1"/>
      <c r="MV12" s="1"/>
      <c r="MW12" s="1"/>
      <c r="MX12" s="1"/>
      <c r="MY12" s="1"/>
      <c r="MZ12" s="1"/>
      <c r="NA12" s="1"/>
      <c r="NB12" s="1"/>
      <c r="NC12" s="1"/>
      <c r="ND12" s="1"/>
      <c r="NE12" s="1"/>
      <c r="NF12" s="1"/>
      <c r="NG12" s="1"/>
      <c r="NH12" s="1"/>
      <c r="NI12" s="1"/>
      <c r="NJ12" s="1"/>
      <c r="NK12" s="1"/>
      <c r="NL12" s="1"/>
      <c r="NM12" s="1"/>
      <c r="NN12" s="1"/>
      <c r="NO12" s="1"/>
      <c r="NP12" s="1"/>
      <c r="NQ12" s="1"/>
      <c r="NR12" s="1"/>
      <c r="NS12" s="1"/>
      <c r="NT12" s="1"/>
      <c r="NU12" s="1"/>
      <c r="NV12" s="1"/>
      <c r="NW12" s="1"/>
      <c r="NX12" s="1"/>
      <c r="NY12" s="1"/>
      <c r="NZ12" s="1"/>
      <c r="OA12" s="1"/>
      <c r="OB12" s="1"/>
      <c r="OC12" s="1"/>
      <c r="OD12" s="1"/>
      <c r="OE12" s="1"/>
      <c r="OF12" s="1"/>
      <c r="OG12" s="1"/>
      <c r="OH12" s="1"/>
      <c r="OI12" s="1"/>
      <c r="OJ12" s="1"/>
      <c r="OK12" s="1"/>
      <c r="OL12" s="1"/>
      <c r="OM12" s="1"/>
      <c r="ON12" s="1"/>
      <c r="OO12" s="1"/>
      <c r="OP12" s="1"/>
      <c r="OQ12" s="1"/>
      <c r="OR12" s="1"/>
      <c r="OS12" s="1"/>
      <c r="OT12" s="1"/>
      <c r="OU12" s="1"/>
      <c r="OV12" s="1"/>
      <c r="OW12" s="1"/>
      <c r="OX12" s="1"/>
      <c r="OY12" s="1"/>
      <c r="OZ12" s="1"/>
      <c r="PA12" s="1"/>
      <c r="PB12" s="1"/>
      <c r="PC12" s="1"/>
      <c r="PD12" s="1"/>
      <c r="PE12" s="1"/>
      <c r="PF12" s="1"/>
      <c r="PG12" s="1"/>
      <c r="PH12" s="1"/>
      <c r="PI12" s="1"/>
      <c r="PJ12" s="1"/>
      <c r="PK12" s="1"/>
      <c r="PL12" s="1"/>
      <c r="PM12" s="1"/>
      <c r="PN12" s="1"/>
      <c r="PO12" s="1"/>
      <c r="PP12" s="1"/>
      <c r="PQ12" s="1"/>
      <c r="PR12" s="1"/>
      <c r="PS12" s="1"/>
      <c r="PT12" s="1"/>
      <c r="PU12" s="1"/>
      <c r="PV12" s="1"/>
      <c r="PW12" s="1"/>
      <c r="PX12" s="1"/>
      <c r="PY12" s="1"/>
      <c r="PZ12" s="1"/>
      <c r="QA12" s="1"/>
      <c r="QB12" s="1"/>
      <c r="QC12" s="1"/>
      <c r="QD12" s="1"/>
      <c r="QE12" s="1"/>
      <c r="QF12" s="1"/>
      <c r="QG12" s="1"/>
      <c r="QH12" s="1"/>
      <c r="QI12" s="1"/>
      <c r="QJ12" s="1"/>
      <c r="QK12" s="1"/>
      <c r="QL12" s="1"/>
      <c r="QM12" s="1"/>
      <c r="QN12" s="1"/>
      <c r="QO12" s="1"/>
      <c r="QP12" s="1"/>
      <c r="QQ12" s="1"/>
      <c r="QR12" s="1"/>
      <c r="QS12" s="1"/>
      <c r="QT12" s="1"/>
      <c r="QU12" s="1"/>
      <c r="QV12" s="1"/>
      <c r="QW12" s="1"/>
      <c r="QX12" s="1"/>
      <c r="QY12" s="1"/>
      <c r="QZ12" s="1"/>
      <c r="RA12" s="1"/>
      <c r="RB12" s="1"/>
      <c r="RC12" s="1"/>
      <c r="RD12" s="1"/>
      <c r="RE12" s="1"/>
      <c r="RF12" s="1"/>
      <c r="RG12" s="1"/>
      <c r="RH12" s="1"/>
      <c r="RI12" s="1"/>
      <c r="RJ12" s="1"/>
      <c r="RK12" s="1"/>
      <c r="RL12" s="1"/>
      <c r="RM12" s="1"/>
      <c r="RN12" s="1"/>
      <c r="RO12" s="1"/>
      <c r="RP12" s="1"/>
      <c r="RQ12" s="1"/>
      <c r="RR12" s="1"/>
      <c r="RS12" s="1"/>
      <c r="RT12" s="1"/>
      <c r="RU12" s="1"/>
      <c r="RV12" s="1"/>
      <c r="RW12" s="1"/>
      <c r="RX12" s="1"/>
      <c r="RY12" s="1"/>
      <c r="RZ12" s="1"/>
      <c r="SA12" s="1"/>
      <c r="SB12" s="1"/>
      <c r="SC12" s="1"/>
      <c r="SD12" s="1"/>
      <c r="SE12" s="1"/>
      <c r="SF12" s="1"/>
      <c r="SG12" s="1"/>
      <c r="SH12" s="1"/>
      <c r="SI12" s="1"/>
      <c r="SJ12" s="1"/>
      <c r="SK12" s="1"/>
      <c r="SL12" s="1"/>
      <c r="SM12" s="1"/>
      <c r="SN12" s="1"/>
      <c r="SO12" s="1"/>
      <c r="SP12" s="1"/>
      <c r="SQ12" s="1"/>
      <c r="SR12" s="1"/>
      <c r="SS12" s="1"/>
      <c r="ST12" s="1"/>
      <c r="SU12" s="1"/>
      <c r="SV12" s="1"/>
      <c r="SW12" s="1"/>
      <c r="SX12" s="1"/>
      <c r="SY12" s="1"/>
      <c r="SZ12" s="1"/>
      <c r="TA12" s="1"/>
      <c r="TB12" s="1"/>
      <c r="TC12" s="1"/>
      <c r="TD12" s="1"/>
      <c r="TE12" s="1"/>
      <c r="TF12" s="1"/>
      <c r="TG12" s="1"/>
      <c r="TH12" s="1"/>
      <c r="TI12" s="1"/>
      <c r="TJ12" s="1"/>
      <c r="TK12" s="1"/>
      <c r="TL12" s="1"/>
      <c r="TM12" s="1"/>
      <c r="TN12" s="1"/>
      <c r="TO12" s="1"/>
      <c r="TP12" s="1"/>
      <c r="TQ12" s="1"/>
      <c r="TR12" s="1"/>
      <c r="TS12" s="1"/>
      <c r="TT12" s="1"/>
      <c r="TU12" s="1"/>
      <c r="TV12" s="1"/>
      <c r="TW12" s="1"/>
      <c r="TX12" s="1"/>
      <c r="TY12" s="1"/>
      <c r="TZ12" s="1"/>
      <c r="UA12" s="1"/>
      <c r="UB12" s="1"/>
      <c r="UC12" s="1"/>
      <c r="UD12" s="1"/>
      <c r="UE12" s="1"/>
      <c r="UF12" s="1"/>
      <c r="UG12" s="1"/>
      <c r="UH12" s="1"/>
      <c r="UI12" s="1"/>
    </row>
    <row r="13" spans="1:555" ht="36" customHeight="1">
      <c r="A13" s="502">
        <v>10</v>
      </c>
      <c r="B13" s="297" t="s">
        <v>192</v>
      </c>
      <c r="C13" s="298">
        <v>88219715</v>
      </c>
      <c r="D13" s="354" t="s">
        <v>193</v>
      </c>
      <c r="E13" s="299">
        <v>41871</v>
      </c>
      <c r="F13" s="300">
        <v>41852</v>
      </c>
      <c r="G13" s="301" t="s">
        <v>194</v>
      </c>
      <c r="H13" s="297" t="s">
        <v>195</v>
      </c>
      <c r="I13" s="297" t="s">
        <v>196</v>
      </c>
      <c r="J13" s="299">
        <v>41897</v>
      </c>
      <c r="K13" s="300">
        <v>41897</v>
      </c>
      <c r="L13" s="301" t="s">
        <v>197</v>
      </c>
      <c r="M13" s="297" t="s">
        <v>198</v>
      </c>
      <c r="N13" s="297" t="s">
        <v>196</v>
      </c>
      <c r="O13" s="299">
        <v>42291</v>
      </c>
      <c r="P13" s="302">
        <v>42291</v>
      </c>
      <c r="Q13" s="301" t="s">
        <v>199</v>
      </c>
      <c r="R13" s="297" t="s">
        <v>63</v>
      </c>
      <c r="S13" s="297" t="s">
        <v>161</v>
      </c>
      <c r="T13" s="299">
        <v>43493</v>
      </c>
      <c r="U13" s="300">
        <v>43493</v>
      </c>
      <c r="V13" s="301" t="s">
        <v>8037</v>
      </c>
      <c r="W13" s="297" t="s">
        <v>625</v>
      </c>
      <c r="X13" s="297" t="s">
        <v>8036</v>
      </c>
      <c r="Y13" s="299">
        <v>44161</v>
      </c>
      <c r="Z13" s="300">
        <v>44161</v>
      </c>
      <c r="AA13" s="301" t="s">
        <v>9723</v>
      </c>
      <c r="AB13" s="297" t="s">
        <v>9724</v>
      </c>
      <c r="AC13" s="297" t="s">
        <v>1114</v>
      </c>
      <c r="AD13" s="299"/>
      <c r="AE13" s="300"/>
      <c r="AF13" s="301"/>
      <c r="AG13" s="297"/>
      <c r="AH13" s="297"/>
      <c r="AI13" s="304"/>
      <c r="AJ13" s="300"/>
      <c r="AK13" s="301"/>
      <c r="AL13" s="297"/>
      <c r="AM13" s="297"/>
      <c r="AN13" s="297"/>
      <c r="AO13" s="479">
        <v>41799</v>
      </c>
      <c r="AP13" s="297"/>
      <c r="AQ13" s="301" t="s">
        <v>200</v>
      </c>
      <c r="AR13" s="297" t="s">
        <v>66</v>
      </c>
      <c r="AS13" s="299">
        <v>38275</v>
      </c>
      <c r="AT13" s="299">
        <v>39813</v>
      </c>
      <c r="AU13" s="297" t="s">
        <v>201</v>
      </c>
      <c r="AV13" s="297"/>
      <c r="AW13" s="297" t="s">
        <v>92</v>
      </c>
      <c r="AX13" s="297" t="s">
        <v>202</v>
      </c>
      <c r="AY13" s="299">
        <v>41578</v>
      </c>
      <c r="AZ13" s="297" t="s">
        <v>67</v>
      </c>
      <c r="BA13" s="299" t="s">
        <v>67</v>
      </c>
      <c r="BB13" s="382">
        <v>41627</v>
      </c>
      <c r="BC13" s="297" t="s">
        <v>95</v>
      </c>
      <c r="BD13" s="297" t="s">
        <v>566</v>
      </c>
      <c r="BE13" s="297"/>
      <c r="BF13" s="301"/>
      <c r="BG13" s="297" t="s">
        <v>203</v>
      </c>
      <c r="BH13" s="297" t="s">
        <v>9337</v>
      </c>
      <c r="BI13" s="301" t="s">
        <v>204</v>
      </c>
      <c r="BJ13" s="312">
        <f>+'[5]MATRIZ DE CONTRATOS '!$P$52</f>
        <v>83717095</v>
      </c>
      <c r="BK13" s="312" t="s">
        <v>9338</v>
      </c>
      <c r="BL13" s="313" t="s">
        <v>9335</v>
      </c>
      <c r="BM13" s="299" t="s">
        <v>9336</v>
      </c>
      <c r="BN13" s="314" t="s">
        <v>9333</v>
      </c>
      <c r="BO13" s="394" t="s">
        <v>9342</v>
      </c>
      <c r="BP13" s="390" t="s">
        <v>9339</v>
      </c>
      <c r="BQ13" s="297"/>
      <c r="BR13" s="303"/>
      <c r="BS13" s="301" t="s">
        <v>8035</v>
      </c>
      <c r="BT13" s="301"/>
      <c r="BU13" s="301"/>
      <c r="BV13" s="301"/>
      <c r="BW13" s="316"/>
      <c r="BX13" s="304"/>
      <c r="BY13" s="299"/>
      <c r="BZ13" s="317"/>
    </row>
    <row r="14" spans="1:555" ht="176.25" customHeight="1">
      <c r="A14" s="296">
        <v>11</v>
      </c>
      <c r="B14" s="297" t="s">
        <v>205</v>
      </c>
      <c r="C14" s="318">
        <v>79494016</v>
      </c>
      <c r="D14" s="354" t="s">
        <v>2483</v>
      </c>
      <c r="E14" s="299">
        <v>41873</v>
      </c>
      <c r="F14" s="300">
        <v>41852</v>
      </c>
      <c r="G14" s="301" t="s">
        <v>206</v>
      </c>
      <c r="H14" s="297" t="s">
        <v>198</v>
      </c>
      <c r="I14" s="297" t="s">
        <v>196</v>
      </c>
      <c r="J14" s="299">
        <v>42124</v>
      </c>
      <c r="K14" s="300">
        <v>42095</v>
      </c>
      <c r="L14" s="301" t="s">
        <v>207</v>
      </c>
      <c r="M14" s="297" t="s">
        <v>208</v>
      </c>
      <c r="N14" s="297" t="s">
        <v>101</v>
      </c>
      <c r="O14" s="299"/>
      <c r="P14" s="302"/>
      <c r="Q14" s="301"/>
      <c r="R14" s="297"/>
      <c r="S14" s="297"/>
      <c r="T14" s="299"/>
      <c r="U14" s="300"/>
      <c r="V14" s="301"/>
      <c r="W14" s="297"/>
      <c r="X14" s="297"/>
      <c r="Y14" s="299"/>
      <c r="Z14" s="300"/>
      <c r="AA14" s="301"/>
      <c r="AB14" s="297"/>
      <c r="AC14" s="297"/>
      <c r="AD14" s="299"/>
      <c r="AE14" s="300"/>
      <c r="AF14" s="301"/>
      <c r="AG14" s="297"/>
      <c r="AH14" s="297"/>
      <c r="AI14" s="304"/>
      <c r="AJ14" s="300"/>
      <c r="AK14" s="301"/>
      <c r="AL14" s="297"/>
      <c r="AM14" s="297"/>
      <c r="AN14" s="297"/>
      <c r="AO14" s="473"/>
      <c r="AP14" s="297"/>
      <c r="AQ14" s="301" t="s">
        <v>209</v>
      </c>
      <c r="AR14" s="297" t="s">
        <v>66</v>
      </c>
      <c r="AS14" s="299">
        <v>38716</v>
      </c>
      <c r="AT14" s="299">
        <v>39842</v>
      </c>
      <c r="AU14" s="297" t="s">
        <v>186</v>
      </c>
      <c r="AV14" s="297"/>
      <c r="AW14" s="297" t="s">
        <v>92</v>
      </c>
      <c r="AX14" s="297" t="s">
        <v>210</v>
      </c>
      <c r="AY14" s="299">
        <v>41089</v>
      </c>
      <c r="AZ14" s="297" t="s">
        <v>94</v>
      </c>
      <c r="BA14" s="299">
        <v>41684</v>
      </c>
      <c r="BB14" s="382">
        <v>41703</v>
      </c>
      <c r="BC14" s="297" t="s">
        <v>95</v>
      </c>
      <c r="BD14" s="297" t="s">
        <v>566</v>
      </c>
      <c r="BE14" s="297"/>
      <c r="BF14" s="301"/>
      <c r="BG14" s="301" t="s">
        <v>67</v>
      </c>
      <c r="BH14" s="297" t="s">
        <v>211</v>
      </c>
      <c r="BI14" s="301" t="s">
        <v>212</v>
      </c>
      <c r="BJ14" s="312">
        <v>54305721</v>
      </c>
      <c r="BK14" s="312">
        <v>55089425</v>
      </c>
      <c r="BL14" s="313" t="s">
        <v>213</v>
      </c>
      <c r="BM14" s="299">
        <v>42667</v>
      </c>
      <c r="BN14" s="314">
        <v>42644</v>
      </c>
      <c r="BO14" s="394"/>
      <c r="BP14" s="390"/>
      <c r="BQ14" s="297"/>
      <c r="BR14" s="303"/>
      <c r="BS14" s="301"/>
      <c r="BT14" s="301"/>
      <c r="BU14" s="301"/>
      <c r="BV14" s="301"/>
      <c r="BW14" s="316"/>
      <c r="BX14" s="304"/>
      <c r="BY14" s="299"/>
      <c r="BZ14" s="317"/>
    </row>
    <row r="15" spans="1:555" ht="39.75" customHeight="1">
      <c r="A15" s="296">
        <v>12</v>
      </c>
      <c r="B15" s="297" t="s">
        <v>214</v>
      </c>
      <c r="C15" s="298">
        <v>79603847</v>
      </c>
      <c r="D15" s="354" t="s">
        <v>167</v>
      </c>
      <c r="E15" s="299">
        <v>41873</v>
      </c>
      <c r="F15" s="300">
        <v>41852</v>
      </c>
      <c r="G15" s="301" t="s">
        <v>215</v>
      </c>
      <c r="H15" s="297" t="s">
        <v>195</v>
      </c>
      <c r="I15" s="297" t="s">
        <v>196</v>
      </c>
      <c r="J15" s="299">
        <v>42207</v>
      </c>
      <c r="K15" s="300">
        <v>42186</v>
      </c>
      <c r="L15" s="301" t="s">
        <v>78</v>
      </c>
      <c r="M15" s="297" t="s">
        <v>5</v>
      </c>
      <c r="N15" s="297" t="s">
        <v>101</v>
      </c>
      <c r="O15" s="299"/>
      <c r="P15" s="302"/>
      <c r="Q15" s="301"/>
      <c r="R15" s="297"/>
      <c r="S15" s="297"/>
      <c r="T15" s="299"/>
      <c r="U15" s="300"/>
      <c r="V15" s="301"/>
      <c r="W15" s="297"/>
      <c r="X15" s="297"/>
      <c r="Y15" s="299"/>
      <c r="Z15" s="300"/>
      <c r="AA15" s="301"/>
      <c r="AB15" s="297"/>
      <c r="AC15" s="297"/>
      <c r="AD15" s="299"/>
      <c r="AE15" s="300"/>
      <c r="AF15" s="301"/>
      <c r="AG15" s="297"/>
      <c r="AH15" s="297"/>
      <c r="AI15" s="304"/>
      <c r="AJ15" s="300"/>
      <c r="AK15" s="301"/>
      <c r="AL15" s="297"/>
      <c r="AM15" s="297"/>
      <c r="AN15" s="297"/>
      <c r="AO15" s="473"/>
      <c r="AP15" s="297"/>
      <c r="AQ15" s="301" t="s">
        <v>216</v>
      </c>
      <c r="AR15" s="297" t="s">
        <v>66</v>
      </c>
      <c r="AS15" s="319" t="s">
        <v>217</v>
      </c>
      <c r="AT15" s="319" t="s">
        <v>218</v>
      </c>
      <c r="AU15" s="297" t="s">
        <v>186</v>
      </c>
      <c r="AV15" s="297"/>
      <c r="AW15" s="297" t="s">
        <v>92</v>
      </c>
      <c r="AX15" s="297" t="s">
        <v>219</v>
      </c>
      <c r="AY15" s="299">
        <v>41578</v>
      </c>
      <c r="AZ15" s="297" t="s">
        <v>67</v>
      </c>
      <c r="BA15" s="299" t="s">
        <v>67</v>
      </c>
      <c r="BB15" s="382">
        <v>41684</v>
      </c>
      <c r="BC15" s="297" t="s">
        <v>95</v>
      </c>
      <c r="BD15" s="297" t="s">
        <v>1792</v>
      </c>
      <c r="BE15" s="297"/>
      <c r="BF15" s="301"/>
      <c r="BG15" s="301" t="s">
        <v>220</v>
      </c>
      <c r="BH15" s="301" t="s">
        <v>221</v>
      </c>
      <c r="BI15" s="301" t="s">
        <v>190</v>
      </c>
      <c r="BJ15" s="312">
        <v>173509936</v>
      </c>
      <c r="BK15" s="312">
        <v>173509936</v>
      </c>
      <c r="BL15" s="313" t="s">
        <v>222</v>
      </c>
      <c r="BM15" s="299">
        <v>42667</v>
      </c>
      <c r="BN15" s="314">
        <v>42644</v>
      </c>
      <c r="BO15" s="394"/>
      <c r="BP15" s="390"/>
      <c r="BQ15" s="297"/>
      <c r="BR15" s="303"/>
      <c r="BS15" s="301"/>
      <c r="BT15" s="301"/>
      <c r="BU15" s="301"/>
      <c r="BV15" s="301"/>
      <c r="BW15" s="316"/>
      <c r="BX15" s="304"/>
      <c r="BY15" s="299"/>
      <c r="BZ15" s="317"/>
    </row>
    <row r="16" spans="1:555" ht="48.75" customHeight="1">
      <c r="A16" s="296">
        <v>13</v>
      </c>
      <c r="B16" s="297" t="s">
        <v>223</v>
      </c>
      <c r="C16" s="298">
        <v>12548301</v>
      </c>
      <c r="D16" s="354" t="s">
        <v>224</v>
      </c>
      <c r="E16" s="299">
        <v>41877</v>
      </c>
      <c r="F16" s="300">
        <v>41852</v>
      </c>
      <c r="G16" s="301" t="s">
        <v>225</v>
      </c>
      <c r="H16" s="297" t="s">
        <v>195</v>
      </c>
      <c r="I16" s="297" t="s">
        <v>196</v>
      </c>
      <c r="J16" s="299">
        <v>41891</v>
      </c>
      <c r="K16" s="300">
        <v>41883</v>
      </c>
      <c r="L16" s="301" t="s">
        <v>226</v>
      </c>
      <c r="M16" s="297" t="s">
        <v>198</v>
      </c>
      <c r="N16" s="297" t="s">
        <v>183</v>
      </c>
      <c r="O16" s="299"/>
      <c r="P16" s="302"/>
      <c r="Q16" s="301"/>
      <c r="R16" s="297"/>
      <c r="S16" s="297"/>
      <c r="T16" s="299"/>
      <c r="U16" s="300"/>
      <c r="V16" s="301"/>
      <c r="W16" s="297"/>
      <c r="X16" s="297"/>
      <c r="Y16" s="299"/>
      <c r="Z16" s="300"/>
      <c r="AA16" s="301"/>
      <c r="AB16" s="297"/>
      <c r="AC16" s="297"/>
      <c r="AD16" s="299"/>
      <c r="AE16" s="300"/>
      <c r="AF16" s="301"/>
      <c r="AG16" s="297"/>
      <c r="AH16" s="297"/>
      <c r="AI16" s="304"/>
      <c r="AJ16" s="300"/>
      <c r="AK16" s="301"/>
      <c r="AL16" s="297"/>
      <c r="AM16" s="297"/>
      <c r="AN16" s="297"/>
      <c r="AO16" s="473"/>
      <c r="AP16" s="297"/>
      <c r="AQ16" s="301" t="s">
        <v>227</v>
      </c>
      <c r="AR16" s="297" t="s">
        <v>66</v>
      </c>
      <c r="AS16" s="299">
        <v>37987</v>
      </c>
      <c r="AT16" s="299">
        <v>38352</v>
      </c>
      <c r="AU16" s="297" t="s">
        <v>110</v>
      </c>
      <c r="AV16" s="297"/>
      <c r="AW16" s="297" t="s">
        <v>92</v>
      </c>
      <c r="AX16" s="297" t="s">
        <v>228</v>
      </c>
      <c r="AY16" s="299" t="s">
        <v>229</v>
      </c>
      <c r="AZ16" s="297" t="s">
        <v>230</v>
      </c>
      <c r="BA16" s="299">
        <v>40849</v>
      </c>
      <c r="BB16" s="382">
        <v>40875</v>
      </c>
      <c r="BC16" s="297" t="s">
        <v>95</v>
      </c>
      <c r="BD16" s="297" t="s">
        <v>566</v>
      </c>
      <c r="BE16" s="297"/>
      <c r="BF16" s="301"/>
      <c r="BG16" s="301" t="s">
        <v>231</v>
      </c>
      <c r="BH16" s="301" t="s">
        <v>231</v>
      </c>
      <c r="BI16" s="301" t="s">
        <v>116</v>
      </c>
      <c r="BJ16" s="312">
        <v>20745711</v>
      </c>
      <c r="BK16" s="312" t="s">
        <v>232</v>
      </c>
      <c r="BL16" s="313" t="s">
        <v>233</v>
      </c>
      <c r="BM16" s="299">
        <v>42249</v>
      </c>
      <c r="BN16" s="314">
        <v>42248</v>
      </c>
      <c r="BO16" s="394"/>
      <c r="BP16" s="390"/>
      <c r="BQ16" s="297"/>
      <c r="BR16" s="303"/>
      <c r="BS16" s="301"/>
      <c r="BT16" s="301"/>
      <c r="BU16" s="301"/>
      <c r="BV16" s="301"/>
      <c r="BW16" s="316"/>
      <c r="BX16" s="304"/>
      <c r="BY16" s="299"/>
      <c r="BZ16" s="317"/>
    </row>
    <row r="17" spans="1:555" ht="32.25" customHeight="1">
      <c r="A17" s="296">
        <v>15</v>
      </c>
      <c r="B17" s="297" t="s">
        <v>241</v>
      </c>
      <c r="C17" s="298">
        <v>72195060</v>
      </c>
      <c r="D17" s="354" t="s">
        <v>242</v>
      </c>
      <c r="E17" s="299">
        <v>41884</v>
      </c>
      <c r="F17" s="300">
        <v>41883</v>
      </c>
      <c r="G17" s="301" t="s">
        <v>243</v>
      </c>
      <c r="H17" s="297" t="s">
        <v>198</v>
      </c>
      <c r="I17" s="297" t="s">
        <v>196</v>
      </c>
      <c r="J17" s="299">
        <v>42263</v>
      </c>
      <c r="K17" s="300">
        <v>42248</v>
      </c>
      <c r="L17" s="301" t="s">
        <v>244</v>
      </c>
      <c r="M17" s="297" t="s">
        <v>5</v>
      </c>
      <c r="N17" s="297" t="s">
        <v>131</v>
      </c>
      <c r="O17" s="299"/>
      <c r="P17" s="302"/>
      <c r="Q17" s="301"/>
      <c r="R17" s="297"/>
      <c r="S17" s="297"/>
      <c r="T17" s="299"/>
      <c r="U17" s="300"/>
      <c r="V17" s="301"/>
      <c r="W17" s="297"/>
      <c r="X17" s="297"/>
      <c r="Y17" s="299"/>
      <c r="Z17" s="300"/>
      <c r="AA17" s="301"/>
      <c r="AB17" s="297"/>
      <c r="AC17" s="297"/>
      <c r="AD17" s="299"/>
      <c r="AE17" s="300"/>
      <c r="AF17" s="301"/>
      <c r="AG17" s="297"/>
      <c r="AH17" s="297"/>
      <c r="AI17" s="304"/>
      <c r="AJ17" s="300"/>
      <c r="AK17" s="301"/>
      <c r="AL17" s="297"/>
      <c r="AM17" s="297"/>
      <c r="AN17" s="297"/>
      <c r="AO17" s="473"/>
      <c r="AP17" s="297"/>
      <c r="AQ17" s="301" t="s">
        <v>245</v>
      </c>
      <c r="AR17" s="297" t="s">
        <v>66</v>
      </c>
      <c r="AS17" s="299">
        <v>39356</v>
      </c>
      <c r="AT17" s="299">
        <v>39538</v>
      </c>
      <c r="AU17" s="297" t="s">
        <v>246</v>
      </c>
      <c r="AV17" s="297"/>
      <c r="AW17" s="297" t="s">
        <v>92</v>
      </c>
      <c r="AX17" s="297" t="s">
        <v>247</v>
      </c>
      <c r="AY17" s="299">
        <v>41463</v>
      </c>
      <c r="AZ17" s="297" t="s">
        <v>248</v>
      </c>
      <c r="BA17" s="299">
        <v>41626</v>
      </c>
      <c r="BB17" s="382">
        <v>41697</v>
      </c>
      <c r="BC17" s="297" t="s">
        <v>95</v>
      </c>
      <c r="BD17" s="297" t="s">
        <v>566</v>
      </c>
      <c r="BE17" s="297"/>
      <c r="BF17" s="301"/>
      <c r="BG17" s="301" t="s">
        <v>186</v>
      </c>
      <c r="BH17" s="301" t="s">
        <v>249</v>
      </c>
      <c r="BI17" s="301" t="s">
        <v>250</v>
      </c>
      <c r="BJ17" s="312" t="s">
        <v>251</v>
      </c>
      <c r="BK17" s="312" t="s">
        <v>252</v>
      </c>
      <c r="BL17" s="313" t="s">
        <v>253</v>
      </c>
      <c r="BM17" s="299" t="s">
        <v>254</v>
      </c>
      <c r="BN17" s="314" t="s">
        <v>255</v>
      </c>
      <c r="BO17" s="394"/>
      <c r="BP17" s="390"/>
      <c r="BQ17" s="297"/>
      <c r="BR17" s="303"/>
      <c r="BS17" s="301"/>
      <c r="BT17" s="301"/>
      <c r="BU17" s="301"/>
      <c r="BV17" s="301"/>
      <c r="BW17" s="316"/>
      <c r="BX17" s="304"/>
      <c r="BY17" s="299"/>
      <c r="BZ17" s="317"/>
    </row>
    <row r="18" spans="1:555" ht="35.25" customHeight="1">
      <c r="A18" s="296">
        <v>16</v>
      </c>
      <c r="B18" s="297" t="s">
        <v>256</v>
      </c>
      <c r="C18" s="298">
        <v>12909852</v>
      </c>
      <c r="D18" s="354" t="s">
        <v>257</v>
      </c>
      <c r="E18" s="299">
        <v>41884</v>
      </c>
      <c r="F18" s="300">
        <v>41883</v>
      </c>
      <c r="G18" s="301" t="s">
        <v>258</v>
      </c>
      <c r="H18" s="297" t="s">
        <v>195</v>
      </c>
      <c r="I18" s="297" t="s">
        <v>196</v>
      </c>
      <c r="J18" s="299">
        <v>41907</v>
      </c>
      <c r="K18" s="300">
        <v>41883</v>
      </c>
      <c r="L18" s="301" t="s">
        <v>259</v>
      </c>
      <c r="M18" s="297" t="s">
        <v>198</v>
      </c>
      <c r="N18" s="297" t="s">
        <v>196</v>
      </c>
      <c r="O18" s="299">
        <v>42045</v>
      </c>
      <c r="P18" s="302">
        <v>42036</v>
      </c>
      <c r="Q18" s="301" t="s">
        <v>260</v>
      </c>
      <c r="R18" s="297" t="s">
        <v>63</v>
      </c>
      <c r="S18" s="297" t="s">
        <v>101</v>
      </c>
      <c r="T18" s="299">
        <v>42152</v>
      </c>
      <c r="U18" s="300">
        <v>42125</v>
      </c>
      <c r="V18" s="301" t="s">
        <v>261</v>
      </c>
      <c r="W18" s="297" t="s">
        <v>63</v>
      </c>
      <c r="X18" s="297" t="s">
        <v>131</v>
      </c>
      <c r="Y18" s="299">
        <v>42765</v>
      </c>
      <c r="Z18" s="300">
        <v>42736</v>
      </c>
      <c r="AA18" s="301" t="s">
        <v>262</v>
      </c>
      <c r="AB18" s="297" t="s">
        <v>171</v>
      </c>
      <c r="AC18" s="297" t="s">
        <v>263</v>
      </c>
      <c r="AD18" s="299"/>
      <c r="AE18" s="300"/>
      <c r="AF18" s="301"/>
      <c r="AG18" s="297"/>
      <c r="AH18" s="297"/>
      <c r="AI18" s="304"/>
      <c r="AJ18" s="300"/>
      <c r="AK18" s="301"/>
      <c r="AL18" s="297"/>
      <c r="AM18" s="297"/>
      <c r="AN18" s="297"/>
      <c r="AO18" s="473"/>
      <c r="AP18" s="297"/>
      <c r="AQ18" s="301" t="s">
        <v>264</v>
      </c>
      <c r="AR18" s="297" t="s">
        <v>66</v>
      </c>
      <c r="AS18" s="299">
        <v>38777</v>
      </c>
      <c r="AT18" s="299">
        <v>39813</v>
      </c>
      <c r="AU18" s="297" t="s">
        <v>140</v>
      </c>
      <c r="AV18" s="297"/>
      <c r="AW18" s="297" t="s">
        <v>92</v>
      </c>
      <c r="AX18" s="297" t="s">
        <v>265</v>
      </c>
      <c r="AY18" s="299">
        <v>41425</v>
      </c>
      <c r="AZ18" s="297" t="s">
        <v>67</v>
      </c>
      <c r="BA18" s="299" t="s">
        <v>67</v>
      </c>
      <c r="BB18" s="382">
        <v>41665</v>
      </c>
      <c r="BC18" s="297" t="s">
        <v>95</v>
      </c>
      <c r="BD18" s="297" t="s">
        <v>566</v>
      </c>
      <c r="BE18" s="297"/>
      <c r="BF18" s="301"/>
      <c r="BG18" s="301" t="s">
        <v>266</v>
      </c>
      <c r="BH18" s="301" t="s">
        <v>267</v>
      </c>
      <c r="BI18" s="301" t="s">
        <v>179</v>
      </c>
      <c r="BJ18" s="312">
        <v>54390000</v>
      </c>
      <c r="BK18" s="312">
        <v>50474521</v>
      </c>
      <c r="BL18" s="313">
        <v>293074215</v>
      </c>
      <c r="BM18" s="299">
        <v>42286</v>
      </c>
      <c r="BN18" s="314">
        <v>42278</v>
      </c>
      <c r="BO18" s="394"/>
      <c r="BP18" s="390">
        <v>5896900</v>
      </c>
      <c r="BQ18" s="297" t="s">
        <v>7447</v>
      </c>
      <c r="BR18" s="303"/>
      <c r="BS18" s="301"/>
      <c r="BT18" s="301"/>
      <c r="BU18" s="301"/>
      <c r="BV18" s="301"/>
      <c r="BW18" s="316"/>
      <c r="BX18" s="304"/>
      <c r="BY18" s="299"/>
      <c r="BZ18" s="317"/>
    </row>
    <row r="19" spans="1:555" ht="69.75" customHeight="1">
      <c r="A19" s="296">
        <v>17</v>
      </c>
      <c r="B19" s="297" t="s">
        <v>268</v>
      </c>
      <c r="C19" s="298">
        <v>17560043</v>
      </c>
      <c r="D19" s="354" t="s">
        <v>167</v>
      </c>
      <c r="E19" s="299">
        <v>41885</v>
      </c>
      <c r="F19" s="300">
        <v>41883</v>
      </c>
      <c r="G19" s="301" t="s">
        <v>269</v>
      </c>
      <c r="H19" s="297" t="s">
        <v>198</v>
      </c>
      <c r="I19" s="297" t="s">
        <v>196</v>
      </c>
      <c r="J19" s="299">
        <v>41884</v>
      </c>
      <c r="K19" s="300">
        <v>41883</v>
      </c>
      <c r="L19" s="301" t="s">
        <v>270</v>
      </c>
      <c r="M19" s="297" t="s">
        <v>198</v>
      </c>
      <c r="N19" s="297" t="s">
        <v>196</v>
      </c>
      <c r="O19" s="299">
        <v>43384</v>
      </c>
      <c r="P19" s="302">
        <v>43384</v>
      </c>
      <c r="Q19" s="301" t="s">
        <v>271</v>
      </c>
      <c r="R19" s="297" t="s">
        <v>171</v>
      </c>
      <c r="S19" s="297" t="s">
        <v>272</v>
      </c>
      <c r="T19" s="299">
        <v>43384</v>
      </c>
      <c r="U19" s="300">
        <v>43384</v>
      </c>
      <c r="V19" s="301" t="s">
        <v>273</v>
      </c>
      <c r="W19" s="297" t="s">
        <v>171</v>
      </c>
      <c r="X19" s="297" t="s">
        <v>274</v>
      </c>
      <c r="Y19" s="299">
        <v>43384</v>
      </c>
      <c r="Z19" s="300">
        <v>43384</v>
      </c>
      <c r="AA19" s="301" t="s">
        <v>275</v>
      </c>
      <c r="AB19" s="297" t="s">
        <v>171</v>
      </c>
      <c r="AC19" s="297" t="s">
        <v>276</v>
      </c>
      <c r="AD19" s="299">
        <v>43384</v>
      </c>
      <c r="AE19" s="300">
        <v>43384</v>
      </c>
      <c r="AF19" s="301" t="s">
        <v>277</v>
      </c>
      <c r="AG19" s="297" t="s">
        <v>171</v>
      </c>
      <c r="AH19" s="297" t="s">
        <v>274</v>
      </c>
      <c r="AI19" s="299" t="s">
        <v>8961</v>
      </c>
      <c r="AJ19" s="300" t="s">
        <v>8962</v>
      </c>
      <c r="AK19" s="301" t="s">
        <v>8960</v>
      </c>
      <c r="AL19" s="297" t="s">
        <v>8963</v>
      </c>
      <c r="AM19" s="297" t="s">
        <v>8792</v>
      </c>
      <c r="AN19" s="297"/>
      <c r="AO19" s="479">
        <v>41704</v>
      </c>
      <c r="AP19" s="297"/>
      <c r="AQ19" s="301" t="s">
        <v>278</v>
      </c>
      <c r="AR19" s="297" t="s">
        <v>66</v>
      </c>
      <c r="AS19" s="299">
        <v>37956</v>
      </c>
      <c r="AT19" s="319">
        <v>39794</v>
      </c>
      <c r="AU19" s="297" t="s">
        <v>8793</v>
      </c>
      <c r="AV19" s="297"/>
      <c r="AW19" s="297" t="s">
        <v>92</v>
      </c>
      <c r="AX19" s="297" t="s">
        <v>279</v>
      </c>
      <c r="AY19" s="299">
        <v>40990</v>
      </c>
      <c r="AZ19" s="297" t="s">
        <v>280</v>
      </c>
      <c r="BA19" s="299">
        <v>41382</v>
      </c>
      <c r="BB19" s="382">
        <v>41403</v>
      </c>
      <c r="BC19" s="297" t="s">
        <v>95</v>
      </c>
      <c r="BD19" s="297" t="s">
        <v>566</v>
      </c>
      <c r="BE19" s="297"/>
      <c r="BF19" s="301"/>
      <c r="BG19" s="301" t="s">
        <v>281</v>
      </c>
      <c r="BH19" s="301" t="s">
        <v>9825</v>
      </c>
      <c r="BI19" s="301" t="s">
        <v>97</v>
      </c>
      <c r="BJ19" s="312" t="s">
        <v>9124</v>
      </c>
      <c r="BK19" s="312" t="s">
        <v>9826</v>
      </c>
      <c r="BL19" s="313" t="s">
        <v>9827</v>
      </c>
      <c r="BM19" s="299" t="s">
        <v>9828</v>
      </c>
      <c r="BN19" s="314" t="s">
        <v>9829</v>
      </c>
      <c r="BO19" s="394"/>
      <c r="BP19" s="390"/>
      <c r="BQ19" s="297"/>
      <c r="BR19" s="303"/>
      <c r="BS19" s="301" t="s">
        <v>282</v>
      </c>
      <c r="BT19" s="301"/>
      <c r="BU19" s="301"/>
      <c r="BV19" s="301"/>
      <c r="BW19" s="316"/>
      <c r="BX19" s="304"/>
      <c r="BY19" s="299"/>
      <c r="BZ19" s="317"/>
    </row>
    <row r="20" spans="1:555" ht="51.75" customHeight="1">
      <c r="A20" s="296">
        <v>18</v>
      </c>
      <c r="B20" s="297" t="s">
        <v>283</v>
      </c>
      <c r="C20" s="298">
        <v>80187641</v>
      </c>
      <c r="D20" s="354" t="s">
        <v>167</v>
      </c>
      <c r="E20" s="299">
        <v>41886</v>
      </c>
      <c r="F20" s="300">
        <v>41883</v>
      </c>
      <c r="G20" s="301" t="s">
        <v>284</v>
      </c>
      <c r="H20" s="297" t="s">
        <v>5</v>
      </c>
      <c r="I20" s="297" t="s">
        <v>101</v>
      </c>
      <c r="J20" s="299">
        <v>41842</v>
      </c>
      <c r="K20" s="300">
        <v>41821</v>
      </c>
      <c r="L20" s="301" t="s">
        <v>285</v>
      </c>
      <c r="M20" s="297" t="s">
        <v>198</v>
      </c>
      <c r="N20" s="297" t="s">
        <v>196</v>
      </c>
      <c r="O20" s="299">
        <v>42207</v>
      </c>
      <c r="P20" s="302">
        <v>42186</v>
      </c>
      <c r="Q20" s="301" t="s">
        <v>78</v>
      </c>
      <c r="R20" s="297" t="s">
        <v>286</v>
      </c>
      <c r="S20" s="297" t="s">
        <v>287</v>
      </c>
      <c r="T20" s="299"/>
      <c r="U20" s="300"/>
      <c r="V20" s="301"/>
      <c r="W20" s="297"/>
      <c r="X20" s="297"/>
      <c r="Y20" s="299"/>
      <c r="Z20" s="300"/>
      <c r="AA20" s="301"/>
      <c r="AB20" s="297"/>
      <c r="AC20" s="297"/>
      <c r="AD20" s="299"/>
      <c r="AE20" s="300"/>
      <c r="AF20" s="301"/>
      <c r="AG20" s="297"/>
      <c r="AH20" s="297"/>
      <c r="AI20" s="304"/>
      <c r="AJ20" s="300"/>
      <c r="AK20" s="301"/>
      <c r="AL20" s="297"/>
      <c r="AM20" s="297"/>
      <c r="AN20" s="297"/>
      <c r="AO20" s="473"/>
      <c r="AP20" s="297"/>
      <c r="AQ20" s="301" t="s">
        <v>288</v>
      </c>
      <c r="AR20" s="297" t="s">
        <v>66</v>
      </c>
      <c r="AS20" s="299">
        <v>37453</v>
      </c>
      <c r="AT20" s="299">
        <v>40178</v>
      </c>
      <c r="AU20" s="297" t="s">
        <v>289</v>
      </c>
      <c r="AV20" s="297"/>
      <c r="AW20" s="297" t="s">
        <v>92</v>
      </c>
      <c r="AX20" s="297" t="s">
        <v>290</v>
      </c>
      <c r="AY20" s="299">
        <v>41029</v>
      </c>
      <c r="AZ20" s="297" t="s">
        <v>291</v>
      </c>
      <c r="BA20" s="299">
        <v>41445</v>
      </c>
      <c r="BB20" s="382">
        <v>41460</v>
      </c>
      <c r="BC20" s="297" t="s">
        <v>95</v>
      </c>
      <c r="BD20" s="297" t="s">
        <v>566</v>
      </c>
      <c r="BE20" s="297"/>
      <c r="BF20" s="301"/>
      <c r="BG20" s="301" t="s">
        <v>292</v>
      </c>
      <c r="BH20" s="301" t="s">
        <v>293</v>
      </c>
      <c r="BI20" s="301" t="s">
        <v>294</v>
      </c>
      <c r="BJ20" s="312">
        <v>131659962</v>
      </c>
      <c r="BK20" s="312">
        <v>131659962</v>
      </c>
      <c r="BL20" s="313" t="s">
        <v>295</v>
      </c>
      <c r="BM20" s="299" t="s">
        <v>296</v>
      </c>
      <c r="BN20" s="314" t="s">
        <v>297</v>
      </c>
      <c r="BO20" s="394"/>
      <c r="BP20" s="390" t="s">
        <v>7451</v>
      </c>
      <c r="BQ20" s="297" t="s">
        <v>7452</v>
      </c>
      <c r="BR20" s="303"/>
      <c r="BS20" s="301"/>
      <c r="BT20" s="301"/>
      <c r="BU20" s="301"/>
      <c r="BV20" s="301"/>
      <c r="BW20" s="316"/>
      <c r="BX20" s="304"/>
      <c r="BY20" s="299"/>
      <c r="BZ20" s="317"/>
    </row>
    <row r="21" spans="1:555" s="509" customFormat="1" ht="81.75" customHeight="1">
      <c r="A21" s="296">
        <v>19</v>
      </c>
      <c r="B21" s="297" t="s">
        <v>298</v>
      </c>
      <c r="C21" s="298">
        <v>12542998</v>
      </c>
      <c r="D21" s="354" t="s">
        <v>224</v>
      </c>
      <c r="E21" s="299">
        <v>41891</v>
      </c>
      <c r="F21" s="300">
        <v>41883</v>
      </c>
      <c r="G21" s="301" t="s">
        <v>299</v>
      </c>
      <c r="H21" s="297" t="s">
        <v>195</v>
      </c>
      <c r="I21" s="297" t="s">
        <v>196</v>
      </c>
      <c r="J21" s="299"/>
      <c r="K21" s="300"/>
      <c r="L21" s="301"/>
      <c r="M21" s="297"/>
      <c r="N21" s="297"/>
      <c r="O21" s="299"/>
      <c r="P21" s="302"/>
      <c r="Q21" s="301"/>
      <c r="R21" s="297"/>
      <c r="S21" s="297"/>
      <c r="T21" s="299"/>
      <c r="U21" s="300"/>
      <c r="V21" s="301"/>
      <c r="W21" s="297"/>
      <c r="X21" s="297"/>
      <c r="Y21" s="299"/>
      <c r="Z21" s="300"/>
      <c r="AA21" s="301"/>
      <c r="AB21" s="297"/>
      <c r="AC21" s="297"/>
      <c r="AD21" s="299"/>
      <c r="AE21" s="300"/>
      <c r="AF21" s="301"/>
      <c r="AG21" s="297"/>
      <c r="AH21" s="297"/>
      <c r="AI21" s="304"/>
      <c r="AJ21" s="300"/>
      <c r="AK21" s="301"/>
      <c r="AL21" s="297"/>
      <c r="AM21" s="297"/>
      <c r="AN21" s="297"/>
      <c r="AO21" s="473"/>
      <c r="AP21" s="297"/>
      <c r="AQ21" s="301" t="s">
        <v>300</v>
      </c>
      <c r="AR21" s="297" t="s">
        <v>66</v>
      </c>
      <c r="AS21" s="299">
        <v>37848</v>
      </c>
      <c r="AT21" s="299">
        <v>38352</v>
      </c>
      <c r="AU21" s="297" t="s">
        <v>301</v>
      </c>
      <c r="AV21" s="297"/>
      <c r="AW21" s="297" t="s">
        <v>92</v>
      </c>
      <c r="AX21" s="297" t="s">
        <v>302</v>
      </c>
      <c r="AY21" s="299">
        <v>40991</v>
      </c>
      <c r="AZ21" s="297" t="s">
        <v>230</v>
      </c>
      <c r="BA21" s="299">
        <v>41311</v>
      </c>
      <c r="BB21" s="382">
        <v>41698</v>
      </c>
      <c r="BC21" s="297" t="s">
        <v>95</v>
      </c>
      <c r="BD21" s="297" t="s">
        <v>566</v>
      </c>
      <c r="BE21" s="297"/>
      <c r="BF21" s="301"/>
      <c r="BG21" s="301" t="s">
        <v>303</v>
      </c>
      <c r="BH21" s="301" t="s">
        <v>304</v>
      </c>
      <c r="BI21" s="301" t="s">
        <v>305</v>
      </c>
      <c r="BJ21" s="312">
        <v>54928370.003614351</v>
      </c>
      <c r="BK21" s="312" t="s">
        <v>306</v>
      </c>
      <c r="BL21" s="313" t="s">
        <v>307</v>
      </c>
      <c r="BM21" s="299" t="s">
        <v>308</v>
      </c>
      <c r="BN21" s="300" t="s">
        <v>309</v>
      </c>
      <c r="BO21" s="394"/>
      <c r="BP21" s="390"/>
      <c r="BQ21" s="297"/>
      <c r="BR21" s="303"/>
      <c r="BS21" s="301"/>
      <c r="BT21" s="301"/>
      <c r="BU21" s="301"/>
      <c r="BV21" s="301"/>
      <c r="BW21" s="316"/>
      <c r="BX21" s="304"/>
      <c r="BY21" s="299"/>
      <c r="BZ21" s="317"/>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c r="IV21" s="1"/>
      <c r="IW21" s="1"/>
      <c r="IX21" s="1"/>
      <c r="IY21" s="1"/>
      <c r="IZ21" s="1"/>
      <c r="JA21" s="1"/>
      <c r="JB21" s="1"/>
      <c r="JC21" s="1"/>
      <c r="JD21" s="1"/>
      <c r="JE21" s="1"/>
      <c r="JF21" s="1"/>
      <c r="JG21" s="1"/>
      <c r="JH21" s="1"/>
      <c r="JI21" s="1"/>
      <c r="JJ21" s="1"/>
      <c r="JK21" s="1"/>
      <c r="JL21" s="1"/>
      <c r="JM21" s="1"/>
      <c r="JN21" s="1"/>
      <c r="JO21" s="1"/>
      <c r="JP21" s="1"/>
      <c r="JQ21" s="1"/>
      <c r="JR21" s="1"/>
      <c r="JS21" s="1"/>
      <c r="JT21" s="1"/>
      <c r="JU21" s="1"/>
      <c r="JV21" s="1"/>
      <c r="JW21" s="1"/>
      <c r="JX21" s="1"/>
      <c r="JY21" s="1"/>
      <c r="JZ21" s="1"/>
      <c r="KA21" s="1"/>
      <c r="KB21" s="1"/>
      <c r="KC21" s="1"/>
      <c r="KD21" s="1"/>
      <c r="KE21" s="1"/>
      <c r="KF21" s="1"/>
      <c r="KG21" s="1"/>
      <c r="KH21" s="1"/>
      <c r="KI21" s="1"/>
      <c r="KJ21" s="1"/>
      <c r="KK21" s="1"/>
      <c r="KL21" s="1"/>
      <c r="KM21" s="1"/>
      <c r="KN21" s="1"/>
      <c r="KO21" s="1"/>
      <c r="KP21" s="1"/>
      <c r="KQ21" s="1"/>
      <c r="KR21" s="1"/>
      <c r="KS21" s="1"/>
      <c r="KT21" s="1"/>
      <c r="KU21" s="1"/>
      <c r="KV21" s="1"/>
      <c r="KW21" s="1"/>
      <c r="KX21" s="1"/>
      <c r="KY21" s="1"/>
      <c r="KZ21" s="1"/>
      <c r="LA21" s="1"/>
      <c r="LB21" s="1"/>
      <c r="LC21" s="1"/>
      <c r="LD21" s="1"/>
      <c r="LE21" s="1"/>
      <c r="LF21" s="1"/>
      <c r="LG21" s="1"/>
      <c r="LH21" s="1"/>
      <c r="LI21" s="1"/>
      <c r="LJ21" s="1"/>
      <c r="LK21" s="1"/>
      <c r="LL21" s="1"/>
      <c r="LM21" s="1"/>
      <c r="LN21" s="1"/>
      <c r="LO21" s="1"/>
      <c r="LP21" s="1"/>
      <c r="LQ21" s="1"/>
      <c r="LR21" s="1"/>
      <c r="LS21" s="1"/>
      <c r="LT21" s="1"/>
      <c r="LU21" s="1"/>
      <c r="LV21" s="1"/>
      <c r="LW21" s="1"/>
      <c r="LX21" s="1"/>
      <c r="LY21" s="1"/>
      <c r="LZ21" s="1"/>
      <c r="MA21" s="1"/>
      <c r="MB21" s="1"/>
      <c r="MC21" s="1"/>
      <c r="MD21" s="1"/>
      <c r="ME21" s="1"/>
      <c r="MF21" s="1"/>
      <c r="MG21" s="1"/>
      <c r="MH21" s="1"/>
      <c r="MI21" s="1"/>
      <c r="MJ21" s="1"/>
      <c r="MK21" s="1"/>
      <c r="ML21" s="1"/>
      <c r="MM21" s="1"/>
      <c r="MN21" s="1"/>
      <c r="MO21" s="1"/>
      <c r="MP21" s="1"/>
      <c r="MQ21" s="1"/>
      <c r="MR21" s="1"/>
      <c r="MS21" s="1"/>
      <c r="MT21" s="1"/>
      <c r="MU21" s="1"/>
      <c r="MV21" s="1"/>
      <c r="MW21" s="1"/>
      <c r="MX21" s="1"/>
      <c r="MY21" s="1"/>
      <c r="MZ21" s="1"/>
      <c r="NA21" s="1"/>
      <c r="NB21" s="1"/>
      <c r="NC21" s="1"/>
      <c r="ND21" s="1"/>
      <c r="NE21" s="1"/>
      <c r="NF21" s="1"/>
      <c r="NG21" s="1"/>
      <c r="NH21" s="1"/>
      <c r="NI21" s="1"/>
      <c r="NJ21" s="1"/>
      <c r="NK21" s="1"/>
      <c r="NL21" s="1"/>
      <c r="NM21" s="1"/>
      <c r="NN21" s="1"/>
      <c r="NO21" s="1"/>
      <c r="NP21" s="1"/>
      <c r="NQ21" s="1"/>
      <c r="NR21" s="1"/>
      <c r="NS21" s="1"/>
      <c r="NT21" s="1"/>
      <c r="NU21" s="1"/>
      <c r="NV21" s="1"/>
      <c r="NW21" s="1"/>
      <c r="NX21" s="1"/>
      <c r="NY21" s="1"/>
      <c r="NZ21" s="1"/>
      <c r="OA21" s="1"/>
      <c r="OB21" s="1"/>
      <c r="OC21" s="1"/>
      <c r="OD21" s="1"/>
      <c r="OE21" s="1"/>
      <c r="OF21" s="1"/>
      <c r="OG21" s="1"/>
      <c r="OH21" s="1"/>
      <c r="OI21" s="1"/>
      <c r="OJ21" s="1"/>
      <c r="OK21" s="1"/>
      <c r="OL21" s="1"/>
      <c r="OM21" s="1"/>
      <c r="ON21" s="1"/>
      <c r="OO21" s="1"/>
      <c r="OP21" s="1"/>
      <c r="OQ21" s="1"/>
      <c r="OR21" s="1"/>
      <c r="OS21" s="1"/>
      <c r="OT21" s="1"/>
      <c r="OU21" s="1"/>
      <c r="OV21" s="1"/>
      <c r="OW21" s="1"/>
      <c r="OX21" s="1"/>
      <c r="OY21" s="1"/>
      <c r="OZ21" s="1"/>
      <c r="PA21" s="1"/>
      <c r="PB21" s="1"/>
      <c r="PC21" s="1"/>
      <c r="PD21" s="1"/>
      <c r="PE21" s="1"/>
      <c r="PF21" s="1"/>
      <c r="PG21" s="1"/>
      <c r="PH21" s="1"/>
      <c r="PI21" s="1"/>
      <c r="PJ21" s="1"/>
      <c r="PK21" s="1"/>
      <c r="PL21" s="1"/>
      <c r="PM21" s="1"/>
      <c r="PN21" s="1"/>
      <c r="PO21" s="1"/>
      <c r="PP21" s="1"/>
      <c r="PQ21" s="1"/>
      <c r="PR21" s="1"/>
      <c r="PS21" s="1"/>
      <c r="PT21" s="1"/>
      <c r="PU21" s="1"/>
      <c r="PV21" s="1"/>
      <c r="PW21" s="1"/>
      <c r="PX21" s="1"/>
      <c r="PY21" s="1"/>
      <c r="PZ21" s="1"/>
      <c r="QA21" s="1"/>
      <c r="QB21" s="1"/>
      <c r="QC21" s="1"/>
      <c r="QD21" s="1"/>
      <c r="QE21" s="1"/>
      <c r="QF21" s="1"/>
      <c r="QG21" s="1"/>
      <c r="QH21" s="1"/>
      <c r="QI21" s="1"/>
      <c r="QJ21" s="1"/>
      <c r="QK21" s="1"/>
      <c r="QL21" s="1"/>
      <c r="QM21" s="1"/>
      <c r="QN21" s="1"/>
      <c r="QO21" s="1"/>
      <c r="QP21" s="1"/>
      <c r="QQ21" s="1"/>
      <c r="QR21" s="1"/>
      <c r="QS21" s="1"/>
      <c r="QT21" s="1"/>
      <c r="QU21" s="1"/>
      <c r="QV21" s="1"/>
      <c r="QW21" s="1"/>
      <c r="QX21" s="1"/>
      <c r="QY21" s="1"/>
      <c r="QZ21" s="1"/>
      <c r="RA21" s="1"/>
      <c r="RB21" s="1"/>
      <c r="RC21" s="1"/>
      <c r="RD21" s="1"/>
      <c r="RE21" s="1"/>
      <c r="RF21" s="1"/>
      <c r="RG21" s="1"/>
      <c r="RH21" s="1"/>
      <c r="RI21" s="1"/>
      <c r="RJ21" s="1"/>
      <c r="RK21" s="1"/>
      <c r="RL21" s="1"/>
      <c r="RM21" s="1"/>
      <c r="RN21" s="1"/>
      <c r="RO21" s="1"/>
      <c r="RP21" s="1"/>
      <c r="RQ21" s="1"/>
      <c r="RR21" s="1"/>
      <c r="RS21" s="1"/>
      <c r="RT21" s="1"/>
      <c r="RU21" s="1"/>
      <c r="RV21" s="1"/>
      <c r="RW21" s="1"/>
      <c r="RX21" s="1"/>
      <c r="RY21" s="1"/>
      <c r="RZ21" s="1"/>
      <c r="SA21" s="1"/>
      <c r="SB21" s="1"/>
      <c r="SC21" s="1"/>
      <c r="SD21" s="1"/>
      <c r="SE21" s="1"/>
      <c r="SF21" s="1"/>
      <c r="SG21" s="1"/>
      <c r="SH21" s="1"/>
      <c r="SI21" s="1"/>
      <c r="SJ21" s="1"/>
      <c r="SK21" s="1"/>
      <c r="SL21" s="1"/>
      <c r="SM21" s="1"/>
      <c r="SN21" s="1"/>
      <c r="SO21" s="1"/>
      <c r="SP21" s="1"/>
      <c r="SQ21" s="1"/>
      <c r="SR21" s="1"/>
      <c r="SS21" s="1"/>
      <c r="ST21" s="1"/>
      <c r="SU21" s="1"/>
      <c r="SV21" s="1"/>
      <c r="SW21" s="1"/>
      <c r="SX21" s="1"/>
      <c r="SY21" s="1"/>
      <c r="SZ21" s="1"/>
      <c r="TA21" s="1"/>
      <c r="TB21" s="1"/>
      <c r="TC21" s="1"/>
      <c r="TD21" s="1"/>
      <c r="TE21" s="1"/>
      <c r="TF21" s="1"/>
      <c r="TG21" s="1"/>
      <c r="TH21" s="1"/>
      <c r="TI21" s="1"/>
      <c r="TJ21" s="1"/>
      <c r="TK21" s="1"/>
      <c r="TL21" s="1"/>
      <c r="TM21" s="1"/>
      <c r="TN21" s="1"/>
      <c r="TO21" s="1"/>
      <c r="TP21" s="1"/>
      <c r="TQ21" s="1"/>
      <c r="TR21" s="1"/>
      <c r="TS21" s="1"/>
      <c r="TT21" s="1"/>
      <c r="TU21" s="1"/>
      <c r="TV21" s="1"/>
      <c r="TW21" s="1"/>
      <c r="TX21" s="1"/>
      <c r="TY21" s="1"/>
      <c r="TZ21" s="1"/>
      <c r="UA21" s="1"/>
      <c r="UB21" s="1"/>
      <c r="UC21" s="1"/>
      <c r="UD21" s="1"/>
      <c r="UE21" s="1"/>
      <c r="UF21" s="1"/>
      <c r="UG21" s="1"/>
      <c r="UH21" s="1"/>
      <c r="UI21" s="1"/>
    </row>
    <row r="22" spans="1:555" ht="69" customHeight="1">
      <c r="A22" s="296">
        <v>20</v>
      </c>
      <c r="B22" s="297" t="s">
        <v>310</v>
      </c>
      <c r="C22" s="298">
        <v>85456221</v>
      </c>
      <c r="D22" s="354" t="s">
        <v>224</v>
      </c>
      <c r="E22" s="299">
        <v>41891</v>
      </c>
      <c r="F22" s="300">
        <v>41883</v>
      </c>
      <c r="G22" s="301" t="s">
        <v>299</v>
      </c>
      <c r="H22" s="297" t="s">
        <v>195</v>
      </c>
      <c r="I22" s="297" t="s">
        <v>196</v>
      </c>
      <c r="J22" s="299"/>
      <c r="K22" s="300"/>
      <c r="L22" s="301"/>
      <c r="M22" s="297"/>
      <c r="N22" s="297"/>
      <c r="O22" s="299"/>
      <c r="P22" s="302"/>
      <c r="Q22" s="301"/>
      <c r="R22" s="297"/>
      <c r="S22" s="297"/>
      <c r="T22" s="299"/>
      <c r="U22" s="300"/>
      <c r="V22" s="301"/>
      <c r="W22" s="297"/>
      <c r="X22" s="297"/>
      <c r="Y22" s="299"/>
      <c r="Z22" s="300"/>
      <c r="AA22" s="301"/>
      <c r="AB22" s="297"/>
      <c r="AC22" s="297"/>
      <c r="AD22" s="299"/>
      <c r="AE22" s="300"/>
      <c r="AF22" s="301"/>
      <c r="AG22" s="297"/>
      <c r="AH22" s="297"/>
      <c r="AI22" s="304"/>
      <c r="AJ22" s="300"/>
      <c r="AK22" s="301"/>
      <c r="AL22" s="297"/>
      <c r="AM22" s="297"/>
      <c r="AN22" s="297"/>
      <c r="AO22" s="473"/>
      <c r="AP22" s="297"/>
      <c r="AQ22" s="301" t="s">
        <v>300</v>
      </c>
      <c r="AR22" s="297" t="s">
        <v>66</v>
      </c>
      <c r="AS22" s="299">
        <v>37245</v>
      </c>
      <c r="AT22" s="299">
        <v>38352</v>
      </c>
      <c r="AU22" s="297" t="s">
        <v>110</v>
      </c>
      <c r="AV22" s="297"/>
      <c r="AW22" s="297" t="s">
        <v>92</v>
      </c>
      <c r="AX22" s="297" t="s">
        <v>302</v>
      </c>
      <c r="AY22" s="299">
        <v>40991</v>
      </c>
      <c r="AZ22" s="297" t="s">
        <v>230</v>
      </c>
      <c r="BA22" s="299">
        <v>41311</v>
      </c>
      <c r="BB22" s="382">
        <v>41698</v>
      </c>
      <c r="BC22" s="297" t="s">
        <v>95</v>
      </c>
      <c r="BD22" s="297" t="s">
        <v>566</v>
      </c>
      <c r="BE22" s="297"/>
      <c r="BF22" s="301"/>
      <c r="BG22" s="301" t="s">
        <v>311</v>
      </c>
      <c r="BH22" s="301" t="s">
        <v>312</v>
      </c>
      <c r="BI22" s="301" t="s">
        <v>305</v>
      </c>
      <c r="BJ22" s="312">
        <v>66408269</v>
      </c>
      <c r="BK22" s="312" t="s">
        <v>313</v>
      </c>
      <c r="BL22" s="313" t="s">
        <v>314</v>
      </c>
      <c r="BM22" s="299" t="s">
        <v>315</v>
      </c>
      <c r="BN22" s="314" t="s">
        <v>309</v>
      </c>
      <c r="BO22" s="394"/>
      <c r="BP22" s="390"/>
      <c r="BQ22" s="297"/>
      <c r="BR22" s="303"/>
      <c r="BS22" s="301"/>
      <c r="BT22" s="301"/>
      <c r="BU22" s="301"/>
      <c r="BV22" s="301"/>
      <c r="BW22" s="316"/>
      <c r="BX22" s="304"/>
      <c r="BY22" s="299"/>
      <c r="BZ22" s="317"/>
    </row>
    <row r="23" spans="1:555" ht="54.75" customHeight="1">
      <c r="A23" s="296">
        <v>21</v>
      </c>
      <c r="B23" s="297" t="s">
        <v>316</v>
      </c>
      <c r="C23" s="298">
        <v>79704301</v>
      </c>
      <c r="D23" s="354" t="s">
        <v>167</v>
      </c>
      <c r="E23" s="299">
        <v>41892</v>
      </c>
      <c r="F23" s="300">
        <v>41883</v>
      </c>
      <c r="G23" s="301" t="s">
        <v>271</v>
      </c>
      <c r="H23" s="297" t="s">
        <v>171</v>
      </c>
      <c r="I23" s="297" t="s">
        <v>183</v>
      </c>
      <c r="J23" s="299">
        <v>42207</v>
      </c>
      <c r="K23" s="300">
        <v>42186</v>
      </c>
      <c r="L23" s="301" t="s">
        <v>78</v>
      </c>
      <c r="M23" s="297" t="s">
        <v>5</v>
      </c>
      <c r="N23" s="297" t="s">
        <v>287</v>
      </c>
      <c r="O23" s="299">
        <v>43395</v>
      </c>
      <c r="P23" s="302">
        <v>43395</v>
      </c>
      <c r="Q23" s="301" t="s">
        <v>7316</v>
      </c>
      <c r="R23" s="297" t="s">
        <v>316</v>
      </c>
      <c r="S23" s="297" t="s">
        <v>107</v>
      </c>
      <c r="T23" s="305">
        <v>43425</v>
      </c>
      <c r="U23" s="300">
        <v>43425</v>
      </c>
      <c r="V23" s="315" t="s">
        <v>7986</v>
      </c>
      <c r="W23" s="315" t="s">
        <v>208</v>
      </c>
      <c r="X23" s="315" t="s">
        <v>7422</v>
      </c>
      <c r="Y23" s="299"/>
      <c r="Z23" s="300"/>
      <c r="AA23" s="301"/>
      <c r="AB23" s="297"/>
      <c r="AC23" s="297"/>
      <c r="AD23" s="299"/>
      <c r="AE23" s="300"/>
      <c r="AF23" s="301"/>
      <c r="AG23" s="297"/>
      <c r="AH23" s="297"/>
      <c r="AI23" s="304"/>
      <c r="AJ23" s="300"/>
      <c r="AK23" s="301"/>
      <c r="AL23" s="297"/>
      <c r="AM23" s="297"/>
      <c r="AN23" s="297"/>
      <c r="AO23" s="473"/>
      <c r="AP23" s="297"/>
      <c r="AQ23" s="301" t="s">
        <v>317</v>
      </c>
      <c r="AR23" s="297" t="s">
        <v>66</v>
      </c>
      <c r="AS23" s="299">
        <v>37401</v>
      </c>
      <c r="AT23" s="299">
        <v>39263</v>
      </c>
      <c r="AU23" s="297" t="s">
        <v>7317</v>
      </c>
      <c r="AV23" s="297"/>
      <c r="AW23" s="297" t="s">
        <v>92</v>
      </c>
      <c r="AX23" s="297" t="s">
        <v>318</v>
      </c>
      <c r="AY23" s="299">
        <v>41547</v>
      </c>
      <c r="AZ23" s="297" t="s">
        <v>67</v>
      </c>
      <c r="BA23" s="299" t="s">
        <v>67</v>
      </c>
      <c r="BB23" s="382">
        <v>41570</v>
      </c>
      <c r="BC23" s="297" t="s">
        <v>95</v>
      </c>
      <c r="BD23" s="297" t="s">
        <v>566</v>
      </c>
      <c r="BE23" s="297"/>
      <c r="BF23" s="301"/>
      <c r="BG23" s="301" t="s">
        <v>319</v>
      </c>
      <c r="BH23" s="301" t="s">
        <v>320</v>
      </c>
      <c r="BI23" s="301" t="s">
        <v>321</v>
      </c>
      <c r="BJ23" s="312">
        <v>74203870</v>
      </c>
      <c r="BK23" s="312">
        <v>74203870</v>
      </c>
      <c r="BL23" s="313">
        <v>147887016</v>
      </c>
      <c r="BM23" s="299">
        <v>42529</v>
      </c>
      <c r="BN23" s="314">
        <v>42522</v>
      </c>
      <c r="BO23" s="394"/>
      <c r="BP23" s="390"/>
      <c r="BQ23" s="297"/>
      <c r="BR23" s="303"/>
      <c r="BS23" s="301"/>
      <c r="BT23" s="301"/>
      <c r="BU23" s="301"/>
      <c r="BV23" s="301"/>
      <c r="BW23" s="316"/>
      <c r="BX23" s="304"/>
      <c r="BY23" s="299"/>
      <c r="BZ23" s="317"/>
    </row>
    <row r="24" spans="1:555" ht="66.75" customHeight="1">
      <c r="A24" s="296">
        <v>22</v>
      </c>
      <c r="B24" s="297" t="s">
        <v>322</v>
      </c>
      <c r="C24" s="298">
        <v>17339517</v>
      </c>
      <c r="D24" s="354" t="s">
        <v>323</v>
      </c>
      <c r="E24" s="299">
        <v>41893</v>
      </c>
      <c r="F24" s="300">
        <v>41883</v>
      </c>
      <c r="G24" s="301" t="s">
        <v>324</v>
      </c>
      <c r="H24" s="297" t="s">
        <v>195</v>
      </c>
      <c r="I24" s="297" t="s">
        <v>196</v>
      </c>
      <c r="J24" s="299">
        <v>41883</v>
      </c>
      <c r="K24" s="300">
        <v>41883</v>
      </c>
      <c r="L24" s="301" t="s">
        <v>325</v>
      </c>
      <c r="M24" s="297" t="s">
        <v>5</v>
      </c>
      <c r="N24" s="297" t="s">
        <v>131</v>
      </c>
      <c r="O24" s="299"/>
      <c r="P24" s="302"/>
      <c r="Q24" s="301"/>
      <c r="R24" s="297"/>
      <c r="S24" s="297"/>
      <c r="T24" s="299"/>
      <c r="U24" s="300"/>
      <c r="V24" s="301"/>
      <c r="W24" s="297"/>
      <c r="X24" s="297"/>
      <c r="Y24" s="299"/>
      <c r="Z24" s="300"/>
      <c r="AA24" s="301"/>
      <c r="AB24" s="297"/>
      <c r="AC24" s="297"/>
      <c r="AD24" s="299"/>
      <c r="AE24" s="300"/>
      <c r="AF24" s="301"/>
      <c r="AG24" s="297"/>
      <c r="AH24" s="297"/>
      <c r="AI24" s="304"/>
      <c r="AJ24" s="300"/>
      <c r="AK24" s="301"/>
      <c r="AL24" s="297"/>
      <c r="AM24" s="297"/>
      <c r="AN24" s="297"/>
      <c r="AO24" s="473"/>
      <c r="AP24" s="297"/>
      <c r="AQ24" s="301" t="s">
        <v>326</v>
      </c>
      <c r="AR24" s="297" t="s">
        <v>66</v>
      </c>
      <c r="AS24" s="299">
        <v>38777</v>
      </c>
      <c r="AT24" s="299">
        <v>40390</v>
      </c>
      <c r="AU24" s="297" t="s">
        <v>7941</v>
      </c>
      <c r="AV24" s="297"/>
      <c r="AW24" s="297" t="s">
        <v>92</v>
      </c>
      <c r="AX24" s="297" t="s">
        <v>327</v>
      </c>
      <c r="AY24" s="299">
        <v>41388</v>
      </c>
      <c r="AZ24" s="297" t="s">
        <v>328</v>
      </c>
      <c r="BA24" s="299">
        <v>41572</v>
      </c>
      <c r="BB24" s="382">
        <v>41620</v>
      </c>
      <c r="BC24" s="297" t="s">
        <v>95</v>
      </c>
      <c r="BD24" s="297" t="s">
        <v>566</v>
      </c>
      <c r="BE24" s="297"/>
      <c r="BF24" s="301"/>
      <c r="BG24" s="301" t="s">
        <v>329</v>
      </c>
      <c r="BH24" s="301" t="s">
        <v>330</v>
      </c>
      <c r="BI24" s="301" t="s">
        <v>331</v>
      </c>
      <c r="BJ24" s="312">
        <v>83706350</v>
      </c>
      <c r="BK24" s="312">
        <v>83706350</v>
      </c>
      <c r="BL24" s="313">
        <v>80567616</v>
      </c>
      <c r="BM24" s="299">
        <v>42465</v>
      </c>
      <c r="BN24" s="314">
        <v>42461</v>
      </c>
      <c r="BO24" s="394"/>
      <c r="BP24" s="390">
        <v>12347200</v>
      </c>
      <c r="BQ24" s="297" t="s">
        <v>7448</v>
      </c>
      <c r="BR24" s="303"/>
      <c r="BS24" s="301"/>
      <c r="BT24" s="301"/>
      <c r="BU24" s="301"/>
      <c r="BV24" s="301"/>
      <c r="BW24" s="316"/>
      <c r="BX24" s="304"/>
      <c r="BY24" s="299"/>
      <c r="BZ24" s="317"/>
    </row>
    <row r="25" spans="1:555" ht="63.75" customHeight="1">
      <c r="A25" s="296">
        <v>23</v>
      </c>
      <c r="B25" s="297" t="s">
        <v>332</v>
      </c>
      <c r="C25" s="298">
        <v>71691416</v>
      </c>
      <c r="D25" s="354" t="s">
        <v>333</v>
      </c>
      <c r="E25" s="299">
        <v>41893</v>
      </c>
      <c r="F25" s="300">
        <v>41883</v>
      </c>
      <c r="G25" s="301" t="s">
        <v>334</v>
      </c>
      <c r="H25" s="297" t="s">
        <v>198</v>
      </c>
      <c r="I25" s="297" t="s">
        <v>196</v>
      </c>
      <c r="J25" s="299">
        <v>42632</v>
      </c>
      <c r="K25" s="300">
        <v>42614</v>
      </c>
      <c r="L25" s="301" t="s">
        <v>335</v>
      </c>
      <c r="M25" s="297" t="s">
        <v>208</v>
      </c>
      <c r="N25" s="297" t="s">
        <v>336</v>
      </c>
      <c r="O25" s="299"/>
      <c r="P25" s="302"/>
      <c r="Q25" s="301"/>
      <c r="R25" s="297"/>
      <c r="S25" s="297"/>
      <c r="T25" s="299"/>
      <c r="U25" s="300"/>
      <c r="V25" s="301"/>
      <c r="W25" s="297"/>
      <c r="X25" s="297"/>
      <c r="Y25" s="299"/>
      <c r="Z25" s="300"/>
      <c r="AA25" s="301"/>
      <c r="AB25" s="297"/>
      <c r="AC25" s="297"/>
      <c r="AD25" s="299"/>
      <c r="AE25" s="300"/>
      <c r="AF25" s="301"/>
      <c r="AG25" s="297"/>
      <c r="AH25" s="297"/>
      <c r="AI25" s="304"/>
      <c r="AJ25" s="300"/>
      <c r="AK25" s="301"/>
      <c r="AL25" s="297"/>
      <c r="AM25" s="297"/>
      <c r="AN25" s="297"/>
      <c r="AO25" s="473"/>
      <c r="AP25" s="297"/>
      <c r="AQ25" s="301" t="s">
        <v>337</v>
      </c>
      <c r="AR25" s="297" t="s">
        <v>66</v>
      </c>
      <c r="AS25" s="299">
        <v>37959</v>
      </c>
      <c r="AT25" s="299">
        <v>40359</v>
      </c>
      <c r="AU25" s="297" t="s">
        <v>186</v>
      </c>
      <c r="AV25" s="297"/>
      <c r="AW25" s="297" t="s">
        <v>92</v>
      </c>
      <c r="AX25" s="297" t="s">
        <v>338</v>
      </c>
      <c r="AY25" s="299">
        <v>41101</v>
      </c>
      <c r="AZ25" s="297" t="s">
        <v>339</v>
      </c>
      <c r="BA25" s="299">
        <v>41766</v>
      </c>
      <c r="BB25" s="382">
        <v>41782</v>
      </c>
      <c r="BC25" s="297" t="s">
        <v>95</v>
      </c>
      <c r="BD25" s="297" t="s">
        <v>566</v>
      </c>
      <c r="BE25" s="297"/>
      <c r="BF25" s="301"/>
      <c r="BG25" s="301" t="s">
        <v>67</v>
      </c>
      <c r="BH25" s="301" t="s">
        <v>340</v>
      </c>
      <c r="BI25" s="301" t="s">
        <v>341</v>
      </c>
      <c r="BJ25" s="312">
        <v>130159123</v>
      </c>
      <c r="BK25" s="312" t="s">
        <v>342</v>
      </c>
      <c r="BL25" s="313" t="s">
        <v>343</v>
      </c>
      <c r="BM25" s="299" t="s">
        <v>344</v>
      </c>
      <c r="BN25" s="314" t="s">
        <v>345</v>
      </c>
      <c r="BO25" s="394"/>
      <c r="BP25" s="390"/>
      <c r="BQ25" s="297"/>
      <c r="BR25" s="303"/>
      <c r="BS25" s="301"/>
      <c r="BT25" s="301"/>
      <c r="BU25" s="301"/>
      <c r="BV25" s="301"/>
      <c r="BW25" s="316"/>
      <c r="BX25" s="304"/>
      <c r="BY25" s="299"/>
      <c r="BZ25" s="317"/>
    </row>
    <row r="26" spans="1:555" ht="60" customHeight="1">
      <c r="A26" s="296">
        <v>24</v>
      </c>
      <c r="B26" s="297" t="s">
        <v>346</v>
      </c>
      <c r="C26" s="298">
        <v>73165204</v>
      </c>
      <c r="D26" s="354" t="s">
        <v>347</v>
      </c>
      <c r="E26" s="299">
        <v>41901</v>
      </c>
      <c r="F26" s="300">
        <v>41883</v>
      </c>
      <c r="G26" s="301" t="s">
        <v>348</v>
      </c>
      <c r="H26" s="297" t="s">
        <v>195</v>
      </c>
      <c r="I26" s="297" t="s">
        <v>196</v>
      </c>
      <c r="J26" s="299">
        <v>42332</v>
      </c>
      <c r="K26" s="300">
        <v>42309</v>
      </c>
      <c r="L26" s="301" t="s">
        <v>349</v>
      </c>
      <c r="M26" s="297" t="s">
        <v>63</v>
      </c>
      <c r="N26" s="297" t="s">
        <v>8105</v>
      </c>
      <c r="O26" s="299">
        <v>42342</v>
      </c>
      <c r="P26" s="302">
        <v>42339</v>
      </c>
      <c r="Q26" s="301" t="s">
        <v>351</v>
      </c>
      <c r="R26" s="297" t="s">
        <v>195</v>
      </c>
      <c r="S26" s="297" t="s">
        <v>352</v>
      </c>
      <c r="T26" s="299">
        <v>42541</v>
      </c>
      <c r="U26" s="300">
        <v>42522</v>
      </c>
      <c r="V26" s="301" t="s">
        <v>353</v>
      </c>
      <c r="W26" s="297" t="s">
        <v>236</v>
      </c>
      <c r="X26" s="297" t="s">
        <v>196</v>
      </c>
      <c r="Y26" s="299">
        <v>42794</v>
      </c>
      <c r="Z26" s="300">
        <v>42767</v>
      </c>
      <c r="AA26" s="301" t="s">
        <v>354</v>
      </c>
      <c r="AB26" s="297" t="s">
        <v>152</v>
      </c>
      <c r="AC26" s="297" t="s">
        <v>355</v>
      </c>
      <c r="AD26" s="299" t="s">
        <v>356</v>
      </c>
      <c r="AE26" s="300" t="s">
        <v>357</v>
      </c>
      <c r="AF26" s="301" t="s">
        <v>358</v>
      </c>
      <c r="AG26" s="297" t="s">
        <v>359</v>
      </c>
      <c r="AH26" s="297" t="s">
        <v>360</v>
      </c>
      <c r="AI26" s="299" t="s">
        <v>361</v>
      </c>
      <c r="AJ26" s="300" t="s">
        <v>362</v>
      </c>
      <c r="AK26" s="300" t="s">
        <v>363</v>
      </c>
      <c r="AL26" s="297" t="s">
        <v>364</v>
      </c>
      <c r="AM26" s="297" t="s">
        <v>365</v>
      </c>
      <c r="AN26" s="297" t="s">
        <v>366</v>
      </c>
      <c r="AO26" s="473"/>
      <c r="AP26" s="297"/>
      <c r="AQ26" s="301" t="s">
        <v>367</v>
      </c>
      <c r="AR26" s="297" t="s">
        <v>66</v>
      </c>
      <c r="AS26" s="299">
        <v>38533</v>
      </c>
      <c r="AT26" s="299">
        <v>39885</v>
      </c>
      <c r="AU26" s="297" t="s">
        <v>368</v>
      </c>
      <c r="AV26" s="297"/>
      <c r="AW26" s="297" t="s">
        <v>69</v>
      </c>
      <c r="AX26" s="297" t="s">
        <v>369</v>
      </c>
      <c r="AY26" s="299">
        <v>41577</v>
      </c>
      <c r="AZ26" s="297" t="s">
        <v>142</v>
      </c>
      <c r="BA26" s="299">
        <v>41711</v>
      </c>
      <c r="BB26" s="382">
        <v>41720</v>
      </c>
      <c r="BC26" s="297" t="s">
        <v>95</v>
      </c>
      <c r="BD26" s="297" t="s">
        <v>1792</v>
      </c>
      <c r="BE26" s="297"/>
      <c r="BF26" s="301"/>
      <c r="BG26" s="301"/>
      <c r="BH26" s="301" t="s">
        <v>370</v>
      </c>
      <c r="BI26" s="301"/>
      <c r="BJ26" s="312">
        <v>141072060</v>
      </c>
      <c r="BK26" s="312">
        <v>141072060</v>
      </c>
      <c r="BL26" s="313">
        <v>167803918</v>
      </c>
      <c r="BM26" s="299">
        <v>43256</v>
      </c>
      <c r="BN26" s="314">
        <v>43252</v>
      </c>
      <c r="BO26" s="434" t="s">
        <v>371</v>
      </c>
      <c r="BP26" s="397"/>
      <c r="BQ26" s="398"/>
      <c r="BR26" s="320"/>
      <c r="BS26" s="301"/>
      <c r="BT26" s="301"/>
      <c r="BU26" s="301"/>
      <c r="BV26" s="301"/>
      <c r="BW26" s="316"/>
      <c r="BX26" s="304"/>
      <c r="BY26" s="299"/>
      <c r="BZ26" s="317"/>
    </row>
    <row r="27" spans="1:555" ht="55.5" customHeight="1">
      <c r="A27" s="296">
        <v>25</v>
      </c>
      <c r="B27" s="297" t="s">
        <v>372</v>
      </c>
      <c r="C27" s="298">
        <v>98637459</v>
      </c>
      <c r="D27" s="354" t="s">
        <v>333</v>
      </c>
      <c r="E27" s="299">
        <v>41908</v>
      </c>
      <c r="F27" s="300">
        <v>41883</v>
      </c>
      <c r="G27" s="301" t="s">
        <v>373</v>
      </c>
      <c r="H27" s="297" t="s">
        <v>5</v>
      </c>
      <c r="I27" s="297" t="s">
        <v>101</v>
      </c>
      <c r="J27" s="299"/>
      <c r="K27" s="300"/>
      <c r="L27" s="301"/>
      <c r="M27" s="297"/>
      <c r="N27" s="297"/>
      <c r="O27" s="299"/>
      <c r="P27" s="302"/>
      <c r="Q27" s="301"/>
      <c r="R27" s="297"/>
      <c r="S27" s="297"/>
      <c r="T27" s="299"/>
      <c r="U27" s="300"/>
      <c r="V27" s="301"/>
      <c r="W27" s="297"/>
      <c r="X27" s="297"/>
      <c r="Y27" s="299"/>
      <c r="Z27" s="300"/>
      <c r="AA27" s="301"/>
      <c r="AB27" s="297"/>
      <c r="AC27" s="297"/>
      <c r="AD27" s="299"/>
      <c r="AE27" s="300"/>
      <c r="AF27" s="301"/>
      <c r="AG27" s="297"/>
      <c r="AH27" s="297"/>
      <c r="AI27" s="304"/>
      <c r="AJ27" s="300"/>
      <c r="AK27" s="301"/>
      <c r="AL27" s="297"/>
      <c r="AM27" s="297"/>
      <c r="AN27" s="297"/>
      <c r="AO27" s="473"/>
      <c r="AP27" s="297"/>
      <c r="AQ27" s="301" t="s">
        <v>374</v>
      </c>
      <c r="AR27" s="297" t="s">
        <v>66</v>
      </c>
      <c r="AS27" s="299">
        <v>37773</v>
      </c>
      <c r="AT27" s="299">
        <v>40269</v>
      </c>
      <c r="AU27" s="297" t="s">
        <v>186</v>
      </c>
      <c r="AV27" s="297"/>
      <c r="AW27" s="297" t="s">
        <v>92</v>
      </c>
      <c r="AX27" s="297" t="s">
        <v>375</v>
      </c>
      <c r="AY27" s="299">
        <v>40959</v>
      </c>
      <c r="AZ27" s="297" t="s">
        <v>376</v>
      </c>
      <c r="BA27" s="299">
        <v>41856</v>
      </c>
      <c r="BB27" s="382">
        <v>41876</v>
      </c>
      <c r="BC27" s="297" t="s">
        <v>95</v>
      </c>
      <c r="BD27" s="297" t="s">
        <v>566</v>
      </c>
      <c r="BE27" s="297"/>
      <c r="BF27" s="301"/>
      <c r="BG27" s="301" t="s">
        <v>67</v>
      </c>
      <c r="BH27" s="301" t="s">
        <v>377</v>
      </c>
      <c r="BI27" s="301" t="s">
        <v>190</v>
      </c>
      <c r="BJ27" s="312">
        <v>135921858</v>
      </c>
      <c r="BK27" s="312" t="s">
        <v>378</v>
      </c>
      <c r="BL27" s="313" t="s">
        <v>379</v>
      </c>
      <c r="BM27" s="299" t="s">
        <v>380</v>
      </c>
      <c r="BN27" s="314" t="s">
        <v>345</v>
      </c>
      <c r="BO27" s="394"/>
      <c r="BP27" s="390"/>
      <c r="BQ27" s="297"/>
      <c r="BR27" s="303"/>
      <c r="BS27" s="301"/>
      <c r="BT27" s="301"/>
      <c r="BU27" s="301"/>
      <c r="BV27" s="301"/>
      <c r="BW27" s="316"/>
      <c r="BX27" s="304"/>
      <c r="BY27" s="299"/>
      <c r="BZ27" s="317"/>
    </row>
    <row r="28" spans="1:555" ht="67.5" customHeight="1">
      <c r="A28" s="296">
        <v>26</v>
      </c>
      <c r="B28" s="303" t="s">
        <v>381</v>
      </c>
      <c r="C28" s="321">
        <v>91284372</v>
      </c>
      <c r="D28" s="354" t="s">
        <v>382</v>
      </c>
      <c r="E28" s="299">
        <v>41908</v>
      </c>
      <c r="F28" s="300">
        <v>41883</v>
      </c>
      <c r="G28" s="301" t="s">
        <v>383</v>
      </c>
      <c r="H28" s="297" t="s">
        <v>5</v>
      </c>
      <c r="I28" s="297" t="s">
        <v>101</v>
      </c>
      <c r="J28" s="299">
        <v>42129</v>
      </c>
      <c r="K28" s="300">
        <v>42125</v>
      </c>
      <c r="L28" s="301" t="s">
        <v>384</v>
      </c>
      <c r="M28" s="297" t="s">
        <v>5</v>
      </c>
      <c r="N28" s="297" t="s">
        <v>336</v>
      </c>
      <c r="O28" s="299">
        <v>42300</v>
      </c>
      <c r="P28" s="302">
        <v>42278</v>
      </c>
      <c r="Q28" s="301" t="s">
        <v>385</v>
      </c>
      <c r="R28" s="297" t="s">
        <v>195</v>
      </c>
      <c r="S28" s="297" t="s">
        <v>386</v>
      </c>
      <c r="T28" s="299">
        <v>43196</v>
      </c>
      <c r="U28" s="300">
        <v>43191</v>
      </c>
      <c r="V28" s="301" t="s">
        <v>387</v>
      </c>
      <c r="W28" s="297" t="s">
        <v>388</v>
      </c>
      <c r="X28" s="297" t="s">
        <v>389</v>
      </c>
      <c r="Y28" s="305">
        <v>43629</v>
      </c>
      <c r="Z28" s="300">
        <v>43629</v>
      </c>
      <c r="AA28" s="315" t="s">
        <v>8889</v>
      </c>
      <c r="AB28" s="304" t="s">
        <v>5</v>
      </c>
      <c r="AC28" s="299" t="s">
        <v>8243</v>
      </c>
      <c r="AD28" s="299"/>
      <c r="AE28" s="300"/>
      <c r="AF28" s="301"/>
      <c r="AG28" s="297"/>
      <c r="AH28" s="297"/>
      <c r="AI28" s="304"/>
      <c r="AJ28" s="300"/>
      <c r="AK28" s="301"/>
      <c r="AL28" s="297"/>
      <c r="AM28" s="297"/>
      <c r="AN28" s="297"/>
      <c r="AO28" s="473"/>
      <c r="AP28" s="297"/>
      <c r="AQ28" s="308" t="s">
        <v>390</v>
      </c>
      <c r="AR28" s="297" t="s">
        <v>66</v>
      </c>
      <c r="AS28" s="305">
        <v>37810</v>
      </c>
      <c r="AT28" s="305">
        <v>39823</v>
      </c>
      <c r="AU28" s="303" t="s">
        <v>8813</v>
      </c>
      <c r="AV28" s="303"/>
      <c r="AW28" s="303" t="s">
        <v>92</v>
      </c>
      <c r="AX28" s="303" t="s">
        <v>391</v>
      </c>
      <c r="AY28" s="305">
        <v>41832</v>
      </c>
      <c r="AZ28" s="303" t="s">
        <v>67</v>
      </c>
      <c r="BA28" s="299" t="s">
        <v>67</v>
      </c>
      <c r="BB28" s="382">
        <v>41873</v>
      </c>
      <c r="BC28" s="297" t="s">
        <v>95</v>
      </c>
      <c r="BD28" s="297" t="s">
        <v>1792</v>
      </c>
      <c r="BE28" s="297"/>
      <c r="BF28" s="301"/>
      <c r="BG28" s="301"/>
      <c r="BH28" s="301" t="s">
        <v>392</v>
      </c>
      <c r="BI28" s="301"/>
      <c r="BJ28" s="312">
        <v>216732371</v>
      </c>
      <c r="BK28" s="312">
        <v>216732371</v>
      </c>
      <c r="BL28" s="313" t="s">
        <v>393</v>
      </c>
      <c r="BM28" s="299">
        <v>43112</v>
      </c>
      <c r="BN28" s="314">
        <v>43101</v>
      </c>
      <c r="BO28" s="459" t="s">
        <v>7924</v>
      </c>
      <c r="BP28" s="458"/>
      <c r="BQ28" s="297"/>
      <c r="BR28" s="303"/>
      <c r="BS28" s="301" t="s">
        <v>8815</v>
      </c>
      <c r="BT28" s="301"/>
      <c r="BU28" s="301"/>
      <c r="BV28" s="301"/>
      <c r="BW28" s="316"/>
      <c r="BX28" s="304"/>
      <c r="BY28" s="299"/>
      <c r="BZ28" s="317"/>
    </row>
    <row r="29" spans="1:555" ht="57" customHeight="1">
      <c r="A29" s="502">
        <v>27</v>
      </c>
      <c r="B29" s="303" t="s">
        <v>394</v>
      </c>
      <c r="C29" s="298">
        <v>91158477</v>
      </c>
      <c r="D29" s="354" t="s">
        <v>382</v>
      </c>
      <c r="E29" s="299">
        <v>41911</v>
      </c>
      <c r="F29" s="300">
        <v>41883</v>
      </c>
      <c r="G29" s="301" t="s">
        <v>395</v>
      </c>
      <c r="H29" s="297" t="s">
        <v>5</v>
      </c>
      <c r="I29" s="297" t="s">
        <v>101</v>
      </c>
      <c r="J29" s="299">
        <v>42129</v>
      </c>
      <c r="K29" s="300">
        <v>42125</v>
      </c>
      <c r="L29" s="301" t="s">
        <v>396</v>
      </c>
      <c r="M29" s="297" t="s">
        <v>5</v>
      </c>
      <c r="N29" s="297" t="s">
        <v>336</v>
      </c>
      <c r="O29" s="305">
        <v>43629</v>
      </c>
      <c r="P29" s="300">
        <v>43629</v>
      </c>
      <c r="Q29" s="315" t="s">
        <v>8889</v>
      </c>
      <c r="R29" s="304" t="s">
        <v>5</v>
      </c>
      <c r="S29" s="299" t="s">
        <v>8243</v>
      </c>
      <c r="T29" s="299"/>
      <c r="U29" s="300"/>
      <c r="V29" s="301"/>
      <c r="W29" s="297"/>
      <c r="X29" s="297"/>
      <c r="Y29" s="299"/>
      <c r="Z29" s="300"/>
      <c r="AA29" s="301"/>
      <c r="AB29" s="297"/>
      <c r="AC29" s="297"/>
      <c r="AD29" s="299"/>
      <c r="AE29" s="300"/>
      <c r="AF29" s="301"/>
      <c r="AG29" s="297"/>
      <c r="AH29" s="297"/>
      <c r="AI29" s="304"/>
      <c r="AJ29" s="300"/>
      <c r="AK29" s="301"/>
      <c r="AL29" s="297"/>
      <c r="AM29" s="297"/>
      <c r="AN29" s="297" t="s">
        <v>397</v>
      </c>
      <c r="AO29" s="473"/>
      <c r="AP29" s="297"/>
      <c r="AQ29" s="301" t="s">
        <v>398</v>
      </c>
      <c r="AR29" s="297" t="s">
        <v>66</v>
      </c>
      <c r="AS29" s="299">
        <v>38275</v>
      </c>
      <c r="AT29" s="299">
        <v>40847</v>
      </c>
      <c r="AU29" s="303" t="s">
        <v>399</v>
      </c>
      <c r="AV29" s="303"/>
      <c r="AW29" s="297" t="s">
        <v>92</v>
      </c>
      <c r="AX29" s="297" t="s">
        <v>391</v>
      </c>
      <c r="AY29" s="299">
        <v>41844</v>
      </c>
      <c r="AZ29" s="297" t="s">
        <v>67</v>
      </c>
      <c r="BA29" s="299" t="s">
        <v>67</v>
      </c>
      <c r="BB29" s="382">
        <v>41871</v>
      </c>
      <c r="BC29" s="297" t="s">
        <v>95</v>
      </c>
      <c r="BD29" s="297" t="s">
        <v>1792</v>
      </c>
      <c r="BE29" s="297"/>
      <c r="BF29" s="301"/>
      <c r="BG29" s="301" t="s">
        <v>400</v>
      </c>
      <c r="BH29" s="301" t="s">
        <v>401</v>
      </c>
      <c r="BI29" s="301"/>
      <c r="BJ29" s="312">
        <v>260934142</v>
      </c>
      <c r="BK29" s="312">
        <v>260934142</v>
      </c>
      <c r="BL29" s="313" t="s">
        <v>402</v>
      </c>
      <c r="BM29" s="299">
        <v>43112</v>
      </c>
      <c r="BN29" s="314">
        <v>43101</v>
      </c>
      <c r="BO29" s="459" t="s">
        <v>7925</v>
      </c>
      <c r="BP29" s="458"/>
      <c r="BQ29" s="398"/>
      <c r="BR29" s="320"/>
      <c r="BS29" s="301" t="s">
        <v>403</v>
      </c>
      <c r="BT29" s="301"/>
      <c r="BU29" s="301"/>
      <c r="BV29" s="301"/>
      <c r="BW29" s="316"/>
      <c r="BX29" s="304"/>
      <c r="BY29" s="299"/>
      <c r="BZ29" s="317"/>
    </row>
    <row r="30" spans="1:555" ht="92.25" customHeight="1">
      <c r="A30" s="296">
        <v>28</v>
      </c>
      <c r="B30" s="297" t="s">
        <v>404</v>
      </c>
      <c r="C30" s="298">
        <v>93387147</v>
      </c>
      <c r="D30" s="354" t="s">
        <v>333</v>
      </c>
      <c r="E30" s="299">
        <v>41913</v>
      </c>
      <c r="F30" s="300">
        <v>41913</v>
      </c>
      <c r="G30" s="301" t="s">
        <v>405</v>
      </c>
      <c r="H30" s="297" t="s">
        <v>5</v>
      </c>
      <c r="I30" s="297" t="s">
        <v>101</v>
      </c>
      <c r="J30" s="299">
        <v>42635</v>
      </c>
      <c r="K30" s="300">
        <v>42614</v>
      </c>
      <c r="L30" s="301" t="s">
        <v>406</v>
      </c>
      <c r="M30" s="297" t="s">
        <v>208</v>
      </c>
      <c r="N30" s="297" t="s">
        <v>336</v>
      </c>
      <c r="O30" s="299"/>
      <c r="P30" s="302"/>
      <c r="Q30" s="301"/>
      <c r="R30" s="297"/>
      <c r="S30" s="297"/>
      <c r="T30" s="299"/>
      <c r="U30" s="300"/>
      <c r="V30" s="301"/>
      <c r="W30" s="297"/>
      <c r="X30" s="297"/>
      <c r="Y30" s="299"/>
      <c r="Z30" s="300"/>
      <c r="AA30" s="301"/>
      <c r="AB30" s="297"/>
      <c r="AC30" s="297"/>
      <c r="AD30" s="299"/>
      <c r="AE30" s="300"/>
      <c r="AF30" s="301"/>
      <c r="AG30" s="297"/>
      <c r="AH30" s="297"/>
      <c r="AI30" s="304"/>
      <c r="AJ30" s="300"/>
      <c r="AK30" s="301"/>
      <c r="AL30" s="297"/>
      <c r="AM30" s="297"/>
      <c r="AN30" s="297"/>
      <c r="AO30" s="473"/>
      <c r="AP30" s="297"/>
      <c r="AQ30" s="301" t="s">
        <v>407</v>
      </c>
      <c r="AR30" s="297" t="s">
        <v>66</v>
      </c>
      <c r="AS30" s="299">
        <v>38412</v>
      </c>
      <c r="AT30" s="299">
        <v>40490</v>
      </c>
      <c r="AU30" s="297" t="s">
        <v>186</v>
      </c>
      <c r="AV30" s="297"/>
      <c r="AW30" s="297" t="s">
        <v>92</v>
      </c>
      <c r="AX30" s="297" t="s">
        <v>408</v>
      </c>
      <c r="AY30" s="299">
        <v>40756</v>
      </c>
      <c r="AZ30" s="297" t="s">
        <v>409</v>
      </c>
      <c r="BA30" s="299">
        <v>41773</v>
      </c>
      <c r="BB30" s="382">
        <v>41852</v>
      </c>
      <c r="BC30" s="297" t="s">
        <v>95</v>
      </c>
      <c r="BD30" s="297" t="s">
        <v>566</v>
      </c>
      <c r="BE30" s="297"/>
      <c r="BF30" s="301"/>
      <c r="BG30" s="301" t="s">
        <v>67</v>
      </c>
      <c r="BH30" s="301" t="s">
        <v>410</v>
      </c>
      <c r="BI30" s="301" t="s">
        <v>190</v>
      </c>
      <c r="BJ30" s="312">
        <v>109056682</v>
      </c>
      <c r="BK30" s="312" t="s">
        <v>411</v>
      </c>
      <c r="BL30" s="313" t="s">
        <v>412</v>
      </c>
      <c r="BM30" s="299" t="s">
        <v>413</v>
      </c>
      <c r="BN30" s="314" t="s">
        <v>345</v>
      </c>
      <c r="BO30" s="394"/>
      <c r="BP30" s="390" t="s">
        <v>7482</v>
      </c>
      <c r="BQ30" s="297" t="s">
        <v>7483</v>
      </c>
      <c r="BR30" s="303"/>
      <c r="BS30" s="301"/>
      <c r="BT30" s="301"/>
      <c r="BU30" s="301"/>
      <c r="BV30" s="301"/>
      <c r="BW30" s="316"/>
      <c r="BX30" s="304"/>
      <c r="BY30" s="299"/>
      <c r="BZ30" s="317"/>
    </row>
    <row r="31" spans="1:555" ht="53.25" customHeight="1">
      <c r="A31" s="296">
        <v>29</v>
      </c>
      <c r="B31" s="297" t="s">
        <v>414</v>
      </c>
      <c r="C31" s="298">
        <v>15990698</v>
      </c>
      <c r="D31" s="354" t="s">
        <v>415</v>
      </c>
      <c r="E31" s="299">
        <v>41918</v>
      </c>
      <c r="F31" s="300">
        <v>41913</v>
      </c>
      <c r="G31" s="301" t="s">
        <v>416</v>
      </c>
      <c r="H31" s="297" t="s">
        <v>5</v>
      </c>
      <c r="I31" s="297" t="s">
        <v>101</v>
      </c>
      <c r="J31" s="299">
        <v>42073</v>
      </c>
      <c r="K31" s="300">
        <v>42064</v>
      </c>
      <c r="L31" s="301" t="s">
        <v>7350</v>
      </c>
      <c r="M31" s="297" t="s">
        <v>5</v>
      </c>
      <c r="N31" s="297" t="s">
        <v>418</v>
      </c>
      <c r="O31" s="299">
        <v>42073</v>
      </c>
      <c r="P31" s="302">
        <v>42064</v>
      </c>
      <c r="Q31" s="301" t="s">
        <v>419</v>
      </c>
      <c r="R31" s="297" t="s">
        <v>420</v>
      </c>
      <c r="S31" s="297" t="s">
        <v>421</v>
      </c>
      <c r="T31" s="299">
        <v>43129</v>
      </c>
      <c r="U31" s="300">
        <v>43101</v>
      </c>
      <c r="V31" s="301" t="s">
        <v>422</v>
      </c>
      <c r="W31" s="297" t="s">
        <v>208</v>
      </c>
      <c r="X31" s="297" t="s">
        <v>1114</v>
      </c>
      <c r="Y31" s="299">
        <v>42360</v>
      </c>
      <c r="Z31" s="300">
        <v>42339</v>
      </c>
      <c r="AA31" s="301" t="s">
        <v>424</v>
      </c>
      <c r="AB31" s="297" t="s">
        <v>5</v>
      </c>
      <c r="AC31" s="297" t="s">
        <v>104</v>
      </c>
      <c r="AD31" s="299" t="s">
        <v>425</v>
      </c>
      <c r="AE31" s="300" t="s">
        <v>426</v>
      </c>
      <c r="AF31" s="301" t="s">
        <v>427</v>
      </c>
      <c r="AG31" s="297" t="s">
        <v>428</v>
      </c>
      <c r="AH31" s="297" t="s">
        <v>429</v>
      </c>
      <c r="AI31" s="305" t="s">
        <v>9366</v>
      </c>
      <c r="AJ31" s="300" t="s">
        <v>9367</v>
      </c>
      <c r="AK31" s="315" t="s">
        <v>9368</v>
      </c>
      <c r="AL31" s="315" t="s">
        <v>9369</v>
      </c>
      <c r="AM31" s="315" t="s">
        <v>8085</v>
      </c>
      <c r="AN31" s="297" t="s">
        <v>430</v>
      </c>
      <c r="AO31" s="479">
        <v>43049</v>
      </c>
      <c r="AP31" s="297"/>
      <c r="AQ31" s="301" t="s">
        <v>431</v>
      </c>
      <c r="AR31" s="297" t="s">
        <v>7564</v>
      </c>
      <c r="AS31" s="299">
        <v>38637</v>
      </c>
      <c r="AT31" s="299">
        <v>39813</v>
      </c>
      <c r="AU31" s="297" t="s">
        <v>8432</v>
      </c>
      <c r="AV31" s="297"/>
      <c r="AW31" s="297" t="s">
        <v>92</v>
      </c>
      <c r="AX31" s="297" t="s">
        <v>432</v>
      </c>
      <c r="AY31" s="299">
        <v>41547</v>
      </c>
      <c r="AZ31" s="297" t="s">
        <v>433</v>
      </c>
      <c r="BA31" s="299">
        <v>41837</v>
      </c>
      <c r="BB31" s="382">
        <v>41850</v>
      </c>
      <c r="BC31" s="297" t="s">
        <v>95</v>
      </c>
      <c r="BD31" s="297" t="s">
        <v>566</v>
      </c>
      <c r="BE31" s="297"/>
      <c r="BF31" s="301" t="s">
        <v>8506</v>
      </c>
      <c r="BG31" s="301" t="s">
        <v>434</v>
      </c>
      <c r="BH31" s="301" t="s">
        <v>8467</v>
      </c>
      <c r="BI31" s="301" t="s">
        <v>97</v>
      </c>
      <c r="BJ31" s="74">
        <f>+'[6]MATRIZ '!$I$29</f>
        <v>93476004.55531776</v>
      </c>
      <c r="BK31" s="312" t="s">
        <v>8468</v>
      </c>
      <c r="BL31" s="313" t="s">
        <v>8542</v>
      </c>
      <c r="BM31" s="299" t="s">
        <v>8543</v>
      </c>
      <c r="BN31" s="314" t="s">
        <v>8535</v>
      </c>
      <c r="BO31" s="531" t="s">
        <v>8755</v>
      </c>
      <c r="BP31" s="390"/>
      <c r="BQ31" s="297"/>
      <c r="BR31" s="303"/>
      <c r="BS31" s="301"/>
      <c r="BT31" s="308"/>
      <c r="BU31" s="308"/>
      <c r="BV31" s="308"/>
      <c r="BW31" s="309"/>
      <c r="BX31" s="310"/>
      <c r="BY31" s="305"/>
      <c r="BZ31" s="311"/>
    </row>
    <row r="32" spans="1:555" ht="40.5">
      <c r="A32" s="296">
        <v>30</v>
      </c>
      <c r="B32" s="297" t="s">
        <v>435</v>
      </c>
      <c r="C32" s="298">
        <v>92527700</v>
      </c>
      <c r="D32" s="354" t="s">
        <v>99</v>
      </c>
      <c r="E32" s="299">
        <v>41918.597222222219</v>
      </c>
      <c r="F32" s="300">
        <v>41913</v>
      </c>
      <c r="G32" s="301" t="s">
        <v>436</v>
      </c>
      <c r="H32" s="297" t="s">
        <v>63</v>
      </c>
      <c r="I32" s="297" t="s">
        <v>101</v>
      </c>
      <c r="J32" s="299"/>
      <c r="K32" s="300"/>
      <c r="L32" s="301"/>
      <c r="M32" s="297"/>
      <c r="N32" s="297"/>
      <c r="O32" s="299"/>
      <c r="P32" s="302"/>
      <c r="Q32" s="301"/>
      <c r="R32" s="297"/>
      <c r="S32" s="297"/>
      <c r="T32" s="299"/>
      <c r="U32" s="300"/>
      <c r="V32" s="301"/>
      <c r="W32" s="297"/>
      <c r="X32" s="297"/>
      <c r="Y32" s="299"/>
      <c r="Z32" s="300"/>
      <c r="AA32" s="301"/>
      <c r="AB32" s="297"/>
      <c r="AC32" s="297"/>
      <c r="AD32" s="299"/>
      <c r="AE32" s="300"/>
      <c r="AF32" s="301"/>
      <c r="AG32" s="297"/>
      <c r="AH32" s="297"/>
      <c r="AI32" s="304"/>
      <c r="AJ32" s="300"/>
      <c r="AK32" s="301"/>
      <c r="AL32" s="297"/>
      <c r="AM32" s="297"/>
      <c r="AN32" s="297"/>
      <c r="AO32" s="473"/>
      <c r="AP32" s="297"/>
      <c r="AQ32" s="301" t="s">
        <v>437</v>
      </c>
      <c r="AR32" s="297" t="s">
        <v>66</v>
      </c>
      <c r="AS32" s="299">
        <v>37839</v>
      </c>
      <c r="AT32" s="299">
        <v>40165</v>
      </c>
      <c r="AU32" s="297" t="s">
        <v>110</v>
      </c>
      <c r="AV32" s="297"/>
      <c r="AW32" s="297" t="s">
        <v>69</v>
      </c>
      <c r="AX32" s="297" t="s">
        <v>438</v>
      </c>
      <c r="AY32" s="299">
        <v>41570</v>
      </c>
      <c r="AZ32" s="297" t="s">
        <v>142</v>
      </c>
      <c r="BA32" s="299">
        <v>41718</v>
      </c>
      <c r="BB32" s="382">
        <v>41729</v>
      </c>
      <c r="BC32" s="297" t="s">
        <v>95</v>
      </c>
      <c r="BD32" s="297" t="s">
        <v>1792</v>
      </c>
      <c r="BE32" s="297"/>
      <c r="BF32" s="301"/>
      <c r="BG32" s="301" t="s">
        <v>439</v>
      </c>
      <c r="BH32" s="301" t="s">
        <v>114</v>
      </c>
      <c r="BI32" s="301" t="s">
        <v>116</v>
      </c>
      <c r="BJ32" s="312">
        <v>140378629</v>
      </c>
      <c r="BK32" s="312">
        <v>140378629</v>
      </c>
      <c r="BL32" s="313">
        <v>243831015</v>
      </c>
      <c r="BM32" s="299">
        <v>42249</v>
      </c>
      <c r="BN32" s="314">
        <v>42248</v>
      </c>
      <c r="BO32" s="394"/>
      <c r="BP32" s="390"/>
      <c r="BQ32" s="297"/>
      <c r="BR32" s="303"/>
      <c r="BS32" s="308"/>
      <c r="BT32" s="301"/>
      <c r="BU32" s="301"/>
      <c r="BV32" s="301"/>
      <c r="BW32" s="316"/>
      <c r="BX32" s="304"/>
      <c r="BY32" s="299"/>
      <c r="BZ32" s="317"/>
    </row>
    <row r="33" spans="1:78" ht="58.5" customHeight="1">
      <c r="A33" s="296">
        <v>31</v>
      </c>
      <c r="B33" s="297" t="s">
        <v>440</v>
      </c>
      <c r="C33" s="298">
        <v>71266606</v>
      </c>
      <c r="D33" s="354" t="s">
        <v>333</v>
      </c>
      <c r="E33" s="299">
        <v>41927</v>
      </c>
      <c r="F33" s="300">
        <v>41913</v>
      </c>
      <c r="G33" s="301" t="s">
        <v>441</v>
      </c>
      <c r="H33" s="297" t="s">
        <v>5</v>
      </c>
      <c r="I33" s="297" t="s">
        <v>101</v>
      </c>
      <c r="J33" s="299"/>
      <c r="K33" s="300"/>
      <c r="L33" s="301"/>
      <c r="M33" s="297"/>
      <c r="N33" s="297"/>
      <c r="O33" s="299"/>
      <c r="P33" s="302"/>
      <c r="Q33" s="301"/>
      <c r="R33" s="297"/>
      <c r="S33" s="297"/>
      <c r="T33" s="299"/>
      <c r="U33" s="300"/>
      <c r="V33" s="301"/>
      <c r="W33" s="297"/>
      <c r="X33" s="297"/>
      <c r="Y33" s="299"/>
      <c r="Z33" s="300"/>
      <c r="AA33" s="301"/>
      <c r="AB33" s="297"/>
      <c r="AC33" s="297"/>
      <c r="AD33" s="299"/>
      <c r="AE33" s="300"/>
      <c r="AF33" s="301"/>
      <c r="AG33" s="297"/>
      <c r="AH33" s="297"/>
      <c r="AI33" s="304"/>
      <c r="AJ33" s="300"/>
      <c r="AK33" s="301"/>
      <c r="AL33" s="297"/>
      <c r="AM33" s="297"/>
      <c r="AN33" s="297"/>
      <c r="AO33" s="473"/>
      <c r="AP33" s="297"/>
      <c r="AQ33" s="301" t="s">
        <v>442</v>
      </c>
      <c r="AR33" s="297" t="s">
        <v>66</v>
      </c>
      <c r="AS33" s="299">
        <v>38108</v>
      </c>
      <c r="AT33" s="299">
        <v>39802</v>
      </c>
      <c r="AU33" s="297" t="s">
        <v>110</v>
      </c>
      <c r="AV33" s="297"/>
      <c r="AW33" s="297" t="s">
        <v>92</v>
      </c>
      <c r="AX33" s="297" t="s">
        <v>443</v>
      </c>
      <c r="AY33" s="299">
        <v>41323</v>
      </c>
      <c r="AZ33" s="297" t="s">
        <v>409</v>
      </c>
      <c r="BA33" s="299">
        <v>41856</v>
      </c>
      <c r="BB33" s="382">
        <v>41876</v>
      </c>
      <c r="BC33" s="297" t="s">
        <v>95</v>
      </c>
      <c r="BD33" s="297" t="s">
        <v>1792</v>
      </c>
      <c r="BE33" s="297"/>
      <c r="BF33" s="301"/>
      <c r="BG33" s="301" t="s">
        <v>444</v>
      </c>
      <c r="BH33" s="301" t="s">
        <v>445</v>
      </c>
      <c r="BI33" s="301" t="s">
        <v>446</v>
      </c>
      <c r="BJ33" s="312">
        <v>91985768</v>
      </c>
      <c r="BK33" s="312">
        <v>91985768</v>
      </c>
      <c r="BL33" s="313">
        <v>364540815</v>
      </c>
      <c r="BM33" s="299">
        <v>42349</v>
      </c>
      <c r="BN33" s="314">
        <v>42339</v>
      </c>
      <c r="BO33" s="394"/>
      <c r="BP33" s="390"/>
      <c r="BQ33" s="297"/>
      <c r="BR33" s="303"/>
      <c r="BS33" s="301"/>
      <c r="BT33" s="301"/>
      <c r="BU33" s="301"/>
      <c r="BV33" s="301"/>
      <c r="BW33" s="316"/>
      <c r="BX33" s="304"/>
      <c r="BY33" s="299"/>
      <c r="BZ33" s="317"/>
    </row>
    <row r="34" spans="1:78" ht="81">
      <c r="A34" s="296">
        <v>32</v>
      </c>
      <c r="B34" s="303" t="s">
        <v>447</v>
      </c>
      <c r="C34" s="321">
        <v>71731775</v>
      </c>
      <c r="D34" s="354" t="s">
        <v>333</v>
      </c>
      <c r="E34" s="299">
        <v>41934</v>
      </c>
      <c r="F34" s="300">
        <v>41913</v>
      </c>
      <c r="G34" s="301" t="s">
        <v>448</v>
      </c>
      <c r="H34" s="297" t="s">
        <v>5</v>
      </c>
      <c r="I34" s="297" t="s">
        <v>101</v>
      </c>
      <c r="J34" s="299">
        <v>43122</v>
      </c>
      <c r="K34" s="300">
        <v>43101</v>
      </c>
      <c r="L34" s="301" t="s">
        <v>449</v>
      </c>
      <c r="M34" s="297" t="s">
        <v>5</v>
      </c>
      <c r="N34" s="297" t="s">
        <v>450</v>
      </c>
      <c r="O34" s="299">
        <v>43181</v>
      </c>
      <c r="P34" s="302">
        <v>43160</v>
      </c>
      <c r="Q34" s="301" t="s">
        <v>451</v>
      </c>
      <c r="R34" s="297" t="s">
        <v>171</v>
      </c>
      <c r="S34" s="297" t="s">
        <v>452</v>
      </c>
      <c r="T34" s="299"/>
      <c r="U34" s="300"/>
      <c r="V34" s="301"/>
      <c r="W34" s="297"/>
      <c r="X34" s="297"/>
      <c r="Y34" s="299"/>
      <c r="Z34" s="300"/>
      <c r="AA34" s="301"/>
      <c r="AB34" s="297"/>
      <c r="AC34" s="297"/>
      <c r="AD34" s="299"/>
      <c r="AE34" s="300"/>
      <c r="AF34" s="301"/>
      <c r="AG34" s="297"/>
      <c r="AH34" s="297"/>
      <c r="AI34" s="304"/>
      <c r="AJ34" s="300"/>
      <c r="AK34" s="301"/>
      <c r="AL34" s="297"/>
      <c r="AM34" s="297"/>
      <c r="AN34" s="297"/>
      <c r="AO34" s="473"/>
      <c r="AP34" s="297"/>
      <c r="AQ34" s="308" t="s">
        <v>453</v>
      </c>
      <c r="AR34" s="297" t="s">
        <v>66</v>
      </c>
      <c r="AS34" s="305">
        <v>37047</v>
      </c>
      <c r="AT34" s="305">
        <v>39752</v>
      </c>
      <c r="AU34" s="303" t="s">
        <v>454</v>
      </c>
      <c r="AV34" s="303"/>
      <c r="AW34" s="303" t="s">
        <v>92</v>
      </c>
      <c r="AX34" s="297" t="s">
        <v>455</v>
      </c>
      <c r="AY34" s="299">
        <v>41295</v>
      </c>
      <c r="AZ34" s="297" t="s">
        <v>456</v>
      </c>
      <c r="BA34" s="299">
        <v>41857</v>
      </c>
      <c r="BB34" s="382">
        <v>41880</v>
      </c>
      <c r="BC34" s="297" t="s">
        <v>95</v>
      </c>
      <c r="BD34" s="297" t="s">
        <v>1792</v>
      </c>
      <c r="BE34" s="297"/>
      <c r="BF34" s="301"/>
      <c r="BG34" s="301" t="s">
        <v>457</v>
      </c>
      <c r="BH34" s="301" t="s">
        <v>458</v>
      </c>
      <c r="BI34" s="301"/>
      <c r="BJ34" s="312">
        <v>299666101</v>
      </c>
      <c r="BK34" s="312">
        <v>299666101</v>
      </c>
      <c r="BL34" s="313" t="s">
        <v>459</v>
      </c>
      <c r="BM34" s="299">
        <v>43112</v>
      </c>
      <c r="BN34" s="314">
        <v>43101</v>
      </c>
      <c r="BO34" s="434" t="s">
        <v>7923</v>
      </c>
      <c r="BP34" s="397"/>
      <c r="BQ34" s="398"/>
      <c r="BR34" s="320"/>
      <c r="BS34" s="301" t="s">
        <v>461</v>
      </c>
      <c r="BT34" s="301"/>
      <c r="BU34" s="301"/>
      <c r="BV34" s="301"/>
      <c r="BW34" s="316"/>
      <c r="BX34" s="304"/>
      <c r="BY34" s="299"/>
      <c r="BZ34" s="317"/>
    </row>
    <row r="35" spans="1:78" ht="94.5">
      <c r="A35" s="296">
        <v>33</v>
      </c>
      <c r="B35" s="297" t="s">
        <v>462</v>
      </c>
      <c r="C35" s="298">
        <v>85468698</v>
      </c>
      <c r="D35" s="354" t="s">
        <v>463</v>
      </c>
      <c r="E35" s="299">
        <v>41936</v>
      </c>
      <c r="F35" s="300">
        <v>41913</v>
      </c>
      <c r="G35" s="301" t="s">
        <v>476</v>
      </c>
      <c r="H35" s="297" t="s">
        <v>5</v>
      </c>
      <c r="I35" s="297" t="s">
        <v>101</v>
      </c>
      <c r="J35" s="299">
        <v>43034</v>
      </c>
      <c r="K35" s="300">
        <v>43034</v>
      </c>
      <c r="L35" s="301" t="s">
        <v>8167</v>
      </c>
      <c r="M35" s="297" t="s">
        <v>171</v>
      </c>
      <c r="N35" s="297" t="s">
        <v>464</v>
      </c>
      <c r="O35" s="299">
        <v>43349</v>
      </c>
      <c r="P35" s="302">
        <v>43349</v>
      </c>
      <c r="Q35" s="301" t="s">
        <v>465</v>
      </c>
      <c r="R35" s="297" t="s">
        <v>171</v>
      </c>
      <c r="S35" s="297" t="s">
        <v>466</v>
      </c>
      <c r="T35" s="299">
        <v>43493</v>
      </c>
      <c r="U35" s="300">
        <v>43493</v>
      </c>
      <c r="V35" s="301" t="s">
        <v>8034</v>
      </c>
      <c r="W35" s="297" t="s">
        <v>625</v>
      </c>
      <c r="X35" s="297" t="s">
        <v>6473</v>
      </c>
      <c r="Y35" s="299">
        <v>43649</v>
      </c>
      <c r="Z35" s="300">
        <v>43649</v>
      </c>
      <c r="AA35" s="301" t="s">
        <v>8853</v>
      </c>
      <c r="AB35" s="297" t="s">
        <v>230</v>
      </c>
      <c r="AC35" s="297" t="s">
        <v>8854</v>
      </c>
      <c r="AD35" s="299"/>
      <c r="AE35" s="300"/>
      <c r="AF35" s="301"/>
      <c r="AG35" s="297"/>
      <c r="AH35" s="297"/>
      <c r="AI35" s="322"/>
      <c r="AJ35" s="300"/>
      <c r="AK35" s="301"/>
      <c r="AL35" s="297"/>
      <c r="AM35" s="297"/>
      <c r="AN35" s="297"/>
      <c r="AO35" s="478"/>
      <c r="AP35" s="297"/>
      <c r="AQ35" s="301" t="s">
        <v>467</v>
      </c>
      <c r="AR35" s="297" t="s">
        <v>66</v>
      </c>
      <c r="AS35" s="299">
        <v>38412</v>
      </c>
      <c r="AT35" s="299">
        <v>39824</v>
      </c>
      <c r="AU35" s="297" t="s">
        <v>468</v>
      </c>
      <c r="AV35" s="297"/>
      <c r="AW35" s="297" t="s">
        <v>92</v>
      </c>
      <c r="AX35" s="297" t="s">
        <v>7561</v>
      </c>
      <c r="AY35" s="299">
        <v>41698</v>
      </c>
      <c r="AZ35" s="297" t="s">
        <v>67</v>
      </c>
      <c r="BA35" s="299" t="s">
        <v>67</v>
      </c>
      <c r="BB35" s="382">
        <v>41698</v>
      </c>
      <c r="BC35" s="297" t="s">
        <v>95</v>
      </c>
      <c r="BD35" s="297" t="s">
        <v>566</v>
      </c>
      <c r="BE35" s="297"/>
      <c r="BF35" s="301"/>
      <c r="BG35" s="301" t="s">
        <v>469</v>
      </c>
      <c r="BH35" s="301" t="s">
        <v>470</v>
      </c>
      <c r="BI35" s="301" t="s">
        <v>471</v>
      </c>
      <c r="BJ35" s="74">
        <f>'[7]reliquidacion aportes pension'!$J$63</f>
        <v>5552945.840854574</v>
      </c>
      <c r="BK35" s="312">
        <v>8498000</v>
      </c>
      <c r="BL35" s="313" t="s">
        <v>472</v>
      </c>
      <c r="BM35" s="299">
        <v>42669</v>
      </c>
      <c r="BN35" s="314">
        <v>42644</v>
      </c>
      <c r="BO35" s="394"/>
      <c r="BP35" s="390">
        <v>8498900</v>
      </c>
      <c r="BQ35" s="297" t="s">
        <v>7457</v>
      </c>
      <c r="BR35" s="303"/>
      <c r="BS35" s="301" t="s">
        <v>8033</v>
      </c>
      <c r="BT35" s="301" t="s">
        <v>473</v>
      </c>
      <c r="BU35" s="301" t="s">
        <v>474</v>
      </c>
      <c r="BV35" s="301"/>
      <c r="BW35" s="328">
        <v>25074402</v>
      </c>
      <c r="BX35" s="304">
        <v>150010117</v>
      </c>
      <c r="BY35" s="299">
        <v>42895</v>
      </c>
      <c r="BZ35" s="317">
        <v>42887</v>
      </c>
    </row>
    <row r="36" spans="1:78" ht="58.5" customHeight="1">
      <c r="A36" s="296">
        <v>34</v>
      </c>
      <c r="B36" s="303" t="s">
        <v>475</v>
      </c>
      <c r="C36" s="298">
        <v>85467615</v>
      </c>
      <c r="D36" s="443" t="s">
        <v>463</v>
      </c>
      <c r="E36" s="299">
        <v>41936</v>
      </c>
      <c r="F36" s="300">
        <v>41913</v>
      </c>
      <c r="G36" s="301" t="s">
        <v>476</v>
      </c>
      <c r="H36" s="297" t="s">
        <v>5</v>
      </c>
      <c r="I36" s="297" t="s">
        <v>101</v>
      </c>
      <c r="J36" s="299"/>
      <c r="K36" s="300"/>
      <c r="L36" s="301"/>
      <c r="M36" s="297"/>
      <c r="N36" s="297"/>
      <c r="O36" s="299"/>
      <c r="P36" s="302"/>
      <c r="Q36" s="301"/>
      <c r="R36" s="297"/>
      <c r="S36" s="297"/>
      <c r="T36" s="299"/>
      <c r="U36" s="300"/>
      <c r="V36" s="301"/>
      <c r="W36" s="297"/>
      <c r="X36" s="297"/>
      <c r="Y36" s="299"/>
      <c r="Z36" s="300"/>
      <c r="AA36" s="301"/>
      <c r="AB36" s="297"/>
      <c r="AC36" s="297"/>
      <c r="AD36" s="299"/>
      <c r="AE36" s="300"/>
      <c r="AF36" s="301"/>
      <c r="AG36" s="297"/>
      <c r="AH36" s="297"/>
      <c r="AI36" s="322"/>
      <c r="AJ36" s="300"/>
      <c r="AK36" s="301"/>
      <c r="AL36" s="297"/>
      <c r="AM36" s="297"/>
      <c r="AN36" s="303" t="s">
        <v>477</v>
      </c>
      <c r="AO36" s="474"/>
      <c r="AP36" s="303"/>
      <c r="AQ36" s="301" t="s">
        <v>478</v>
      </c>
      <c r="AR36" s="297" t="s">
        <v>66</v>
      </c>
      <c r="AS36" s="299">
        <v>37837</v>
      </c>
      <c r="AT36" s="299">
        <v>39263</v>
      </c>
      <c r="AU36" s="303" t="s">
        <v>479</v>
      </c>
      <c r="AV36" s="303"/>
      <c r="AW36" s="297" t="s">
        <v>92</v>
      </c>
      <c r="AX36" s="297" t="s">
        <v>480</v>
      </c>
      <c r="AY36" s="299">
        <v>41698</v>
      </c>
      <c r="AZ36" s="297" t="s">
        <v>67</v>
      </c>
      <c r="BA36" s="299" t="s">
        <v>67</v>
      </c>
      <c r="BB36" s="382">
        <v>41718</v>
      </c>
      <c r="BC36" s="297" t="s">
        <v>95</v>
      </c>
      <c r="BD36" s="297" t="s">
        <v>566</v>
      </c>
      <c r="BE36" s="297"/>
      <c r="BF36" s="301"/>
      <c r="BG36" s="301" t="s">
        <v>481</v>
      </c>
      <c r="BH36" s="301" t="s">
        <v>482</v>
      </c>
      <c r="BI36" s="301"/>
      <c r="BJ36" s="312">
        <v>174500277</v>
      </c>
      <c r="BK36" s="312">
        <v>174500277</v>
      </c>
      <c r="BL36" s="313" t="s">
        <v>483</v>
      </c>
      <c r="BM36" s="299">
        <v>43112</v>
      </c>
      <c r="BN36" s="314">
        <v>43101</v>
      </c>
      <c r="BO36" s="434" t="s">
        <v>7926</v>
      </c>
      <c r="BP36" s="396">
        <v>20634500</v>
      </c>
      <c r="BQ36" s="336" t="s">
        <v>7469</v>
      </c>
      <c r="BR36" s="320"/>
      <c r="BS36" s="301"/>
      <c r="BT36" s="301"/>
      <c r="BU36" s="301"/>
      <c r="BV36" s="301"/>
      <c r="BW36" s="316"/>
      <c r="BX36" s="304"/>
      <c r="BY36" s="299"/>
      <c r="BZ36" s="317"/>
    </row>
    <row r="37" spans="1:78" ht="64.5" customHeight="1">
      <c r="A37" s="296">
        <v>35</v>
      </c>
      <c r="B37" s="297" t="s">
        <v>484</v>
      </c>
      <c r="C37" s="298">
        <v>77171471</v>
      </c>
      <c r="D37" s="354" t="s">
        <v>463</v>
      </c>
      <c r="E37" s="299">
        <v>41936</v>
      </c>
      <c r="F37" s="300">
        <v>41913</v>
      </c>
      <c r="G37" s="301" t="s">
        <v>476</v>
      </c>
      <c r="H37" s="297" t="s">
        <v>5</v>
      </c>
      <c r="I37" s="297" t="s">
        <v>101</v>
      </c>
      <c r="J37" s="299">
        <v>43661</v>
      </c>
      <c r="K37" s="300">
        <v>43661</v>
      </c>
      <c r="L37" s="301" t="s">
        <v>8936</v>
      </c>
      <c r="M37" s="297" t="s">
        <v>171</v>
      </c>
      <c r="N37" s="297" t="s">
        <v>8937</v>
      </c>
      <c r="O37" s="299"/>
      <c r="P37" s="302"/>
      <c r="Q37" s="301"/>
      <c r="R37" s="297"/>
      <c r="S37" s="297"/>
      <c r="T37" s="299"/>
      <c r="U37" s="300"/>
      <c r="V37" s="301"/>
      <c r="W37" s="297"/>
      <c r="X37" s="297"/>
      <c r="Y37" s="299"/>
      <c r="Z37" s="300"/>
      <c r="AA37" s="301"/>
      <c r="AB37" s="297"/>
      <c r="AC37" s="297"/>
      <c r="AD37" s="299"/>
      <c r="AE37" s="300"/>
      <c r="AF37" s="301"/>
      <c r="AG37" s="297"/>
      <c r="AH37" s="297"/>
      <c r="AI37" s="322"/>
      <c r="AJ37" s="300"/>
      <c r="AK37" s="301"/>
      <c r="AL37" s="297"/>
      <c r="AM37" s="297"/>
      <c r="AN37" s="297"/>
      <c r="AO37" s="473"/>
      <c r="AP37" s="297"/>
      <c r="AQ37" s="301" t="s">
        <v>485</v>
      </c>
      <c r="AR37" s="297" t="s">
        <v>66</v>
      </c>
      <c r="AS37" s="299">
        <v>37043</v>
      </c>
      <c r="AT37" s="299">
        <v>39435</v>
      </c>
      <c r="AU37" s="297" t="s">
        <v>289</v>
      </c>
      <c r="AV37" s="297"/>
      <c r="AW37" s="297" t="s">
        <v>92</v>
      </c>
      <c r="AX37" s="297" t="s">
        <v>486</v>
      </c>
      <c r="AY37" s="299">
        <v>41438</v>
      </c>
      <c r="AZ37" s="297" t="s">
        <v>230</v>
      </c>
      <c r="BA37" s="299">
        <v>41317</v>
      </c>
      <c r="BB37" s="382">
        <v>41705</v>
      </c>
      <c r="BC37" s="297" t="s">
        <v>95</v>
      </c>
      <c r="BD37" s="297" t="s">
        <v>566</v>
      </c>
      <c r="BE37" s="297"/>
      <c r="BF37" s="301"/>
      <c r="BG37" s="301" t="s">
        <v>487</v>
      </c>
      <c r="BH37" s="301" t="s">
        <v>488</v>
      </c>
      <c r="BI37" s="301" t="s">
        <v>489</v>
      </c>
      <c r="BJ37" s="312">
        <v>131268728</v>
      </c>
      <c r="BK37" s="312" t="s">
        <v>490</v>
      </c>
      <c r="BL37" s="313" t="s">
        <v>491</v>
      </c>
      <c r="BM37" s="299" t="s">
        <v>492</v>
      </c>
      <c r="BN37" s="314" t="s">
        <v>493</v>
      </c>
      <c r="BO37" s="460"/>
      <c r="BP37" s="390">
        <v>2866200</v>
      </c>
      <c r="BQ37" s="297" t="s">
        <v>7458</v>
      </c>
      <c r="BR37" s="303"/>
      <c r="BS37" s="301" t="s">
        <v>494</v>
      </c>
      <c r="BT37" s="301" t="s">
        <v>495</v>
      </c>
      <c r="BU37" s="301" t="s">
        <v>496</v>
      </c>
      <c r="BV37" s="301"/>
      <c r="BW37" s="316" t="s">
        <v>497</v>
      </c>
      <c r="BX37" s="304" t="s">
        <v>498</v>
      </c>
      <c r="BY37" s="299" t="s">
        <v>499</v>
      </c>
      <c r="BZ37" s="317" t="s">
        <v>500</v>
      </c>
    </row>
    <row r="38" spans="1:78" ht="61.5" customHeight="1">
      <c r="A38" s="296">
        <v>36</v>
      </c>
      <c r="B38" s="297" t="s">
        <v>501</v>
      </c>
      <c r="C38" s="298">
        <v>85475983</v>
      </c>
      <c r="D38" s="354" t="s">
        <v>463</v>
      </c>
      <c r="E38" s="299">
        <v>41936</v>
      </c>
      <c r="F38" s="300">
        <v>41913</v>
      </c>
      <c r="G38" s="301" t="s">
        <v>476</v>
      </c>
      <c r="H38" s="297" t="s">
        <v>5</v>
      </c>
      <c r="I38" s="297" t="s">
        <v>101</v>
      </c>
      <c r="J38" s="299">
        <v>42319</v>
      </c>
      <c r="K38" s="300">
        <v>42309</v>
      </c>
      <c r="L38" s="301" t="s">
        <v>502</v>
      </c>
      <c r="M38" s="297" t="s">
        <v>503</v>
      </c>
      <c r="N38" s="297" t="s">
        <v>504</v>
      </c>
      <c r="O38" s="299">
        <v>42331</v>
      </c>
      <c r="P38" s="302">
        <v>42309</v>
      </c>
      <c r="Q38" s="301" t="s">
        <v>505</v>
      </c>
      <c r="R38" s="297" t="s">
        <v>503</v>
      </c>
      <c r="S38" s="297" t="s">
        <v>504</v>
      </c>
      <c r="T38" s="299">
        <v>42696</v>
      </c>
      <c r="U38" s="300">
        <v>42675</v>
      </c>
      <c r="V38" s="301" t="s">
        <v>506</v>
      </c>
      <c r="W38" s="297" t="s">
        <v>171</v>
      </c>
      <c r="X38" s="297" t="s">
        <v>507</v>
      </c>
      <c r="Y38" s="299">
        <v>42696</v>
      </c>
      <c r="Z38" s="300">
        <v>42675</v>
      </c>
      <c r="AA38" s="301" t="s">
        <v>508</v>
      </c>
      <c r="AB38" s="297" t="s">
        <v>171</v>
      </c>
      <c r="AC38" s="297" t="s">
        <v>507</v>
      </c>
      <c r="AD38" s="299" t="s">
        <v>509</v>
      </c>
      <c r="AE38" s="300" t="s">
        <v>510</v>
      </c>
      <c r="AF38" s="301" t="s">
        <v>511</v>
      </c>
      <c r="AG38" s="297" t="s">
        <v>512</v>
      </c>
      <c r="AH38" s="297" t="s">
        <v>513</v>
      </c>
      <c r="AI38" s="299" t="s">
        <v>9071</v>
      </c>
      <c r="AJ38" s="300" t="s">
        <v>9072</v>
      </c>
      <c r="AK38" s="301" t="s">
        <v>9070</v>
      </c>
      <c r="AL38" s="297" t="s">
        <v>9069</v>
      </c>
      <c r="AM38" s="297" t="s">
        <v>9073</v>
      </c>
      <c r="AN38" s="297"/>
      <c r="AO38" s="473"/>
      <c r="AP38" s="297"/>
      <c r="AQ38" s="301" t="s">
        <v>514</v>
      </c>
      <c r="AR38" s="297" t="s">
        <v>66</v>
      </c>
      <c r="AS38" s="299">
        <v>38838</v>
      </c>
      <c r="AT38" s="299">
        <v>39994</v>
      </c>
      <c r="AU38" s="297" t="s">
        <v>8611</v>
      </c>
      <c r="AV38" s="297"/>
      <c r="AW38" s="297" t="s">
        <v>92</v>
      </c>
      <c r="AX38" s="297" t="s">
        <v>480</v>
      </c>
      <c r="AY38" s="299">
        <v>41733</v>
      </c>
      <c r="AZ38" s="297" t="s">
        <v>67</v>
      </c>
      <c r="BA38" s="299" t="s">
        <v>67</v>
      </c>
      <c r="BB38" s="382">
        <v>41766</v>
      </c>
      <c r="BC38" s="297" t="s">
        <v>95</v>
      </c>
      <c r="BD38" s="297" t="s">
        <v>566</v>
      </c>
      <c r="BE38" s="297"/>
      <c r="BF38" s="301"/>
      <c r="BG38" s="301" t="s">
        <v>8471</v>
      </c>
      <c r="BH38" s="301" t="s">
        <v>8522</v>
      </c>
      <c r="BI38" s="301" t="s">
        <v>179</v>
      </c>
      <c r="BJ38" s="312">
        <v>63877037</v>
      </c>
      <c r="BK38" s="312" t="s">
        <v>8523</v>
      </c>
      <c r="BL38" s="313" t="s">
        <v>8524</v>
      </c>
      <c r="BM38" s="299" t="s">
        <v>8525</v>
      </c>
      <c r="BN38" s="314" t="s">
        <v>8526</v>
      </c>
      <c r="BO38" s="460"/>
      <c r="BP38" s="390">
        <v>6626800</v>
      </c>
      <c r="BQ38" s="297" t="s">
        <v>7562</v>
      </c>
      <c r="BR38" s="303"/>
      <c r="BS38" s="301" t="s">
        <v>8123</v>
      </c>
      <c r="BT38" s="301" t="s">
        <v>516</v>
      </c>
      <c r="BU38" s="301" t="s">
        <v>517</v>
      </c>
      <c r="BV38" s="301"/>
      <c r="BW38" s="328">
        <v>17851091</v>
      </c>
      <c r="BX38" s="304">
        <v>154879017</v>
      </c>
      <c r="BY38" s="299">
        <v>42899</v>
      </c>
      <c r="BZ38" s="317">
        <v>42887</v>
      </c>
    </row>
    <row r="39" spans="1:78" ht="63.75" customHeight="1">
      <c r="A39" s="296">
        <v>37</v>
      </c>
      <c r="B39" s="297" t="s">
        <v>518</v>
      </c>
      <c r="C39" s="298">
        <v>8772560</v>
      </c>
      <c r="D39" s="354" t="s">
        <v>242</v>
      </c>
      <c r="E39" s="299">
        <v>41961</v>
      </c>
      <c r="F39" s="300">
        <v>41944</v>
      </c>
      <c r="G39" s="301" t="s">
        <v>519</v>
      </c>
      <c r="H39" s="297" t="s">
        <v>5</v>
      </c>
      <c r="I39" s="297" t="s">
        <v>101</v>
      </c>
      <c r="J39" s="299">
        <v>41982</v>
      </c>
      <c r="K39" s="300">
        <v>41974</v>
      </c>
      <c r="L39" s="301" t="s">
        <v>520</v>
      </c>
      <c r="M39" s="297"/>
      <c r="N39" s="297"/>
      <c r="O39" s="299">
        <v>42232</v>
      </c>
      <c r="P39" s="302"/>
      <c r="Q39" s="301" t="s">
        <v>521</v>
      </c>
      <c r="R39" s="297"/>
      <c r="S39" s="297"/>
      <c r="T39" s="299"/>
      <c r="U39" s="300"/>
      <c r="V39" s="301"/>
      <c r="W39" s="297"/>
      <c r="X39" s="297"/>
      <c r="Y39" s="299"/>
      <c r="Z39" s="300"/>
      <c r="AA39" s="301"/>
      <c r="AB39" s="297"/>
      <c r="AC39" s="297"/>
      <c r="AD39" s="299"/>
      <c r="AE39" s="300"/>
      <c r="AF39" s="301"/>
      <c r="AG39" s="297"/>
      <c r="AH39" s="297"/>
      <c r="AI39" s="304"/>
      <c r="AJ39" s="300"/>
      <c r="AK39" s="301"/>
      <c r="AL39" s="297"/>
      <c r="AM39" s="297"/>
      <c r="AN39" s="297"/>
      <c r="AO39" s="473"/>
      <c r="AP39" s="297"/>
      <c r="AQ39" s="301" t="s">
        <v>8106</v>
      </c>
      <c r="AR39" s="297" t="s">
        <v>66</v>
      </c>
      <c r="AS39" s="299">
        <v>38777</v>
      </c>
      <c r="AT39" s="299">
        <v>39994</v>
      </c>
      <c r="AU39" s="297" t="s">
        <v>515</v>
      </c>
      <c r="AV39" s="297"/>
      <c r="AW39" s="297" t="s">
        <v>92</v>
      </c>
      <c r="AX39" s="297" t="s">
        <v>522</v>
      </c>
      <c r="AY39" s="299">
        <v>41404</v>
      </c>
      <c r="AZ39" s="297" t="s">
        <v>523</v>
      </c>
      <c r="BA39" s="299">
        <v>41759</v>
      </c>
      <c r="BB39" s="382">
        <v>41843</v>
      </c>
      <c r="BC39" s="297" t="s">
        <v>95</v>
      </c>
      <c r="BD39" s="297" t="s">
        <v>566</v>
      </c>
      <c r="BE39" s="297"/>
      <c r="BF39" s="301"/>
      <c r="BG39" s="301" t="s">
        <v>67</v>
      </c>
      <c r="BH39" s="301" t="s">
        <v>524</v>
      </c>
      <c r="BI39" s="301" t="s">
        <v>525</v>
      </c>
      <c r="BJ39" s="312">
        <v>59831630</v>
      </c>
      <c r="BK39" s="312">
        <v>59831630</v>
      </c>
      <c r="BL39" s="313">
        <v>4965117</v>
      </c>
      <c r="BM39" s="299">
        <v>42751</v>
      </c>
      <c r="BN39" s="314">
        <v>42736</v>
      </c>
      <c r="BO39" s="460"/>
      <c r="BP39" s="390">
        <v>8547700</v>
      </c>
      <c r="BQ39" s="297" t="s">
        <v>7459</v>
      </c>
      <c r="BR39" s="303"/>
      <c r="BS39" s="301"/>
      <c r="BT39" s="301"/>
      <c r="BU39" s="301"/>
      <c r="BV39" s="301"/>
      <c r="BW39" s="316"/>
      <c r="BX39" s="304"/>
      <c r="BY39" s="299"/>
      <c r="BZ39" s="317"/>
    </row>
    <row r="40" spans="1:78" ht="96.75" customHeight="1">
      <c r="A40" s="296">
        <v>38</v>
      </c>
      <c r="B40" s="297" t="s">
        <v>526</v>
      </c>
      <c r="C40" s="323">
        <v>5117647</v>
      </c>
      <c r="D40" s="354" t="s">
        <v>242</v>
      </c>
      <c r="E40" s="299">
        <v>41961</v>
      </c>
      <c r="F40" s="300">
        <v>41944</v>
      </c>
      <c r="G40" s="301" t="s">
        <v>527</v>
      </c>
      <c r="H40" s="297" t="s">
        <v>5</v>
      </c>
      <c r="I40" s="297" t="s">
        <v>101</v>
      </c>
      <c r="J40" s="299">
        <v>42332</v>
      </c>
      <c r="K40" s="300">
        <v>42309</v>
      </c>
      <c r="L40" s="301" t="s">
        <v>528</v>
      </c>
      <c r="M40" s="297" t="s">
        <v>63</v>
      </c>
      <c r="N40" s="297" t="s">
        <v>529</v>
      </c>
      <c r="O40" s="299">
        <v>42264</v>
      </c>
      <c r="P40" s="302">
        <v>42248</v>
      </c>
      <c r="Q40" s="301" t="s">
        <v>530</v>
      </c>
      <c r="R40" s="297" t="s">
        <v>5</v>
      </c>
      <c r="S40" s="297" t="s">
        <v>531</v>
      </c>
      <c r="T40" s="299">
        <v>42949</v>
      </c>
      <c r="U40" s="300">
        <v>42948</v>
      </c>
      <c r="V40" s="301" t="s">
        <v>532</v>
      </c>
      <c r="W40" s="297" t="s">
        <v>63</v>
      </c>
      <c r="X40" s="297" t="s">
        <v>107</v>
      </c>
      <c r="Y40" s="299">
        <v>43669</v>
      </c>
      <c r="Z40" s="300">
        <v>43669</v>
      </c>
      <c r="AA40" s="301" t="s">
        <v>9066</v>
      </c>
      <c r="AB40" s="297" t="s">
        <v>9067</v>
      </c>
      <c r="AC40" s="297" t="s">
        <v>9068</v>
      </c>
      <c r="AD40" s="299"/>
      <c r="AE40" s="300"/>
      <c r="AF40" s="301"/>
      <c r="AG40" s="297"/>
      <c r="AH40" s="297"/>
      <c r="AI40" s="304"/>
      <c r="AJ40" s="300"/>
      <c r="AK40" s="301"/>
      <c r="AL40" s="297"/>
      <c r="AM40" s="297"/>
      <c r="AN40" s="297"/>
      <c r="AO40" s="473"/>
      <c r="AP40" s="297"/>
      <c r="AQ40" s="301" t="s">
        <v>8145</v>
      </c>
      <c r="AR40" s="297" t="s">
        <v>66</v>
      </c>
      <c r="AS40" s="299">
        <v>38596</v>
      </c>
      <c r="AT40" s="324">
        <v>39813</v>
      </c>
      <c r="AU40" s="297" t="s">
        <v>533</v>
      </c>
      <c r="AV40" s="297"/>
      <c r="AW40" s="297" t="s">
        <v>92</v>
      </c>
      <c r="AX40" s="297" t="s">
        <v>534</v>
      </c>
      <c r="AY40" s="299">
        <v>41848</v>
      </c>
      <c r="AZ40" s="297" t="s">
        <v>67</v>
      </c>
      <c r="BA40" s="299" t="s">
        <v>67</v>
      </c>
      <c r="BB40" s="382">
        <v>41877</v>
      </c>
      <c r="BC40" s="297" t="s">
        <v>95</v>
      </c>
      <c r="BD40" s="297" t="s">
        <v>1792</v>
      </c>
      <c r="BE40" s="297"/>
      <c r="BF40" s="301"/>
      <c r="BG40" s="301" t="s">
        <v>67</v>
      </c>
      <c r="BH40" s="301" t="s">
        <v>535</v>
      </c>
      <c r="BI40" s="301" t="s">
        <v>536</v>
      </c>
      <c r="BJ40" s="312">
        <v>71958729</v>
      </c>
      <c r="BK40" s="312">
        <v>71958729</v>
      </c>
      <c r="BL40" s="313">
        <v>17038217</v>
      </c>
      <c r="BM40" s="299">
        <v>42765</v>
      </c>
      <c r="BN40" s="314">
        <v>42736</v>
      </c>
      <c r="BO40" s="460"/>
      <c r="BP40" s="390"/>
      <c r="BQ40" s="297"/>
      <c r="BR40" s="303"/>
      <c r="BS40" s="301"/>
      <c r="BT40" s="301"/>
      <c r="BU40" s="301"/>
      <c r="BV40" s="301"/>
      <c r="BW40" s="316"/>
      <c r="BX40" s="304"/>
      <c r="BY40" s="299"/>
      <c r="BZ40" s="317"/>
    </row>
    <row r="41" spans="1:78" ht="32.25" customHeight="1">
      <c r="A41" s="296">
        <v>39</v>
      </c>
      <c r="B41" s="303" t="s">
        <v>537</v>
      </c>
      <c r="C41" s="298">
        <v>71332680</v>
      </c>
      <c r="D41" s="354" t="s">
        <v>333</v>
      </c>
      <c r="E41" s="299">
        <v>41962</v>
      </c>
      <c r="F41" s="299">
        <v>41944</v>
      </c>
      <c r="G41" s="301" t="s">
        <v>538</v>
      </c>
      <c r="H41" s="297" t="s">
        <v>195</v>
      </c>
      <c r="I41" s="297" t="s">
        <v>153</v>
      </c>
      <c r="J41" s="299">
        <v>42468</v>
      </c>
      <c r="K41" s="300">
        <v>42461</v>
      </c>
      <c r="L41" s="301" t="s">
        <v>539</v>
      </c>
      <c r="M41" s="297" t="s">
        <v>5</v>
      </c>
      <c r="N41" s="297" t="s">
        <v>101</v>
      </c>
      <c r="O41" s="299">
        <v>42868</v>
      </c>
      <c r="P41" s="302">
        <v>42856</v>
      </c>
      <c r="Q41" s="301" t="s">
        <v>540</v>
      </c>
      <c r="R41" s="297" t="s">
        <v>5</v>
      </c>
      <c r="S41" s="297" t="s">
        <v>107</v>
      </c>
      <c r="T41" s="299">
        <v>43486</v>
      </c>
      <c r="U41" s="300">
        <v>43486</v>
      </c>
      <c r="V41" s="301" t="s">
        <v>8026</v>
      </c>
      <c r="W41" s="297" t="s">
        <v>503</v>
      </c>
      <c r="X41" s="297" t="s">
        <v>8028</v>
      </c>
      <c r="Y41" s="299"/>
      <c r="Z41" s="300"/>
      <c r="AA41" s="301"/>
      <c r="AB41" s="297"/>
      <c r="AC41" s="297"/>
      <c r="AD41" s="299"/>
      <c r="AE41" s="300"/>
      <c r="AF41" s="301"/>
      <c r="AG41" s="297"/>
      <c r="AH41" s="297"/>
      <c r="AI41" s="304"/>
      <c r="AJ41" s="300"/>
      <c r="AK41" s="301"/>
      <c r="AL41" s="297"/>
      <c r="AM41" s="297"/>
      <c r="AN41" s="325"/>
      <c r="AO41" s="475"/>
      <c r="AP41" s="325"/>
      <c r="AQ41" s="301" t="s">
        <v>541</v>
      </c>
      <c r="AR41" s="297" t="s">
        <v>66</v>
      </c>
      <c r="AS41" s="299">
        <v>38275</v>
      </c>
      <c r="AT41" s="299">
        <v>39447</v>
      </c>
      <c r="AU41" s="303" t="s">
        <v>542</v>
      </c>
      <c r="AV41" s="303"/>
      <c r="AW41" s="297" t="s">
        <v>92</v>
      </c>
      <c r="AX41" s="297" t="s">
        <v>543</v>
      </c>
      <c r="AY41" s="299">
        <v>40973</v>
      </c>
      <c r="AZ41" s="297" t="s">
        <v>409</v>
      </c>
      <c r="BA41" s="299">
        <v>41766</v>
      </c>
      <c r="BB41" s="382">
        <v>41721</v>
      </c>
      <c r="BC41" s="297" t="s">
        <v>95</v>
      </c>
      <c r="BD41" s="297" t="s">
        <v>566</v>
      </c>
      <c r="BE41" s="297"/>
      <c r="BF41" s="301"/>
      <c r="BG41" s="301"/>
      <c r="BH41" s="301" t="s">
        <v>8918</v>
      </c>
      <c r="BI41" s="301"/>
      <c r="BJ41" s="312">
        <v>160489825</v>
      </c>
      <c r="BK41" s="312">
        <v>160489825</v>
      </c>
      <c r="BL41" s="313">
        <v>2368218</v>
      </c>
      <c r="BM41" s="299">
        <v>43112</v>
      </c>
      <c r="BN41" s="314">
        <v>43101</v>
      </c>
      <c r="BO41" s="434" t="s">
        <v>460</v>
      </c>
      <c r="BP41" s="397"/>
      <c r="BQ41" s="398"/>
      <c r="BR41" s="320"/>
      <c r="BS41" s="301"/>
      <c r="BT41" s="301"/>
      <c r="BU41" s="301"/>
      <c r="BV41" s="301"/>
      <c r="BW41" s="316"/>
      <c r="BX41" s="304"/>
      <c r="BY41" s="299"/>
      <c r="BZ41" s="317"/>
    </row>
    <row r="42" spans="1:78" ht="38.25" customHeight="1">
      <c r="A42" s="296">
        <v>40</v>
      </c>
      <c r="B42" s="297" t="s">
        <v>544</v>
      </c>
      <c r="C42" s="321" t="s">
        <v>8553</v>
      </c>
      <c r="D42" s="354" t="s">
        <v>545</v>
      </c>
      <c r="E42" s="299">
        <v>41985</v>
      </c>
      <c r="F42" s="300">
        <v>41974</v>
      </c>
      <c r="G42" s="308" t="s">
        <v>546</v>
      </c>
      <c r="H42" s="303" t="s">
        <v>63</v>
      </c>
      <c r="I42" s="303" t="s">
        <v>101</v>
      </c>
      <c r="J42" s="299">
        <v>42236</v>
      </c>
      <c r="K42" s="300">
        <v>42217</v>
      </c>
      <c r="L42" s="301" t="s">
        <v>547</v>
      </c>
      <c r="M42" s="297" t="s">
        <v>63</v>
      </c>
      <c r="N42" s="297" t="s">
        <v>107</v>
      </c>
      <c r="O42" s="299">
        <v>42282</v>
      </c>
      <c r="P42" s="302">
        <v>42278</v>
      </c>
      <c r="Q42" s="301" t="s">
        <v>548</v>
      </c>
      <c r="R42" s="297" t="s">
        <v>63</v>
      </c>
      <c r="S42" s="297" t="s">
        <v>107</v>
      </c>
      <c r="T42" s="299">
        <v>43025</v>
      </c>
      <c r="U42" s="300">
        <v>43009</v>
      </c>
      <c r="V42" s="301" t="s">
        <v>549</v>
      </c>
      <c r="W42" s="297" t="s">
        <v>63</v>
      </c>
      <c r="X42" s="297" t="s">
        <v>107</v>
      </c>
      <c r="Y42" s="299">
        <v>42804</v>
      </c>
      <c r="Z42" s="300">
        <v>42795</v>
      </c>
      <c r="AA42" s="301" t="s">
        <v>550</v>
      </c>
      <c r="AB42" s="297" t="s">
        <v>195</v>
      </c>
      <c r="AC42" s="297" t="s">
        <v>551</v>
      </c>
      <c r="AD42" s="299" t="s">
        <v>552</v>
      </c>
      <c r="AE42" s="300" t="s">
        <v>553</v>
      </c>
      <c r="AF42" s="301" t="s">
        <v>554</v>
      </c>
      <c r="AG42" s="297" t="s">
        <v>555</v>
      </c>
      <c r="AH42" s="297" t="s">
        <v>556</v>
      </c>
      <c r="AI42" s="305" t="s">
        <v>8761</v>
      </c>
      <c r="AJ42" s="300" t="s">
        <v>8762</v>
      </c>
      <c r="AK42" s="315" t="s">
        <v>8763</v>
      </c>
      <c r="AL42" s="315" t="s">
        <v>8764</v>
      </c>
      <c r="AM42" s="297" t="s">
        <v>8765</v>
      </c>
      <c r="AN42" s="297"/>
      <c r="AO42" s="479">
        <v>43495</v>
      </c>
      <c r="AP42" s="297"/>
      <c r="AQ42" s="301" t="s">
        <v>559</v>
      </c>
      <c r="AR42" s="297" t="s">
        <v>560</v>
      </c>
      <c r="AS42" s="299" t="s">
        <v>67</v>
      </c>
      <c r="AT42" s="299" t="s">
        <v>67</v>
      </c>
      <c r="AU42" s="297" t="s">
        <v>8136</v>
      </c>
      <c r="AV42" s="297"/>
      <c r="AW42" s="297" t="s">
        <v>92</v>
      </c>
      <c r="AX42" s="297" t="s">
        <v>328</v>
      </c>
      <c r="AY42" s="299">
        <v>41810</v>
      </c>
      <c r="AZ42" s="297" t="s">
        <v>67</v>
      </c>
      <c r="BA42" s="299" t="s">
        <v>67</v>
      </c>
      <c r="BB42" s="678">
        <v>41859</v>
      </c>
      <c r="BC42" s="303" t="s">
        <v>561</v>
      </c>
      <c r="BD42" s="303" t="s">
        <v>8107</v>
      </c>
      <c r="BE42" s="297" t="s">
        <v>562</v>
      </c>
      <c r="BF42" s="301" t="s">
        <v>8554</v>
      </c>
      <c r="BG42" s="301"/>
      <c r="BH42" s="301" t="s">
        <v>8822</v>
      </c>
      <c r="BI42" s="301" t="s">
        <v>116</v>
      </c>
      <c r="BJ42" s="306">
        <f>+[8]MATRIZ!$N$44</f>
        <v>297550965.84295726</v>
      </c>
      <c r="BK42" s="306" t="s">
        <v>8823</v>
      </c>
      <c r="BL42" s="307" t="s">
        <v>8824</v>
      </c>
      <c r="BM42" s="299" t="s">
        <v>8825</v>
      </c>
      <c r="BN42" s="314" t="s">
        <v>8826</v>
      </c>
      <c r="BO42" s="434" t="s">
        <v>8827</v>
      </c>
      <c r="BP42" s="390"/>
      <c r="BQ42" s="297"/>
      <c r="BR42" s="303"/>
      <c r="BS42" s="308"/>
      <c r="BT42" s="301"/>
      <c r="BU42" s="301"/>
      <c r="BV42" s="301"/>
      <c r="BW42" s="316"/>
      <c r="BX42" s="304"/>
      <c r="BY42" s="299"/>
      <c r="BZ42" s="317"/>
    </row>
    <row r="43" spans="1:78" ht="337.5">
      <c r="A43" s="296">
        <v>42</v>
      </c>
      <c r="B43" s="297" t="s">
        <v>578</v>
      </c>
      <c r="C43" s="298">
        <v>4990679</v>
      </c>
      <c r="D43" s="354" t="s">
        <v>579</v>
      </c>
      <c r="E43" s="299">
        <v>41991</v>
      </c>
      <c r="F43" s="300">
        <v>41974</v>
      </c>
      <c r="G43" s="301" t="s">
        <v>565</v>
      </c>
      <c r="H43" s="297" t="s">
        <v>566</v>
      </c>
      <c r="I43" s="297"/>
      <c r="J43" s="299">
        <v>43172</v>
      </c>
      <c r="K43" s="300">
        <v>43160</v>
      </c>
      <c r="L43" s="301" t="s">
        <v>580</v>
      </c>
      <c r="M43" s="297" t="s">
        <v>581</v>
      </c>
      <c r="N43" s="297" t="s">
        <v>582</v>
      </c>
      <c r="O43" s="299">
        <v>43284</v>
      </c>
      <c r="P43" s="302">
        <v>43284</v>
      </c>
      <c r="Q43" s="301" t="s">
        <v>583</v>
      </c>
      <c r="R43" s="297" t="s">
        <v>581</v>
      </c>
      <c r="S43" s="297" t="s">
        <v>584</v>
      </c>
      <c r="T43" s="299">
        <v>43391</v>
      </c>
      <c r="U43" s="300">
        <v>43391</v>
      </c>
      <c r="V43" s="301" t="s">
        <v>585</v>
      </c>
      <c r="W43" s="297" t="s">
        <v>586</v>
      </c>
      <c r="X43" s="297" t="s">
        <v>507</v>
      </c>
      <c r="Y43" s="299">
        <v>43444</v>
      </c>
      <c r="Z43" s="300">
        <v>43444</v>
      </c>
      <c r="AA43" s="301" t="s">
        <v>7567</v>
      </c>
      <c r="AB43" s="297" t="s">
        <v>586</v>
      </c>
      <c r="AC43" s="297" t="s">
        <v>7566</v>
      </c>
      <c r="AD43" s="299">
        <v>43445</v>
      </c>
      <c r="AE43" s="300">
        <v>43445</v>
      </c>
      <c r="AF43" s="301" t="s">
        <v>7968</v>
      </c>
      <c r="AG43" s="297" t="s">
        <v>586</v>
      </c>
      <c r="AH43" s="297" t="s">
        <v>7967</v>
      </c>
      <c r="AI43" s="305" t="s">
        <v>9209</v>
      </c>
      <c r="AJ43" s="300" t="s">
        <v>9210</v>
      </c>
      <c r="AK43" s="301" t="s">
        <v>9208</v>
      </c>
      <c r="AL43" s="297" t="s">
        <v>9211</v>
      </c>
      <c r="AM43" s="297" t="s">
        <v>9212</v>
      </c>
      <c r="AN43" s="297"/>
      <c r="AO43" s="473"/>
      <c r="AP43" s="297"/>
      <c r="AQ43" s="301" t="s">
        <v>8108</v>
      </c>
      <c r="AR43" s="297" t="s">
        <v>66</v>
      </c>
      <c r="AS43" s="299" t="s">
        <v>67</v>
      </c>
      <c r="AT43" s="299" t="s">
        <v>67</v>
      </c>
      <c r="AU43" s="297" t="s">
        <v>7320</v>
      </c>
      <c r="AV43" s="297"/>
      <c r="AW43" s="297" t="s">
        <v>67</v>
      </c>
      <c r="AX43" s="297" t="s">
        <v>587</v>
      </c>
      <c r="AY43" s="299">
        <v>40665</v>
      </c>
      <c r="AZ43" s="297" t="s">
        <v>588</v>
      </c>
      <c r="BA43" s="299">
        <v>41242</v>
      </c>
      <c r="BB43" s="678">
        <v>41255</v>
      </c>
      <c r="BC43" s="303" t="s">
        <v>561</v>
      </c>
      <c r="BD43" s="303" t="s">
        <v>8109</v>
      </c>
      <c r="BE43" s="297" t="s">
        <v>589</v>
      </c>
      <c r="BF43" s="301"/>
      <c r="BG43" s="301"/>
      <c r="BH43" s="301" t="s">
        <v>9415</v>
      </c>
      <c r="BI43" s="301"/>
      <c r="BJ43" s="327" t="s">
        <v>9416</v>
      </c>
      <c r="BK43" s="306" t="s">
        <v>9416</v>
      </c>
      <c r="BL43" s="307" t="s">
        <v>9436</v>
      </c>
      <c r="BM43" s="299" t="s">
        <v>9417</v>
      </c>
      <c r="BN43" s="314" t="s">
        <v>9418</v>
      </c>
      <c r="BO43" s="434" t="s">
        <v>590</v>
      </c>
      <c r="BP43" s="390"/>
      <c r="BQ43" s="297"/>
      <c r="BR43" s="303"/>
      <c r="BS43" s="308"/>
      <c r="BT43" s="301"/>
      <c r="BU43" s="301"/>
      <c r="BV43" s="301"/>
      <c r="BW43" s="316"/>
      <c r="BX43" s="304"/>
      <c r="BY43" s="299"/>
      <c r="BZ43" s="317"/>
    </row>
    <row r="44" spans="1:78" ht="159.75" customHeight="1">
      <c r="A44" s="296">
        <v>43</v>
      </c>
      <c r="B44" s="297" t="s">
        <v>591</v>
      </c>
      <c r="C44" s="298">
        <v>15336480</v>
      </c>
      <c r="D44" s="354" t="s">
        <v>8067</v>
      </c>
      <c r="E44" s="299">
        <v>41991</v>
      </c>
      <c r="F44" s="300">
        <v>41974</v>
      </c>
      <c r="G44" s="301" t="s">
        <v>565</v>
      </c>
      <c r="H44" s="297" t="s">
        <v>566</v>
      </c>
      <c r="I44" s="297" t="s">
        <v>592</v>
      </c>
      <c r="J44" s="299"/>
      <c r="K44" s="300"/>
      <c r="L44" s="301"/>
      <c r="M44" s="297"/>
      <c r="N44" s="297"/>
      <c r="O44" s="299"/>
      <c r="P44" s="302"/>
      <c r="Q44" s="301"/>
      <c r="R44" s="297"/>
      <c r="S44" s="297"/>
      <c r="T44" s="299"/>
      <c r="U44" s="300"/>
      <c r="V44" s="301"/>
      <c r="W44" s="297"/>
      <c r="X44" s="297"/>
      <c r="Y44" s="299"/>
      <c r="Z44" s="300"/>
      <c r="AA44" s="301"/>
      <c r="AB44" s="297"/>
      <c r="AC44" s="297"/>
      <c r="AD44" s="299"/>
      <c r="AE44" s="300"/>
      <c r="AF44" s="301"/>
      <c r="AG44" s="297"/>
      <c r="AH44" s="297"/>
      <c r="AI44" s="322"/>
      <c r="AJ44" s="300"/>
      <c r="AK44" s="301"/>
      <c r="AL44" s="297"/>
      <c r="AM44" s="297"/>
      <c r="AN44" s="297"/>
      <c r="AO44" s="473"/>
      <c r="AP44" s="297"/>
      <c r="AQ44" s="301" t="s">
        <v>593</v>
      </c>
      <c r="AR44" s="297" t="s">
        <v>66</v>
      </c>
      <c r="AS44" s="299">
        <v>38108</v>
      </c>
      <c r="AT44" s="299">
        <v>40054</v>
      </c>
      <c r="AU44" s="297" t="s">
        <v>594</v>
      </c>
      <c r="AV44" s="297"/>
      <c r="AW44" s="297" t="s">
        <v>69</v>
      </c>
      <c r="AX44" s="297" t="s">
        <v>595</v>
      </c>
      <c r="AY44" s="299">
        <v>41605</v>
      </c>
      <c r="AZ44" s="297" t="s">
        <v>67</v>
      </c>
      <c r="BA44" s="299" t="s">
        <v>67</v>
      </c>
      <c r="BB44" s="382">
        <v>41620</v>
      </c>
      <c r="BC44" s="297" t="s">
        <v>95</v>
      </c>
      <c r="BD44" s="297" t="s">
        <v>566</v>
      </c>
      <c r="BE44" s="297"/>
      <c r="BF44" s="301"/>
      <c r="BG44" s="301" t="s">
        <v>67</v>
      </c>
      <c r="BH44" s="301" t="s">
        <v>67</v>
      </c>
      <c r="BI44" s="301" t="s">
        <v>67</v>
      </c>
      <c r="BJ44" s="312"/>
      <c r="BK44" s="312"/>
      <c r="BL44" s="313" t="s">
        <v>67</v>
      </c>
      <c r="BM44" s="299" t="s">
        <v>67</v>
      </c>
      <c r="BN44" s="314" t="s">
        <v>67</v>
      </c>
      <c r="BO44" s="460"/>
      <c r="BP44" s="390"/>
      <c r="BQ44" s="297"/>
      <c r="BR44" s="303"/>
      <c r="BS44" s="301"/>
      <c r="BT44" s="301"/>
      <c r="BU44" s="301"/>
      <c r="BV44" s="301"/>
      <c r="BW44" s="316"/>
      <c r="BX44" s="304"/>
      <c r="BY44" s="299"/>
      <c r="BZ44" s="317"/>
    </row>
    <row r="45" spans="1:78" ht="81" customHeight="1">
      <c r="A45" s="296">
        <v>44</v>
      </c>
      <c r="B45" s="297" t="s">
        <v>596</v>
      </c>
      <c r="C45" s="298">
        <v>19484558</v>
      </c>
      <c r="D45" s="354" t="s">
        <v>597</v>
      </c>
      <c r="E45" s="299">
        <v>41991</v>
      </c>
      <c r="F45" s="300">
        <v>41974</v>
      </c>
      <c r="G45" s="301" t="s">
        <v>565</v>
      </c>
      <c r="H45" s="297" t="s">
        <v>566</v>
      </c>
      <c r="I45" s="297" t="s">
        <v>598</v>
      </c>
      <c r="J45" s="299">
        <v>43097</v>
      </c>
      <c r="K45" s="300">
        <v>43070</v>
      </c>
      <c r="L45" s="301" t="s">
        <v>599</v>
      </c>
      <c r="M45" s="297" t="s">
        <v>63</v>
      </c>
      <c r="N45" s="297" t="s">
        <v>85</v>
      </c>
      <c r="O45" s="299"/>
      <c r="P45" s="302"/>
      <c r="Q45" s="301"/>
      <c r="R45" s="297"/>
      <c r="S45" s="297"/>
      <c r="T45" s="299"/>
      <c r="U45" s="300"/>
      <c r="V45" s="301"/>
      <c r="W45" s="297"/>
      <c r="X45" s="297"/>
      <c r="Y45" s="299"/>
      <c r="Z45" s="300"/>
      <c r="AA45" s="301"/>
      <c r="AB45" s="297"/>
      <c r="AC45" s="297"/>
      <c r="AD45" s="299"/>
      <c r="AE45" s="300"/>
      <c r="AF45" s="301"/>
      <c r="AG45" s="297"/>
      <c r="AH45" s="297"/>
      <c r="AI45" s="322"/>
      <c r="AJ45" s="300"/>
      <c r="AK45" s="301"/>
      <c r="AL45" s="297"/>
      <c r="AM45" s="297"/>
      <c r="AN45" s="297" t="s">
        <v>600</v>
      </c>
      <c r="AO45" s="473"/>
      <c r="AP45" s="297"/>
      <c r="AQ45" s="301" t="s">
        <v>601</v>
      </c>
      <c r="AR45" s="297" t="s">
        <v>66</v>
      </c>
      <c r="AS45" s="299">
        <v>37773</v>
      </c>
      <c r="AT45" s="299">
        <v>39994</v>
      </c>
      <c r="AU45" s="297" t="s">
        <v>602</v>
      </c>
      <c r="AV45" s="297"/>
      <c r="AW45" s="297" t="s">
        <v>92</v>
      </c>
      <c r="AX45" s="297" t="s">
        <v>603</v>
      </c>
      <c r="AY45" s="299">
        <v>41029</v>
      </c>
      <c r="AZ45" s="297" t="s">
        <v>291</v>
      </c>
      <c r="BA45" s="299">
        <v>41390</v>
      </c>
      <c r="BB45" s="382">
        <v>41410</v>
      </c>
      <c r="BC45" s="297" t="s">
        <v>95</v>
      </c>
      <c r="BD45" s="297" t="s">
        <v>566</v>
      </c>
      <c r="BE45" s="297"/>
      <c r="BF45" s="301"/>
      <c r="BG45" s="301"/>
      <c r="BH45" s="301" t="s">
        <v>604</v>
      </c>
      <c r="BI45" s="301"/>
      <c r="BJ45" s="312">
        <v>19628743</v>
      </c>
      <c r="BK45" s="312">
        <v>19628743</v>
      </c>
      <c r="BL45" s="313" t="s">
        <v>605</v>
      </c>
      <c r="BM45" s="299">
        <v>43115</v>
      </c>
      <c r="BN45" s="314">
        <v>43101</v>
      </c>
      <c r="BO45" s="434" t="s">
        <v>606</v>
      </c>
      <c r="BP45" s="397"/>
      <c r="BQ45" s="398"/>
      <c r="BR45" s="320"/>
      <c r="BS45" s="301"/>
      <c r="BT45" s="301"/>
      <c r="BU45" s="301"/>
      <c r="BV45" s="301"/>
      <c r="BW45" s="316"/>
      <c r="BX45" s="304"/>
      <c r="BY45" s="299"/>
      <c r="BZ45" s="317"/>
    </row>
    <row r="46" spans="1:78" ht="131.25" customHeight="1">
      <c r="A46" s="296">
        <v>45</v>
      </c>
      <c r="B46" s="297" t="s">
        <v>607</v>
      </c>
      <c r="C46" s="298">
        <v>19593128</v>
      </c>
      <c r="D46" s="354" t="s">
        <v>608</v>
      </c>
      <c r="E46" s="299">
        <v>41991</v>
      </c>
      <c r="F46" s="300">
        <v>41974</v>
      </c>
      <c r="G46" s="301" t="s">
        <v>565</v>
      </c>
      <c r="H46" s="297" t="s">
        <v>566</v>
      </c>
      <c r="I46" s="297"/>
      <c r="J46" s="299"/>
      <c r="K46" s="300"/>
      <c r="L46" s="301"/>
      <c r="M46" s="297"/>
      <c r="N46" s="297"/>
      <c r="O46" s="299"/>
      <c r="P46" s="302"/>
      <c r="Q46" s="301"/>
      <c r="R46" s="297"/>
      <c r="S46" s="297"/>
      <c r="T46" s="299"/>
      <c r="U46" s="300"/>
      <c r="V46" s="301"/>
      <c r="W46" s="297"/>
      <c r="X46" s="297"/>
      <c r="Y46" s="299"/>
      <c r="Z46" s="300"/>
      <c r="AA46" s="301"/>
      <c r="AB46" s="297"/>
      <c r="AC46" s="297"/>
      <c r="AD46" s="299"/>
      <c r="AE46" s="300"/>
      <c r="AF46" s="301"/>
      <c r="AG46" s="297"/>
      <c r="AH46" s="297"/>
      <c r="AI46" s="304"/>
      <c r="AJ46" s="300"/>
      <c r="AK46" s="301"/>
      <c r="AL46" s="297"/>
      <c r="AM46" s="297"/>
      <c r="AN46" s="297"/>
      <c r="AO46" s="473"/>
      <c r="AP46" s="297"/>
      <c r="AQ46" s="301" t="s">
        <v>609</v>
      </c>
      <c r="AR46" s="297" t="s">
        <v>66</v>
      </c>
      <c r="AS46" s="299">
        <v>38353</v>
      </c>
      <c r="AT46" s="299">
        <v>39813</v>
      </c>
      <c r="AU46" s="297" t="s">
        <v>610</v>
      </c>
      <c r="AV46" s="297"/>
      <c r="AW46" s="297" t="s">
        <v>92</v>
      </c>
      <c r="AX46" s="297" t="s">
        <v>611</v>
      </c>
      <c r="AY46" s="299">
        <v>41425</v>
      </c>
      <c r="AZ46" s="297" t="s">
        <v>612</v>
      </c>
      <c r="BA46" s="299">
        <v>41697</v>
      </c>
      <c r="BB46" s="382">
        <v>41710</v>
      </c>
      <c r="BC46" s="297" t="s">
        <v>95</v>
      </c>
      <c r="BD46" s="297" t="s">
        <v>566</v>
      </c>
      <c r="BE46" s="297"/>
      <c r="BF46" s="301"/>
      <c r="BG46" s="301" t="s">
        <v>613</v>
      </c>
      <c r="BH46" s="301" t="s">
        <v>614</v>
      </c>
      <c r="BI46" s="301" t="s">
        <v>179</v>
      </c>
      <c r="BJ46" s="312">
        <v>76650000</v>
      </c>
      <c r="BK46" s="312">
        <v>52902344</v>
      </c>
      <c r="BL46" s="313">
        <v>286800615</v>
      </c>
      <c r="BM46" s="299">
        <v>42284</v>
      </c>
      <c r="BN46" s="314">
        <v>42278</v>
      </c>
      <c r="BO46" s="460"/>
      <c r="BP46" s="390">
        <v>6179100</v>
      </c>
      <c r="BQ46" s="297" t="s">
        <v>7450</v>
      </c>
      <c r="BR46" s="303"/>
      <c r="BS46" s="301"/>
      <c r="BT46" s="301"/>
      <c r="BU46" s="301"/>
      <c r="BV46" s="301"/>
      <c r="BW46" s="316"/>
      <c r="BX46" s="304"/>
      <c r="BY46" s="299"/>
      <c r="BZ46" s="317"/>
    </row>
    <row r="47" spans="1:78" ht="84" customHeight="1">
      <c r="A47" s="296">
        <v>46</v>
      </c>
      <c r="B47" s="297" t="s">
        <v>615</v>
      </c>
      <c r="C47" s="298">
        <v>91255232</v>
      </c>
      <c r="D47" s="354" t="s">
        <v>77</v>
      </c>
      <c r="E47" s="299">
        <v>41991</v>
      </c>
      <c r="F47" s="300">
        <v>41974</v>
      </c>
      <c r="G47" s="301" t="s">
        <v>78</v>
      </c>
      <c r="H47" s="297" t="s">
        <v>5</v>
      </c>
      <c r="I47" s="297" t="s">
        <v>101</v>
      </c>
      <c r="J47" s="299">
        <v>42625</v>
      </c>
      <c r="K47" s="300">
        <v>42625</v>
      </c>
      <c r="L47" s="301" t="s">
        <v>616</v>
      </c>
      <c r="M47" s="297" t="s">
        <v>5</v>
      </c>
      <c r="N47" s="297" t="s">
        <v>79</v>
      </c>
      <c r="O47" s="299">
        <v>42626</v>
      </c>
      <c r="P47" s="302">
        <v>42626</v>
      </c>
      <c r="Q47" s="301" t="s">
        <v>617</v>
      </c>
      <c r="R47" s="297" t="s">
        <v>5</v>
      </c>
      <c r="S47" s="297" t="s">
        <v>79</v>
      </c>
      <c r="T47" s="299">
        <v>43363</v>
      </c>
      <c r="U47" s="300">
        <v>43363</v>
      </c>
      <c r="V47" s="315" t="s">
        <v>618</v>
      </c>
      <c r="W47" s="297" t="s">
        <v>63</v>
      </c>
      <c r="X47" s="297" t="s">
        <v>121</v>
      </c>
      <c r="Y47" s="299">
        <v>43447</v>
      </c>
      <c r="Z47" s="300">
        <v>43447</v>
      </c>
      <c r="AA47" s="301" t="s">
        <v>7972</v>
      </c>
      <c r="AB47" s="297" t="s">
        <v>63</v>
      </c>
      <c r="AC47" s="297" t="s">
        <v>107</v>
      </c>
      <c r="AD47" s="299">
        <v>43448</v>
      </c>
      <c r="AE47" s="300">
        <v>43448</v>
      </c>
      <c r="AF47" s="315" t="s">
        <v>7973</v>
      </c>
      <c r="AG47" s="315" t="s">
        <v>63</v>
      </c>
      <c r="AH47" s="315" t="s">
        <v>107</v>
      </c>
      <c r="AI47" s="299" t="s">
        <v>8659</v>
      </c>
      <c r="AJ47" s="300" t="s">
        <v>8660</v>
      </c>
      <c r="AK47" s="315" t="s">
        <v>8658</v>
      </c>
      <c r="AL47" s="315" t="s">
        <v>8661</v>
      </c>
      <c r="AM47" s="315" t="s">
        <v>8662</v>
      </c>
      <c r="AN47" s="297"/>
      <c r="AO47" s="479">
        <v>41803</v>
      </c>
      <c r="AP47" s="297"/>
      <c r="AQ47" s="301" t="s">
        <v>619</v>
      </c>
      <c r="AR47" s="297" t="s">
        <v>7563</v>
      </c>
      <c r="AS47" s="299">
        <v>37956</v>
      </c>
      <c r="AT47" s="319" t="s">
        <v>620</v>
      </c>
      <c r="AU47" s="297" t="s">
        <v>8278</v>
      </c>
      <c r="AV47" s="297"/>
      <c r="AW47" s="297" t="s">
        <v>92</v>
      </c>
      <c r="AX47" s="297" t="s">
        <v>176</v>
      </c>
      <c r="AY47" s="299">
        <v>41029</v>
      </c>
      <c r="AZ47" s="297" t="s">
        <v>177</v>
      </c>
      <c r="BA47" s="299">
        <v>41467</v>
      </c>
      <c r="BB47" s="382">
        <v>41542</v>
      </c>
      <c r="BC47" s="297" t="s">
        <v>95</v>
      </c>
      <c r="BD47" s="297" t="s">
        <v>566</v>
      </c>
      <c r="BE47" s="297"/>
      <c r="BF47" s="301" t="s">
        <v>8222</v>
      </c>
      <c r="BG47" s="301" t="s">
        <v>621</v>
      </c>
      <c r="BH47" s="301" t="s">
        <v>8527</v>
      </c>
      <c r="BI47" s="301" t="s">
        <v>622</v>
      </c>
      <c r="BJ47" s="74">
        <f>+[9]MATRIZ!$N$76</f>
        <v>116914836.429539</v>
      </c>
      <c r="BK47" s="312" t="s">
        <v>8453</v>
      </c>
      <c r="BL47" s="313" t="s">
        <v>8528</v>
      </c>
      <c r="BM47" s="299" t="s">
        <v>8529</v>
      </c>
      <c r="BN47" s="314" t="s">
        <v>8530</v>
      </c>
      <c r="BO47" s="531" t="s">
        <v>8571</v>
      </c>
      <c r="BP47" s="390">
        <v>15915700</v>
      </c>
      <c r="BQ47" s="297" t="s">
        <v>7449</v>
      </c>
      <c r="BR47" s="303"/>
      <c r="BS47" s="301"/>
      <c r="BT47" s="308"/>
      <c r="BU47" s="308"/>
      <c r="BV47" s="308"/>
      <c r="BW47" s="309"/>
      <c r="BX47" s="310"/>
      <c r="BY47" s="305"/>
      <c r="BZ47" s="311"/>
    </row>
    <row r="48" spans="1:78" ht="63" customHeight="1">
      <c r="A48" s="296">
        <v>47</v>
      </c>
      <c r="B48" s="297" t="s">
        <v>623</v>
      </c>
      <c r="C48" s="298">
        <v>13871608</v>
      </c>
      <c r="D48" s="354" t="s">
        <v>167</v>
      </c>
      <c r="E48" s="299">
        <v>41991</v>
      </c>
      <c r="F48" s="300">
        <v>41974</v>
      </c>
      <c r="G48" s="301" t="s">
        <v>565</v>
      </c>
      <c r="H48" s="297" t="s">
        <v>566</v>
      </c>
      <c r="I48" s="297"/>
      <c r="J48" s="299">
        <v>42207</v>
      </c>
      <c r="K48" s="300">
        <v>42186</v>
      </c>
      <c r="L48" s="301" t="s">
        <v>78</v>
      </c>
      <c r="M48" s="297" t="s">
        <v>5</v>
      </c>
      <c r="N48" s="297" t="s">
        <v>79</v>
      </c>
      <c r="O48" s="299">
        <v>43398</v>
      </c>
      <c r="P48" s="302">
        <v>43398</v>
      </c>
      <c r="Q48" s="301" t="s">
        <v>624</v>
      </c>
      <c r="R48" s="297" t="s">
        <v>625</v>
      </c>
      <c r="S48" s="297" t="s">
        <v>274</v>
      </c>
      <c r="T48" s="299">
        <v>43417</v>
      </c>
      <c r="U48" s="300">
        <v>43417</v>
      </c>
      <c r="V48" s="301" t="s">
        <v>7510</v>
      </c>
      <c r="W48" s="297" t="s">
        <v>625</v>
      </c>
      <c r="X48" s="297" t="s">
        <v>174</v>
      </c>
      <c r="Y48" s="299"/>
      <c r="Z48" s="300"/>
      <c r="AA48" s="301"/>
      <c r="AB48" s="297"/>
      <c r="AC48" s="297"/>
      <c r="AD48" s="299"/>
      <c r="AE48" s="300"/>
      <c r="AF48" s="301"/>
      <c r="AG48" s="297"/>
      <c r="AH48" s="297"/>
      <c r="AI48" s="304"/>
      <c r="AJ48" s="300"/>
      <c r="AK48" s="301"/>
      <c r="AL48" s="297"/>
      <c r="AM48" s="297"/>
      <c r="AN48" s="297"/>
      <c r="AO48" s="479">
        <v>41758</v>
      </c>
      <c r="AP48" s="297"/>
      <c r="AQ48" s="301" t="s">
        <v>626</v>
      </c>
      <c r="AR48" s="297" t="s">
        <v>66</v>
      </c>
      <c r="AS48" s="299">
        <v>37869</v>
      </c>
      <c r="AT48" s="299">
        <v>40862</v>
      </c>
      <c r="AU48" s="297" t="s">
        <v>8014</v>
      </c>
      <c r="AV48" s="297"/>
      <c r="AW48" s="297" t="s">
        <v>69</v>
      </c>
      <c r="AX48" s="297" t="s">
        <v>627</v>
      </c>
      <c r="AY48" s="299">
        <v>41499</v>
      </c>
      <c r="AZ48" s="297" t="s">
        <v>67</v>
      </c>
      <c r="BA48" s="299" t="s">
        <v>67</v>
      </c>
      <c r="BB48" s="382">
        <v>41516</v>
      </c>
      <c r="BC48" s="297" t="s">
        <v>95</v>
      </c>
      <c r="BD48" s="297" t="s">
        <v>566</v>
      </c>
      <c r="BE48" s="297"/>
      <c r="BF48" s="301" t="s">
        <v>8269</v>
      </c>
      <c r="BG48" s="301" t="s">
        <v>628</v>
      </c>
      <c r="BH48" s="301" t="s">
        <v>8322</v>
      </c>
      <c r="BI48" s="301" t="s">
        <v>341</v>
      </c>
      <c r="BJ48" s="312">
        <f>+[10]MATRIZ!$N$84</f>
        <v>158815609.33439815</v>
      </c>
      <c r="BK48" s="312" t="s">
        <v>8323</v>
      </c>
      <c r="BL48" s="313" t="s">
        <v>8324</v>
      </c>
      <c r="BM48" s="299" t="s">
        <v>8325</v>
      </c>
      <c r="BN48" s="314" t="s">
        <v>8326</v>
      </c>
      <c r="BO48" s="460"/>
      <c r="BP48" s="390"/>
      <c r="BQ48" s="297"/>
      <c r="BR48" s="303"/>
      <c r="BS48" s="301" t="s">
        <v>626</v>
      </c>
      <c r="BT48" s="308"/>
      <c r="BU48" s="308"/>
      <c r="BV48" s="308"/>
      <c r="BW48" s="309"/>
      <c r="BX48" s="310"/>
      <c r="BY48" s="305"/>
      <c r="BZ48" s="311"/>
    </row>
    <row r="49" spans="1:555" ht="162">
      <c r="A49" s="296">
        <v>48</v>
      </c>
      <c r="B49" s="297" t="s">
        <v>629</v>
      </c>
      <c r="C49" s="298">
        <v>79841649</v>
      </c>
      <c r="D49" s="354" t="s">
        <v>77</v>
      </c>
      <c r="E49" s="299">
        <v>41991</v>
      </c>
      <c r="F49" s="300">
        <v>41974</v>
      </c>
      <c r="G49" s="301" t="s">
        <v>565</v>
      </c>
      <c r="H49" s="297" t="s">
        <v>566</v>
      </c>
      <c r="I49" s="297"/>
      <c r="J49" s="299">
        <v>42207</v>
      </c>
      <c r="K49" s="300">
        <v>42186</v>
      </c>
      <c r="L49" s="301" t="s">
        <v>78</v>
      </c>
      <c r="M49" s="297" t="s">
        <v>5</v>
      </c>
      <c r="N49" s="297" t="s">
        <v>79</v>
      </c>
      <c r="O49" s="299">
        <v>43349</v>
      </c>
      <c r="P49" s="302">
        <v>43349</v>
      </c>
      <c r="Q49" s="302" t="s">
        <v>630</v>
      </c>
      <c r="R49" s="297" t="s">
        <v>286</v>
      </c>
      <c r="S49" s="297" t="s">
        <v>81</v>
      </c>
      <c r="T49" s="299">
        <v>43349</v>
      </c>
      <c r="U49" s="302">
        <v>43349</v>
      </c>
      <c r="V49" s="301" t="s">
        <v>630</v>
      </c>
      <c r="W49" s="297" t="s">
        <v>63</v>
      </c>
      <c r="X49" s="315" t="s">
        <v>631</v>
      </c>
      <c r="Y49" s="299">
        <v>43447</v>
      </c>
      <c r="Z49" s="300">
        <v>43447</v>
      </c>
      <c r="AA49" s="322" t="s">
        <v>7972</v>
      </c>
      <c r="AB49" s="315" t="s">
        <v>63</v>
      </c>
      <c r="AC49" s="315" t="s">
        <v>107</v>
      </c>
      <c r="AD49" s="299">
        <v>43448</v>
      </c>
      <c r="AE49" s="300">
        <v>43448</v>
      </c>
      <c r="AF49" s="315" t="s">
        <v>7973</v>
      </c>
      <c r="AG49" s="315" t="s">
        <v>63</v>
      </c>
      <c r="AH49" s="315" t="s">
        <v>107</v>
      </c>
      <c r="AI49" s="299" t="s">
        <v>8596</v>
      </c>
      <c r="AJ49" s="300" t="s">
        <v>8597</v>
      </c>
      <c r="AK49" s="301" t="s">
        <v>8598</v>
      </c>
      <c r="AL49" s="297" t="s">
        <v>2048</v>
      </c>
      <c r="AM49" s="297" t="s">
        <v>8599</v>
      </c>
      <c r="AN49" s="297"/>
      <c r="AO49" s="479">
        <v>42207</v>
      </c>
      <c r="AP49" s="297"/>
      <c r="AQ49" s="301" t="s">
        <v>632</v>
      </c>
      <c r="AR49" s="297" t="s">
        <v>7564</v>
      </c>
      <c r="AS49" s="319" t="s">
        <v>633</v>
      </c>
      <c r="AT49" s="319" t="s">
        <v>634</v>
      </c>
      <c r="AU49" s="297" t="s">
        <v>8009</v>
      </c>
      <c r="AV49" s="297"/>
      <c r="AW49" s="297" t="s">
        <v>92</v>
      </c>
      <c r="AX49" s="297" t="s">
        <v>635</v>
      </c>
      <c r="AY49" s="299">
        <v>40924</v>
      </c>
      <c r="AZ49" s="297" t="s">
        <v>67</v>
      </c>
      <c r="BA49" s="299" t="s">
        <v>67</v>
      </c>
      <c r="BB49" s="382">
        <v>40935</v>
      </c>
      <c r="BC49" s="297" t="s">
        <v>95</v>
      </c>
      <c r="BD49" s="297" t="s">
        <v>566</v>
      </c>
      <c r="BE49" s="297"/>
      <c r="BF49" s="301"/>
      <c r="BG49" s="301" t="s">
        <v>636</v>
      </c>
      <c r="BH49" s="301" t="s">
        <v>8456</v>
      </c>
      <c r="BI49" s="301" t="s">
        <v>294</v>
      </c>
      <c r="BJ49" s="74">
        <f>+[11]MATRIZ!$N$52</f>
        <v>26911734.948873699</v>
      </c>
      <c r="BK49" s="534" t="s">
        <v>8457</v>
      </c>
      <c r="BL49" s="313" t="s">
        <v>8531</v>
      </c>
      <c r="BM49" s="299" t="s">
        <v>8532</v>
      </c>
      <c r="BN49" s="314" t="s">
        <v>8533</v>
      </c>
      <c r="BO49" s="531" t="s">
        <v>8574</v>
      </c>
      <c r="BP49" s="390"/>
      <c r="BQ49" s="297"/>
      <c r="BR49" s="303"/>
      <c r="BS49" s="301"/>
      <c r="BT49" s="308"/>
      <c r="BU49" s="308"/>
      <c r="BV49" s="308" t="s">
        <v>637</v>
      </c>
      <c r="BW49" s="309"/>
      <c r="BX49" s="310"/>
      <c r="BY49" s="305"/>
      <c r="BZ49" s="311"/>
    </row>
    <row r="50" spans="1:555" ht="150" customHeight="1">
      <c r="A50" s="296">
        <v>49</v>
      </c>
      <c r="B50" s="297" t="s">
        <v>638</v>
      </c>
      <c r="C50" s="298">
        <v>79469762</v>
      </c>
      <c r="D50" s="354" t="s">
        <v>167</v>
      </c>
      <c r="E50" s="299">
        <v>41991</v>
      </c>
      <c r="F50" s="300">
        <v>41974</v>
      </c>
      <c r="G50" s="301" t="s">
        <v>565</v>
      </c>
      <c r="H50" s="297" t="s">
        <v>566</v>
      </c>
      <c r="I50" s="297"/>
      <c r="J50" s="299">
        <v>42207</v>
      </c>
      <c r="K50" s="300">
        <v>75058</v>
      </c>
      <c r="L50" s="301" t="s">
        <v>78</v>
      </c>
      <c r="M50" s="297" t="s">
        <v>5</v>
      </c>
      <c r="N50" s="297" t="s">
        <v>79</v>
      </c>
      <c r="O50" s="299">
        <v>43411</v>
      </c>
      <c r="P50" s="302">
        <v>43411</v>
      </c>
      <c r="Q50" s="301" t="s">
        <v>7421</v>
      </c>
      <c r="R50" s="297" t="s">
        <v>208</v>
      </c>
      <c r="S50" s="297" t="s">
        <v>7422</v>
      </c>
      <c r="T50" s="299"/>
      <c r="U50" s="300"/>
      <c r="V50" s="301"/>
      <c r="W50" s="297"/>
      <c r="X50" s="297"/>
      <c r="Y50" s="299"/>
      <c r="Z50" s="300"/>
      <c r="AA50" s="301"/>
      <c r="AB50" s="297"/>
      <c r="AC50" s="297"/>
      <c r="AD50" s="299"/>
      <c r="AE50" s="300"/>
      <c r="AF50" s="301"/>
      <c r="AG50" s="297"/>
      <c r="AH50" s="297"/>
      <c r="AI50" s="304"/>
      <c r="AJ50" s="300"/>
      <c r="AK50" s="301"/>
      <c r="AL50" s="297"/>
      <c r="AM50" s="297"/>
      <c r="AN50" s="297"/>
      <c r="AO50" s="473"/>
      <c r="AP50" s="297"/>
      <c r="AQ50" s="301" t="s">
        <v>639</v>
      </c>
      <c r="AR50" s="297" t="s">
        <v>66</v>
      </c>
      <c r="AS50" s="319" t="s">
        <v>633</v>
      </c>
      <c r="AT50" s="319" t="s">
        <v>634</v>
      </c>
      <c r="AU50" s="297" t="s">
        <v>7423</v>
      </c>
      <c r="AV50" s="297"/>
      <c r="AW50" s="297" t="s">
        <v>92</v>
      </c>
      <c r="AX50" s="297" t="s">
        <v>640</v>
      </c>
      <c r="AY50" s="299">
        <v>41507</v>
      </c>
      <c r="AZ50" s="297" t="s">
        <v>67</v>
      </c>
      <c r="BA50" s="299" t="s">
        <v>67</v>
      </c>
      <c r="BB50" s="382">
        <v>41592</v>
      </c>
      <c r="BC50" s="297" t="s">
        <v>95</v>
      </c>
      <c r="BD50" s="297" t="s">
        <v>566</v>
      </c>
      <c r="BE50" s="297"/>
      <c r="BF50" s="301"/>
      <c r="BG50" s="301" t="s">
        <v>641</v>
      </c>
      <c r="BH50" s="301" t="s">
        <v>642</v>
      </c>
      <c r="BI50" s="301" t="s">
        <v>643</v>
      </c>
      <c r="BJ50" s="312">
        <v>89020692</v>
      </c>
      <c r="BK50" s="312" t="s">
        <v>644</v>
      </c>
      <c r="BL50" s="313" t="s">
        <v>645</v>
      </c>
      <c r="BM50" s="299" t="s">
        <v>646</v>
      </c>
      <c r="BN50" s="314" t="s">
        <v>345</v>
      </c>
      <c r="BO50" s="460"/>
      <c r="BP50" s="390"/>
      <c r="BQ50" s="297"/>
      <c r="BR50" s="303"/>
      <c r="BS50" s="301"/>
      <c r="BT50" s="308"/>
      <c r="BU50" s="308"/>
      <c r="BV50" s="308"/>
      <c r="BW50" s="309"/>
      <c r="BX50" s="310"/>
      <c r="BY50" s="305"/>
      <c r="BZ50" s="311"/>
    </row>
    <row r="51" spans="1:555" s="509" customFormat="1" ht="67.5">
      <c r="A51" s="296">
        <v>50</v>
      </c>
      <c r="B51" s="297" t="s">
        <v>647</v>
      </c>
      <c r="C51" s="298">
        <v>93445050</v>
      </c>
      <c r="D51" s="354" t="s">
        <v>648</v>
      </c>
      <c r="E51" s="299">
        <v>41991</v>
      </c>
      <c r="F51" s="300">
        <v>41974</v>
      </c>
      <c r="G51" s="301" t="s">
        <v>565</v>
      </c>
      <c r="H51" s="297" t="s">
        <v>566</v>
      </c>
      <c r="I51" s="297"/>
      <c r="J51" s="299">
        <v>42263</v>
      </c>
      <c r="K51" s="300">
        <v>42248</v>
      </c>
      <c r="L51" s="301" t="s">
        <v>649</v>
      </c>
      <c r="M51" s="297" t="s">
        <v>5</v>
      </c>
      <c r="N51" s="297" t="s">
        <v>79</v>
      </c>
      <c r="O51" s="299"/>
      <c r="P51" s="302"/>
      <c r="Q51" s="301"/>
      <c r="R51" s="297"/>
      <c r="S51" s="297"/>
      <c r="T51" s="299"/>
      <c r="U51" s="300"/>
      <c r="V51" s="301"/>
      <c r="W51" s="297"/>
      <c r="X51" s="297"/>
      <c r="Y51" s="299"/>
      <c r="Z51" s="300"/>
      <c r="AA51" s="301"/>
      <c r="AB51" s="297"/>
      <c r="AC51" s="297"/>
      <c r="AD51" s="299"/>
      <c r="AE51" s="300"/>
      <c r="AF51" s="301"/>
      <c r="AG51" s="297"/>
      <c r="AH51" s="297"/>
      <c r="AI51" s="304"/>
      <c r="AJ51" s="300"/>
      <c r="AK51" s="301"/>
      <c r="AL51" s="297"/>
      <c r="AM51" s="297"/>
      <c r="AN51" s="297"/>
      <c r="AO51" s="473"/>
      <c r="AP51" s="297"/>
      <c r="AQ51" s="301" t="s">
        <v>650</v>
      </c>
      <c r="AR51" s="297" t="s">
        <v>66</v>
      </c>
      <c r="AS51" s="299">
        <v>38113</v>
      </c>
      <c r="AT51" s="299">
        <v>40084</v>
      </c>
      <c r="AU51" s="297" t="s">
        <v>301</v>
      </c>
      <c r="AV51" s="297"/>
      <c r="AW51" s="297" t="s">
        <v>92</v>
      </c>
      <c r="AX51" s="297" t="s">
        <v>651</v>
      </c>
      <c r="AY51" s="299">
        <v>41082</v>
      </c>
      <c r="AZ51" s="297" t="s">
        <v>652</v>
      </c>
      <c r="BA51" s="299">
        <v>41562</v>
      </c>
      <c r="BB51" s="382">
        <v>41575</v>
      </c>
      <c r="BC51" s="297" t="s">
        <v>95</v>
      </c>
      <c r="BD51" s="297" t="s">
        <v>566</v>
      </c>
      <c r="BE51" s="297"/>
      <c r="BF51" s="301"/>
      <c r="BG51" s="301" t="s">
        <v>653</v>
      </c>
      <c r="BH51" s="301" t="s">
        <v>654</v>
      </c>
      <c r="BI51" s="301" t="s">
        <v>655</v>
      </c>
      <c r="BJ51" s="312">
        <v>87411273.004999995</v>
      </c>
      <c r="BK51" s="312">
        <v>87411273</v>
      </c>
      <c r="BL51" s="313">
        <v>117252916</v>
      </c>
      <c r="BM51" s="299">
        <v>42500</v>
      </c>
      <c r="BN51" s="314">
        <v>42491</v>
      </c>
      <c r="BO51" s="460"/>
      <c r="BP51" s="390"/>
      <c r="BQ51" s="297"/>
      <c r="BR51" s="303"/>
      <c r="BS51" s="301"/>
      <c r="BT51" s="308"/>
      <c r="BU51" s="308"/>
      <c r="BV51" s="308"/>
      <c r="BW51" s="309"/>
      <c r="BX51" s="310"/>
      <c r="BY51" s="305"/>
      <c r="BZ51" s="31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c r="IY51" s="1"/>
      <c r="IZ51" s="1"/>
      <c r="JA51" s="1"/>
      <c r="JB51" s="1"/>
      <c r="JC51" s="1"/>
      <c r="JD51" s="1"/>
      <c r="JE51" s="1"/>
      <c r="JF51" s="1"/>
      <c r="JG51" s="1"/>
      <c r="JH51" s="1"/>
      <c r="JI51" s="1"/>
      <c r="JJ51" s="1"/>
      <c r="JK51" s="1"/>
      <c r="JL51" s="1"/>
      <c r="JM51" s="1"/>
      <c r="JN51" s="1"/>
      <c r="JO51" s="1"/>
      <c r="JP51" s="1"/>
      <c r="JQ51" s="1"/>
      <c r="JR51" s="1"/>
      <c r="JS51" s="1"/>
      <c r="JT51" s="1"/>
      <c r="JU51" s="1"/>
      <c r="JV51" s="1"/>
      <c r="JW51" s="1"/>
      <c r="JX51" s="1"/>
      <c r="JY51" s="1"/>
      <c r="JZ51" s="1"/>
      <c r="KA51" s="1"/>
      <c r="KB51" s="1"/>
      <c r="KC51" s="1"/>
      <c r="KD51" s="1"/>
      <c r="KE51" s="1"/>
      <c r="KF51" s="1"/>
      <c r="KG51" s="1"/>
      <c r="KH51" s="1"/>
      <c r="KI51" s="1"/>
      <c r="KJ51" s="1"/>
      <c r="KK51" s="1"/>
      <c r="KL51" s="1"/>
      <c r="KM51" s="1"/>
      <c r="KN51" s="1"/>
      <c r="KO51" s="1"/>
      <c r="KP51" s="1"/>
      <c r="KQ51" s="1"/>
      <c r="KR51" s="1"/>
      <c r="KS51" s="1"/>
      <c r="KT51" s="1"/>
      <c r="KU51" s="1"/>
      <c r="KV51" s="1"/>
      <c r="KW51" s="1"/>
      <c r="KX51" s="1"/>
      <c r="KY51" s="1"/>
      <c r="KZ51" s="1"/>
      <c r="LA51" s="1"/>
      <c r="LB51" s="1"/>
      <c r="LC51" s="1"/>
      <c r="LD51" s="1"/>
      <c r="LE51" s="1"/>
      <c r="LF51" s="1"/>
      <c r="LG51" s="1"/>
      <c r="LH51" s="1"/>
      <c r="LI51" s="1"/>
      <c r="LJ51" s="1"/>
      <c r="LK51" s="1"/>
      <c r="LL51" s="1"/>
      <c r="LM51" s="1"/>
      <c r="LN51" s="1"/>
      <c r="LO51" s="1"/>
      <c r="LP51" s="1"/>
      <c r="LQ51" s="1"/>
      <c r="LR51" s="1"/>
      <c r="LS51" s="1"/>
      <c r="LT51" s="1"/>
      <c r="LU51" s="1"/>
      <c r="LV51" s="1"/>
      <c r="LW51" s="1"/>
      <c r="LX51" s="1"/>
      <c r="LY51" s="1"/>
      <c r="LZ51" s="1"/>
      <c r="MA51" s="1"/>
      <c r="MB51" s="1"/>
      <c r="MC51" s="1"/>
      <c r="MD51" s="1"/>
      <c r="ME51" s="1"/>
      <c r="MF51" s="1"/>
      <c r="MG51" s="1"/>
      <c r="MH51" s="1"/>
      <c r="MI51" s="1"/>
      <c r="MJ51" s="1"/>
      <c r="MK51" s="1"/>
      <c r="ML51" s="1"/>
      <c r="MM51" s="1"/>
      <c r="MN51" s="1"/>
      <c r="MO51" s="1"/>
      <c r="MP51" s="1"/>
      <c r="MQ51" s="1"/>
      <c r="MR51" s="1"/>
      <c r="MS51" s="1"/>
      <c r="MT51" s="1"/>
      <c r="MU51" s="1"/>
      <c r="MV51" s="1"/>
      <c r="MW51" s="1"/>
      <c r="MX51" s="1"/>
      <c r="MY51" s="1"/>
      <c r="MZ51" s="1"/>
      <c r="NA51" s="1"/>
      <c r="NB51" s="1"/>
      <c r="NC51" s="1"/>
      <c r="ND51" s="1"/>
      <c r="NE51" s="1"/>
      <c r="NF51" s="1"/>
      <c r="NG51" s="1"/>
      <c r="NH51" s="1"/>
      <c r="NI51" s="1"/>
      <c r="NJ51" s="1"/>
      <c r="NK51" s="1"/>
      <c r="NL51" s="1"/>
      <c r="NM51" s="1"/>
      <c r="NN51" s="1"/>
      <c r="NO51" s="1"/>
      <c r="NP51" s="1"/>
      <c r="NQ51" s="1"/>
      <c r="NR51" s="1"/>
      <c r="NS51" s="1"/>
      <c r="NT51" s="1"/>
      <c r="NU51" s="1"/>
      <c r="NV51" s="1"/>
      <c r="NW51" s="1"/>
      <c r="NX51" s="1"/>
      <c r="NY51" s="1"/>
      <c r="NZ51" s="1"/>
      <c r="OA51" s="1"/>
      <c r="OB51" s="1"/>
      <c r="OC51" s="1"/>
      <c r="OD51" s="1"/>
      <c r="OE51" s="1"/>
      <c r="OF51" s="1"/>
      <c r="OG51" s="1"/>
      <c r="OH51" s="1"/>
      <c r="OI51" s="1"/>
      <c r="OJ51" s="1"/>
      <c r="OK51" s="1"/>
      <c r="OL51" s="1"/>
      <c r="OM51" s="1"/>
      <c r="ON51" s="1"/>
      <c r="OO51" s="1"/>
      <c r="OP51" s="1"/>
      <c r="OQ51" s="1"/>
      <c r="OR51" s="1"/>
      <c r="OS51" s="1"/>
      <c r="OT51" s="1"/>
      <c r="OU51" s="1"/>
      <c r="OV51" s="1"/>
      <c r="OW51" s="1"/>
      <c r="OX51" s="1"/>
      <c r="OY51" s="1"/>
      <c r="OZ51" s="1"/>
      <c r="PA51" s="1"/>
      <c r="PB51" s="1"/>
      <c r="PC51" s="1"/>
      <c r="PD51" s="1"/>
      <c r="PE51" s="1"/>
      <c r="PF51" s="1"/>
      <c r="PG51" s="1"/>
      <c r="PH51" s="1"/>
      <c r="PI51" s="1"/>
      <c r="PJ51" s="1"/>
      <c r="PK51" s="1"/>
      <c r="PL51" s="1"/>
      <c r="PM51" s="1"/>
      <c r="PN51" s="1"/>
      <c r="PO51" s="1"/>
      <c r="PP51" s="1"/>
      <c r="PQ51" s="1"/>
      <c r="PR51" s="1"/>
      <c r="PS51" s="1"/>
      <c r="PT51" s="1"/>
      <c r="PU51" s="1"/>
      <c r="PV51" s="1"/>
      <c r="PW51" s="1"/>
      <c r="PX51" s="1"/>
      <c r="PY51" s="1"/>
      <c r="PZ51" s="1"/>
      <c r="QA51" s="1"/>
      <c r="QB51" s="1"/>
      <c r="QC51" s="1"/>
      <c r="QD51" s="1"/>
      <c r="QE51" s="1"/>
      <c r="QF51" s="1"/>
      <c r="QG51" s="1"/>
      <c r="QH51" s="1"/>
      <c r="QI51" s="1"/>
      <c r="QJ51" s="1"/>
      <c r="QK51" s="1"/>
      <c r="QL51" s="1"/>
      <c r="QM51" s="1"/>
      <c r="QN51" s="1"/>
      <c r="QO51" s="1"/>
      <c r="QP51" s="1"/>
      <c r="QQ51" s="1"/>
      <c r="QR51" s="1"/>
      <c r="QS51" s="1"/>
      <c r="QT51" s="1"/>
      <c r="QU51" s="1"/>
      <c r="QV51" s="1"/>
      <c r="QW51" s="1"/>
      <c r="QX51" s="1"/>
      <c r="QY51" s="1"/>
      <c r="QZ51" s="1"/>
      <c r="RA51" s="1"/>
      <c r="RB51" s="1"/>
      <c r="RC51" s="1"/>
      <c r="RD51" s="1"/>
      <c r="RE51" s="1"/>
      <c r="RF51" s="1"/>
      <c r="RG51" s="1"/>
      <c r="RH51" s="1"/>
      <c r="RI51" s="1"/>
      <c r="RJ51" s="1"/>
      <c r="RK51" s="1"/>
      <c r="RL51" s="1"/>
      <c r="RM51" s="1"/>
      <c r="RN51" s="1"/>
      <c r="RO51" s="1"/>
      <c r="RP51" s="1"/>
      <c r="RQ51" s="1"/>
      <c r="RR51" s="1"/>
      <c r="RS51" s="1"/>
      <c r="RT51" s="1"/>
      <c r="RU51" s="1"/>
      <c r="RV51" s="1"/>
      <c r="RW51" s="1"/>
      <c r="RX51" s="1"/>
      <c r="RY51" s="1"/>
      <c r="RZ51" s="1"/>
      <c r="SA51" s="1"/>
      <c r="SB51" s="1"/>
      <c r="SC51" s="1"/>
      <c r="SD51" s="1"/>
      <c r="SE51" s="1"/>
      <c r="SF51" s="1"/>
      <c r="SG51" s="1"/>
      <c r="SH51" s="1"/>
      <c r="SI51" s="1"/>
      <c r="SJ51" s="1"/>
      <c r="SK51" s="1"/>
      <c r="SL51" s="1"/>
      <c r="SM51" s="1"/>
      <c r="SN51" s="1"/>
      <c r="SO51" s="1"/>
      <c r="SP51" s="1"/>
      <c r="SQ51" s="1"/>
      <c r="SR51" s="1"/>
      <c r="SS51" s="1"/>
      <c r="ST51" s="1"/>
      <c r="SU51" s="1"/>
      <c r="SV51" s="1"/>
      <c r="SW51" s="1"/>
      <c r="SX51" s="1"/>
      <c r="SY51" s="1"/>
      <c r="SZ51" s="1"/>
      <c r="TA51" s="1"/>
      <c r="TB51" s="1"/>
      <c r="TC51" s="1"/>
      <c r="TD51" s="1"/>
      <c r="TE51" s="1"/>
      <c r="TF51" s="1"/>
      <c r="TG51" s="1"/>
      <c r="TH51" s="1"/>
      <c r="TI51" s="1"/>
      <c r="TJ51" s="1"/>
      <c r="TK51" s="1"/>
      <c r="TL51" s="1"/>
      <c r="TM51" s="1"/>
      <c r="TN51" s="1"/>
      <c r="TO51" s="1"/>
      <c r="TP51" s="1"/>
      <c r="TQ51" s="1"/>
      <c r="TR51" s="1"/>
      <c r="TS51" s="1"/>
      <c r="TT51" s="1"/>
      <c r="TU51" s="1"/>
      <c r="TV51" s="1"/>
      <c r="TW51" s="1"/>
      <c r="TX51" s="1"/>
      <c r="TY51" s="1"/>
      <c r="TZ51" s="1"/>
      <c r="UA51" s="1"/>
      <c r="UB51" s="1"/>
      <c r="UC51" s="1"/>
      <c r="UD51" s="1"/>
      <c r="UE51" s="1"/>
      <c r="UF51" s="1"/>
      <c r="UG51" s="1"/>
      <c r="UH51" s="1"/>
      <c r="UI51" s="1"/>
    </row>
    <row r="52" spans="1:555" ht="67.5">
      <c r="A52" s="296">
        <v>51</v>
      </c>
      <c r="B52" s="297" t="s">
        <v>656</v>
      </c>
      <c r="C52" s="298">
        <v>91252508</v>
      </c>
      <c r="D52" s="354" t="s">
        <v>167</v>
      </c>
      <c r="E52" s="299">
        <v>41991</v>
      </c>
      <c r="F52" s="300">
        <v>41974</v>
      </c>
      <c r="G52" s="301" t="s">
        <v>565</v>
      </c>
      <c r="H52" s="297" t="s">
        <v>566</v>
      </c>
      <c r="I52" s="297"/>
      <c r="J52" s="299">
        <v>42045</v>
      </c>
      <c r="K52" s="300">
        <v>42036</v>
      </c>
      <c r="L52" s="301" t="s">
        <v>657</v>
      </c>
      <c r="M52" s="297"/>
      <c r="N52" s="297"/>
      <c r="O52" s="299">
        <v>42207</v>
      </c>
      <c r="P52" s="302">
        <v>42207</v>
      </c>
      <c r="Q52" s="301" t="s">
        <v>78</v>
      </c>
      <c r="R52" s="297" t="s">
        <v>5</v>
      </c>
      <c r="S52" s="297" t="s">
        <v>101</v>
      </c>
      <c r="T52" s="299"/>
      <c r="U52" s="300"/>
      <c r="V52" s="301"/>
      <c r="W52" s="297"/>
      <c r="X52" s="297"/>
      <c r="Y52" s="299"/>
      <c r="Z52" s="300"/>
      <c r="AA52" s="301"/>
      <c r="AB52" s="297"/>
      <c r="AC52" s="297"/>
      <c r="AD52" s="299"/>
      <c r="AE52" s="300"/>
      <c r="AF52" s="301"/>
      <c r="AG52" s="297"/>
      <c r="AH52" s="297"/>
      <c r="AI52" s="304"/>
      <c r="AJ52" s="300"/>
      <c r="AK52" s="301"/>
      <c r="AL52" s="297"/>
      <c r="AM52" s="297"/>
      <c r="AN52" s="297"/>
      <c r="AO52" s="473"/>
      <c r="AP52" s="297"/>
      <c r="AQ52" s="301" t="s">
        <v>658</v>
      </c>
      <c r="AR52" s="297" t="s">
        <v>66</v>
      </c>
      <c r="AS52" s="299">
        <v>37956</v>
      </c>
      <c r="AT52" s="319" t="s">
        <v>659</v>
      </c>
      <c r="AU52" s="297" t="s">
        <v>186</v>
      </c>
      <c r="AV52" s="297"/>
      <c r="AW52" s="297" t="s">
        <v>92</v>
      </c>
      <c r="AX52" s="297" t="s">
        <v>660</v>
      </c>
      <c r="AY52" s="299">
        <v>41375</v>
      </c>
      <c r="AZ52" s="297" t="s">
        <v>661</v>
      </c>
      <c r="BA52" s="299">
        <v>41662</v>
      </c>
      <c r="BB52" s="382">
        <v>41768</v>
      </c>
      <c r="BC52" s="297" t="s">
        <v>95</v>
      </c>
      <c r="BD52" s="297" t="s">
        <v>566</v>
      </c>
      <c r="BE52" s="297"/>
      <c r="BF52" s="301"/>
      <c r="BG52" s="301" t="s">
        <v>662</v>
      </c>
      <c r="BH52" s="301" t="s">
        <v>663</v>
      </c>
      <c r="BI52" s="301" t="s">
        <v>664</v>
      </c>
      <c r="BJ52" s="312">
        <v>99963287</v>
      </c>
      <c r="BK52" s="312">
        <v>99963287</v>
      </c>
      <c r="BL52" s="313" t="s">
        <v>665</v>
      </c>
      <c r="BM52" s="299">
        <v>42667</v>
      </c>
      <c r="BN52" s="314">
        <v>42644</v>
      </c>
      <c r="BO52" s="460"/>
      <c r="BP52" s="390"/>
      <c r="BQ52" s="297"/>
      <c r="BR52" s="303"/>
      <c r="BS52" s="308"/>
      <c r="BT52" s="308"/>
      <c r="BU52" s="308"/>
      <c r="BV52" s="308"/>
      <c r="BW52" s="309"/>
      <c r="BX52" s="310"/>
      <c r="BY52" s="305"/>
      <c r="BZ52" s="311"/>
    </row>
    <row r="53" spans="1:555" ht="66.75" customHeight="1">
      <c r="A53" s="296">
        <v>52</v>
      </c>
      <c r="B53" s="297" t="s">
        <v>666</v>
      </c>
      <c r="C53" s="298">
        <v>79316224</v>
      </c>
      <c r="D53" s="354" t="s">
        <v>667</v>
      </c>
      <c r="E53" s="299">
        <v>41991</v>
      </c>
      <c r="F53" s="300">
        <v>41974</v>
      </c>
      <c r="G53" s="301" t="s">
        <v>565</v>
      </c>
      <c r="H53" s="297" t="s">
        <v>566</v>
      </c>
      <c r="I53" s="297" t="s">
        <v>336</v>
      </c>
      <c r="J53" s="299">
        <v>42087</v>
      </c>
      <c r="K53" s="300">
        <v>42064</v>
      </c>
      <c r="L53" s="301" t="s">
        <v>668</v>
      </c>
      <c r="M53" s="297" t="s">
        <v>63</v>
      </c>
      <c r="N53" s="297" t="s">
        <v>101</v>
      </c>
      <c r="O53" s="299">
        <v>42579</v>
      </c>
      <c r="P53" s="302">
        <v>42552</v>
      </c>
      <c r="Q53" s="301" t="s">
        <v>669</v>
      </c>
      <c r="R53" s="297" t="s">
        <v>63</v>
      </c>
      <c r="S53" s="297" t="s">
        <v>336</v>
      </c>
      <c r="T53" s="299"/>
      <c r="U53" s="300"/>
      <c r="V53" s="301"/>
      <c r="W53" s="297"/>
      <c r="X53" s="297"/>
      <c r="Y53" s="299"/>
      <c r="Z53" s="300"/>
      <c r="AA53" s="301"/>
      <c r="AB53" s="297"/>
      <c r="AC53" s="297"/>
      <c r="AD53" s="299"/>
      <c r="AE53" s="300"/>
      <c r="AF53" s="301"/>
      <c r="AG53" s="297"/>
      <c r="AH53" s="297"/>
      <c r="AI53" s="304"/>
      <c r="AJ53" s="300"/>
      <c r="AK53" s="301"/>
      <c r="AL53" s="297"/>
      <c r="AM53" s="297"/>
      <c r="AN53" s="297"/>
      <c r="AO53" s="473"/>
      <c r="AP53" s="297"/>
      <c r="AQ53" s="301" t="s">
        <v>670</v>
      </c>
      <c r="AR53" s="297" t="s">
        <v>66</v>
      </c>
      <c r="AS53" s="299">
        <v>37820</v>
      </c>
      <c r="AT53" s="299">
        <v>38999</v>
      </c>
      <c r="AU53" s="297" t="s">
        <v>186</v>
      </c>
      <c r="AV53" s="297"/>
      <c r="AW53" s="297" t="s">
        <v>92</v>
      </c>
      <c r="AX53" s="297" t="s">
        <v>671</v>
      </c>
      <c r="AY53" s="299">
        <v>40766</v>
      </c>
      <c r="AZ53" s="297" t="s">
        <v>672</v>
      </c>
      <c r="BA53" s="299">
        <v>41767</v>
      </c>
      <c r="BB53" s="382">
        <v>41810</v>
      </c>
      <c r="BC53" s="297" t="s">
        <v>95</v>
      </c>
      <c r="BD53" s="297" t="s">
        <v>566</v>
      </c>
      <c r="BE53" s="297"/>
      <c r="BF53" s="301"/>
      <c r="BG53" s="301" t="s">
        <v>673</v>
      </c>
      <c r="BH53" s="301" t="s">
        <v>674</v>
      </c>
      <c r="BI53" s="301" t="s">
        <v>675</v>
      </c>
      <c r="BJ53" s="312">
        <v>66698102</v>
      </c>
      <c r="BK53" s="312">
        <v>66698102</v>
      </c>
      <c r="BL53" s="313">
        <v>50962017</v>
      </c>
      <c r="BM53" s="299">
        <v>42800</v>
      </c>
      <c r="BN53" s="314">
        <v>42795</v>
      </c>
      <c r="BO53" s="460"/>
      <c r="BP53" s="390"/>
      <c r="BQ53" s="297"/>
      <c r="BR53" s="303"/>
      <c r="BS53" s="308"/>
      <c r="BT53" s="308"/>
      <c r="BU53" s="308"/>
      <c r="BV53" s="308"/>
      <c r="BW53" s="309"/>
      <c r="BX53" s="310"/>
      <c r="BY53" s="305"/>
      <c r="BZ53" s="311"/>
    </row>
    <row r="54" spans="1:555" ht="71.25" customHeight="1">
      <c r="A54" s="296">
        <v>53</v>
      </c>
      <c r="B54" s="297" t="s">
        <v>676</v>
      </c>
      <c r="C54" s="298">
        <v>10272003</v>
      </c>
      <c r="D54" s="354" t="s">
        <v>677</v>
      </c>
      <c r="E54" s="299">
        <v>41991</v>
      </c>
      <c r="F54" s="300">
        <v>41974</v>
      </c>
      <c r="G54" s="301" t="s">
        <v>565</v>
      </c>
      <c r="H54" s="297" t="s">
        <v>566</v>
      </c>
      <c r="I54" s="297"/>
      <c r="J54" s="299">
        <v>42104</v>
      </c>
      <c r="K54" s="300">
        <v>42095</v>
      </c>
      <c r="L54" s="301" t="s">
        <v>678</v>
      </c>
      <c r="M54" s="297" t="s">
        <v>679</v>
      </c>
      <c r="N54" s="297" t="s">
        <v>680</v>
      </c>
      <c r="O54" s="299">
        <v>42247</v>
      </c>
      <c r="P54" s="302">
        <v>42217</v>
      </c>
      <c r="Q54" s="301" t="s">
        <v>681</v>
      </c>
      <c r="R54" s="297" t="s">
        <v>286</v>
      </c>
      <c r="S54" s="297" t="s">
        <v>101</v>
      </c>
      <c r="T54" s="299">
        <v>42751</v>
      </c>
      <c r="U54" s="300">
        <v>42736</v>
      </c>
      <c r="V54" s="301" t="s">
        <v>682</v>
      </c>
      <c r="W54" s="297" t="s">
        <v>5</v>
      </c>
      <c r="X54" s="297" t="s">
        <v>107</v>
      </c>
      <c r="Y54" s="299">
        <v>42810</v>
      </c>
      <c r="Z54" s="300">
        <v>42795</v>
      </c>
      <c r="AA54" s="301" t="s">
        <v>683</v>
      </c>
      <c r="AB54" s="297" t="s">
        <v>5</v>
      </c>
      <c r="AC54" s="297" t="s">
        <v>107</v>
      </c>
      <c r="AD54" s="299" t="s">
        <v>684</v>
      </c>
      <c r="AE54" s="300" t="s">
        <v>685</v>
      </c>
      <c r="AF54" s="301" t="s">
        <v>686</v>
      </c>
      <c r="AG54" s="297" t="s">
        <v>687</v>
      </c>
      <c r="AH54" s="297" t="s">
        <v>688</v>
      </c>
      <c r="AI54" s="305" t="s">
        <v>9219</v>
      </c>
      <c r="AJ54" s="300" t="s">
        <v>9218</v>
      </c>
      <c r="AK54" s="301" t="s">
        <v>9217</v>
      </c>
      <c r="AL54" s="297" t="s">
        <v>9220</v>
      </c>
      <c r="AM54" s="297" t="s">
        <v>9221</v>
      </c>
      <c r="AN54" s="297"/>
      <c r="AO54" s="473"/>
      <c r="AP54" s="297"/>
      <c r="AQ54" s="301" t="s">
        <v>690</v>
      </c>
      <c r="AR54" s="297" t="s">
        <v>66</v>
      </c>
      <c r="AS54" s="299">
        <v>37771</v>
      </c>
      <c r="AT54" s="299">
        <v>40539</v>
      </c>
      <c r="AU54" s="297" t="s">
        <v>691</v>
      </c>
      <c r="AV54" s="297"/>
      <c r="AW54" s="297" t="s">
        <v>92</v>
      </c>
      <c r="AX54" s="297" t="s">
        <v>692</v>
      </c>
      <c r="AY54" s="299">
        <v>41542</v>
      </c>
      <c r="AZ54" s="297" t="s">
        <v>693</v>
      </c>
      <c r="BA54" s="299">
        <v>41732</v>
      </c>
      <c r="BB54" s="382">
        <v>42121</v>
      </c>
      <c r="BC54" s="297" t="s">
        <v>95</v>
      </c>
      <c r="BD54" s="297" t="s">
        <v>566</v>
      </c>
      <c r="BE54" s="297"/>
      <c r="BF54" s="301"/>
      <c r="BG54" s="301" t="s">
        <v>67</v>
      </c>
      <c r="BH54" s="301" t="s">
        <v>694</v>
      </c>
      <c r="BI54" s="301" t="s">
        <v>695</v>
      </c>
      <c r="BJ54" s="312">
        <v>147042391</v>
      </c>
      <c r="BK54" s="312" t="s">
        <v>696</v>
      </c>
      <c r="BL54" s="313" t="s">
        <v>697</v>
      </c>
      <c r="BM54" s="299" t="s">
        <v>698</v>
      </c>
      <c r="BN54" s="314" t="s">
        <v>699</v>
      </c>
      <c r="BO54" s="434" t="s">
        <v>700</v>
      </c>
      <c r="BP54" s="390" t="s">
        <v>7474</v>
      </c>
      <c r="BQ54" s="297" t="s">
        <v>7475</v>
      </c>
      <c r="BR54" s="320"/>
      <c r="BS54" s="308" t="s">
        <v>701</v>
      </c>
      <c r="BT54" s="308" t="s">
        <v>702</v>
      </c>
      <c r="BU54" s="308" t="s">
        <v>703</v>
      </c>
      <c r="BV54" s="308"/>
      <c r="BW54" s="316" t="s">
        <v>704</v>
      </c>
      <c r="BX54" s="310" t="s">
        <v>705</v>
      </c>
      <c r="BY54" s="305" t="s">
        <v>706</v>
      </c>
      <c r="BZ54" s="311" t="s">
        <v>707</v>
      </c>
    </row>
    <row r="55" spans="1:555" ht="229.5">
      <c r="A55" s="296">
        <v>54</v>
      </c>
      <c r="B55" s="297" t="s">
        <v>708</v>
      </c>
      <c r="C55" s="298">
        <v>16137744</v>
      </c>
      <c r="D55" s="354" t="s">
        <v>677</v>
      </c>
      <c r="E55" s="299">
        <v>41991</v>
      </c>
      <c r="F55" s="300">
        <v>41974</v>
      </c>
      <c r="G55" s="301" t="s">
        <v>565</v>
      </c>
      <c r="H55" s="297" t="s">
        <v>566</v>
      </c>
      <c r="I55" s="297"/>
      <c r="J55" s="299">
        <v>42123</v>
      </c>
      <c r="K55" s="300">
        <v>42095</v>
      </c>
      <c r="L55" s="301" t="s">
        <v>709</v>
      </c>
      <c r="M55" s="297" t="s">
        <v>195</v>
      </c>
      <c r="N55" s="297" t="s">
        <v>680</v>
      </c>
      <c r="O55" s="299">
        <v>42247</v>
      </c>
      <c r="P55" s="302">
        <v>42217</v>
      </c>
      <c r="Q55" s="301" t="s">
        <v>710</v>
      </c>
      <c r="R55" s="297" t="s">
        <v>5</v>
      </c>
      <c r="S55" s="297" t="s">
        <v>79</v>
      </c>
      <c r="T55" s="299">
        <v>41915</v>
      </c>
      <c r="U55" s="300">
        <v>41913</v>
      </c>
      <c r="V55" s="301" t="s">
        <v>711</v>
      </c>
      <c r="W55" s="297" t="s">
        <v>195</v>
      </c>
      <c r="X55" s="297" t="s">
        <v>386</v>
      </c>
      <c r="Y55" s="299">
        <v>42194</v>
      </c>
      <c r="Z55" s="300">
        <v>42186</v>
      </c>
      <c r="AA55" s="301" t="s">
        <v>712</v>
      </c>
      <c r="AB55" s="297" t="s">
        <v>195</v>
      </c>
      <c r="AC55" s="297" t="s">
        <v>713</v>
      </c>
      <c r="AD55" s="299" t="s">
        <v>714</v>
      </c>
      <c r="AE55" s="300" t="s">
        <v>715</v>
      </c>
      <c r="AF55" s="301" t="s">
        <v>716</v>
      </c>
      <c r="AG55" s="297" t="s">
        <v>717</v>
      </c>
      <c r="AH55" s="297" t="s">
        <v>7558</v>
      </c>
      <c r="AI55" s="305">
        <v>43298</v>
      </c>
      <c r="AJ55" s="300">
        <v>43298</v>
      </c>
      <c r="AK55" s="315" t="s">
        <v>718</v>
      </c>
      <c r="AL55" s="315" t="s">
        <v>719</v>
      </c>
      <c r="AM55" s="315" t="s">
        <v>720</v>
      </c>
      <c r="AN55" s="297"/>
      <c r="AO55" s="473"/>
      <c r="AP55" s="297"/>
      <c r="AQ55" s="301" t="s">
        <v>721</v>
      </c>
      <c r="AR55" s="297" t="s">
        <v>66</v>
      </c>
      <c r="AS55" s="299">
        <v>38352</v>
      </c>
      <c r="AT55" s="299">
        <v>40173</v>
      </c>
      <c r="AU55" s="297" t="s">
        <v>722</v>
      </c>
      <c r="AV55" s="297"/>
      <c r="AW55" s="297" t="s">
        <v>92</v>
      </c>
      <c r="AX55" s="297" t="s">
        <v>723</v>
      </c>
      <c r="AY55" s="299">
        <v>41201</v>
      </c>
      <c r="AZ55" s="297" t="s">
        <v>693</v>
      </c>
      <c r="BA55" s="299">
        <v>41697</v>
      </c>
      <c r="BB55" s="382">
        <v>41771</v>
      </c>
      <c r="BC55" s="297" t="s">
        <v>95</v>
      </c>
      <c r="BD55" s="297" t="s">
        <v>566</v>
      </c>
      <c r="BE55" s="297"/>
      <c r="BF55" s="301"/>
      <c r="BG55" s="301" t="s">
        <v>724</v>
      </c>
      <c r="BH55" s="301" t="s">
        <v>725</v>
      </c>
      <c r="BI55" s="301" t="s">
        <v>190</v>
      </c>
      <c r="BJ55" s="312">
        <v>94787231</v>
      </c>
      <c r="BK55" s="312" t="s">
        <v>726</v>
      </c>
      <c r="BL55" s="313" t="s">
        <v>727</v>
      </c>
      <c r="BM55" s="299" t="s">
        <v>728</v>
      </c>
      <c r="BN55" s="314" t="s">
        <v>297</v>
      </c>
      <c r="BO55" s="434" t="s">
        <v>700</v>
      </c>
      <c r="BP55" s="390" t="s">
        <v>7480</v>
      </c>
      <c r="BQ55" s="336" t="s">
        <v>7479</v>
      </c>
      <c r="BR55" s="320"/>
      <c r="BS55" s="301" t="s">
        <v>7559</v>
      </c>
      <c r="BT55" s="308" t="s">
        <v>730</v>
      </c>
      <c r="BU55" s="308"/>
      <c r="BV55" s="308"/>
      <c r="BW55" s="333">
        <v>68248281</v>
      </c>
      <c r="BX55" s="310" t="s">
        <v>731</v>
      </c>
      <c r="BY55" s="305">
        <v>43112</v>
      </c>
      <c r="BZ55" s="311">
        <v>43101</v>
      </c>
    </row>
    <row r="56" spans="1:555" ht="121.5">
      <c r="A56" s="296">
        <v>55</v>
      </c>
      <c r="B56" s="297" t="s">
        <v>732</v>
      </c>
      <c r="C56" s="298">
        <v>10283938</v>
      </c>
      <c r="D56" s="354" t="s">
        <v>677</v>
      </c>
      <c r="E56" s="299">
        <v>41991</v>
      </c>
      <c r="F56" s="300">
        <v>41974</v>
      </c>
      <c r="G56" s="301" t="s">
        <v>565</v>
      </c>
      <c r="H56" s="297" t="s">
        <v>566</v>
      </c>
      <c r="I56" s="297"/>
      <c r="J56" s="299">
        <v>42122</v>
      </c>
      <c r="K56" s="300">
        <v>42095</v>
      </c>
      <c r="L56" s="301" t="s">
        <v>733</v>
      </c>
      <c r="M56" s="297" t="s">
        <v>63</v>
      </c>
      <c r="N56" s="297" t="s">
        <v>79</v>
      </c>
      <c r="O56" s="299">
        <v>42247</v>
      </c>
      <c r="P56" s="302">
        <v>42247</v>
      </c>
      <c r="Q56" s="301" t="s">
        <v>734</v>
      </c>
      <c r="R56" s="297" t="s">
        <v>5</v>
      </c>
      <c r="S56" s="297" t="s">
        <v>79</v>
      </c>
      <c r="T56" s="299"/>
      <c r="U56" s="300"/>
      <c r="V56" s="301"/>
      <c r="W56" s="297"/>
      <c r="X56" s="297"/>
      <c r="Y56" s="299"/>
      <c r="Z56" s="300"/>
      <c r="AA56" s="301"/>
      <c r="AB56" s="297"/>
      <c r="AC56" s="297"/>
      <c r="AD56" s="299"/>
      <c r="AE56" s="300"/>
      <c r="AF56" s="301"/>
      <c r="AG56" s="297"/>
      <c r="AH56" s="297"/>
      <c r="AI56" s="304"/>
      <c r="AJ56" s="300"/>
      <c r="AK56" s="301"/>
      <c r="AL56" s="297"/>
      <c r="AM56" s="297"/>
      <c r="AN56" s="297"/>
      <c r="AO56" s="473"/>
      <c r="AP56" s="297"/>
      <c r="AQ56" s="301" t="s">
        <v>735</v>
      </c>
      <c r="AR56" s="297" t="s">
        <v>66</v>
      </c>
      <c r="AS56" s="299">
        <v>37956</v>
      </c>
      <c r="AT56" s="299">
        <v>38777</v>
      </c>
      <c r="AU56" s="297" t="s">
        <v>289</v>
      </c>
      <c r="AV56" s="297"/>
      <c r="AW56" s="297" t="s">
        <v>92</v>
      </c>
      <c r="AX56" s="297" t="s">
        <v>692</v>
      </c>
      <c r="AY56" s="299">
        <v>41542</v>
      </c>
      <c r="AZ56" s="297" t="s">
        <v>736</v>
      </c>
      <c r="BA56" s="299">
        <v>41725</v>
      </c>
      <c r="BB56" s="382">
        <v>41739</v>
      </c>
      <c r="BC56" s="297" t="s">
        <v>95</v>
      </c>
      <c r="BD56" s="297" t="s">
        <v>566</v>
      </c>
      <c r="BE56" s="297"/>
      <c r="BF56" s="301" t="s">
        <v>737</v>
      </c>
      <c r="BG56" s="301" t="s">
        <v>738</v>
      </c>
      <c r="BH56" s="301" t="s">
        <v>739</v>
      </c>
      <c r="BI56" s="301" t="s">
        <v>190</v>
      </c>
      <c r="BJ56" s="312" t="s">
        <v>740</v>
      </c>
      <c r="BK56" s="312" t="s">
        <v>741</v>
      </c>
      <c r="BL56" s="313" t="s">
        <v>742</v>
      </c>
      <c r="BM56" s="299" t="s">
        <v>743</v>
      </c>
      <c r="BN56" s="314" t="s">
        <v>744</v>
      </c>
      <c r="BO56" s="434" t="s">
        <v>745</v>
      </c>
      <c r="BP56" s="390">
        <v>8988200</v>
      </c>
      <c r="BQ56" s="336" t="s">
        <v>7456</v>
      </c>
      <c r="BR56" s="331"/>
      <c r="BS56" s="301"/>
      <c r="BT56" s="301"/>
      <c r="BU56" s="301"/>
      <c r="BV56" s="301"/>
      <c r="BW56" s="316"/>
      <c r="BX56" s="304"/>
      <c r="BY56" s="299"/>
      <c r="BZ56" s="317"/>
    </row>
    <row r="57" spans="1:555" ht="69" customHeight="1">
      <c r="A57" s="296">
        <v>56</v>
      </c>
      <c r="B57" s="297" t="s">
        <v>746</v>
      </c>
      <c r="C57" s="298">
        <v>94315901</v>
      </c>
      <c r="D57" s="354" t="s">
        <v>747</v>
      </c>
      <c r="E57" s="299">
        <v>41992</v>
      </c>
      <c r="F57" s="300">
        <v>41974</v>
      </c>
      <c r="G57" s="301" t="s">
        <v>748</v>
      </c>
      <c r="H57" s="297" t="s">
        <v>5</v>
      </c>
      <c r="I57" s="297" t="s">
        <v>101</v>
      </c>
      <c r="J57" s="299">
        <v>42089</v>
      </c>
      <c r="K57" s="300">
        <v>42064</v>
      </c>
      <c r="L57" s="301" t="s">
        <v>749</v>
      </c>
      <c r="M57" s="297" t="s">
        <v>195</v>
      </c>
      <c r="N57" s="297" t="s">
        <v>8191</v>
      </c>
      <c r="O57" s="299">
        <v>42473</v>
      </c>
      <c r="P57" s="302">
        <v>42461</v>
      </c>
      <c r="Q57" s="301" t="s">
        <v>750</v>
      </c>
      <c r="R57" s="297"/>
      <c r="S57" s="297"/>
      <c r="T57" s="299"/>
      <c r="U57" s="300"/>
      <c r="V57" s="301"/>
      <c r="W57" s="297"/>
      <c r="X57" s="297"/>
      <c r="Y57" s="299"/>
      <c r="Z57" s="300"/>
      <c r="AA57" s="301"/>
      <c r="AB57" s="297"/>
      <c r="AC57" s="297"/>
      <c r="AD57" s="299"/>
      <c r="AE57" s="300"/>
      <c r="AF57" s="301"/>
      <c r="AG57" s="297"/>
      <c r="AH57" s="297"/>
      <c r="AI57" s="304"/>
      <c r="AJ57" s="300"/>
      <c r="AK57" s="301"/>
      <c r="AL57" s="297"/>
      <c r="AM57" s="297"/>
      <c r="AN57" s="297"/>
      <c r="AO57" s="473"/>
      <c r="AP57" s="297"/>
      <c r="AQ57" s="301" t="s">
        <v>751</v>
      </c>
      <c r="AR57" s="297" t="s">
        <v>66</v>
      </c>
      <c r="AS57" s="299">
        <v>39721</v>
      </c>
      <c r="AT57" s="299">
        <v>40663</v>
      </c>
      <c r="AU57" s="297" t="s">
        <v>752</v>
      </c>
      <c r="AV57" s="297"/>
      <c r="AW57" s="297" t="s">
        <v>69</v>
      </c>
      <c r="AX57" s="297" t="s">
        <v>753</v>
      </c>
      <c r="AY57" s="299">
        <v>41422</v>
      </c>
      <c r="AZ57" s="297" t="s">
        <v>754</v>
      </c>
      <c r="BA57" s="299">
        <v>41695</v>
      </c>
      <c r="BB57" s="382">
        <v>41802</v>
      </c>
      <c r="BC57" s="297" t="s">
        <v>95</v>
      </c>
      <c r="BD57" s="297" t="s">
        <v>1792</v>
      </c>
      <c r="BE57" s="297"/>
      <c r="BF57" s="301"/>
      <c r="BG57" s="301" t="s">
        <v>755</v>
      </c>
      <c r="BH57" s="301" t="s">
        <v>756</v>
      </c>
      <c r="BI57" s="301" t="s">
        <v>536</v>
      </c>
      <c r="BJ57" s="312">
        <v>50069999</v>
      </c>
      <c r="BK57" s="312">
        <v>50069999</v>
      </c>
      <c r="BL57" s="313">
        <v>5543517</v>
      </c>
      <c r="BM57" s="299">
        <v>42752</v>
      </c>
      <c r="BN57" s="314">
        <v>42736</v>
      </c>
      <c r="BO57" s="460"/>
      <c r="BP57" s="390">
        <v>7068500</v>
      </c>
      <c r="BQ57" s="297" t="s">
        <v>7460</v>
      </c>
      <c r="BR57" s="303"/>
      <c r="BS57" s="308"/>
      <c r="BT57" s="301"/>
      <c r="BU57" s="301"/>
      <c r="BV57" s="301"/>
      <c r="BW57" s="316"/>
      <c r="BX57" s="304"/>
      <c r="BY57" s="299"/>
      <c r="BZ57" s="317"/>
    </row>
    <row r="58" spans="1:555" ht="66" customHeight="1">
      <c r="A58" s="296">
        <v>57</v>
      </c>
      <c r="B58" s="297" t="s">
        <v>757</v>
      </c>
      <c r="C58" s="298">
        <v>40783478</v>
      </c>
      <c r="D58" s="354" t="s">
        <v>758</v>
      </c>
      <c r="E58" s="299">
        <v>41995</v>
      </c>
      <c r="F58" s="300">
        <v>41974</v>
      </c>
      <c r="G58" s="301" t="s">
        <v>759</v>
      </c>
      <c r="H58" s="297" t="s">
        <v>5</v>
      </c>
      <c r="I58" s="297" t="s">
        <v>101</v>
      </c>
      <c r="J58" s="299"/>
      <c r="K58" s="300"/>
      <c r="L58" s="301"/>
      <c r="M58" s="297"/>
      <c r="N58" s="297"/>
      <c r="O58" s="299"/>
      <c r="P58" s="302"/>
      <c r="Q58" s="301"/>
      <c r="R58" s="297"/>
      <c r="S58" s="297"/>
      <c r="T58" s="299"/>
      <c r="U58" s="300"/>
      <c r="V58" s="301"/>
      <c r="W58" s="297"/>
      <c r="X58" s="297"/>
      <c r="Y58" s="299"/>
      <c r="Z58" s="300"/>
      <c r="AA58" s="301"/>
      <c r="AB58" s="297"/>
      <c r="AC58" s="297"/>
      <c r="AD58" s="299"/>
      <c r="AE58" s="300"/>
      <c r="AF58" s="301"/>
      <c r="AG58" s="297"/>
      <c r="AH58" s="297"/>
      <c r="AI58" s="304"/>
      <c r="AJ58" s="300"/>
      <c r="AK58" s="301"/>
      <c r="AL58" s="297"/>
      <c r="AM58" s="297"/>
      <c r="AN58" s="297"/>
      <c r="AO58" s="473"/>
      <c r="AP58" s="297"/>
      <c r="AQ58" s="301" t="s">
        <v>760</v>
      </c>
      <c r="AR58" s="297" t="s">
        <v>66</v>
      </c>
      <c r="AS58" s="299" t="s">
        <v>67</v>
      </c>
      <c r="AT58" s="299" t="s">
        <v>67</v>
      </c>
      <c r="AU58" s="297" t="s">
        <v>110</v>
      </c>
      <c r="AV58" s="297"/>
      <c r="AW58" s="297" t="s">
        <v>69</v>
      </c>
      <c r="AX58" s="297" t="s">
        <v>761</v>
      </c>
      <c r="AY58" s="299">
        <v>41848</v>
      </c>
      <c r="AZ58" s="297" t="s">
        <v>762</v>
      </c>
      <c r="BA58" s="299">
        <v>41912</v>
      </c>
      <c r="BB58" s="382">
        <v>41919</v>
      </c>
      <c r="BC58" s="297" t="s">
        <v>71</v>
      </c>
      <c r="BD58" s="297" t="s">
        <v>6447</v>
      </c>
      <c r="BE58" s="297" t="s">
        <v>763</v>
      </c>
      <c r="BF58" s="301"/>
      <c r="BG58" s="301" t="s">
        <v>764</v>
      </c>
      <c r="BH58" s="301" t="s">
        <v>765</v>
      </c>
      <c r="BI58" s="301" t="s">
        <v>766</v>
      </c>
      <c r="BJ58" s="306">
        <v>538558051</v>
      </c>
      <c r="BK58" s="306" t="s">
        <v>767</v>
      </c>
      <c r="BL58" s="307" t="s">
        <v>768</v>
      </c>
      <c r="BM58" s="299" t="s">
        <v>769</v>
      </c>
      <c r="BN58" s="314" t="s">
        <v>770</v>
      </c>
      <c r="BO58" s="460"/>
      <c r="BP58" s="390"/>
      <c r="BQ58" s="297"/>
      <c r="BR58" s="303"/>
      <c r="BS58" s="301"/>
      <c r="BT58" s="301"/>
      <c r="BU58" s="301"/>
      <c r="BV58" s="301"/>
      <c r="BW58" s="316"/>
      <c r="BX58" s="304"/>
      <c r="BY58" s="299"/>
      <c r="BZ58" s="317"/>
    </row>
    <row r="59" spans="1:555" ht="72" customHeight="1">
      <c r="A59" s="503">
        <v>58</v>
      </c>
      <c r="B59" s="297" t="s">
        <v>771</v>
      </c>
      <c r="C59" s="298">
        <v>94375060</v>
      </c>
      <c r="D59" s="354" t="s">
        <v>772</v>
      </c>
      <c r="E59" s="299">
        <v>42011</v>
      </c>
      <c r="F59" s="300">
        <v>42005</v>
      </c>
      <c r="G59" s="301" t="s">
        <v>773</v>
      </c>
      <c r="H59" s="297" t="s">
        <v>5</v>
      </c>
      <c r="I59" s="297" t="s">
        <v>101</v>
      </c>
      <c r="J59" s="299">
        <v>42020</v>
      </c>
      <c r="K59" s="300">
        <v>42005</v>
      </c>
      <c r="L59" s="301" t="s">
        <v>774</v>
      </c>
      <c r="M59" s="297" t="s">
        <v>5</v>
      </c>
      <c r="N59" s="297" t="s">
        <v>775</v>
      </c>
      <c r="O59" s="299">
        <v>42761</v>
      </c>
      <c r="P59" s="302">
        <v>42736</v>
      </c>
      <c r="Q59" s="301" t="s">
        <v>776</v>
      </c>
      <c r="R59" s="297" t="s">
        <v>625</v>
      </c>
      <c r="S59" s="297" t="s">
        <v>777</v>
      </c>
      <c r="T59" s="299" t="s">
        <v>778</v>
      </c>
      <c r="U59" s="300">
        <v>42736</v>
      </c>
      <c r="V59" s="301" t="s">
        <v>779</v>
      </c>
      <c r="W59" s="297" t="s">
        <v>625</v>
      </c>
      <c r="X59" s="297" t="s">
        <v>777</v>
      </c>
      <c r="Y59" s="299">
        <v>41989</v>
      </c>
      <c r="Z59" s="300">
        <v>41989</v>
      </c>
      <c r="AA59" s="301" t="s">
        <v>780</v>
      </c>
      <c r="AB59" s="297" t="s">
        <v>171</v>
      </c>
      <c r="AC59" s="297" t="s">
        <v>781</v>
      </c>
      <c r="AD59" s="299" t="s">
        <v>782</v>
      </c>
      <c r="AE59" s="300" t="s">
        <v>783</v>
      </c>
      <c r="AF59" s="301" t="s">
        <v>784</v>
      </c>
      <c r="AG59" s="297" t="s">
        <v>785</v>
      </c>
      <c r="AH59" s="297" t="s">
        <v>786</v>
      </c>
      <c r="AI59" s="299" t="s">
        <v>8377</v>
      </c>
      <c r="AJ59" s="300" t="s">
        <v>8378</v>
      </c>
      <c r="AK59" s="304" t="s">
        <v>8379</v>
      </c>
      <c r="AL59" s="297" t="s">
        <v>8380</v>
      </c>
      <c r="AM59" s="297" t="s">
        <v>8381</v>
      </c>
      <c r="AN59" s="297"/>
      <c r="AO59" s="478"/>
      <c r="AP59" s="297"/>
      <c r="AQ59" s="301" t="s">
        <v>787</v>
      </c>
      <c r="AR59" s="297" t="s">
        <v>66</v>
      </c>
      <c r="AS59" s="299">
        <v>39448</v>
      </c>
      <c r="AT59" s="299">
        <v>40390</v>
      </c>
      <c r="AU59" s="297" t="s">
        <v>788</v>
      </c>
      <c r="AV59" s="297"/>
      <c r="AW59" s="297" t="s">
        <v>92</v>
      </c>
      <c r="AX59" s="297" t="s">
        <v>789</v>
      </c>
      <c r="AY59" s="299">
        <v>41866</v>
      </c>
      <c r="AZ59" s="297" t="s">
        <v>67</v>
      </c>
      <c r="BA59" s="299" t="s">
        <v>67</v>
      </c>
      <c r="BB59" s="382">
        <v>41893</v>
      </c>
      <c r="BC59" s="297" t="s">
        <v>95</v>
      </c>
      <c r="BD59" s="297" t="s">
        <v>566</v>
      </c>
      <c r="BE59" s="297"/>
      <c r="BF59" s="301"/>
      <c r="BG59" s="301" t="s">
        <v>790</v>
      </c>
      <c r="BH59" s="301" t="s">
        <v>791</v>
      </c>
      <c r="BI59" s="301" t="s">
        <v>190</v>
      </c>
      <c r="BJ59" s="74">
        <f>'[12]Liquidación intereses'!$J$33</f>
        <v>31526109.223175552</v>
      </c>
      <c r="BK59" s="312">
        <v>47022198</v>
      </c>
      <c r="BL59" s="313">
        <v>304920116</v>
      </c>
      <c r="BM59" s="299">
        <v>42669</v>
      </c>
      <c r="BN59" s="314">
        <v>42644</v>
      </c>
      <c r="BO59" s="434" t="s">
        <v>792</v>
      </c>
      <c r="BP59" s="397"/>
      <c r="BQ59" s="398"/>
      <c r="BR59" s="320"/>
      <c r="BS59" s="301" t="s">
        <v>793</v>
      </c>
      <c r="BT59" s="301" t="s">
        <v>794</v>
      </c>
      <c r="BU59" s="301"/>
      <c r="BV59" s="301"/>
      <c r="BW59" s="328">
        <v>43833829</v>
      </c>
      <c r="BX59" s="304">
        <v>115346018</v>
      </c>
      <c r="BY59" s="299">
        <v>43214</v>
      </c>
      <c r="BZ59" s="317">
        <v>43191</v>
      </c>
    </row>
    <row r="60" spans="1:555" ht="108">
      <c r="A60" s="296">
        <v>59</v>
      </c>
      <c r="B60" s="297" t="s">
        <v>795</v>
      </c>
      <c r="C60" s="298">
        <v>75072429</v>
      </c>
      <c r="D60" s="354" t="s">
        <v>677</v>
      </c>
      <c r="E60" s="299">
        <v>42012</v>
      </c>
      <c r="F60" s="300">
        <v>42005</v>
      </c>
      <c r="G60" s="301" t="s">
        <v>796</v>
      </c>
      <c r="H60" s="297" t="s">
        <v>5</v>
      </c>
      <c r="I60" s="297" t="s">
        <v>101</v>
      </c>
      <c r="J60" s="299">
        <v>42247</v>
      </c>
      <c r="K60" s="300">
        <v>42217</v>
      </c>
      <c r="L60" s="301" t="s">
        <v>797</v>
      </c>
      <c r="M60" s="297" t="s">
        <v>5</v>
      </c>
      <c r="N60" s="297" t="s">
        <v>131</v>
      </c>
      <c r="O60" s="299">
        <v>42759</v>
      </c>
      <c r="P60" s="302">
        <v>42736</v>
      </c>
      <c r="Q60" s="301" t="s">
        <v>798</v>
      </c>
      <c r="R60" s="297" t="s">
        <v>5</v>
      </c>
      <c r="S60" s="297" t="s">
        <v>799</v>
      </c>
      <c r="T60" s="299">
        <v>42810</v>
      </c>
      <c r="U60" s="300">
        <v>42795</v>
      </c>
      <c r="V60" s="301" t="s">
        <v>683</v>
      </c>
      <c r="W60" s="297" t="s">
        <v>5</v>
      </c>
      <c r="X60" s="297" t="s">
        <v>107</v>
      </c>
      <c r="Y60" s="299">
        <v>43237</v>
      </c>
      <c r="Z60" s="368">
        <v>43221</v>
      </c>
      <c r="AA60" s="301" t="s">
        <v>800</v>
      </c>
      <c r="AB60" s="297" t="s">
        <v>5</v>
      </c>
      <c r="AC60" s="297" t="s">
        <v>801</v>
      </c>
      <c r="AD60" s="299"/>
      <c r="AE60" s="300"/>
      <c r="AF60" s="301"/>
      <c r="AG60" s="297"/>
      <c r="AH60" s="297"/>
      <c r="AI60" s="304"/>
      <c r="AJ60" s="300"/>
      <c r="AK60" s="301"/>
      <c r="AL60" s="297"/>
      <c r="AM60" s="297"/>
      <c r="AN60" s="297"/>
      <c r="AO60" s="478"/>
      <c r="AP60" s="297"/>
      <c r="AQ60" s="301" t="s">
        <v>802</v>
      </c>
      <c r="AR60" s="297" t="s">
        <v>66</v>
      </c>
      <c r="AS60" s="299">
        <v>37834</v>
      </c>
      <c r="AT60" s="299">
        <v>40539</v>
      </c>
      <c r="AU60" s="297" t="s">
        <v>803</v>
      </c>
      <c r="AV60" s="297"/>
      <c r="AW60" s="297" t="s">
        <v>92</v>
      </c>
      <c r="AX60" s="297" t="s">
        <v>723</v>
      </c>
      <c r="AY60" s="299">
        <v>41547</v>
      </c>
      <c r="AZ60" s="297" t="s">
        <v>804</v>
      </c>
      <c r="BA60" s="299">
        <v>41767</v>
      </c>
      <c r="BB60" s="382">
        <v>41855</v>
      </c>
      <c r="BC60" s="297" t="s">
        <v>95</v>
      </c>
      <c r="BD60" s="297" t="s">
        <v>566</v>
      </c>
      <c r="BE60" s="297"/>
      <c r="BF60" s="301" t="s">
        <v>737</v>
      </c>
      <c r="BG60" s="301" t="s">
        <v>805</v>
      </c>
      <c r="BH60" s="301" t="s">
        <v>806</v>
      </c>
      <c r="BI60" s="301" t="s">
        <v>536</v>
      </c>
      <c r="BJ60" s="74">
        <v>170914631</v>
      </c>
      <c r="BK60" s="312">
        <v>173920441</v>
      </c>
      <c r="BL60" s="313">
        <v>5486117</v>
      </c>
      <c r="BM60" s="299">
        <v>42752</v>
      </c>
      <c r="BN60" s="314">
        <v>42736</v>
      </c>
      <c r="BO60" s="434" t="s">
        <v>807</v>
      </c>
      <c r="BP60" s="396">
        <v>21968500</v>
      </c>
      <c r="BQ60" s="297" t="s">
        <v>7461</v>
      </c>
      <c r="BR60" s="320"/>
      <c r="BS60" s="301" t="s">
        <v>729</v>
      </c>
      <c r="BT60" s="301" t="s">
        <v>808</v>
      </c>
      <c r="BU60" s="301"/>
      <c r="BV60" s="301"/>
      <c r="BW60" s="328">
        <v>129133638</v>
      </c>
      <c r="BX60" s="304" t="s">
        <v>809</v>
      </c>
      <c r="BY60" s="299">
        <v>43126</v>
      </c>
      <c r="BZ60" s="317">
        <v>43101</v>
      </c>
    </row>
    <row r="61" spans="1:555" ht="62.25" customHeight="1">
      <c r="A61" s="296">
        <v>60</v>
      </c>
      <c r="B61" s="297" t="s">
        <v>810</v>
      </c>
      <c r="C61" s="298">
        <v>17329432</v>
      </c>
      <c r="D61" s="354" t="s">
        <v>811</v>
      </c>
      <c r="E61" s="299">
        <v>42024</v>
      </c>
      <c r="F61" s="300">
        <v>42005</v>
      </c>
      <c r="G61" s="301" t="s">
        <v>812</v>
      </c>
      <c r="H61" s="297" t="s">
        <v>5</v>
      </c>
      <c r="I61" s="297" t="s">
        <v>101</v>
      </c>
      <c r="J61" s="299">
        <v>42156</v>
      </c>
      <c r="K61" s="300">
        <v>42156</v>
      </c>
      <c r="L61" s="301" t="s">
        <v>813</v>
      </c>
      <c r="M61" s="297" t="s">
        <v>208</v>
      </c>
      <c r="N61" s="297" t="s">
        <v>8192</v>
      </c>
      <c r="O61" s="299">
        <v>42235</v>
      </c>
      <c r="P61" s="302"/>
      <c r="Q61" s="301"/>
      <c r="R61" s="297"/>
      <c r="S61" s="297"/>
      <c r="T61" s="299"/>
      <c r="U61" s="300"/>
      <c r="V61" s="301"/>
      <c r="W61" s="297"/>
      <c r="X61" s="297"/>
      <c r="Y61" s="299"/>
      <c r="Z61" s="300"/>
      <c r="AA61" s="301"/>
      <c r="AB61" s="297"/>
      <c r="AC61" s="297"/>
      <c r="AD61" s="299"/>
      <c r="AE61" s="300"/>
      <c r="AF61" s="301"/>
      <c r="AG61" s="297"/>
      <c r="AH61" s="297"/>
      <c r="AI61" s="322"/>
      <c r="AJ61" s="300"/>
      <c r="AK61" s="301"/>
      <c r="AL61" s="297"/>
      <c r="AM61" s="297"/>
      <c r="AN61" s="297"/>
      <c r="AO61" s="473"/>
      <c r="AP61" s="297"/>
      <c r="AQ61" s="301" t="s">
        <v>815</v>
      </c>
      <c r="AR61" s="297" t="s">
        <v>66</v>
      </c>
      <c r="AS61" s="299">
        <v>37426</v>
      </c>
      <c r="AT61" s="299">
        <v>39447</v>
      </c>
      <c r="AU61" s="297" t="s">
        <v>816</v>
      </c>
      <c r="AV61" s="297"/>
      <c r="AW61" s="297" t="s">
        <v>92</v>
      </c>
      <c r="AX61" s="297" t="s">
        <v>817</v>
      </c>
      <c r="AY61" s="299">
        <v>41486</v>
      </c>
      <c r="AZ61" s="297" t="s">
        <v>818</v>
      </c>
      <c r="BA61" s="299">
        <v>41737</v>
      </c>
      <c r="BB61" s="382">
        <v>41767</v>
      </c>
      <c r="BC61" s="297" t="s">
        <v>95</v>
      </c>
      <c r="BD61" s="297" t="s">
        <v>8110</v>
      </c>
      <c r="BE61" s="297"/>
      <c r="BF61" s="301"/>
      <c r="BG61" s="301" t="s">
        <v>819</v>
      </c>
      <c r="BH61" s="301" t="s">
        <v>820</v>
      </c>
      <c r="BI61" s="301" t="s">
        <v>190</v>
      </c>
      <c r="BJ61" s="312">
        <v>113623562</v>
      </c>
      <c r="BK61" s="312">
        <v>113623562</v>
      </c>
      <c r="BL61" s="313" t="s">
        <v>821</v>
      </c>
      <c r="BM61" s="299">
        <v>42667</v>
      </c>
      <c r="BN61" s="314">
        <v>42644</v>
      </c>
      <c r="BO61" s="460"/>
      <c r="BP61" s="390"/>
      <c r="BQ61" s="297"/>
      <c r="BR61" s="303"/>
      <c r="BS61" s="301"/>
      <c r="BT61" s="301"/>
      <c r="BU61" s="301"/>
      <c r="BV61" s="301"/>
      <c r="BW61" s="328"/>
      <c r="BX61" s="304"/>
      <c r="BY61" s="299"/>
      <c r="BZ61" s="317"/>
    </row>
    <row r="62" spans="1:555" ht="67.5" customHeight="1">
      <c r="A62" s="296">
        <v>61</v>
      </c>
      <c r="B62" s="297" t="s">
        <v>822</v>
      </c>
      <c r="C62" s="298" t="s">
        <v>823</v>
      </c>
      <c r="D62" s="354" t="s">
        <v>824</v>
      </c>
      <c r="E62" s="299">
        <v>42034</v>
      </c>
      <c r="F62" s="300">
        <v>42005</v>
      </c>
      <c r="G62" s="301" t="s">
        <v>825</v>
      </c>
      <c r="H62" s="297" t="s">
        <v>5</v>
      </c>
      <c r="I62" s="297" t="s">
        <v>101</v>
      </c>
      <c r="J62" s="299"/>
      <c r="K62" s="300"/>
      <c r="L62" s="301"/>
      <c r="M62" s="297"/>
      <c r="N62" s="297"/>
      <c r="O62" s="299"/>
      <c r="P62" s="302"/>
      <c r="Q62" s="301"/>
      <c r="R62" s="297"/>
      <c r="S62" s="297"/>
      <c r="T62" s="299"/>
      <c r="U62" s="300"/>
      <c r="V62" s="301"/>
      <c r="W62" s="297"/>
      <c r="X62" s="297"/>
      <c r="Y62" s="299"/>
      <c r="Z62" s="300"/>
      <c r="AA62" s="301"/>
      <c r="AB62" s="297"/>
      <c r="AC62" s="297"/>
      <c r="AD62" s="299"/>
      <c r="AE62" s="300"/>
      <c r="AF62" s="301"/>
      <c r="AG62" s="297"/>
      <c r="AH62" s="297"/>
      <c r="AI62" s="304"/>
      <c r="AJ62" s="300"/>
      <c r="AK62" s="301"/>
      <c r="AL62" s="297"/>
      <c r="AM62" s="297"/>
      <c r="AN62" s="297"/>
      <c r="AO62" s="473"/>
      <c r="AP62" s="297"/>
      <c r="AQ62" s="301" t="s">
        <v>826</v>
      </c>
      <c r="AR62" s="297" t="s">
        <v>66</v>
      </c>
      <c r="AS62" s="299" t="s">
        <v>67</v>
      </c>
      <c r="AT62" s="299" t="s">
        <v>67</v>
      </c>
      <c r="AU62" s="297" t="s">
        <v>827</v>
      </c>
      <c r="AV62" s="297"/>
      <c r="AW62" s="297" t="s">
        <v>69</v>
      </c>
      <c r="AX62" s="297" t="s">
        <v>828</v>
      </c>
      <c r="AY62" s="299">
        <v>41689</v>
      </c>
      <c r="AZ62" s="297" t="s">
        <v>829</v>
      </c>
      <c r="BA62" s="299">
        <v>41899</v>
      </c>
      <c r="BB62" s="678">
        <v>41905</v>
      </c>
      <c r="BC62" s="297" t="s">
        <v>71</v>
      </c>
      <c r="BD62" s="297"/>
      <c r="BE62" s="297"/>
      <c r="BF62" s="301"/>
      <c r="BG62" s="301" t="s">
        <v>830</v>
      </c>
      <c r="BH62" s="301" t="s">
        <v>830</v>
      </c>
      <c r="BI62" s="301" t="s">
        <v>830</v>
      </c>
      <c r="BJ62" s="306">
        <v>681510265</v>
      </c>
      <c r="BK62" s="306"/>
      <c r="BL62" s="307" t="s">
        <v>67</v>
      </c>
      <c r="BM62" s="299" t="s">
        <v>67</v>
      </c>
      <c r="BN62" s="314" t="s">
        <v>67</v>
      </c>
      <c r="BO62" s="460"/>
      <c r="BP62" s="390"/>
      <c r="BQ62" s="297"/>
      <c r="BR62" s="303"/>
      <c r="BS62" s="301"/>
      <c r="BT62" s="301"/>
      <c r="BU62" s="301"/>
      <c r="BV62" s="301"/>
      <c r="BW62" s="328"/>
      <c r="BX62" s="304"/>
      <c r="BY62" s="299"/>
      <c r="BZ62" s="317"/>
    </row>
    <row r="63" spans="1:555" ht="62.25" customHeight="1">
      <c r="A63" s="296">
        <v>62</v>
      </c>
      <c r="B63" s="297" t="s">
        <v>831</v>
      </c>
      <c r="C63" s="298">
        <v>10260737</v>
      </c>
      <c r="D63" s="354" t="s">
        <v>832</v>
      </c>
      <c r="E63" s="299">
        <v>42038</v>
      </c>
      <c r="F63" s="300">
        <v>42036</v>
      </c>
      <c r="G63" s="301" t="s">
        <v>8111</v>
      </c>
      <c r="H63" s="297" t="s">
        <v>5</v>
      </c>
      <c r="I63" s="297" t="s">
        <v>101</v>
      </c>
      <c r="J63" s="299">
        <v>42166</v>
      </c>
      <c r="K63" s="300">
        <v>42156</v>
      </c>
      <c r="L63" s="301" t="s">
        <v>833</v>
      </c>
      <c r="M63" s="297"/>
      <c r="N63" s="297"/>
      <c r="O63" s="299"/>
      <c r="P63" s="302"/>
      <c r="Q63" s="301"/>
      <c r="R63" s="297"/>
      <c r="S63" s="297"/>
      <c r="T63" s="299"/>
      <c r="U63" s="300"/>
      <c r="V63" s="301"/>
      <c r="W63" s="297"/>
      <c r="X63" s="297"/>
      <c r="Y63" s="299"/>
      <c r="Z63" s="367"/>
      <c r="AA63" s="301"/>
      <c r="AB63" s="297"/>
      <c r="AC63" s="297"/>
      <c r="AD63" s="299"/>
      <c r="AE63" s="300"/>
      <c r="AF63" s="301"/>
      <c r="AG63" s="297"/>
      <c r="AH63" s="297"/>
      <c r="AI63" s="304"/>
      <c r="AJ63" s="300"/>
      <c r="AK63" s="301"/>
      <c r="AL63" s="297"/>
      <c r="AM63" s="297"/>
      <c r="AN63" s="297"/>
      <c r="AO63" s="473"/>
      <c r="AP63" s="297"/>
      <c r="AQ63" s="301" t="s">
        <v>834</v>
      </c>
      <c r="AR63" s="297" t="s">
        <v>66</v>
      </c>
      <c r="AS63" s="299" t="s">
        <v>67</v>
      </c>
      <c r="AT63" s="299" t="s">
        <v>67</v>
      </c>
      <c r="AU63" s="297" t="s">
        <v>835</v>
      </c>
      <c r="AV63" s="297"/>
      <c r="AW63" s="297" t="s">
        <v>92</v>
      </c>
      <c r="AX63" s="297" t="s">
        <v>836</v>
      </c>
      <c r="AY63" s="299">
        <v>41114</v>
      </c>
      <c r="AZ63" s="297" t="s">
        <v>837</v>
      </c>
      <c r="BA63" s="299">
        <v>41718</v>
      </c>
      <c r="BB63" s="382">
        <v>41782</v>
      </c>
      <c r="BC63" s="303" t="s">
        <v>165</v>
      </c>
      <c r="BD63" s="303" t="s">
        <v>566</v>
      </c>
      <c r="BE63" s="297"/>
      <c r="BF63" s="301"/>
      <c r="BG63" s="301" t="s">
        <v>838</v>
      </c>
      <c r="BH63" s="301" t="s">
        <v>839</v>
      </c>
      <c r="BI63" s="301" t="s">
        <v>190</v>
      </c>
      <c r="BJ63" s="306">
        <v>240168580</v>
      </c>
      <c r="BK63" s="306">
        <v>240168580</v>
      </c>
      <c r="BL63" s="313" t="s">
        <v>840</v>
      </c>
      <c r="BM63" s="299">
        <v>42667</v>
      </c>
      <c r="BN63" s="314">
        <v>42644</v>
      </c>
      <c r="BO63" s="460"/>
      <c r="BP63" s="390"/>
      <c r="BQ63" s="297"/>
      <c r="BR63" s="303"/>
      <c r="BS63" s="301"/>
      <c r="BT63" s="301"/>
      <c r="BU63" s="301"/>
      <c r="BV63" s="301"/>
      <c r="BW63" s="328"/>
      <c r="BX63" s="304"/>
      <c r="BY63" s="299"/>
      <c r="BZ63" s="317"/>
    </row>
    <row r="64" spans="1:555" ht="81">
      <c r="A64" s="296">
        <v>63</v>
      </c>
      <c r="B64" s="297" t="s">
        <v>841</v>
      </c>
      <c r="C64" s="298" t="s">
        <v>842</v>
      </c>
      <c r="D64" s="354" t="s">
        <v>597</v>
      </c>
      <c r="E64" s="299">
        <v>42039</v>
      </c>
      <c r="F64" s="300">
        <v>42036</v>
      </c>
      <c r="G64" s="301" t="s">
        <v>843</v>
      </c>
      <c r="H64" s="297" t="s">
        <v>5</v>
      </c>
      <c r="I64" s="297" t="s">
        <v>101</v>
      </c>
      <c r="J64" s="299">
        <v>42187</v>
      </c>
      <c r="K64" s="300">
        <v>42186</v>
      </c>
      <c r="L64" s="301" t="s">
        <v>844</v>
      </c>
      <c r="M64" s="297" t="s">
        <v>503</v>
      </c>
      <c r="N64" s="297" t="s">
        <v>183</v>
      </c>
      <c r="O64" s="299">
        <v>42501</v>
      </c>
      <c r="P64" s="302">
        <v>42491</v>
      </c>
      <c r="Q64" s="301" t="s">
        <v>845</v>
      </c>
      <c r="R64" s="297" t="s">
        <v>63</v>
      </c>
      <c r="S64" s="297" t="s">
        <v>131</v>
      </c>
      <c r="T64" s="299">
        <v>42786</v>
      </c>
      <c r="U64" s="300">
        <v>42767</v>
      </c>
      <c r="V64" s="301" t="s">
        <v>846</v>
      </c>
      <c r="W64" s="297" t="s">
        <v>63</v>
      </c>
      <c r="X64" s="297" t="s">
        <v>847</v>
      </c>
      <c r="Y64" s="299">
        <v>43241</v>
      </c>
      <c r="Z64" s="300">
        <v>43221</v>
      </c>
      <c r="AA64" s="301" t="s">
        <v>848</v>
      </c>
      <c r="AB64" s="297" t="s">
        <v>171</v>
      </c>
      <c r="AC64" s="297" t="s">
        <v>849</v>
      </c>
      <c r="AD64" s="299">
        <v>43364</v>
      </c>
      <c r="AE64" s="300">
        <v>43364</v>
      </c>
      <c r="AF64" s="301" t="s">
        <v>850</v>
      </c>
      <c r="AG64" s="297" t="s">
        <v>171</v>
      </c>
      <c r="AH64" s="297" t="s">
        <v>851</v>
      </c>
      <c r="AI64" s="304"/>
      <c r="AJ64" s="300"/>
      <c r="AK64" s="301"/>
      <c r="AL64" s="297"/>
      <c r="AM64" s="297"/>
      <c r="AN64" s="297"/>
      <c r="AO64" s="473"/>
      <c r="AP64" s="297"/>
      <c r="AQ64" s="301" t="s">
        <v>852</v>
      </c>
      <c r="AR64" s="297" t="s">
        <v>66</v>
      </c>
      <c r="AS64" s="299">
        <v>38281</v>
      </c>
      <c r="AT64" s="299">
        <v>39994</v>
      </c>
      <c r="AU64" s="297" t="s">
        <v>853</v>
      </c>
      <c r="AV64" s="297"/>
      <c r="AW64" s="297" t="s">
        <v>92</v>
      </c>
      <c r="AX64" s="297" t="s">
        <v>187</v>
      </c>
      <c r="AY64" s="299">
        <v>41253</v>
      </c>
      <c r="AZ64" s="297" t="s">
        <v>291</v>
      </c>
      <c r="BA64" s="299">
        <v>41873</v>
      </c>
      <c r="BB64" s="382">
        <v>41893</v>
      </c>
      <c r="BC64" s="297" t="s">
        <v>95</v>
      </c>
      <c r="BD64" s="297" t="s">
        <v>566</v>
      </c>
      <c r="BE64" s="297"/>
      <c r="BF64" s="301"/>
      <c r="BG64" s="301" t="s">
        <v>67</v>
      </c>
      <c r="BH64" s="301" t="s">
        <v>854</v>
      </c>
      <c r="BI64" s="301" t="s">
        <v>536</v>
      </c>
      <c r="BJ64" s="306">
        <v>59778910</v>
      </c>
      <c r="BK64" s="312" t="s">
        <v>855</v>
      </c>
      <c r="BL64" s="313" t="s">
        <v>856</v>
      </c>
      <c r="BM64" s="299" t="s">
        <v>857</v>
      </c>
      <c r="BN64" s="314" t="s">
        <v>858</v>
      </c>
      <c r="BO64" s="434" t="s">
        <v>859</v>
      </c>
      <c r="BP64" s="397"/>
      <c r="BQ64" s="398"/>
      <c r="BR64" s="320"/>
      <c r="BS64" s="301" t="s">
        <v>860</v>
      </c>
      <c r="BT64" s="301" t="s">
        <v>861</v>
      </c>
      <c r="BU64" s="301"/>
      <c r="BV64" s="301"/>
      <c r="BW64" s="328">
        <v>143438723</v>
      </c>
      <c r="BX64" s="304">
        <v>2364818</v>
      </c>
      <c r="BY64" s="299">
        <v>43112</v>
      </c>
      <c r="BZ64" s="317">
        <v>43101</v>
      </c>
    </row>
    <row r="65" spans="1:555" ht="78.75" customHeight="1">
      <c r="A65" s="296">
        <v>64</v>
      </c>
      <c r="B65" s="297" t="s">
        <v>862</v>
      </c>
      <c r="C65" s="298">
        <v>94418809</v>
      </c>
      <c r="D65" s="354" t="s">
        <v>747</v>
      </c>
      <c r="E65" s="299">
        <v>42044</v>
      </c>
      <c r="F65" s="300">
        <v>42036</v>
      </c>
      <c r="G65" s="301" t="s">
        <v>863</v>
      </c>
      <c r="H65" s="297" t="s">
        <v>5</v>
      </c>
      <c r="I65" s="297" t="s">
        <v>101</v>
      </c>
      <c r="J65" s="299">
        <v>42473</v>
      </c>
      <c r="K65" s="300">
        <v>42461</v>
      </c>
      <c r="L65" s="301" t="s">
        <v>750</v>
      </c>
      <c r="M65" s="297" t="s">
        <v>5</v>
      </c>
      <c r="N65" s="297" t="s">
        <v>85</v>
      </c>
      <c r="O65" s="299"/>
      <c r="P65" s="302"/>
      <c r="Q65" s="301"/>
      <c r="R65" s="297"/>
      <c r="S65" s="297"/>
      <c r="T65" s="299"/>
      <c r="U65" s="300"/>
      <c r="V65" s="301"/>
      <c r="W65" s="297"/>
      <c r="X65" s="297"/>
      <c r="Y65" s="299"/>
      <c r="Z65" s="300"/>
      <c r="AA65" s="301"/>
      <c r="AB65" s="297"/>
      <c r="AC65" s="297"/>
      <c r="AD65" s="299"/>
      <c r="AE65" s="300"/>
      <c r="AF65" s="301"/>
      <c r="AG65" s="297"/>
      <c r="AH65" s="297"/>
      <c r="AI65" s="304"/>
      <c r="AJ65" s="300"/>
      <c r="AK65" s="301"/>
      <c r="AL65" s="297"/>
      <c r="AM65" s="297"/>
      <c r="AN65" s="297"/>
      <c r="AO65" s="473"/>
      <c r="AP65" s="297"/>
      <c r="AQ65" s="301" t="s">
        <v>864</v>
      </c>
      <c r="AR65" s="297" t="s">
        <v>66</v>
      </c>
      <c r="AS65" s="299">
        <v>38412</v>
      </c>
      <c r="AT65" s="299">
        <v>39447</v>
      </c>
      <c r="AU65" s="297" t="s">
        <v>865</v>
      </c>
      <c r="AV65" s="297"/>
      <c r="AW65" s="297" t="s">
        <v>92</v>
      </c>
      <c r="AX65" s="297" t="s">
        <v>866</v>
      </c>
      <c r="AY65" s="299" t="s">
        <v>867</v>
      </c>
      <c r="AZ65" s="297" t="s">
        <v>868</v>
      </c>
      <c r="BA65" s="299">
        <v>41947</v>
      </c>
      <c r="BB65" s="382">
        <v>41962</v>
      </c>
      <c r="BC65" s="297" t="s">
        <v>95</v>
      </c>
      <c r="BD65" s="297" t="s">
        <v>566</v>
      </c>
      <c r="BE65" s="297"/>
      <c r="BF65" s="301"/>
      <c r="BG65" s="301" t="s">
        <v>869</v>
      </c>
      <c r="BH65" s="301" t="s">
        <v>870</v>
      </c>
      <c r="BI65" s="301" t="s">
        <v>496</v>
      </c>
      <c r="BJ65" s="312">
        <v>21812663</v>
      </c>
      <c r="BK65" s="312" t="s">
        <v>871</v>
      </c>
      <c r="BL65" s="313" t="s">
        <v>872</v>
      </c>
      <c r="BM65" s="299" t="s">
        <v>873</v>
      </c>
      <c r="BN65" s="314" t="s">
        <v>874</v>
      </c>
      <c r="BO65" s="460"/>
      <c r="BP65" s="390">
        <v>8883100</v>
      </c>
      <c r="BQ65" s="297" t="s">
        <v>7464</v>
      </c>
      <c r="BR65" s="303"/>
      <c r="BS65" s="301"/>
      <c r="BT65" s="301"/>
      <c r="BU65" s="301"/>
      <c r="BV65" s="301"/>
      <c r="BW65" s="316"/>
      <c r="BX65" s="304"/>
      <c r="BY65" s="299"/>
      <c r="BZ65" s="317"/>
    </row>
    <row r="66" spans="1:555" ht="229.5">
      <c r="A66" s="296">
        <v>66</v>
      </c>
      <c r="B66" s="297" t="s">
        <v>881</v>
      </c>
      <c r="C66" s="329">
        <v>88159209</v>
      </c>
      <c r="D66" s="354" t="s">
        <v>882</v>
      </c>
      <c r="E66" s="299">
        <v>42044</v>
      </c>
      <c r="F66" s="300">
        <v>42036</v>
      </c>
      <c r="G66" s="301" t="s">
        <v>883</v>
      </c>
      <c r="H66" s="297" t="s">
        <v>5</v>
      </c>
      <c r="I66" s="297" t="s">
        <v>101</v>
      </c>
      <c r="J66" s="299">
        <v>42207</v>
      </c>
      <c r="K66" s="300">
        <v>42186</v>
      </c>
      <c r="L66" s="301" t="s">
        <v>78</v>
      </c>
      <c r="M66" s="297" t="s">
        <v>5</v>
      </c>
      <c r="N66" s="297" t="s">
        <v>85</v>
      </c>
      <c r="O66" s="299">
        <v>43349</v>
      </c>
      <c r="P66" s="302">
        <v>43349</v>
      </c>
      <c r="Q66" s="304" t="s">
        <v>884</v>
      </c>
      <c r="R66" s="297" t="s">
        <v>63</v>
      </c>
      <c r="S66" s="297" t="s">
        <v>885</v>
      </c>
      <c r="T66" s="299">
        <v>43447</v>
      </c>
      <c r="U66" s="300">
        <v>43447</v>
      </c>
      <c r="V66" s="322" t="s">
        <v>7972</v>
      </c>
      <c r="W66" s="315" t="s">
        <v>63</v>
      </c>
      <c r="X66" s="315" t="s">
        <v>107</v>
      </c>
      <c r="Y66" s="299">
        <v>43448</v>
      </c>
      <c r="Z66" s="300">
        <v>43448</v>
      </c>
      <c r="AA66" s="315" t="s">
        <v>7973</v>
      </c>
      <c r="AB66" s="315" t="s">
        <v>63</v>
      </c>
      <c r="AC66" s="315" t="s">
        <v>107</v>
      </c>
      <c r="AD66" s="305">
        <v>43543</v>
      </c>
      <c r="AE66" s="300">
        <v>43543</v>
      </c>
      <c r="AF66" s="315" t="s">
        <v>8398</v>
      </c>
      <c r="AG66" s="315" t="s">
        <v>63</v>
      </c>
      <c r="AH66" s="315" t="s">
        <v>5332</v>
      </c>
      <c r="AI66" s="305" t="s">
        <v>9800</v>
      </c>
      <c r="AJ66" s="300" t="s">
        <v>9801</v>
      </c>
      <c r="AK66" s="301" t="s">
        <v>9799</v>
      </c>
      <c r="AL66" s="297" t="s">
        <v>9802</v>
      </c>
      <c r="AM66" s="297" t="s">
        <v>9803</v>
      </c>
      <c r="AN66" s="297"/>
      <c r="AO66" s="525">
        <v>42207</v>
      </c>
      <c r="AP66" s="297"/>
      <c r="AQ66" s="301" t="s">
        <v>886</v>
      </c>
      <c r="AR66" s="297" t="s">
        <v>66</v>
      </c>
      <c r="AS66" s="535">
        <v>39052</v>
      </c>
      <c r="AT66" s="535">
        <v>39823</v>
      </c>
      <c r="AU66" s="536" t="s">
        <v>8017</v>
      </c>
      <c r="AV66" s="536"/>
      <c r="AW66" s="297" t="s">
        <v>92</v>
      </c>
      <c r="AX66" s="536" t="s">
        <v>887</v>
      </c>
      <c r="AY66" s="535">
        <v>41123</v>
      </c>
      <c r="AZ66" s="536" t="s">
        <v>888</v>
      </c>
      <c r="BA66" s="535">
        <v>41850</v>
      </c>
      <c r="BB66" s="679">
        <v>41864</v>
      </c>
      <c r="BC66" s="297" t="s">
        <v>95</v>
      </c>
      <c r="BD66" s="297" t="s">
        <v>566</v>
      </c>
      <c r="BE66" s="297"/>
      <c r="BF66" s="301"/>
      <c r="BG66" s="301" t="s">
        <v>889</v>
      </c>
      <c r="BH66" s="301" t="s">
        <v>8462</v>
      </c>
      <c r="BI66" s="301" t="s">
        <v>890</v>
      </c>
      <c r="BJ66" s="312">
        <f>+[13]MATRIZ!$N$58</f>
        <v>31423571.039190769</v>
      </c>
      <c r="BK66" s="312" t="s">
        <v>8463</v>
      </c>
      <c r="BL66" s="313" t="s">
        <v>8534</v>
      </c>
      <c r="BM66" s="299" t="s">
        <v>8536</v>
      </c>
      <c r="BN66" s="314" t="s">
        <v>8535</v>
      </c>
      <c r="BO66" s="460"/>
      <c r="BP66" s="390">
        <v>12686539</v>
      </c>
      <c r="BQ66" s="297" t="s">
        <v>9129</v>
      </c>
      <c r="BR66" s="303"/>
      <c r="BS66" s="301"/>
      <c r="BT66" s="301"/>
      <c r="BU66" s="301"/>
      <c r="BV66" s="301"/>
      <c r="BW66" s="316"/>
      <c r="BX66" s="304"/>
      <c r="BY66" s="299"/>
      <c r="BZ66" s="317"/>
    </row>
    <row r="67" spans="1:555" ht="81">
      <c r="A67" s="296">
        <v>67</v>
      </c>
      <c r="B67" s="297" t="s">
        <v>891</v>
      </c>
      <c r="C67" s="298">
        <v>80386543</v>
      </c>
      <c r="D67" s="354" t="s">
        <v>667</v>
      </c>
      <c r="E67" s="299">
        <v>42045</v>
      </c>
      <c r="F67" s="300">
        <v>42036</v>
      </c>
      <c r="G67" s="301" t="s">
        <v>271</v>
      </c>
      <c r="H67" s="297" t="s">
        <v>171</v>
      </c>
      <c r="I67" s="297" t="s">
        <v>183</v>
      </c>
      <c r="J67" s="299">
        <v>42065</v>
      </c>
      <c r="K67" s="300">
        <v>42064</v>
      </c>
      <c r="L67" s="301" t="s">
        <v>668</v>
      </c>
      <c r="M67" s="297" t="s">
        <v>5</v>
      </c>
      <c r="N67" s="297" t="s">
        <v>101</v>
      </c>
      <c r="O67" s="299"/>
      <c r="P67" s="302"/>
      <c r="Q67" s="301"/>
      <c r="R67" s="297"/>
      <c r="S67" s="297"/>
      <c r="T67" s="299"/>
      <c r="U67" s="300"/>
      <c r="V67" s="301"/>
      <c r="W67" s="297"/>
      <c r="X67" s="297"/>
      <c r="Y67" s="299"/>
      <c r="Z67" s="300"/>
      <c r="AA67" s="301"/>
      <c r="AB67" s="297"/>
      <c r="AC67" s="297"/>
      <c r="AD67" s="299"/>
      <c r="AE67" s="300"/>
      <c r="AF67" s="301"/>
      <c r="AG67" s="297"/>
      <c r="AH67" s="297"/>
      <c r="AI67" s="304"/>
      <c r="AJ67" s="300"/>
      <c r="AK67" s="301"/>
      <c r="AL67" s="297"/>
      <c r="AM67" s="297"/>
      <c r="AN67" s="297"/>
      <c r="AO67" s="473"/>
      <c r="AP67" s="297"/>
      <c r="AQ67" s="301" t="s">
        <v>892</v>
      </c>
      <c r="AR67" s="297" t="s">
        <v>66</v>
      </c>
      <c r="AS67" s="299">
        <v>37773</v>
      </c>
      <c r="AT67" s="299">
        <v>38594</v>
      </c>
      <c r="AU67" s="297" t="s">
        <v>893</v>
      </c>
      <c r="AV67" s="297"/>
      <c r="AW67" s="297" t="s">
        <v>92</v>
      </c>
      <c r="AX67" s="297" t="s">
        <v>894</v>
      </c>
      <c r="AY67" s="299">
        <v>40942</v>
      </c>
      <c r="AZ67" s="297" t="s">
        <v>895</v>
      </c>
      <c r="BA67" s="299">
        <v>41340</v>
      </c>
      <c r="BB67" s="382">
        <v>41390</v>
      </c>
      <c r="BC67" s="297" t="s">
        <v>95</v>
      </c>
      <c r="BD67" s="297" t="s">
        <v>566</v>
      </c>
      <c r="BE67" s="297"/>
      <c r="BF67" s="301"/>
      <c r="BG67" s="301" t="s">
        <v>896</v>
      </c>
      <c r="BH67" s="301" t="s">
        <v>897</v>
      </c>
      <c r="BI67" s="301" t="s">
        <v>898</v>
      </c>
      <c r="BJ67" s="312">
        <v>44811343</v>
      </c>
      <c r="BK67" s="312">
        <v>44811343</v>
      </c>
      <c r="BL67" s="313">
        <v>404825615</v>
      </c>
      <c r="BM67" s="299">
        <v>42367</v>
      </c>
      <c r="BN67" s="314">
        <v>42339</v>
      </c>
      <c r="BO67" s="460"/>
      <c r="BP67" s="390"/>
      <c r="BQ67" s="297"/>
      <c r="BR67" s="303"/>
      <c r="BS67" s="301"/>
      <c r="BT67" s="301"/>
      <c r="BU67" s="301"/>
      <c r="BV67" s="301"/>
      <c r="BW67" s="316"/>
      <c r="BX67" s="304"/>
      <c r="BY67" s="299"/>
      <c r="BZ67" s="317"/>
    </row>
    <row r="68" spans="1:555" ht="63.75" customHeight="1">
      <c r="A68" s="296">
        <v>68</v>
      </c>
      <c r="B68" s="297" t="s">
        <v>899</v>
      </c>
      <c r="C68" s="298">
        <v>13513664</v>
      </c>
      <c r="D68" s="354" t="s">
        <v>167</v>
      </c>
      <c r="E68" s="299">
        <v>42045</v>
      </c>
      <c r="F68" s="300">
        <v>42036</v>
      </c>
      <c r="G68" s="301" t="s">
        <v>271</v>
      </c>
      <c r="H68" s="297" t="s">
        <v>171</v>
      </c>
      <c r="I68" s="297" t="s">
        <v>183</v>
      </c>
      <c r="J68" s="299">
        <v>42068</v>
      </c>
      <c r="K68" s="300">
        <v>42064</v>
      </c>
      <c r="L68" s="301" t="s">
        <v>900</v>
      </c>
      <c r="M68" s="297" t="s">
        <v>5</v>
      </c>
      <c r="N68" s="297" t="s">
        <v>101</v>
      </c>
      <c r="O68" s="299">
        <v>42186</v>
      </c>
      <c r="P68" s="302">
        <v>42186</v>
      </c>
      <c r="Q68" s="302" t="s">
        <v>78</v>
      </c>
      <c r="R68" s="301" t="s">
        <v>5</v>
      </c>
      <c r="S68" s="297" t="s">
        <v>336</v>
      </c>
      <c r="T68" s="299"/>
      <c r="U68" s="300"/>
      <c r="V68" s="301"/>
      <c r="W68" s="297"/>
      <c r="X68" s="297"/>
      <c r="Y68" s="299"/>
      <c r="Z68" s="300"/>
      <c r="AA68" s="301"/>
      <c r="AB68" s="297"/>
      <c r="AC68" s="297"/>
      <c r="AD68" s="299"/>
      <c r="AE68" s="300"/>
      <c r="AF68" s="301"/>
      <c r="AG68" s="297"/>
      <c r="AH68" s="297"/>
      <c r="AI68" s="304"/>
      <c r="AJ68" s="300"/>
      <c r="AK68" s="301"/>
      <c r="AL68" s="297"/>
      <c r="AM68" s="297"/>
      <c r="AN68" s="297"/>
      <c r="AO68" s="473"/>
      <c r="AP68" s="297"/>
      <c r="AQ68" s="301" t="s">
        <v>901</v>
      </c>
      <c r="AR68" s="297" t="s">
        <v>66</v>
      </c>
      <c r="AS68" s="299">
        <v>39448</v>
      </c>
      <c r="AT68" s="319" t="s">
        <v>659</v>
      </c>
      <c r="AU68" s="297" t="s">
        <v>902</v>
      </c>
      <c r="AV68" s="297"/>
      <c r="AW68" s="297" t="s">
        <v>92</v>
      </c>
      <c r="AX68" s="297" t="s">
        <v>903</v>
      </c>
      <c r="AY68" s="299">
        <v>41340</v>
      </c>
      <c r="AZ68" s="297" t="s">
        <v>661</v>
      </c>
      <c r="BA68" s="299">
        <v>41676</v>
      </c>
      <c r="BB68" s="382">
        <v>41768</v>
      </c>
      <c r="BC68" s="297" t="s">
        <v>95</v>
      </c>
      <c r="BD68" s="297" t="s">
        <v>566</v>
      </c>
      <c r="BE68" s="297"/>
      <c r="BF68" s="301"/>
      <c r="BG68" s="301" t="s">
        <v>673</v>
      </c>
      <c r="BH68" s="301" t="s">
        <v>904</v>
      </c>
      <c r="BI68" s="301" t="s">
        <v>675</v>
      </c>
      <c r="BJ68" s="312">
        <v>79069607</v>
      </c>
      <c r="BK68" s="312">
        <v>79069607</v>
      </c>
      <c r="BL68" s="313">
        <v>50969617</v>
      </c>
      <c r="BM68" s="299">
        <v>42800</v>
      </c>
      <c r="BN68" s="314">
        <v>42795</v>
      </c>
      <c r="BO68" s="460"/>
      <c r="BP68" s="390"/>
      <c r="BQ68" s="297"/>
      <c r="BR68" s="303"/>
      <c r="BS68" s="308"/>
      <c r="BT68" s="301"/>
      <c r="BU68" s="301"/>
      <c r="BV68" s="301"/>
      <c r="BW68" s="316"/>
      <c r="BX68" s="304"/>
      <c r="BY68" s="299"/>
      <c r="BZ68" s="317"/>
    </row>
    <row r="69" spans="1:555" ht="63" customHeight="1">
      <c r="A69" s="296">
        <v>69</v>
      </c>
      <c r="B69" s="297" t="s">
        <v>905</v>
      </c>
      <c r="C69" s="321">
        <v>71613289</v>
      </c>
      <c r="D69" s="354" t="s">
        <v>906</v>
      </c>
      <c r="E69" s="299">
        <v>42045</v>
      </c>
      <c r="F69" s="300">
        <v>42036</v>
      </c>
      <c r="G69" s="301" t="s">
        <v>271</v>
      </c>
      <c r="H69" s="297" t="s">
        <v>171</v>
      </c>
      <c r="I69" s="297" t="s">
        <v>183</v>
      </c>
      <c r="J69" s="299">
        <v>42689</v>
      </c>
      <c r="K69" s="300">
        <v>42675</v>
      </c>
      <c r="L69" s="301" t="s">
        <v>907</v>
      </c>
      <c r="M69" s="297" t="s">
        <v>5</v>
      </c>
      <c r="N69" s="297" t="s">
        <v>101</v>
      </c>
      <c r="O69" s="299"/>
      <c r="P69" s="302"/>
      <c r="Q69" s="301"/>
      <c r="R69" s="297"/>
      <c r="S69" s="297"/>
      <c r="T69" s="299"/>
      <c r="U69" s="300"/>
      <c r="V69" s="301"/>
      <c r="W69" s="297"/>
      <c r="X69" s="297"/>
      <c r="Y69" s="299"/>
      <c r="Z69" s="300"/>
      <c r="AA69" s="301"/>
      <c r="AB69" s="297"/>
      <c r="AC69" s="297"/>
      <c r="AD69" s="299"/>
      <c r="AE69" s="300"/>
      <c r="AF69" s="301"/>
      <c r="AG69" s="297"/>
      <c r="AH69" s="297"/>
      <c r="AI69" s="304"/>
      <c r="AJ69" s="300"/>
      <c r="AK69" s="301"/>
      <c r="AL69" s="297"/>
      <c r="AM69" s="297"/>
      <c r="AN69" s="297" t="s">
        <v>908</v>
      </c>
      <c r="AO69" s="473"/>
      <c r="AP69" s="297"/>
      <c r="AQ69" s="301" t="s">
        <v>909</v>
      </c>
      <c r="AR69" s="297" t="s">
        <v>161</v>
      </c>
      <c r="AS69" s="299">
        <v>34855</v>
      </c>
      <c r="AT69" s="299">
        <v>40908</v>
      </c>
      <c r="AU69" s="297" t="s">
        <v>910</v>
      </c>
      <c r="AV69" s="297"/>
      <c r="AW69" s="297" t="s">
        <v>92</v>
      </c>
      <c r="AX69" s="297" t="s">
        <v>911</v>
      </c>
      <c r="AY69" s="299">
        <v>41605</v>
      </c>
      <c r="AZ69" s="297" t="s">
        <v>409</v>
      </c>
      <c r="BA69" s="305">
        <v>41942</v>
      </c>
      <c r="BB69" s="382">
        <v>41953</v>
      </c>
      <c r="BC69" s="303" t="s">
        <v>912</v>
      </c>
      <c r="BD69" s="303" t="s">
        <v>566</v>
      </c>
      <c r="BE69" s="297"/>
      <c r="BF69" s="301"/>
      <c r="BG69" s="301"/>
      <c r="BH69" s="330" t="s">
        <v>913</v>
      </c>
      <c r="BI69" s="301"/>
      <c r="BJ69" s="306">
        <v>10461747</v>
      </c>
      <c r="BK69" s="306">
        <v>10461747</v>
      </c>
      <c r="BL69" s="307">
        <v>160777918</v>
      </c>
      <c r="BM69" s="299">
        <v>43248</v>
      </c>
      <c r="BN69" s="314">
        <v>43221</v>
      </c>
      <c r="BO69" s="434" t="s">
        <v>914</v>
      </c>
      <c r="BP69" s="397"/>
      <c r="BQ69" s="398"/>
      <c r="BR69" s="320"/>
      <c r="BS69" s="308"/>
      <c r="BT69" s="301"/>
      <c r="BU69" s="301"/>
      <c r="BV69" s="301"/>
      <c r="BW69" s="316"/>
      <c r="BX69" s="304"/>
      <c r="BY69" s="299"/>
      <c r="BZ69" s="317"/>
    </row>
    <row r="70" spans="1:555" ht="102.75" customHeight="1">
      <c r="A70" s="296">
        <v>70</v>
      </c>
      <c r="B70" s="297" t="s">
        <v>915</v>
      </c>
      <c r="C70" s="298">
        <v>1098612539</v>
      </c>
      <c r="D70" s="354" t="s">
        <v>167</v>
      </c>
      <c r="E70" s="299">
        <v>42045</v>
      </c>
      <c r="F70" s="300">
        <v>42036</v>
      </c>
      <c r="G70" s="301" t="s">
        <v>916</v>
      </c>
      <c r="H70" s="297" t="s">
        <v>5</v>
      </c>
      <c r="I70" s="297" t="s">
        <v>101</v>
      </c>
      <c r="J70" s="299">
        <v>43147</v>
      </c>
      <c r="K70" s="300">
        <v>43132</v>
      </c>
      <c r="L70" s="301" t="s">
        <v>917</v>
      </c>
      <c r="M70" s="297" t="s">
        <v>5</v>
      </c>
      <c r="N70" s="297" t="s">
        <v>85</v>
      </c>
      <c r="O70" s="305">
        <v>43298</v>
      </c>
      <c r="P70" s="302">
        <v>43298</v>
      </c>
      <c r="Q70" s="315" t="s">
        <v>718</v>
      </c>
      <c r="R70" s="315" t="s">
        <v>719</v>
      </c>
      <c r="S70" s="297"/>
      <c r="T70" s="299"/>
      <c r="U70" s="300"/>
      <c r="V70" s="301"/>
      <c r="W70" s="297"/>
      <c r="X70" s="297"/>
      <c r="Y70" s="299"/>
      <c r="Z70" s="300"/>
      <c r="AA70" s="301"/>
      <c r="AB70" s="297"/>
      <c r="AC70" s="297"/>
      <c r="AD70" s="299"/>
      <c r="AE70" s="300"/>
      <c r="AF70" s="301"/>
      <c r="AG70" s="297"/>
      <c r="AH70" s="297"/>
      <c r="AI70" s="304"/>
      <c r="AJ70" s="300"/>
      <c r="AK70" s="301"/>
      <c r="AL70" s="297"/>
      <c r="AM70" s="297"/>
      <c r="AN70" s="297" t="s">
        <v>918</v>
      </c>
      <c r="AO70" s="473"/>
      <c r="AP70" s="297"/>
      <c r="AQ70" s="301" t="s">
        <v>919</v>
      </c>
      <c r="AR70" s="297" t="s">
        <v>66</v>
      </c>
      <c r="AS70" s="299">
        <v>38777</v>
      </c>
      <c r="AT70" s="299">
        <v>39484</v>
      </c>
      <c r="AU70" s="297" t="s">
        <v>920</v>
      </c>
      <c r="AV70" s="297"/>
      <c r="AW70" s="297" t="s">
        <v>92</v>
      </c>
      <c r="AX70" s="297" t="s">
        <v>921</v>
      </c>
      <c r="AY70" s="299">
        <v>41817</v>
      </c>
      <c r="AZ70" s="297" t="s">
        <v>67</v>
      </c>
      <c r="BA70" s="299" t="s">
        <v>67</v>
      </c>
      <c r="BB70" s="678">
        <v>41842</v>
      </c>
      <c r="BC70" s="297" t="s">
        <v>95</v>
      </c>
      <c r="BD70" s="297" t="s">
        <v>566</v>
      </c>
      <c r="BE70" s="297"/>
      <c r="BF70" s="301"/>
      <c r="BG70" s="301"/>
      <c r="BH70" s="301" t="s">
        <v>922</v>
      </c>
      <c r="BI70" s="301"/>
      <c r="BJ70" s="312">
        <v>45479760</v>
      </c>
      <c r="BK70" s="312">
        <v>45479760</v>
      </c>
      <c r="BL70" s="313">
        <v>121288118</v>
      </c>
      <c r="BM70" s="299">
        <v>43216</v>
      </c>
      <c r="BN70" s="314">
        <v>43191</v>
      </c>
      <c r="BO70" s="434" t="s">
        <v>923</v>
      </c>
      <c r="BP70" s="390"/>
      <c r="BQ70" s="297"/>
      <c r="BR70" s="303"/>
      <c r="BS70" s="301"/>
      <c r="BT70" s="301"/>
      <c r="BU70" s="301"/>
      <c r="BV70" s="301"/>
      <c r="BW70" s="316"/>
      <c r="BX70" s="304"/>
      <c r="BY70" s="299"/>
      <c r="BZ70" s="317"/>
    </row>
    <row r="71" spans="1:555" ht="54">
      <c r="A71" s="296">
        <v>71</v>
      </c>
      <c r="B71" s="297" t="s">
        <v>924</v>
      </c>
      <c r="C71" s="298">
        <v>13852513</v>
      </c>
      <c r="D71" s="354" t="s">
        <v>167</v>
      </c>
      <c r="E71" s="299">
        <v>42045</v>
      </c>
      <c r="F71" s="300">
        <v>42036</v>
      </c>
      <c r="G71" s="301" t="s">
        <v>925</v>
      </c>
      <c r="H71" s="297" t="s">
        <v>5</v>
      </c>
      <c r="I71" s="297" t="s">
        <v>101</v>
      </c>
      <c r="J71" s="299">
        <v>42207</v>
      </c>
      <c r="K71" s="300">
        <v>42186</v>
      </c>
      <c r="L71" s="301" t="s">
        <v>926</v>
      </c>
      <c r="M71" s="297"/>
      <c r="N71" s="297"/>
      <c r="O71" s="299"/>
      <c r="P71" s="302"/>
      <c r="Q71" s="301" t="s">
        <v>78</v>
      </c>
      <c r="R71" s="297"/>
      <c r="S71" s="297"/>
      <c r="T71" s="299"/>
      <c r="U71" s="300"/>
      <c r="V71" s="301"/>
      <c r="W71" s="297"/>
      <c r="X71" s="297"/>
      <c r="Y71" s="299"/>
      <c r="Z71" s="300"/>
      <c r="AA71" s="301"/>
      <c r="AB71" s="297"/>
      <c r="AC71" s="297"/>
      <c r="AD71" s="299"/>
      <c r="AE71" s="300"/>
      <c r="AF71" s="301"/>
      <c r="AG71" s="297"/>
      <c r="AH71" s="297"/>
      <c r="AI71" s="304"/>
      <c r="AJ71" s="300"/>
      <c r="AK71" s="301"/>
      <c r="AL71" s="297"/>
      <c r="AM71" s="297"/>
      <c r="AN71" s="297"/>
      <c r="AO71" s="473"/>
      <c r="AP71" s="297"/>
      <c r="AQ71" s="301" t="s">
        <v>927</v>
      </c>
      <c r="AR71" s="297" t="s">
        <v>66</v>
      </c>
      <c r="AS71" s="319" t="s">
        <v>928</v>
      </c>
      <c r="AT71" s="299">
        <v>40633</v>
      </c>
      <c r="AU71" s="297" t="s">
        <v>929</v>
      </c>
      <c r="AV71" s="297"/>
      <c r="AW71" s="297" t="s">
        <v>92</v>
      </c>
      <c r="AX71" s="297" t="s">
        <v>930</v>
      </c>
      <c r="AY71" s="299">
        <v>41912</v>
      </c>
      <c r="AZ71" s="297" t="s">
        <v>67</v>
      </c>
      <c r="BA71" s="299" t="s">
        <v>67</v>
      </c>
      <c r="BB71" s="382">
        <v>41936</v>
      </c>
      <c r="BC71" s="297" t="s">
        <v>95</v>
      </c>
      <c r="BD71" s="297" t="s">
        <v>1792</v>
      </c>
      <c r="BE71" s="297"/>
      <c r="BF71" s="301"/>
      <c r="BG71" s="301" t="s">
        <v>931</v>
      </c>
      <c r="BH71" s="301" t="s">
        <v>932</v>
      </c>
      <c r="BI71" s="301" t="s">
        <v>933</v>
      </c>
      <c r="BJ71" s="312">
        <v>73293500</v>
      </c>
      <c r="BK71" s="312">
        <v>73293500</v>
      </c>
      <c r="BL71" s="313">
        <v>404765115</v>
      </c>
      <c r="BM71" s="299">
        <v>42367</v>
      </c>
      <c r="BN71" s="314">
        <v>42339</v>
      </c>
      <c r="BO71" s="460"/>
      <c r="BP71" s="390"/>
      <c r="BQ71" s="297"/>
      <c r="BR71" s="303"/>
      <c r="BS71" s="301"/>
      <c r="BT71" s="308"/>
      <c r="BU71" s="308"/>
      <c r="BV71" s="308"/>
      <c r="BW71" s="309"/>
      <c r="BX71" s="310"/>
      <c r="BY71" s="305"/>
      <c r="BZ71" s="311"/>
    </row>
    <row r="72" spans="1:555" ht="81">
      <c r="A72" s="296">
        <v>72</v>
      </c>
      <c r="B72" s="297" t="s">
        <v>934</v>
      </c>
      <c r="C72" s="329">
        <v>91204070</v>
      </c>
      <c r="D72" s="354" t="s">
        <v>167</v>
      </c>
      <c r="E72" s="299">
        <v>42045</v>
      </c>
      <c r="F72" s="300">
        <v>42036</v>
      </c>
      <c r="G72" s="301" t="s">
        <v>935</v>
      </c>
      <c r="H72" s="297" t="s">
        <v>5</v>
      </c>
      <c r="I72" s="297" t="s">
        <v>101</v>
      </c>
      <c r="J72" s="299">
        <v>42207</v>
      </c>
      <c r="K72" s="300">
        <v>42186</v>
      </c>
      <c r="L72" s="301" t="s">
        <v>78</v>
      </c>
      <c r="M72" s="297" t="s">
        <v>5</v>
      </c>
      <c r="N72" s="297" t="s">
        <v>85</v>
      </c>
      <c r="O72" s="299"/>
      <c r="P72" s="302"/>
      <c r="Q72" s="301"/>
      <c r="R72" s="297"/>
      <c r="S72" s="297"/>
      <c r="T72" s="299"/>
      <c r="U72" s="300"/>
      <c r="V72" s="301"/>
      <c r="W72" s="297"/>
      <c r="X72" s="297"/>
      <c r="Y72" s="299"/>
      <c r="Z72" s="300"/>
      <c r="AA72" s="301"/>
      <c r="AB72" s="297"/>
      <c r="AC72" s="297"/>
      <c r="AD72" s="299"/>
      <c r="AE72" s="300"/>
      <c r="AF72" s="301"/>
      <c r="AG72" s="297"/>
      <c r="AH72" s="297"/>
      <c r="AI72" s="304"/>
      <c r="AJ72" s="300"/>
      <c r="AK72" s="301"/>
      <c r="AL72" s="297"/>
      <c r="AM72" s="297"/>
      <c r="AN72" s="297"/>
      <c r="AO72" s="473"/>
      <c r="AP72" s="297"/>
      <c r="AQ72" s="301" t="s">
        <v>936</v>
      </c>
      <c r="AR72" s="297" t="s">
        <v>66</v>
      </c>
      <c r="AS72" s="299">
        <v>38777</v>
      </c>
      <c r="AT72" s="299">
        <v>39813</v>
      </c>
      <c r="AU72" s="297" t="s">
        <v>937</v>
      </c>
      <c r="AV72" s="297"/>
      <c r="AW72" s="297" t="s">
        <v>92</v>
      </c>
      <c r="AX72" s="297" t="s">
        <v>938</v>
      </c>
      <c r="AY72" s="299">
        <v>40877</v>
      </c>
      <c r="AZ72" s="297" t="s">
        <v>888</v>
      </c>
      <c r="BA72" s="299">
        <v>41781</v>
      </c>
      <c r="BB72" s="382">
        <v>41789</v>
      </c>
      <c r="BC72" s="297" t="s">
        <v>95</v>
      </c>
      <c r="BD72" s="297" t="s">
        <v>566</v>
      </c>
      <c r="BE72" s="297"/>
      <c r="BF72" s="301"/>
      <c r="BG72" s="301" t="s">
        <v>939</v>
      </c>
      <c r="BH72" s="301" t="s">
        <v>940</v>
      </c>
      <c r="BI72" s="301" t="s">
        <v>496</v>
      </c>
      <c r="BJ72" s="312">
        <v>78967691</v>
      </c>
      <c r="BK72" s="312">
        <v>78967691</v>
      </c>
      <c r="BL72" s="313">
        <v>139638417</v>
      </c>
      <c r="BM72" s="299">
        <v>42886</v>
      </c>
      <c r="BN72" s="314">
        <v>42856</v>
      </c>
      <c r="BO72" s="460"/>
      <c r="BP72" s="390"/>
      <c r="BQ72" s="297"/>
      <c r="BR72" s="303"/>
      <c r="BS72" s="308"/>
      <c r="BT72" s="301"/>
      <c r="BU72" s="301"/>
      <c r="BV72" s="301"/>
      <c r="BW72" s="316"/>
      <c r="BX72" s="304"/>
      <c r="BY72" s="299"/>
      <c r="BZ72" s="317"/>
    </row>
    <row r="73" spans="1:555" ht="84" customHeight="1">
      <c r="A73" s="296">
        <v>73</v>
      </c>
      <c r="B73" s="297" t="s">
        <v>941</v>
      </c>
      <c r="C73" s="298">
        <v>13748005</v>
      </c>
      <c r="D73" s="354" t="s">
        <v>942</v>
      </c>
      <c r="E73" s="299">
        <v>42051</v>
      </c>
      <c r="F73" s="300">
        <v>42036</v>
      </c>
      <c r="G73" s="301" t="s">
        <v>943</v>
      </c>
      <c r="H73" s="297" t="s">
        <v>5</v>
      </c>
      <c r="I73" s="297" t="s">
        <v>101</v>
      </c>
      <c r="J73" s="299">
        <v>43046</v>
      </c>
      <c r="K73" s="300">
        <v>43040</v>
      </c>
      <c r="L73" s="301" t="s">
        <v>944</v>
      </c>
      <c r="M73" s="297" t="s">
        <v>5</v>
      </c>
      <c r="N73" s="297" t="s">
        <v>79</v>
      </c>
      <c r="O73" s="299"/>
      <c r="P73" s="302"/>
      <c r="Q73" s="301"/>
      <c r="R73" s="297"/>
      <c r="S73" s="297"/>
      <c r="T73" s="299"/>
      <c r="U73" s="300"/>
      <c r="V73" s="301"/>
      <c r="W73" s="297"/>
      <c r="X73" s="297"/>
      <c r="Y73" s="299"/>
      <c r="Z73" s="300"/>
      <c r="AA73" s="301"/>
      <c r="AB73" s="297"/>
      <c r="AC73" s="297"/>
      <c r="AD73" s="299"/>
      <c r="AE73" s="300"/>
      <c r="AF73" s="301"/>
      <c r="AG73" s="297"/>
      <c r="AH73" s="297"/>
      <c r="AI73" s="304"/>
      <c r="AJ73" s="300"/>
      <c r="AK73" s="301"/>
      <c r="AL73" s="297"/>
      <c r="AM73" s="297"/>
      <c r="AN73" s="297" t="s">
        <v>366</v>
      </c>
      <c r="AO73" s="473"/>
      <c r="AP73" s="297"/>
      <c r="AQ73" s="301" t="s">
        <v>945</v>
      </c>
      <c r="AR73" s="297" t="s">
        <v>66</v>
      </c>
      <c r="AS73" s="299">
        <v>37869</v>
      </c>
      <c r="AT73" s="299">
        <v>38776</v>
      </c>
      <c r="AU73" s="297" t="s">
        <v>946</v>
      </c>
      <c r="AV73" s="297"/>
      <c r="AW73" s="297" t="s">
        <v>92</v>
      </c>
      <c r="AX73" s="297" t="s">
        <v>947</v>
      </c>
      <c r="AY73" s="299">
        <v>40998</v>
      </c>
      <c r="AZ73" s="297" t="s">
        <v>177</v>
      </c>
      <c r="BA73" s="299">
        <v>41669</v>
      </c>
      <c r="BB73" s="382">
        <v>41677</v>
      </c>
      <c r="BC73" s="297" t="s">
        <v>95</v>
      </c>
      <c r="BD73" s="297" t="s">
        <v>566</v>
      </c>
      <c r="BE73" s="297"/>
      <c r="BF73" s="301"/>
      <c r="BG73" s="301"/>
      <c r="BH73" s="301" t="s">
        <v>948</v>
      </c>
      <c r="BI73" s="301"/>
      <c r="BJ73" s="312">
        <v>65108274</v>
      </c>
      <c r="BK73" s="312">
        <v>65108274</v>
      </c>
      <c r="BL73" s="313">
        <v>163298618</v>
      </c>
      <c r="BM73" s="299">
        <v>43249</v>
      </c>
      <c r="BN73" s="314">
        <v>43221</v>
      </c>
      <c r="BO73" s="434" t="s">
        <v>949</v>
      </c>
      <c r="BP73" s="397"/>
      <c r="BQ73" s="398"/>
      <c r="BR73" s="320"/>
      <c r="BS73" s="308"/>
      <c r="BT73" s="301"/>
      <c r="BU73" s="301"/>
      <c r="BV73" s="301"/>
      <c r="BW73" s="316"/>
      <c r="BX73" s="304"/>
      <c r="BY73" s="299"/>
      <c r="BZ73" s="317"/>
    </row>
    <row r="74" spans="1:555" ht="69" customHeight="1">
      <c r="A74" s="296">
        <v>74</v>
      </c>
      <c r="B74" s="297" t="s">
        <v>950</v>
      </c>
      <c r="C74" s="298">
        <v>72000174</v>
      </c>
      <c r="D74" s="354" t="s">
        <v>242</v>
      </c>
      <c r="E74" s="299">
        <v>42052</v>
      </c>
      <c r="F74" s="300">
        <v>42036</v>
      </c>
      <c r="G74" s="301" t="s">
        <v>951</v>
      </c>
      <c r="H74" s="297" t="s">
        <v>5</v>
      </c>
      <c r="I74" s="297" t="s">
        <v>101</v>
      </c>
      <c r="J74" s="299">
        <v>42263</v>
      </c>
      <c r="K74" s="300">
        <v>42248</v>
      </c>
      <c r="L74" s="301" t="s">
        <v>952</v>
      </c>
      <c r="M74" s="297" t="s">
        <v>5</v>
      </c>
      <c r="N74" s="297" t="s">
        <v>131</v>
      </c>
      <c r="O74" s="299">
        <v>43223</v>
      </c>
      <c r="P74" s="302">
        <v>43221</v>
      </c>
      <c r="Q74" s="301" t="s">
        <v>953</v>
      </c>
      <c r="R74" s="297" t="s">
        <v>5</v>
      </c>
      <c r="S74" s="297" t="s">
        <v>954</v>
      </c>
      <c r="T74" s="305">
        <v>43272</v>
      </c>
      <c r="U74" s="300">
        <v>43272</v>
      </c>
      <c r="V74" s="315" t="s">
        <v>955</v>
      </c>
      <c r="W74" s="297" t="s">
        <v>5</v>
      </c>
      <c r="X74" s="315" t="s">
        <v>956</v>
      </c>
      <c r="Y74" s="299">
        <v>43392</v>
      </c>
      <c r="Z74" s="300">
        <v>43392</v>
      </c>
      <c r="AA74" s="301" t="s">
        <v>7293</v>
      </c>
      <c r="AB74" s="297" t="s">
        <v>5</v>
      </c>
      <c r="AC74" s="297" t="s">
        <v>7294</v>
      </c>
      <c r="AD74" s="305">
        <v>43544</v>
      </c>
      <c r="AE74" s="300">
        <v>43544</v>
      </c>
      <c r="AF74" s="315" t="s">
        <v>8405</v>
      </c>
      <c r="AG74" s="315" t="s">
        <v>5</v>
      </c>
      <c r="AH74" s="315" t="s">
        <v>85</v>
      </c>
      <c r="AI74" s="305" t="s">
        <v>9585</v>
      </c>
      <c r="AJ74" s="300" t="s">
        <v>9586</v>
      </c>
      <c r="AK74" s="315" t="s">
        <v>9587</v>
      </c>
      <c r="AL74" s="315" t="s">
        <v>9588</v>
      </c>
      <c r="AM74" s="315" t="s">
        <v>9589</v>
      </c>
      <c r="AN74" s="297" t="s">
        <v>957</v>
      </c>
      <c r="AO74" s="479">
        <v>42934</v>
      </c>
      <c r="AP74" s="297"/>
      <c r="AQ74" s="301" t="s">
        <v>958</v>
      </c>
      <c r="AR74" s="297" t="s">
        <v>161</v>
      </c>
      <c r="AS74" s="299">
        <v>37985</v>
      </c>
      <c r="AT74" s="299">
        <v>40704</v>
      </c>
      <c r="AU74" s="297" t="s">
        <v>7295</v>
      </c>
      <c r="AV74" s="297"/>
      <c r="AW74" s="297" t="s">
        <v>92</v>
      </c>
      <c r="AX74" s="297" t="s">
        <v>534</v>
      </c>
      <c r="AY74" s="299">
        <v>41918</v>
      </c>
      <c r="AZ74" s="297" t="s">
        <v>67</v>
      </c>
      <c r="BA74" s="299" t="s">
        <v>67</v>
      </c>
      <c r="BB74" s="382">
        <v>41943</v>
      </c>
      <c r="BC74" s="297" t="s">
        <v>95</v>
      </c>
      <c r="BD74" s="297" t="s">
        <v>566</v>
      </c>
      <c r="BE74" s="297"/>
      <c r="BF74" s="301" t="s">
        <v>959</v>
      </c>
      <c r="BG74" s="301"/>
      <c r="BH74" s="301" t="s">
        <v>8353</v>
      </c>
      <c r="BI74" s="301"/>
      <c r="BJ74" s="312">
        <f>+[14]MATRIZ!$J$84</f>
        <v>292375999.7170338</v>
      </c>
      <c r="BK74" s="312">
        <v>292376000</v>
      </c>
      <c r="BL74" s="313">
        <v>67315219</v>
      </c>
      <c r="BM74" s="299">
        <v>43553</v>
      </c>
      <c r="BN74" s="314">
        <v>43553</v>
      </c>
      <c r="BO74" s="460"/>
      <c r="BP74" s="390" t="s">
        <v>9121</v>
      </c>
      <c r="BQ74" s="297" t="s">
        <v>9122</v>
      </c>
      <c r="BR74" s="303"/>
      <c r="BS74" s="301"/>
      <c r="BT74" s="301"/>
      <c r="BU74" s="301"/>
      <c r="BV74" s="301"/>
      <c r="BW74" s="316"/>
      <c r="BX74" s="304"/>
      <c r="BY74" s="299"/>
      <c r="BZ74" s="317"/>
    </row>
    <row r="75" spans="1:555" ht="148.5">
      <c r="A75" s="296">
        <v>75</v>
      </c>
      <c r="B75" s="297" t="s">
        <v>960</v>
      </c>
      <c r="C75" s="298">
        <v>1053769351</v>
      </c>
      <c r="D75" s="354" t="s">
        <v>677</v>
      </c>
      <c r="E75" s="299">
        <v>42054</v>
      </c>
      <c r="F75" s="300">
        <v>42036</v>
      </c>
      <c r="G75" s="301" t="s">
        <v>961</v>
      </c>
      <c r="H75" s="297" t="s">
        <v>5</v>
      </c>
      <c r="I75" s="297" t="s">
        <v>101</v>
      </c>
      <c r="J75" s="299">
        <v>42114</v>
      </c>
      <c r="K75" s="300">
        <v>42095</v>
      </c>
      <c r="L75" s="301" t="s">
        <v>962</v>
      </c>
      <c r="M75" s="297" t="s">
        <v>195</v>
      </c>
      <c r="N75" s="297" t="s">
        <v>336</v>
      </c>
      <c r="O75" s="299">
        <v>42247</v>
      </c>
      <c r="P75" s="302">
        <v>42217</v>
      </c>
      <c r="Q75" s="301" t="s">
        <v>963</v>
      </c>
      <c r="R75" s="297" t="s">
        <v>5</v>
      </c>
      <c r="S75" s="297" t="s">
        <v>336</v>
      </c>
      <c r="T75" s="299">
        <v>42891</v>
      </c>
      <c r="U75" s="300">
        <v>42887</v>
      </c>
      <c r="V75" s="301" t="s">
        <v>964</v>
      </c>
      <c r="W75" s="297" t="s">
        <v>208</v>
      </c>
      <c r="X75" s="297" t="s">
        <v>107</v>
      </c>
      <c r="Y75" s="299">
        <v>43116</v>
      </c>
      <c r="Z75" s="300">
        <v>43101</v>
      </c>
      <c r="AA75" s="301" t="s">
        <v>965</v>
      </c>
      <c r="AB75" s="297" t="s">
        <v>5</v>
      </c>
      <c r="AC75" s="297" t="s">
        <v>966</v>
      </c>
      <c r="AD75" s="299">
        <v>44124</v>
      </c>
      <c r="AE75" s="300">
        <v>44124</v>
      </c>
      <c r="AF75" s="301" t="s">
        <v>9731</v>
      </c>
      <c r="AG75" s="297" t="s">
        <v>208</v>
      </c>
      <c r="AH75" s="297" t="s">
        <v>2378</v>
      </c>
      <c r="AI75" s="304"/>
      <c r="AJ75" s="300"/>
      <c r="AK75" s="301"/>
      <c r="AL75" s="297"/>
      <c r="AM75" s="297"/>
      <c r="AN75" s="297"/>
      <c r="AO75" s="473"/>
      <c r="AP75" s="297"/>
      <c r="AQ75" s="301" t="s">
        <v>967</v>
      </c>
      <c r="AR75" s="297" t="s">
        <v>66</v>
      </c>
      <c r="AS75" s="299">
        <v>38559</v>
      </c>
      <c r="AT75" s="299">
        <v>40143</v>
      </c>
      <c r="AU75" s="297" t="s">
        <v>968</v>
      </c>
      <c r="AV75" s="297"/>
      <c r="AW75" s="297" t="s">
        <v>92</v>
      </c>
      <c r="AX75" s="297" t="s">
        <v>723</v>
      </c>
      <c r="AY75" s="299">
        <v>41565</v>
      </c>
      <c r="AZ75" s="297" t="s">
        <v>693</v>
      </c>
      <c r="BA75" s="299">
        <v>41851</v>
      </c>
      <c r="BB75" s="382">
        <v>41983</v>
      </c>
      <c r="BC75" s="297" t="s">
        <v>95</v>
      </c>
      <c r="BD75" s="297" t="s">
        <v>566</v>
      </c>
      <c r="BE75" s="297"/>
      <c r="BF75" s="301"/>
      <c r="BG75" s="301" t="s">
        <v>969</v>
      </c>
      <c r="BH75" s="301" t="s">
        <v>970</v>
      </c>
      <c r="BI75" s="301" t="s">
        <v>496</v>
      </c>
      <c r="BJ75" s="312" t="s">
        <v>971</v>
      </c>
      <c r="BK75" s="312" t="s">
        <v>972</v>
      </c>
      <c r="BL75" s="313" t="s">
        <v>973</v>
      </c>
      <c r="BM75" s="299" t="s">
        <v>974</v>
      </c>
      <c r="BN75" s="314" t="s">
        <v>975</v>
      </c>
      <c r="BO75" s="434" t="s">
        <v>976</v>
      </c>
      <c r="BP75" s="396">
        <v>24117700</v>
      </c>
      <c r="BQ75" s="336" t="s">
        <v>7465</v>
      </c>
      <c r="BR75" s="320"/>
      <c r="BS75" s="301"/>
      <c r="BT75" s="301"/>
      <c r="BU75" s="301"/>
      <c r="BV75" s="301"/>
      <c r="BW75" s="316"/>
      <c r="BX75" s="304"/>
      <c r="BY75" s="299"/>
      <c r="BZ75" s="317"/>
    </row>
    <row r="76" spans="1:555" ht="67.5">
      <c r="A76" s="296">
        <v>76</v>
      </c>
      <c r="B76" s="297" t="s">
        <v>977</v>
      </c>
      <c r="C76" s="298">
        <v>94398811</v>
      </c>
      <c r="D76" s="354" t="s">
        <v>747</v>
      </c>
      <c r="E76" s="299">
        <v>42055</v>
      </c>
      <c r="F76" s="300">
        <v>42036</v>
      </c>
      <c r="G76" s="301" t="s">
        <v>978</v>
      </c>
      <c r="H76" s="297" t="s">
        <v>5</v>
      </c>
      <c r="I76" s="297" t="s">
        <v>101</v>
      </c>
      <c r="J76" s="299">
        <v>42472</v>
      </c>
      <c r="K76" s="300">
        <v>42461</v>
      </c>
      <c r="L76" s="301" t="s">
        <v>750</v>
      </c>
      <c r="M76" s="297" t="s">
        <v>5</v>
      </c>
      <c r="N76" s="297" t="s">
        <v>85</v>
      </c>
      <c r="O76" s="299">
        <v>42517</v>
      </c>
      <c r="P76" s="302">
        <v>42491</v>
      </c>
      <c r="Q76" s="301" t="s">
        <v>979</v>
      </c>
      <c r="R76" s="297" t="s">
        <v>5</v>
      </c>
      <c r="S76" s="297" t="s">
        <v>169</v>
      </c>
      <c r="T76" s="299">
        <v>43119</v>
      </c>
      <c r="U76" s="300">
        <v>43101</v>
      </c>
      <c r="V76" s="301" t="s">
        <v>980</v>
      </c>
      <c r="W76" s="297" t="s">
        <v>286</v>
      </c>
      <c r="X76" s="297" t="s">
        <v>169</v>
      </c>
      <c r="Y76" s="299">
        <v>43124</v>
      </c>
      <c r="Z76" s="300">
        <v>43101</v>
      </c>
      <c r="AA76" s="301" t="s">
        <v>981</v>
      </c>
      <c r="AB76" s="297" t="s">
        <v>5</v>
      </c>
      <c r="AC76" s="297" t="s">
        <v>982</v>
      </c>
      <c r="AD76" s="299">
        <v>43121</v>
      </c>
      <c r="AE76" s="300">
        <v>43101</v>
      </c>
      <c r="AF76" s="301" t="s">
        <v>983</v>
      </c>
      <c r="AG76" s="297" t="s">
        <v>5</v>
      </c>
      <c r="AH76" s="297" t="s">
        <v>984</v>
      </c>
      <c r="AI76" s="304"/>
      <c r="AJ76" s="300"/>
      <c r="AK76" s="301"/>
      <c r="AL76" s="297"/>
      <c r="AM76" s="297"/>
      <c r="AN76" s="297"/>
      <c r="AO76" s="473"/>
      <c r="AP76" s="297"/>
      <c r="AQ76" s="301" t="s">
        <v>985</v>
      </c>
      <c r="AR76" s="297" t="s">
        <v>66</v>
      </c>
      <c r="AS76" s="299">
        <v>38108</v>
      </c>
      <c r="AT76" s="299">
        <v>39994</v>
      </c>
      <c r="AU76" s="297" t="s">
        <v>986</v>
      </c>
      <c r="AV76" s="297"/>
      <c r="AW76" s="297" t="s">
        <v>92</v>
      </c>
      <c r="AX76" s="297" t="s">
        <v>987</v>
      </c>
      <c r="AY76" s="299">
        <v>41401</v>
      </c>
      <c r="AZ76" s="297" t="s">
        <v>754</v>
      </c>
      <c r="BA76" s="299">
        <v>41947</v>
      </c>
      <c r="BB76" s="382">
        <v>41963</v>
      </c>
      <c r="BC76" s="297" t="s">
        <v>95</v>
      </c>
      <c r="BD76" s="297" t="s">
        <v>566</v>
      </c>
      <c r="BE76" s="297"/>
      <c r="BF76" s="301" t="s">
        <v>988</v>
      </c>
      <c r="BG76" s="301" t="s">
        <v>989</v>
      </c>
      <c r="BH76" s="301" t="s">
        <v>990</v>
      </c>
      <c r="BI76" s="301"/>
      <c r="BJ76" s="312">
        <f>+'[15]MATRIZ DE CONTRATOS '!$J$64</f>
        <v>194625569.10436732</v>
      </c>
      <c r="BK76" s="312">
        <v>194625569</v>
      </c>
      <c r="BL76" s="313" t="s">
        <v>991</v>
      </c>
      <c r="BM76" s="299">
        <v>43122</v>
      </c>
      <c r="BN76" s="314">
        <v>43101</v>
      </c>
      <c r="BO76" s="434" t="s">
        <v>992</v>
      </c>
      <c r="BP76" s="396"/>
      <c r="BQ76" s="336"/>
      <c r="BR76" s="320"/>
      <c r="BS76" s="308"/>
      <c r="BT76" s="301"/>
      <c r="BU76" s="301"/>
      <c r="BV76" s="301"/>
      <c r="BW76" s="316"/>
      <c r="BX76" s="304"/>
      <c r="BY76" s="299"/>
      <c r="BZ76" s="317"/>
    </row>
    <row r="77" spans="1:555" ht="148.5">
      <c r="A77" s="296">
        <v>77</v>
      </c>
      <c r="B77" s="297" t="s">
        <v>993</v>
      </c>
      <c r="C77" s="298">
        <v>16363891</v>
      </c>
      <c r="D77" s="354" t="s">
        <v>994</v>
      </c>
      <c r="E77" s="299">
        <v>42060</v>
      </c>
      <c r="F77" s="300">
        <v>42036</v>
      </c>
      <c r="G77" s="301" t="s">
        <v>995</v>
      </c>
      <c r="H77" s="297" t="s">
        <v>195</v>
      </c>
      <c r="I77" s="297" t="s">
        <v>183</v>
      </c>
      <c r="J77" s="299">
        <v>42109</v>
      </c>
      <c r="K77" s="300">
        <v>42095</v>
      </c>
      <c r="L77" s="301" t="s">
        <v>996</v>
      </c>
      <c r="M77" s="297" t="s">
        <v>171</v>
      </c>
      <c r="N77" s="297" t="s">
        <v>183</v>
      </c>
      <c r="O77" s="299">
        <v>42199</v>
      </c>
      <c r="P77" s="302">
        <v>42186</v>
      </c>
      <c r="Q77" s="301" t="s">
        <v>997</v>
      </c>
      <c r="R77" s="297" t="s">
        <v>5</v>
      </c>
      <c r="S77" s="297" t="s">
        <v>101</v>
      </c>
      <c r="T77" s="299">
        <v>42217</v>
      </c>
      <c r="U77" s="300">
        <v>42217</v>
      </c>
      <c r="V77" s="301" t="s">
        <v>998</v>
      </c>
      <c r="W77" s="297" t="s">
        <v>286</v>
      </c>
      <c r="X77" s="297" t="s">
        <v>85</v>
      </c>
      <c r="Y77" s="299">
        <v>43066</v>
      </c>
      <c r="Z77" s="300">
        <v>43040</v>
      </c>
      <c r="AA77" s="301" t="s">
        <v>999</v>
      </c>
      <c r="AB77" s="297" t="s">
        <v>171</v>
      </c>
      <c r="AC77" s="297" t="s">
        <v>1000</v>
      </c>
      <c r="AD77" s="299"/>
      <c r="AE77" s="300"/>
      <c r="AF77" s="301"/>
      <c r="AG77" s="297"/>
      <c r="AH77" s="297"/>
      <c r="AI77" s="304"/>
      <c r="AJ77" s="300"/>
      <c r="AK77" s="301"/>
      <c r="AL77" s="297"/>
      <c r="AM77" s="297"/>
      <c r="AN77" s="297"/>
      <c r="AO77" s="473"/>
      <c r="AP77" s="297"/>
      <c r="AQ77" s="301" t="s">
        <v>1001</v>
      </c>
      <c r="AR77" s="297" t="s">
        <v>66</v>
      </c>
      <c r="AS77" s="299">
        <v>39052</v>
      </c>
      <c r="AT77" s="299">
        <v>39504</v>
      </c>
      <c r="AU77" s="297" t="s">
        <v>1002</v>
      </c>
      <c r="AV77" s="297"/>
      <c r="AW77" s="297" t="s">
        <v>92</v>
      </c>
      <c r="AX77" s="297" t="s">
        <v>1003</v>
      </c>
      <c r="AY77" s="299">
        <v>41516</v>
      </c>
      <c r="AZ77" s="297" t="s">
        <v>1004</v>
      </c>
      <c r="BA77" s="299">
        <v>41851</v>
      </c>
      <c r="BB77" s="382">
        <v>41991</v>
      </c>
      <c r="BC77" s="297" t="s">
        <v>95</v>
      </c>
      <c r="BD77" s="297" t="s">
        <v>566</v>
      </c>
      <c r="BE77" s="297"/>
      <c r="BF77" s="301"/>
      <c r="BG77" s="301" t="s">
        <v>1005</v>
      </c>
      <c r="BH77" s="301" t="s">
        <v>1006</v>
      </c>
      <c r="BI77" s="301" t="s">
        <v>1007</v>
      </c>
      <c r="BJ77" s="312">
        <v>43744341</v>
      </c>
      <c r="BK77" s="312">
        <v>43744341</v>
      </c>
      <c r="BL77" s="313">
        <v>81015317</v>
      </c>
      <c r="BM77" s="299">
        <v>42829</v>
      </c>
      <c r="BN77" s="314">
        <v>42826</v>
      </c>
      <c r="BO77" s="460"/>
      <c r="BP77" s="390"/>
      <c r="BQ77" s="297"/>
      <c r="BR77" s="303"/>
      <c r="BS77" s="301" t="s">
        <v>1008</v>
      </c>
      <c r="BT77" s="301"/>
      <c r="BU77" s="301"/>
      <c r="BV77" s="301"/>
      <c r="BW77" s="316"/>
      <c r="BX77" s="304"/>
      <c r="BY77" s="299"/>
      <c r="BZ77" s="317"/>
    </row>
    <row r="78" spans="1:555" s="509" customFormat="1" ht="47.25" customHeight="1">
      <c r="A78" s="296">
        <v>78</v>
      </c>
      <c r="B78" s="297" t="s">
        <v>1009</v>
      </c>
      <c r="C78" s="329">
        <v>91158064</v>
      </c>
      <c r="D78" s="354" t="s">
        <v>167</v>
      </c>
      <c r="E78" s="299">
        <v>42068</v>
      </c>
      <c r="F78" s="300">
        <v>42064</v>
      </c>
      <c r="G78" s="301" t="s">
        <v>1010</v>
      </c>
      <c r="H78" s="297" t="s">
        <v>5</v>
      </c>
      <c r="I78" s="297" t="s">
        <v>101</v>
      </c>
      <c r="J78" s="299">
        <v>42207</v>
      </c>
      <c r="K78" s="300">
        <v>42186</v>
      </c>
      <c r="L78" s="301" t="s">
        <v>78</v>
      </c>
      <c r="M78" s="297" t="s">
        <v>5</v>
      </c>
      <c r="N78" s="297" t="s">
        <v>336</v>
      </c>
      <c r="O78" s="299"/>
      <c r="P78" s="302"/>
      <c r="Q78" s="301"/>
      <c r="R78" s="297"/>
      <c r="S78" s="297"/>
      <c r="T78" s="299"/>
      <c r="U78" s="300"/>
      <c r="V78" s="301"/>
      <c r="W78" s="297"/>
      <c r="X78" s="297"/>
      <c r="Y78" s="299"/>
      <c r="Z78" s="300"/>
      <c r="AA78" s="301"/>
      <c r="AB78" s="297"/>
      <c r="AC78" s="297"/>
      <c r="AD78" s="299"/>
      <c r="AE78" s="300"/>
      <c r="AF78" s="301"/>
      <c r="AG78" s="297"/>
      <c r="AH78" s="297"/>
      <c r="AI78" s="304"/>
      <c r="AJ78" s="300"/>
      <c r="AK78" s="301"/>
      <c r="AL78" s="297"/>
      <c r="AM78" s="297"/>
      <c r="AN78" s="297" t="s">
        <v>1011</v>
      </c>
      <c r="AO78" s="473"/>
      <c r="AP78" s="297"/>
      <c r="AQ78" s="301" t="s">
        <v>1012</v>
      </c>
      <c r="AR78" s="297" t="s">
        <v>66</v>
      </c>
      <c r="AS78" s="299">
        <v>38443</v>
      </c>
      <c r="AT78" s="299">
        <v>39891</v>
      </c>
      <c r="AU78" s="297" t="s">
        <v>1013</v>
      </c>
      <c r="AV78" s="297"/>
      <c r="AW78" s="297" t="s">
        <v>92</v>
      </c>
      <c r="AX78" s="297" t="s">
        <v>1014</v>
      </c>
      <c r="AY78" s="299">
        <v>41928</v>
      </c>
      <c r="AZ78" s="297" t="s">
        <v>67</v>
      </c>
      <c r="BA78" s="299" t="s">
        <v>67</v>
      </c>
      <c r="BB78" s="382">
        <v>41940</v>
      </c>
      <c r="BC78" s="297" t="s">
        <v>95</v>
      </c>
      <c r="BD78" s="297" t="s">
        <v>1792</v>
      </c>
      <c r="BE78" s="297"/>
      <c r="BF78" s="301" t="s">
        <v>1015</v>
      </c>
      <c r="BG78" s="301" t="s">
        <v>1016</v>
      </c>
      <c r="BH78" s="301" t="s">
        <v>1017</v>
      </c>
      <c r="BI78" s="301"/>
      <c r="BJ78" s="312">
        <v>144390554</v>
      </c>
      <c r="BK78" s="312">
        <v>144390554</v>
      </c>
      <c r="BL78" s="313">
        <v>115489918</v>
      </c>
      <c r="BM78" s="299">
        <v>43214</v>
      </c>
      <c r="BN78" s="314">
        <v>43191</v>
      </c>
      <c r="BO78" s="434" t="s">
        <v>1018</v>
      </c>
      <c r="BP78" s="396"/>
      <c r="BQ78" s="336"/>
      <c r="BR78" s="331"/>
      <c r="BS78" s="301"/>
      <c r="BT78" s="308"/>
      <c r="BU78" s="308"/>
      <c r="BV78" s="308"/>
      <c r="BW78" s="309"/>
      <c r="BX78" s="310"/>
      <c r="BY78" s="305"/>
      <c r="BZ78" s="31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c r="IY78" s="1"/>
      <c r="IZ78" s="1"/>
      <c r="JA78" s="1"/>
      <c r="JB78" s="1"/>
      <c r="JC78" s="1"/>
      <c r="JD78" s="1"/>
      <c r="JE78" s="1"/>
      <c r="JF78" s="1"/>
      <c r="JG78" s="1"/>
      <c r="JH78" s="1"/>
      <c r="JI78" s="1"/>
      <c r="JJ78" s="1"/>
      <c r="JK78" s="1"/>
      <c r="JL78" s="1"/>
      <c r="JM78" s="1"/>
      <c r="JN78" s="1"/>
      <c r="JO78" s="1"/>
      <c r="JP78" s="1"/>
      <c r="JQ78" s="1"/>
      <c r="JR78" s="1"/>
      <c r="JS78" s="1"/>
      <c r="JT78" s="1"/>
      <c r="JU78" s="1"/>
      <c r="JV78" s="1"/>
      <c r="JW78" s="1"/>
      <c r="JX78" s="1"/>
      <c r="JY78" s="1"/>
      <c r="JZ78" s="1"/>
      <c r="KA78" s="1"/>
      <c r="KB78" s="1"/>
      <c r="KC78" s="1"/>
      <c r="KD78" s="1"/>
      <c r="KE78" s="1"/>
      <c r="KF78" s="1"/>
      <c r="KG78" s="1"/>
      <c r="KH78" s="1"/>
      <c r="KI78" s="1"/>
      <c r="KJ78" s="1"/>
      <c r="KK78" s="1"/>
      <c r="KL78" s="1"/>
      <c r="KM78" s="1"/>
      <c r="KN78" s="1"/>
      <c r="KO78" s="1"/>
      <c r="KP78" s="1"/>
      <c r="KQ78" s="1"/>
      <c r="KR78" s="1"/>
      <c r="KS78" s="1"/>
      <c r="KT78" s="1"/>
      <c r="KU78" s="1"/>
      <c r="KV78" s="1"/>
      <c r="KW78" s="1"/>
      <c r="KX78" s="1"/>
      <c r="KY78" s="1"/>
      <c r="KZ78" s="1"/>
      <c r="LA78" s="1"/>
      <c r="LB78" s="1"/>
      <c r="LC78" s="1"/>
      <c r="LD78" s="1"/>
      <c r="LE78" s="1"/>
      <c r="LF78" s="1"/>
      <c r="LG78" s="1"/>
      <c r="LH78" s="1"/>
      <c r="LI78" s="1"/>
      <c r="LJ78" s="1"/>
      <c r="LK78" s="1"/>
      <c r="LL78" s="1"/>
      <c r="LM78" s="1"/>
      <c r="LN78" s="1"/>
      <c r="LO78" s="1"/>
      <c r="LP78" s="1"/>
      <c r="LQ78" s="1"/>
      <c r="LR78" s="1"/>
      <c r="LS78" s="1"/>
      <c r="LT78" s="1"/>
      <c r="LU78" s="1"/>
      <c r="LV78" s="1"/>
      <c r="LW78" s="1"/>
      <c r="LX78" s="1"/>
      <c r="LY78" s="1"/>
      <c r="LZ78" s="1"/>
      <c r="MA78" s="1"/>
      <c r="MB78" s="1"/>
      <c r="MC78" s="1"/>
      <c r="MD78" s="1"/>
      <c r="ME78" s="1"/>
      <c r="MF78" s="1"/>
      <c r="MG78" s="1"/>
      <c r="MH78" s="1"/>
      <c r="MI78" s="1"/>
      <c r="MJ78" s="1"/>
      <c r="MK78" s="1"/>
      <c r="ML78" s="1"/>
      <c r="MM78" s="1"/>
      <c r="MN78" s="1"/>
      <c r="MO78" s="1"/>
      <c r="MP78" s="1"/>
      <c r="MQ78" s="1"/>
      <c r="MR78" s="1"/>
      <c r="MS78" s="1"/>
      <c r="MT78" s="1"/>
      <c r="MU78" s="1"/>
      <c r="MV78" s="1"/>
      <c r="MW78" s="1"/>
      <c r="MX78" s="1"/>
      <c r="MY78" s="1"/>
      <c r="MZ78" s="1"/>
      <c r="NA78" s="1"/>
      <c r="NB78" s="1"/>
      <c r="NC78" s="1"/>
      <c r="ND78" s="1"/>
      <c r="NE78" s="1"/>
      <c r="NF78" s="1"/>
      <c r="NG78" s="1"/>
      <c r="NH78" s="1"/>
      <c r="NI78" s="1"/>
      <c r="NJ78" s="1"/>
      <c r="NK78" s="1"/>
      <c r="NL78" s="1"/>
      <c r="NM78" s="1"/>
      <c r="NN78" s="1"/>
      <c r="NO78" s="1"/>
      <c r="NP78" s="1"/>
      <c r="NQ78" s="1"/>
      <c r="NR78" s="1"/>
      <c r="NS78" s="1"/>
      <c r="NT78" s="1"/>
      <c r="NU78" s="1"/>
      <c r="NV78" s="1"/>
      <c r="NW78" s="1"/>
      <c r="NX78" s="1"/>
      <c r="NY78" s="1"/>
      <c r="NZ78" s="1"/>
      <c r="OA78" s="1"/>
      <c r="OB78" s="1"/>
      <c r="OC78" s="1"/>
      <c r="OD78" s="1"/>
      <c r="OE78" s="1"/>
      <c r="OF78" s="1"/>
      <c r="OG78" s="1"/>
      <c r="OH78" s="1"/>
      <c r="OI78" s="1"/>
      <c r="OJ78" s="1"/>
      <c r="OK78" s="1"/>
      <c r="OL78" s="1"/>
      <c r="OM78" s="1"/>
      <c r="ON78" s="1"/>
      <c r="OO78" s="1"/>
      <c r="OP78" s="1"/>
      <c r="OQ78" s="1"/>
      <c r="OR78" s="1"/>
      <c r="OS78" s="1"/>
      <c r="OT78" s="1"/>
      <c r="OU78" s="1"/>
      <c r="OV78" s="1"/>
      <c r="OW78" s="1"/>
      <c r="OX78" s="1"/>
      <c r="OY78" s="1"/>
      <c r="OZ78" s="1"/>
      <c r="PA78" s="1"/>
      <c r="PB78" s="1"/>
      <c r="PC78" s="1"/>
      <c r="PD78" s="1"/>
      <c r="PE78" s="1"/>
      <c r="PF78" s="1"/>
      <c r="PG78" s="1"/>
      <c r="PH78" s="1"/>
      <c r="PI78" s="1"/>
      <c r="PJ78" s="1"/>
      <c r="PK78" s="1"/>
      <c r="PL78" s="1"/>
      <c r="PM78" s="1"/>
      <c r="PN78" s="1"/>
      <c r="PO78" s="1"/>
      <c r="PP78" s="1"/>
      <c r="PQ78" s="1"/>
      <c r="PR78" s="1"/>
      <c r="PS78" s="1"/>
      <c r="PT78" s="1"/>
      <c r="PU78" s="1"/>
      <c r="PV78" s="1"/>
      <c r="PW78" s="1"/>
      <c r="PX78" s="1"/>
      <c r="PY78" s="1"/>
      <c r="PZ78" s="1"/>
      <c r="QA78" s="1"/>
      <c r="QB78" s="1"/>
      <c r="QC78" s="1"/>
      <c r="QD78" s="1"/>
      <c r="QE78" s="1"/>
      <c r="QF78" s="1"/>
      <c r="QG78" s="1"/>
      <c r="QH78" s="1"/>
      <c r="QI78" s="1"/>
      <c r="QJ78" s="1"/>
      <c r="QK78" s="1"/>
      <c r="QL78" s="1"/>
      <c r="QM78" s="1"/>
      <c r="QN78" s="1"/>
      <c r="QO78" s="1"/>
      <c r="QP78" s="1"/>
      <c r="QQ78" s="1"/>
      <c r="QR78" s="1"/>
      <c r="QS78" s="1"/>
      <c r="QT78" s="1"/>
      <c r="QU78" s="1"/>
      <c r="QV78" s="1"/>
      <c r="QW78" s="1"/>
      <c r="QX78" s="1"/>
      <c r="QY78" s="1"/>
      <c r="QZ78" s="1"/>
      <c r="RA78" s="1"/>
      <c r="RB78" s="1"/>
      <c r="RC78" s="1"/>
      <c r="RD78" s="1"/>
      <c r="RE78" s="1"/>
      <c r="RF78" s="1"/>
      <c r="RG78" s="1"/>
      <c r="RH78" s="1"/>
      <c r="RI78" s="1"/>
      <c r="RJ78" s="1"/>
      <c r="RK78" s="1"/>
      <c r="RL78" s="1"/>
      <c r="RM78" s="1"/>
      <c r="RN78" s="1"/>
      <c r="RO78" s="1"/>
      <c r="RP78" s="1"/>
      <c r="RQ78" s="1"/>
      <c r="RR78" s="1"/>
      <c r="RS78" s="1"/>
      <c r="RT78" s="1"/>
      <c r="RU78" s="1"/>
      <c r="RV78" s="1"/>
      <c r="RW78" s="1"/>
      <c r="RX78" s="1"/>
      <c r="RY78" s="1"/>
      <c r="RZ78" s="1"/>
      <c r="SA78" s="1"/>
      <c r="SB78" s="1"/>
      <c r="SC78" s="1"/>
      <c r="SD78" s="1"/>
      <c r="SE78" s="1"/>
      <c r="SF78" s="1"/>
      <c r="SG78" s="1"/>
      <c r="SH78" s="1"/>
      <c r="SI78" s="1"/>
      <c r="SJ78" s="1"/>
      <c r="SK78" s="1"/>
      <c r="SL78" s="1"/>
      <c r="SM78" s="1"/>
      <c r="SN78" s="1"/>
      <c r="SO78" s="1"/>
      <c r="SP78" s="1"/>
      <c r="SQ78" s="1"/>
      <c r="SR78" s="1"/>
      <c r="SS78" s="1"/>
      <c r="ST78" s="1"/>
      <c r="SU78" s="1"/>
      <c r="SV78" s="1"/>
      <c r="SW78" s="1"/>
      <c r="SX78" s="1"/>
      <c r="SY78" s="1"/>
      <c r="SZ78" s="1"/>
      <c r="TA78" s="1"/>
      <c r="TB78" s="1"/>
      <c r="TC78" s="1"/>
      <c r="TD78" s="1"/>
      <c r="TE78" s="1"/>
      <c r="TF78" s="1"/>
      <c r="TG78" s="1"/>
      <c r="TH78" s="1"/>
      <c r="TI78" s="1"/>
      <c r="TJ78" s="1"/>
      <c r="TK78" s="1"/>
      <c r="TL78" s="1"/>
      <c r="TM78" s="1"/>
      <c r="TN78" s="1"/>
      <c r="TO78" s="1"/>
      <c r="TP78" s="1"/>
      <c r="TQ78" s="1"/>
      <c r="TR78" s="1"/>
      <c r="TS78" s="1"/>
      <c r="TT78" s="1"/>
      <c r="TU78" s="1"/>
      <c r="TV78" s="1"/>
      <c r="TW78" s="1"/>
      <c r="TX78" s="1"/>
      <c r="TY78" s="1"/>
      <c r="TZ78" s="1"/>
      <c r="UA78" s="1"/>
      <c r="UB78" s="1"/>
      <c r="UC78" s="1"/>
      <c r="UD78" s="1"/>
      <c r="UE78" s="1"/>
      <c r="UF78" s="1"/>
      <c r="UG78" s="1"/>
      <c r="UH78" s="1"/>
      <c r="UI78" s="1"/>
    </row>
    <row r="79" spans="1:555" ht="72.75" customHeight="1">
      <c r="A79" s="296">
        <v>79</v>
      </c>
      <c r="B79" s="297" t="s">
        <v>1019</v>
      </c>
      <c r="C79" s="329">
        <v>91004018</v>
      </c>
      <c r="D79" s="354" t="s">
        <v>167</v>
      </c>
      <c r="E79" s="299">
        <v>42068</v>
      </c>
      <c r="F79" s="300">
        <v>42064</v>
      </c>
      <c r="G79" s="301" t="s">
        <v>1020</v>
      </c>
      <c r="H79" s="297" t="s">
        <v>286</v>
      </c>
      <c r="I79" s="297" t="s">
        <v>101</v>
      </c>
      <c r="J79" s="299">
        <v>42207</v>
      </c>
      <c r="K79" s="300">
        <v>42186</v>
      </c>
      <c r="L79" s="301" t="s">
        <v>78</v>
      </c>
      <c r="M79" s="297" t="s">
        <v>5</v>
      </c>
      <c r="N79" s="297" t="s">
        <v>336</v>
      </c>
      <c r="O79" s="305">
        <v>43276</v>
      </c>
      <c r="P79" s="302">
        <v>43252</v>
      </c>
      <c r="Q79" s="308" t="s">
        <v>1021</v>
      </c>
      <c r="R79" s="297" t="s">
        <v>5</v>
      </c>
      <c r="S79" s="303" t="s">
        <v>1022</v>
      </c>
      <c r="T79" s="299"/>
      <c r="U79" s="300"/>
      <c r="V79" s="301"/>
      <c r="W79" s="297"/>
      <c r="X79" s="297"/>
      <c r="Y79" s="299"/>
      <c r="Z79" s="300"/>
      <c r="AA79" s="301"/>
      <c r="AB79" s="297"/>
      <c r="AC79" s="297"/>
      <c r="AD79" s="299"/>
      <c r="AE79" s="300"/>
      <c r="AF79" s="301"/>
      <c r="AG79" s="297"/>
      <c r="AH79" s="297"/>
      <c r="AI79" s="304"/>
      <c r="AJ79" s="300"/>
      <c r="AK79" s="301"/>
      <c r="AL79" s="297"/>
      <c r="AM79" s="297"/>
      <c r="AN79" s="297" t="s">
        <v>1023</v>
      </c>
      <c r="AO79" s="473"/>
      <c r="AP79" s="297"/>
      <c r="AQ79" s="301" t="s">
        <v>1024</v>
      </c>
      <c r="AR79" s="297" t="s">
        <v>161</v>
      </c>
      <c r="AS79" s="299">
        <v>38275</v>
      </c>
      <c r="AT79" s="299">
        <v>39794</v>
      </c>
      <c r="AU79" s="297" t="s">
        <v>1025</v>
      </c>
      <c r="AV79" s="297"/>
      <c r="AW79" s="297" t="s">
        <v>92</v>
      </c>
      <c r="AX79" s="297" t="s">
        <v>1014</v>
      </c>
      <c r="AY79" s="299">
        <v>41927</v>
      </c>
      <c r="AZ79" s="297" t="s">
        <v>67</v>
      </c>
      <c r="BA79" s="299" t="s">
        <v>67</v>
      </c>
      <c r="BB79" s="382">
        <v>41940</v>
      </c>
      <c r="BC79" s="297" t="s">
        <v>95</v>
      </c>
      <c r="BD79" s="297" t="s">
        <v>1792</v>
      </c>
      <c r="BE79" s="297"/>
      <c r="BF79" s="301"/>
      <c r="BG79" s="301" t="s">
        <v>673</v>
      </c>
      <c r="BH79" s="301" t="s">
        <v>1026</v>
      </c>
      <c r="BI79" s="301"/>
      <c r="BJ79" s="312">
        <v>124541532</v>
      </c>
      <c r="BK79" s="312">
        <v>124541532</v>
      </c>
      <c r="BL79" s="313">
        <v>160782618</v>
      </c>
      <c r="BM79" s="299">
        <v>43248</v>
      </c>
      <c r="BN79" s="314">
        <v>43221</v>
      </c>
      <c r="BO79" s="434" t="s">
        <v>1018</v>
      </c>
      <c r="BP79" s="390"/>
      <c r="BQ79" s="297"/>
      <c r="BR79" s="303"/>
      <c r="BS79" s="308"/>
      <c r="BT79" s="301"/>
      <c r="BU79" s="301"/>
      <c r="BV79" s="301"/>
      <c r="BW79" s="316"/>
      <c r="BX79" s="304"/>
      <c r="BY79" s="299"/>
      <c r="BZ79" s="317"/>
    </row>
    <row r="80" spans="1:555" ht="66" customHeight="1">
      <c r="A80" s="502">
        <v>80</v>
      </c>
      <c r="B80" s="297" t="s">
        <v>1027</v>
      </c>
      <c r="C80" s="329">
        <v>91420745</v>
      </c>
      <c r="D80" s="354" t="s">
        <v>167</v>
      </c>
      <c r="E80" s="299">
        <v>42068</v>
      </c>
      <c r="F80" s="300">
        <v>42064</v>
      </c>
      <c r="G80" s="301" t="s">
        <v>1028</v>
      </c>
      <c r="H80" s="297" t="s">
        <v>5</v>
      </c>
      <c r="I80" s="297" t="s">
        <v>101</v>
      </c>
      <c r="J80" s="299">
        <v>42207</v>
      </c>
      <c r="K80" s="300">
        <v>42186</v>
      </c>
      <c r="L80" s="301" t="s">
        <v>78</v>
      </c>
      <c r="M80" s="297" t="s">
        <v>5</v>
      </c>
      <c r="N80" s="297" t="s">
        <v>85</v>
      </c>
      <c r="O80" s="299"/>
      <c r="P80" s="302"/>
      <c r="Q80" s="301"/>
      <c r="R80" s="297"/>
      <c r="S80" s="297"/>
      <c r="T80" s="299"/>
      <c r="U80" s="300"/>
      <c r="V80" s="301"/>
      <c r="W80" s="297"/>
      <c r="X80" s="297"/>
      <c r="Y80" s="299"/>
      <c r="Z80" s="300"/>
      <c r="AA80" s="301"/>
      <c r="AB80" s="297"/>
      <c r="AC80" s="297"/>
      <c r="AD80" s="299"/>
      <c r="AE80" s="300"/>
      <c r="AF80" s="301"/>
      <c r="AG80" s="297"/>
      <c r="AH80" s="297"/>
      <c r="AI80" s="304"/>
      <c r="AJ80" s="300"/>
      <c r="AK80" s="301"/>
      <c r="AL80" s="297"/>
      <c r="AM80" s="297"/>
      <c r="AN80" s="297" t="s">
        <v>1029</v>
      </c>
      <c r="AO80" s="473"/>
      <c r="AP80" s="297"/>
      <c r="AQ80" s="301" t="s">
        <v>1030</v>
      </c>
      <c r="AR80" s="297" t="s">
        <v>66</v>
      </c>
      <c r="AS80" s="299">
        <v>37956</v>
      </c>
      <c r="AT80" s="299">
        <v>39794</v>
      </c>
      <c r="AU80" s="297" t="s">
        <v>1031</v>
      </c>
      <c r="AV80" s="297"/>
      <c r="AW80" s="297" t="s">
        <v>92</v>
      </c>
      <c r="AX80" s="297" t="s">
        <v>660</v>
      </c>
      <c r="AY80" s="299">
        <v>41844</v>
      </c>
      <c r="AZ80" s="297" t="s">
        <v>67</v>
      </c>
      <c r="BA80" s="299" t="s">
        <v>67</v>
      </c>
      <c r="BB80" s="382">
        <v>41859</v>
      </c>
      <c r="BC80" s="297" t="s">
        <v>95</v>
      </c>
      <c r="BD80" s="297" t="s">
        <v>1792</v>
      </c>
      <c r="BE80" s="297"/>
      <c r="BF80" s="301" t="s">
        <v>1032</v>
      </c>
      <c r="BG80" s="301" t="s">
        <v>1033</v>
      </c>
      <c r="BH80" s="301" t="s">
        <v>1034</v>
      </c>
      <c r="BI80" s="301"/>
      <c r="BJ80" s="312">
        <v>223838276</v>
      </c>
      <c r="BK80" s="312">
        <v>223838276</v>
      </c>
      <c r="BL80" s="313">
        <v>160752218</v>
      </c>
      <c r="BM80" s="299">
        <v>43248</v>
      </c>
      <c r="BN80" s="314">
        <v>43221</v>
      </c>
      <c r="BO80" s="434" t="s">
        <v>1035</v>
      </c>
      <c r="BP80" s="396"/>
      <c r="BQ80" s="336"/>
      <c r="BR80" s="320"/>
      <c r="BS80" s="301"/>
      <c r="BT80" s="301"/>
      <c r="BU80" s="301"/>
      <c r="BV80" s="301"/>
      <c r="BW80" s="316"/>
      <c r="BX80" s="304"/>
      <c r="BY80" s="299"/>
      <c r="BZ80" s="317"/>
    </row>
    <row r="81" spans="1:555" ht="91.5" customHeight="1">
      <c r="A81" s="296">
        <v>81</v>
      </c>
      <c r="B81" s="297" t="s">
        <v>1036</v>
      </c>
      <c r="C81" s="329">
        <v>13487787</v>
      </c>
      <c r="D81" s="354" t="s">
        <v>167</v>
      </c>
      <c r="E81" s="299">
        <v>42068</v>
      </c>
      <c r="F81" s="300">
        <v>42064</v>
      </c>
      <c r="G81" s="301" t="s">
        <v>1037</v>
      </c>
      <c r="H81" s="297" t="s">
        <v>5</v>
      </c>
      <c r="I81" s="297" t="s">
        <v>101</v>
      </c>
      <c r="J81" s="299">
        <v>42207</v>
      </c>
      <c r="K81" s="300">
        <v>42186</v>
      </c>
      <c r="L81" s="301" t="s">
        <v>78</v>
      </c>
      <c r="M81" s="297" t="s">
        <v>5</v>
      </c>
      <c r="N81" s="297" t="s">
        <v>85</v>
      </c>
      <c r="O81" s="299"/>
      <c r="P81" s="302"/>
      <c r="Q81" s="301"/>
      <c r="R81" s="297"/>
      <c r="S81" s="297"/>
      <c r="T81" s="299"/>
      <c r="U81" s="300"/>
      <c r="V81" s="301"/>
      <c r="W81" s="297"/>
      <c r="X81" s="297"/>
      <c r="Y81" s="299"/>
      <c r="Z81" s="300"/>
      <c r="AA81" s="301"/>
      <c r="AB81" s="297"/>
      <c r="AC81" s="297"/>
      <c r="AD81" s="299"/>
      <c r="AE81" s="300"/>
      <c r="AF81" s="301"/>
      <c r="AG81" s="297"/>
      <c r="AH81" s="297"/>
      <c r="AI81" s="304"/>
      <c r="AJ81" s="300"/>
      <c r="AK81" s="301"/>
      <c r="AL81" s="297"/>
      <c r="AM81" s="297"/>
      <c r="AN81" s="297" t="s">
        <v>1029</v>
      </c>
      <c r="AO81" s="473"/>
      <c r="AP81" s="297"/>
      <c r="AQ81" s="301" t="s">
        <v>1038</v>
      </c>
      <c r="AR81" s="297" t="s">
        <v>66</v>
      </c>
      <c r="AS81" s="299">
        <v>37956</v>
      </c>
      <c r="AT81" s="299">
        <v>39447</v>
      </c>
      <c r="AU81" s="297" t="s">
        <v>1039</v>
      </c>
      <c r="AV81" s="297"/>
      <c r="AW81" s="297" t="s">
        <v>92</v>
      </c>
      <c r="AX81" s="297" t="s">
        <v>1014</v>
      </c>
      <c r="AY81" s="299">
        <v>41340</v>
      </c>
      <c r="AZ81" s="297" t="s">
        <v>1040</v>
      </c>
      <c r="BA81" s="299">
        <v>41771</v>
      </c>
      <c r="BB81" s="382">
        <v>41862</v>
      </c>
      <c r="BC81" s="297" t="s">
        <v>95</v>
      </c>
      <c r="BD81" s="297" t="s">
        <v>566</v>
      </c>
      <c r="BE81" s="297"/>
      <c r="BF81" s="301"/>
      <c r="BG81" s="301" t="s">
        <v>1041</v>
      </c>
      <c r="BH81" s="301" t="s">
        <v>1042</v>
      </c>
      <c r="BI81" s="301"/>
      <c r="BJ81" s="312">
        <v>173505191</v>
      </c>
      <c r="BK81" s="312">
        <v>173505191</v>
      </c>
      <c r="BL81" s="313">
        <v>115435918</v>
      </c>
      <c r="BM81" s="299">
        <v>43214</v>
      </c>
      <c r="BN81" s="314">
        <v>43191</v>
      </c>
      <c r="BO81" s="434" t="s">
        <v>1043</v>
      </c>
      <c r="BP81" s="396"/>
      <c r="BQ81" s="336"/>
      <c r="BR81" s="320"/>
      <c r="BS81" s="301"/>
      <c r="BT81" s="308"/>
      <c r="BU81" s="308"/>
      <c r="BV81" s="308"/>
      <c r="BW81" s="309"/>
      <c r="BX81" s="310"/>
      <c r="BY81" s="305"/>
      <c r="BZ81" s="311"/>
    </row>
    <row r="82" spans="1:555" ht="79.5" customHeight="1">
      <c r="A82" s="503">
        <v>82</v>
      </c>
      <c r="B82" s="297" t="s">
        <v>1044</v>
      </c>
      <c r="C82" s="298">
        <v>17955089</v>
      </c>
      <c r="D82" s="354" t="s">
        <v>463</v>
      </c>
      <c r="E82" s="299">
        <v>42072</v>
      </c>
      <c r="F82" s="300">
        <v>42064</v>
      </c>
      <c r="G82" s="301" t="s">
        <v>1045</v>
      </c>
      <c r="H82" s="297" t="s">
        <v>5</v>
      </c>
      <c r="I82" s="297" t="s">
        <v>101</v>
      </c>
      <c r="J82" s="299">
        <v>42863</v>
      </c>
      <c r="K82" s="300">
        <v>42856</v>
      </c>
      <c r="L82" s="301" t="s">
        <v>1046</v>
      </c>
      <c r="M82" s="297" t="s">
        <v>171</v>
      </c>
      <c r="N82" s="297" t="s">
        <v>1047</v>
      </c>
      <c r="O82" s="299">
        <v>42864</v>
      </c>
      <c r="P82" s="302">
        <v>42856</v>
      </c>
      <c r="Q82" s="301" t="s">
        <v>1048</v>
      </c>
      <c r="R82" s="297" t="s">
        <v>171</v>
      </c>
      <c r="S82" s="297" t="s">
        <v>421</v>
      </c>
      <c r="T82" s="299">
        <v>43258</v>
      </c>
      <c r="U82" s="300">
        <v>43258</v>
      </c>
      <c r="V82" s="301" t="s">
        <v>1049</v>
      </c>
      <c r="W82" s="297" t="s">
        <v>1050</v>
      </c>
      <c r="X82" s="297" t="s">
        <v>1051</v>
      </c>
      <c r="Y82" s="299">
        <v>43612</v>
      </c>
      <c r="Z82" s="300">
        <v>43612</v>
      </c>
      <c r="AA82" s="301" t="s">
        <v>8726</v>
      </c>
      <c r="AB82" s="297" t="s">
        <v>171</v>
      </c>
      <c r="AC82" s="297" t="s">
        <v>8727</v>
      </c>
      <c r="AD82" s="299">
        <v>43613</v>
      </c>
      <c r="AE82" s="300">
        <v>43613</v>
      </c>
      <c r="AF82" s="301" t="s">
        <v>8734</v>
      </c>
      <c r="AG82" s="297" t="s">
        <v>171</v>
      </c>
      <c r="AH82" s="297" t="s">
        <v>8735</v>
      </c>
      <c r="AI82" s="299">
        <v>43508</v>
      </c>
      <c r="AJ82" s="300">
        <v>43508</v>
      </c>
      <c r="AK82" s="301" t="s">
        <v>8964</v>
      </c>
      <c r="AL82" s="297" t="s">
        <v>171</v>
      </c>
      <c r="AM82" s="297" t="s">
        <v>8965</v>
      </c>
      <c r="AN82" s="297"/>
      <c r="AO82" s="478"/>
      <c r="AP82" s="297"/>
      <c r="AQ82" s="301" t="s">
        <v>1052</v>
      </c>
      <c r="AR82" s="297" t="s">
        <v>66</v>
      </c>
      <c r="AS82" s="299">
        <v>37837</v>
      </c>
      <c r="AT82" s="299">
        <v>40627</v>
      </c>
      <c r="AU82" s="297" t="s">
        <v>1053</v>
      </c>
      <c r="AV82" s="297"/>
      <c r="AW82" s="297" t="s">
        <v>92</v>
      </c>
      <c r="AX82" s="297" t="s">
        <v>1054</v>
      </c>
      <c r="AY82" s="299">
        <v>41509</v>
      </c>
      <c r="AZ82" s="297" t="s">
        <v>1055</v>
      </c>
      <c r="BA82" s="299">
        <v>41899</v>
      </c>
      <c r="BB82" s="382">
        <v>42048</v>
      </c>
      <c r="BC82" s="297" t="s">
        <v>95</v>
      </c>
      <c r="BD82" s="297" t="s">
        <v>1792</v>
      </c>
      <c r="BE82" s="297"/>
      <c r="BF82" s="301"/>
      <c r="BG82" s="301" t="s">
        <v>1056</v>
      </c>
      <c r="BH82" s="301" t="s">
        <v>1057</v>
      </c>
      <c r="BI82" s="301" t="s">
        <v>1058</v>
      </c>
      <c r="BJ82" s="74">
        <v>164484617</v>
      </c>
      <c r="BK82" s="312" t="s">
        <v>1059</v>
      </c>
      <c r="BL82" s="313" t="s">
        <v>1060</v>
      </c>
      <c r="BM82" s="299" t="s">
        <v>1061</v>
      </c>
      <c r="BN82" s="314" t="s">
        <v>493</v>
      </c>
      <c r="BO82" s="460"/>
      <c r="BP82" s="390">
        <v>21788100</v>
      </c>
      <c r="BQ82" s="297" t="s">
        <v>7453</v>
      </c>
      <c r="BR82" s="303"/>
      <c r="BS82" s="301" t="s">
        <v>1062</v>
      </c>
      <c r="BT82" s="301" t="s">
        <v>1063</v>
      </c>
      <c r="BU82" s="301" t="s">
        <v>496</v>
      </c>
      <c r="BV82" s="301"/>
      <c r="BW82" s="316" t="s">
        <v>1064</v>
      </c>
      <c r="BX82" s="304" t="s">
        <v>1065</v>
      </c>
      <c r="BY82" s="299" t="s">
        <v>1066</v>
      </c>
      <c r="BZ82" s="317" t="s">
        <v>500</v>
      </c>
    </row>
    <row r="83" spans="1:555" ht="70.5" customHeight="1">
      <c r="A83" s="296">
        <v>83</v>
      </c>
      <c r="B83" s="297" t="s">
        <v>1067</v>
      </c>
      <c r="C83" s="298">
        <v>12634160</v>
      </c>
      <c r="D83" s="354" t="s">
        <v>463</v>
      </c>
      <c r="E83" s="299">
        <v>42073</v>
      </c>
      <c r="F83" s="300">
        <v>42064</v>
      </c>
      <c r="G83" s="301" t="s">
        <v>1068</v>
      </c>
      <c r="H83" s="297" t="s">
        <v>5</v>
      </c>
      <c r="I83" s="297" t="s">
        <v>101</v>
      </c>
      <c r="J83" s="299">
        <v>42248</v>
      </c>
      <c r="K83" s="300">
        <v>42248</v>
      </c>
      <c r="L83" s="301" t="s">
        <v>1069</v>
      </c>
      <c r="M83" s="297" t="s">
        <v>171</v>
      </c>
      <c r="N83" s="297" t="s">
        <v>8112</v>
      </c>
      <c r="O83" s="299"/>
      <c r="P83" s="302"/>
      <c r="Q83" s="301"/>
      <c r="R83" s="297"/>
      <c r="S83" s="297"/>
      <c r="T83" s="299"/>
      <c r="U83" s="300"/>
      <c r="V83" s="301"/>
      <c r="W83" s="297"/>
      <c r="X83" s="297"/>
      <c r="Y83" s="299"/>
      <c r="Z83" s="300"/>
      <c r="AA83" s="301"/>
      <c r="AB83" s="297"/>
      <c r="AC83" s="297"/>
      <c r="AD83" s="299"/>
      <c r="AE83" s="300"/>
      <c r="AF83" s="301"/>
      <c r="AG83" s="297"/>
      <c r="AH83" s="297"/>
      <c r="AI83" s="322"/>
      <c r="AJ83" s="300"/>
      <c r="AK83" s="301"/>
      <c r="AL83" s="297"/>
      <c r="AM83" s="297"/>
      <c r="AN83" s="297"/>
      <c r="AO83" s="473"/>
      <c r="AP83" s="297"/>
      <c r="AQ83" s="301" t="s">
        <v>1070</v>
      </c>
      <c r="AR83" s="297" t="s">
        <v>66</v>
      </c>
      <c r="AS83" s="299">
        <v>38108</v>
      </c>
      <c r="AT83" s="299">
        <v>39263</v>
      </c>
      <c r="AU83" s="297" t="s">
        <v>7940</v>
      </c>
      <c r="AV83" s="297"/>
      <c r="AW83" s="297" t="s">
        <v>69</v>
      </c>
      <c r="AX83" s="297" t="s">
        <v>1071</v>
      </c>
      <c r="AY83" s="299">
        <v>41606</v>
      </c>
      <c r="AZ83" s="297" t="s">
        <v>230</v>
      </c>
      <c r="BA83" s="299">
        <v>41816</v>
      </c>
      <c r="BB83" s="382">
        <v>41836</v>
      </c>
      <c r="BC83" s="297" t="s">
        <v>95</v>
      </c>
      <c r="BD83" s="297" t="s">
        <v>566</v>
      </c>
      <c r="BE83" s="297"/>
      <c r="BF83" s="301"/>
      <c r="BG83" s="301" t="s">
        <v>1072</v>
      </c>
      <c r="BH83" s="301" t="s">
        <v>1073</v>
      </c>
      <c r="BI83" s="301" t="s">
        <v>1074</v>
      </c>
      <c r="BJ83" s="312" t="s">
        <v>1075</v>
      </c>
      <c r="BK83" s="312" t="s">
        <v>1076</v>
      </c>
      <c r="BL83" s="313" t="s">
        <v>1077</v>
      </c>
      <c r="BM83" s="299" t="s">
        <v>1078</v>
      </c>
      <c r="BN83" s="314" t="s">
        <v>1079</v>
      </c>
      <c r="BO83" s="460"/>
      <c r="BP83" s="390">
        <v>6843500</v>
      </c>
      <c r="BQ83" s="297" t="s">
        <v>7454</v>
      </c>
      <c r="BR83" s="303"/>
      <c r="BS83" s="301"/>
      <c r="BT83" s="301"/>
      <c r="BU83" s="301"/>
      <c r="BV83" s="301"/>
      <c r="BW83" s="316"/>
      <c r="BX83" s="304"/>
      <c r="BY83" s="299"/>
      <c r="BZ83" s="317"/>
    </row>
    <row r="84" spans="1:555" ht="77.25" customHeight="1">
      <c r="A84" s="296">
        <v>84</v>
      </c>
      <c r="B84" s="297" t="s">
        <v>8319</v>
      </c>
      <c r="C84" s="298">
        <v>85473169</v>
      </c>
      <c r="D84" s="354" t="s">
        <v>463</v>
      </c>
      <c r="E84" s="299">
        <v>42073</v>
      </c>
      <c r="F84" s="300">
        <v>42064</v>
      </c>
      <c r="G84" s="301" t="s">
        <v>1080</v>
      </c>
      <c r="H84" s="297" t="s">
        <v>5</v>
      </c>
      <c r="I84" s="297" t="s">
        <v>101</v>
      </c>
      <c r="J84" s="299">
        <v>42286</v>
      </c>
      <c r="K84" s="300">
        <v>42278</v>
      </c>
      <c r="L84" s="301" t="s">
        <v>1081</v>
      </c>
      <c r="M84" s="297" t="s">
        <v>503</v>
      </c>
      <c r="N84" s="297" t="s">
        <v>1082</v>
      </c>
      <c r="O84" s="299" t="s">
        <v>1083</v>
      </c>
      <c r="P84" s="302">
        <v>42339</v>
      </c>
      <c r="Q84" s="301" t="s">
        <v>502</v>
      </c>
      <c r="R84" s="297" t="s">
        <v>503</v>
      </c>
      <c r="S84" s="297" t="s">
        <v>1084</v>
      </c>
      <c r="T84" s="299">
        <v>42698</v>
      </c>
      <c r="U84" s="300">
        <v>42675</v>
      </c>
      <c r="V84" s="301" t="s">
        <v>1085</v>
      </c>
      <c r="W84" s="297" t="s">
        <v>5</v>
      </c>
      <c r="X84" s="297" t="s">
        <v>107</v>
      </c>
      <c r="Y84" s="299">
        <v>42719</v>
      </c>
      <c r="Z84" s="300">
        <v>42705</v>
      </c>
      <c r="AA84" s="301" t="s">
        <v>1086</v>
      </c>
      <c r="AB84" s="297" t="s">
        <v>171</v>
      </c>
      <c r="AC84" s="297" t="s">
        <v>777</v>
      </c>
      <c r="AD84" s="299" t="s">
        <v>1087</v>
      </c>
      <c r="AE84" s="300" t="s">
        <v>1088</v>
      </c>
      <c r="AF84" s="301" t="s">
        <v>1089</v>
      </c>
      <c r="AG84" s="297" t="s">
        <v>1090</v>
      </c>
      <c r="AH84" s="297" t="s">
        <v>1091</v>
      </c>
      <c r="AI84" s="299">
        <v>43348</v>
      </c>
      <c r="AJ84" s="300">
        <v>43348</v>
      </c>
      <c r="AK84" s="301" t="s">
        <v>1092</v>
      </c>
      <c r="AL84" s="297" t="s">
        <v>171</v>
      </c>
      <c r="AM84" s="297" t="s">
        <v>1093</v>
      </c>
      <c r="AN84" s="297"/>
      <c r="AO84" s="525">
        <v>41828</v>
      </c>
      <c r="AP84" s="297"/>
      <c r="AQ84" s="301" t="s">
        <v>1094</v>
      </c>
      <c r="AR84" s="297" t="s">
        <v>66</v>
      </c>
      <c r="AS84" s="299">
        <v>38716</v>
      </c>
      <c r="AT84" s="299">
        <v>39263</v>
      </c>
      <c r="AU84" s="297" t="s">
        <v>1095</v>
      </c>
      <c r="AV84" s="297"/>
      <c r="AW84" s="297" t="s">
        <v>92</v>
      </c>
      <c r="AX84" s="297" t="s">
        <v>480</v>
      </c>
      <c r="AY84" s="299">
        <v>41733</v>
      </c>
      <c r="AZ84" s="297" t="s">
        <v>67</v>
      </c>
      <c r="BA84" s="299" t="s">
        <v>67</v>
      </c>
      <c r="BB84" s="382">
        <v>41765</v>
      </c>
      <c r="BC84" s="297" t="s">
        <v>95</v>
      </c>
      <c r="BD84" s="297" t="s">
        <v>566</v>
      </c>
      <c r="BE84" s="297"/>
      <c r="BF84" s="301" t="s">
        <v>8317</v>
      </c>
      <c r="BG84" s="301" t="s">
        <v>1096</v>
      </c>
      <c r="BH84" s="301" t="s">
        <v>8475</v>
      </c>
      <c r="BI84" s="301" t="s">
        <v>1097</v>
      </c>
      <c r="BJ84" s="312" t="s">
        <v>9127</v>
      </c>
      <c r="BK84" s="312" t="s">
        <v>8320</v>
      </c>
      <c r="BL84" s="313" t="s">
        <v>8540</v>
      </c>
      <c r="BM84" s="299" t="s">
        <v>8541</v>
      </c>
      <c r="BN84" s="314" t="s">
        <v>8521</v>
      </c>
      <c r="BO84" s="531" t="s">
        <v>8549</v>
      </c>
      <c r="BP84" s="390" t="s">
        <v>9128</v>
      </c>
      <c r="BQ84" s="297" t="s">
        <v>7455</v>
      </c>
      <c r="BR84" s="303"/>
      <c r="BS84" s="301" t="s">
        <v>1098</v>
      </c>
      <c r="BT84" s="301" t="s">
        <v>1099</v>
      </c>
      <c r="BU84" s="301" t="s">
        <v>496</v>
      </c>
      <c r="BV84" s="301"/>
      <c r="BW84" s="328">
        <f>'[16]Liquidación intereses'!$J$123</f>
        <v>13907373.184660349</v>
      </c>
      <c r="BX84" s="304">
        <v>142580617</v>
      </c>
      <c r="BY84" s="299">
        <v>42888</v>
      </c>
      <c r="BZ84" s="317">
        <v>42887</v>
      </c>
    </row>
    <row r="85" spans="1:555" ht="95.25" customHeight="1">
      <c r="A85" s="296">
        <v>86</v>
      </c>
      <c r="B85" s="297" t="s">
        <v>1105</v>
      </c>
      <c r="C85" s="298">
        <v>1800374</v>
      </c>
      <c r="D85" s="354" t="s">
        <v>1106</v>
      </c>
      <c r="E85" s="299">
        <v>42087</v>
      </c>
      <c r="F85" s="300">
        <v>42064</v>
      </c>
      <c r="G85" s="301" t="s">
        <v>1107</v>
      </c>
      <c r="H85" s="297" t="s">
        <v>576</v>
      </c>
      <c r="I85" s="297" t="s">
        <v>6476</v>
      </c>
      <c r="J85" s="299">
        <v>42128</v>
      </c>
      <c r="K85" s="300">
        <v>42128</v>
      </c>
      <c r="L85" s="301" t="s">
        <v>1108</v>
      </c>
      <c r="M85" s="297" t="s">
        <v>5</v>
      </c>
      <c r="N85" s="297" t="s">
        <v>8113</v>
      </c>
      <c r="O85" s="299">
        <v>42706</v>
      </c>
      <c r="P85" s="302">
        <v>42706</v>
      </c>
      <c r="Q85" s="301" t="s">
        <v>1109</v>
      </c>
      <c r="R85" s="297" t="s">
        <v>63</v>
      </c>
      <c r="S85" s="297" t="s">
        <v>79</v>
      </c>
      <c r="T85" s="299">
        <v>42859</v>
      </c>
      <c r="U85" s="300">
        <v>42856</v>
      </c>
      <c r="V85" s="301" t="s">
        <v>1110</v>
      </c>
      <c r="W85" s="297" t="s">
        <v>63</v>
      </c>
      <c r="X85" s="297" t="s">
        <v>107</v>
      </c>
      <c r="Y85" s="299">
        <v>43089</v>
      </c>
      <c r="Z85" s="300">
        <v>43070</v>
      </c>
      <c r="AA85" s="301" t="s">
        <v>1111</v>
      </c>
      <c r="AB85" s="297" t="s">
        <v>79</v>
      </c>
      <c r="AC85" s="297" t="s">
        <v>63</v>
      </c>
      <c r="AD85" s="299">
        <v>43215</v>
      </c>
      <c r="AE85" s="300">
        <v>43191</v>
      </c>
      <c r="AF85" s="301" t="s">
        <v>1112</v>
      </c>
      <c r="AG85" s="297" t="s">
        <v>1113</v>
      </c>
      <c r="AH85" s="297" t="s">
        <v>1114</v>
      </c>
      <c r="AI85" s="304"/>
      <c r="AJ85" s="300"/>
      <c r="AK85" s="301"/>
      <c r="AL85" s="297"/>
      <c r="AM85" s="297"/>
      <c r="AN85" s="297"/>
      <c r="AO85" s="473"/>
      <c r="AP85" s="297"/>
      <c r="AQ85" s="301" t="s">
        <v>1115</v>
      </c>
      <c r="AR85" s="297" t="s">
        <v>66</v>
      </c>
      <c r="AS85" s="299" t="s">
        <v>67</v>
      </c>
      <c r="AT85" s="299" t="s">
        <v>67</v>
      </c>
      <c r="AU85" s="297" t="s">
        <v>1116</v>
      </c>
      <c r="AV85" s="297"/>
      <c r="AW85" s="297" t="s">
        <v>92</v>
      </c>
      <c r="AX85" s="297" t="s">
        <v>1117</v>
      </c>
      <c r="AY85" s="299">
        <v>38226</v>
      </c>
      <c r="AZ85" s="297" t="s">
        <v>1118</v>
      </c>
      <c r="BA85" s="299">
        <v>42032</v>
      </c>
      <c r="BB85" s="678">
        <v>42047</v>
      </c>
      <c r="BC85" s="303" t="s">
        <v>561</v>
      </c>
      <c r="BD85" s="303" t="s">
        <v>8110</v>
      </c>
      <c r="BE85" s="297" t="s">
        <v>1119</v>
      </c>
      <c r="BF85" s="301"/>
      <c r="BG85" s="301" t="s">
        <v>1120</v>
      </c>
      <c r="BH85" s="301" t="s">
        <v>1121</v>
      </c>
      <c r="BI85" s="301" t="s">
        <v>536</v>
      </c>
      <c r="BJ85" s="306">
        <v>384775564</v>
      </c>
      <c r="BK85" s="306">
        <v>384775564</v>
      </c>
      <c r="BL85" s="307">
        <v>6363317</v>
      </c>
      <c r="BM85" s="299">
        <v>42753</v>
      </c>
      <c r="BN85" s="314">
        <v>42736</v>
      </c>
      <c r="BO85" s="434" t="s">
        <v>1122</v>
      </c>
      <c r="BP85" s="397"/>
      <c r="BQ85" s="398"/>
      <c r="BR85" s="320"/>
      <c r="BS85" s="301"/>
      <c r="BT85" s="301" t="s">
        <v>1123</v>
      </c>
      <c r="BU85" s="301"/>
      <c r="BV85" s="301"/>
      <c r="BW85" s="328">
        <v>77709100</v>
      </c>
      <c r="BX85" s="304" t="s">
        <v>1124</v>
      </c>
      <c r="BY85" s="299">
        <v>43112</v>
      </c>
      <c r="BZ85" s="317">
        <v>43101</v>
      </c>
    </row>
    <row r="86" spans="1:555" ht="94.5" customHeight="1">
      <c r="A86" s="296">
        <v>87</v>
      </c>
      <c r="B86" s="297" t="s">
        <v>1125</v>
      </c>
      <c r="C86" s="298">
        <v>15045238</v>
      </c>
      <c r="D86" s="354" t="s">
        <v>667</v>
      </c>
      <c r="E86" s="299">
        <v>42087</v>
      </c>
      <c r="F86" s="300">
        <v>42064</v>
      </c>
      <c r="G86" s="301" t="s">
        <v>668</v>
      </c>
      <c r="H86" s="297" t="s">
        <v>5</v>
      </c>
      <c r="I86" s="297" t="s">
        <v>101</v>
      </c>
      <c r="J86" s="299">
        <v>42143</v>
      </c>
      <c r="K86" s="300">
        <v>42125</v>
      </c>
      <c r="L86" s="301" t="s">
        <v>1126</v>
      </c>
      <c r="M86" s="297" t="s">
        <v>208</v>
      </c>
      <c r="N86" s="297" t="s">
        <v>336</v>
      </c>
      <c r="O86" s="299">
        <v>42544</v>
      </c>
      <c r="P86" s="302">
        <v>42522</v>
      </c>
      <c r="Q86" s="301" t="s">
        <v>1127</v>
      </c>
      <c r="R86" s="297" t="s">
        <v>63</v>
      </c>
      <c r="S86" s="297" t="s">
        <v>79</v>
      </c>
      <c r="T86" s="299">
        <v>42772</v>
      </c>
      <c r="U86" s="300">
        <v>42767</v>
      </c>
      <c r="V86" s="301" t="s">
        <v>1128</v>
      </c>
      <c r="W86" s="297" t="s">
        <v>5</v>
      </c>
      <c r="X86" s="297" t="s">
        <v>107</v>
      </c>
      <c r="Y86" s="299">
        <v>42825</v>
      </c>
      <c r="Z86" s="300">
        <v>42795</v>
      </c>
      <c r="AA86" s="301" t="s">
        <v>1129</v>
      </c>
      <c r="AB86" s="297" t="s">
        <v>5</v>
      </c>
      <c r="AC86" s="297" t="s">
        <v>1130</v>
      </c>
      <c r="AD86" s="299"/>
      <c r="AE86" s="300"/>
      <c r="AF86" s="301"/>
      <c r="AG86" s="297"/>
      <c r="AH86" s="297"/>
      <c r="AI86" s="322"/>
      <c r="AJ86" s="300"/>
      <c r="AK86" s="301"/>
      <c r="AL86" s="297"/>
      <c r="AM86" s="297"/>
      <c r="AN86" s="297" t="s">
        <v>1131</v>
      </c>
      <c r="AO86" s="473"/>
      <c r="AP86" s="297"/>
      <c r="AQ86" s="301" t="s">
        <v>1132</v>
      </c>
      <c r="AR86" s="297" t="s">
        <v>66</v>
      </c>
      <c r="AS86" s="299">
        <v>37447</v>
      </c>
      <c r="AT86" s="299">
        <v>39721</v>
      </c>
      <c r="AU86" s="297" t="s">
        <v>1133</v>
      </c>
      <c r="AV86" s="297"/>
      <c r="AW86" s="297" t="s">
        <v>92</v>
      </c>
      <c r="AX86" s="297" t="s">
        <v>1134</v>
      </c>
      <c r="AY86" s="299">
        <v>41698</v>
      </c>
      <c r="AZ86" s="297" t="s">
        <v>67</v>
      </c>
      <c r="BA86" s="299" t="s">
        <v>67</v>
      </c>
      <c r="BB86" s="382">
        <v>41723</v>
      </c>
      <c r="BC86" s="297" t="s">
        <v>95</v>
      </c>
      <c r="BD86" s="297" t="s">
        <v>1792</v>
      </c>
      <c r="BE86" s="297"/>
      <c r="BF86" s="301"/>
      <c r="BG86" s="301" t="s">
        <v>67</v>
      </c>
      <c r="BH86" s="301" t="s">
        <v>1135</v>
      </c>
      <c r="BI86" s="301" t="s">
        <v>1136</v>
      </c>
      <c r="BJ86" s="312">
        <v>126310562</v>
      </c>
      <c r="BK86" s="312" t="s">
        <v>1137</v>
      </c>
      <c r="BL86" s="313" t="s">
        <v>1138</v>
      </c>
      <c r="BM86" s="299" t="s">
        <v>1139</v>
      </c>
      <c r="BN86" s="300" t="s">
        <v>1140</v>
      </c>
      <c r="BO86" s="460"/>
      <c r="BP86" s="390"/>
      <c r="BQ86" s="297"/>
      <c r="BR86" s="303"/>
      <c r="BS86" s="301"/>
      <c r="BT86" s="301"/>
      <c r="BU86" s="301"/>
      <c r="BV86" s="301"/>
      <c r="BW86" s="316"/>
      <c r="BX86" s="304"/>
      <c r="BY86" s="299"/>
      <c r="BZ86" s="317"/>
    </row>
    <row r="87" spans="1:555" ht="91.5" customHeight="1">
      <c r="A87" s="296">
        <v>88</v>
      </c>
      <c r="B87" s="297" t="s">
        <v>1141</v>
      </c>
      <c r="C87" s="298">
        <v>79965123</v>
      </c>
      <c r="D87" s="354" t="s">
        <v>667</v>
      </c>
      <c r="E87" s="299">
        <v>42088</v>
      </c>
      <c r="F87" s="300">
        <v>42064</v>
      </c>
      <c r="G87" s="301" t="s">
        <v>668</v>
      </c>
      <c r="H87" s="297" t="s">
        <v>63</v>
      </c>
      <c r="I87" s="297" t="s">
        <v>101</v>
      </c>
      <c r="J87" s="299">
        <v>43150</v>
      </c>
      <c r="K87" s="300">
        <v>43132</v>
      </c>
      <c r="L87" s="301" t="s">
        <v>1142</v>
      </c>
      <c r="M87" s="297" t="s">
        <v>63</v>
      </c>
      <c r="N87" s="297" t="s">
        <v>107</v>
      </c>
      <c r="O87" s="305">
        <v>43259</v>
      </c>
      <c r="P87" s="302">
        <v>43252</v>
      </c>
      <c r="Q87" s="308" t="s">
        <v>1143</v>
      </c>
      <c r="R87" s="297" t="s">
        <v>5</v>
      </c>
      <c r="S87" s="303" t="s">
        <v>1144</v>
      </c>
      <c r="T87" s="299"/>
      <c r="U87" s="300"/>
      <c r="V87" s="301"/>
      <c r="W87" s="297"/>
      <c r="X87" s="297"/>
      <c r="Y87" s="299"/>
      <c r="Z87" s="300"/>
      <c r="AA87" s="301"/>
      <c r="AB87" s="297"/>
      <c r="AC87" s="297"/>
      <c r="AD87" s="299"/>
      <c r="AE87" s="300"/>
      <c r="AF87" s="301"/>
      <c r="AG87" s="297"/>
      <c r="AH87" s="297"/>
      <c r="AI87" s="304"/>
      <c r="AJ87" s="300"/>
      <c r="AK87" s="301"/>
      <c r="AL87" s="297"/>
      <c r="AM87" s="297"/>
      <c r="AN87" s="297" t="s">
        <v>1145</v>
      </c>
      <c r="AO87" s="473"/>
      <c r="AP87" s="297"/>
      <c r="AQ87" s="301" t="s">
        <v>1146</v>
      </c>
      <c r="AR87" s="297" t="s">
        <v>66</v>
      </c>
      <c r="AS87" s="299">
        <v>37773</v>
      </c>
      <c r="AT87" s="299">
        <v>40786</v>
      </c>
      <c r="AU87" s="297" t="s">
        <v>1147</v>
      </c>
      <c r="AV87" s="297"/>
      <c r="AW87" s="297" t="s">
        <v>92</v>
      </c>
      <c r="AX87" s="297" t="s">
        <v>1148</v>
      </c>
      <c r="AY87" s="299">
        <v>41789</v>
      </c>
      <c r="AZ87" s="297" t="s">
        <v>67</v>
      </c>
      <c r="BA87" s="299" t="s">
        <v>67</v>
      </c>
      <c r="BB87" s="382">
        <v>41864</v>
      </c>
      <c r="BC87" s="297" t="s">
        <v>95</v>
      </c>
      <c r="BD87" s="297" t="s">
        <v>1792</v>
      </c>
      <c r="BE87" s="297"/>
      <c r="BF87" s="301"/>
      <c r="BG87" s="301" t="s">
        <v>1149</v>
      </c>
      <c r="BH87" s="301" t="s">
        <v>1150</v>
      </c>
      <c r="BI87" s="301"/>
      <c r="BJ87" s="312">
        <v>301149726</v>
      </c>
      <c r="BK87" s="312">
        <v>301149726</v>
      </c>
      <c r="BL87" s="313">
        <v>160743118</v>
      </c>
      <c r="BM87" s="299">
        <v>43248</v>
      </c>
      <c r="BN87" s="314">
        <v>43221</v>
      </c>
      <c r="BO87" s="434" t="s">
        <v>1151</v>
      </c>
      <c r="BP87" s="397"/>
      <c r="BQ87" s="398"/>
      <c r="BR87" s="320"/>
      <c r="BS87" s="301"/>
      <c r="BT87" s="301"/>
      <c r="BU87" s="301"/>
      <c r="BV87" s="301"/>
      <c r="BW87" s="316"/>
      <c r="BX87" s="304"/>
      <c r="BY87" s="299"/>
      <c r="BZ87" s="317"/>
    </row>
    <row r="88" spans="1:555" s="509" customFormat="1" ht="111" customHeight="1">
      <c r="A88" s="296">
        <v>89</v>
      </c>
      <c r="B88" s="297" t="s">
        <v>1152</v>
      </c>
      <c r="C88" s="298">
        <v>74182685</v>
      </c>
      <c r="D88" s="354" t="s">
        <v>1153</v>
      </c>
      <c r="E88" s="299">
        <v>42094</v>
      </c>
      <c r="F88" s="300">
        <v>42064</v>
      </c>
      <c r="G88" s="301" t="s">
        <v>1154</v>
      </c>
      <c r="H88" s="297" t="s">
        <v>5</v>
      </c>
      <c r="I88" s="297" t="s">
        <v>101</v>
      </c>
      <c r="J88" s="299">
        <v>42549</v>
      </c>
      <c r="K88" s="300">
        <v>42522</v>
      </c>
      <c r="L88" s="301" t="s">
        <v>1155</v>
      </c>
      <c r="M88" s="297" t="s">
        <v>5</v>
      </c>
      <c r="N88" s="297" t="s">
        <v>1156</v>
      </c>
      <c r="O88" s="299">
        <v>42550</v>
      </c>
      <c r="P88" s="302">
        <v>42522</v>
      </c>
      <c r="Q88" s="301" t="s">
        <v>1157</v>
      </c>
      <c r="R88" s="297" t="s">
        <v>5</v>
      </c>
      <c r="S88" s="297" t="s">
        <v>1156</v>
      </c>
      <c r="T88" s="299">
        <v>43097</v>
      </c>
      <c r="U88" s="300">
        <v>43070</v>
      </c>
      <c r="V88" s="301" t="s">
        <v>1158</v>
      </c>
      <c r="W88" s="297" t="s">
        <v>152</v>
      </c>
      <c r="X88" s="297" t="s">
        <v>1159</v>
      </c>
      <c r="Y88" s="299">
        <v>43677</v>
      </c>
      <c r="Z88" s="300">
        <v>43677</v>
      </c>
      <c r="AA88" s="301" t="s">
        <v>9094</v>
      </c>
      <c r="AB88" s="297" t="s">
        <v>208</v>
      </c>
      <c r="AC88" s="297" t="s">
        <v>8894</v>
      </c>
      <c r="AD88" s="299">
        <v>43732</v>
      </c>
      <c r="AE88" s="300">
        <v>43732</v>
      </c>
      <c r="AF88" s="301" t="s">
        <v>9206</v>
      </c>
      <c r="AG88" s="297" t="s">
        <v>208</v>
      </c>
      <c r="AH88" s="297" t="s">
        <v>9207</v>
      </c>
      <c r="AI88" s="304"/>
      <c r="AJ88" s="300"/>
      <c r="AK88" s="301"/>
      <c r="AL88" s="297"/>
      <c r="AM88" s="297"/>
      <c r="AN88" s="297"/>
      <c r="AO88" s="473"/>
      <c r="AP88" s="297"/>
      <c r="AQ88" s="301" t="s">
        <v>1160</v>
      </c>
      <c r="AR88" s="297" t="s">
        <v>66</v>
      </c>
      <c r="AS88" s="299" t="s">
        <v>67</v>
      </c>
      <c r="AT88" s="299" t="s">
        <v>67</v>
      </c>
      <c r="AU88" s="297" t="s">
        <v>1161</v>
      </c>
      <c r="AV88" s="297"/>
      <c r="AW88" s="297" t="s">
        <v>92</v>
      </c>
      <c r="AX88" s="297" t="s">
        <v>1162</v>
      </c>
      <c r="AY88" s="299">
        <v>41404</v>
      </c>
      <c r="AZ88" s="297" t="s">
        <v>1163</v>
      </c>
      <c r="BA88" s="299">
        <v>41880</v>
      </c>
      <c r="BB88" s="678">
        <v>42017</v>
      </c>
      <c r="BC88" s="303" t="s">
        <v>165</v>
      </c>
      <c r="BD88" s="303" t="s">
        <v>566</v>
      </c>
      <c r="BE88" s="297"/>
      <c r="BF88" s="301"/>
      <c r="BG88" s="301"/>
      <c r="BH88" s="301" t="s">
        <v>1164</v>
      </c>
      <c r="BI88" s="301"/>
      <c r="BJ88" s="306">
        <v>194203628</v>
      </c>
      <c r="BK88" s="306">
        <v>194203628</v>
      </c>
      <c r="BL88" s="313">
        <v>115325018</v>
      </c>
      <c r="BM88" s="299">
        <v>43215</v>
      </c>
      <c r="BN88" s="314">
        <v>43191</v>
      </c>
      <c r="BO88" s="531" t="s">
        <v>8987</v>
      </c>
      <c r="BP88" s="396" t="s">
        <v>7497</v>
      </c>
      <c r="BQ88" s="336" t="s">
        <v>7496</v>
      </c>
      <c r="BR88" s="430" t="s">
        <v>7495</v>
      </c>
      <c r="BS88" s="301"/>
      <c r="BT88" s="301"/>
      <c r="BU88" s="301"/>
      <c r="BV88" s="301"/>
      <c r="BW88" s="316"/>
      <c r="BX88" s="304"/>
      <c r="BY88" s="299"/>
      <c r="BZ88" s="317"/>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c r="IY88" s="1"/>
      <c r="IZ88" s="1"/>
      <c r="JA88" s="1"/>
      <c r="JB88" s="1"/>
      <c r="JC88" s="1"/>
      <c r="JD88" s="1"/>
      <c r="JE88" s="1"/>
      <c r="JF88" s="1"/>
      <c r="JG88" s="1"/>
      <c r="JH88" s="1"/>
      <c r="JI88" s="1"/>
      <c r="JJ88" s="1"/>
      <c r="JK88" s="1"/>
      <c r="JL88" s="1"/>
      <c r="JM88" s="1"/>
      <c r="JN88" s="1"/>
      <c r="JO88" s="1"/>
      <c r="JP88" s="1"/>
      <c r="JQ88" s="1"/>
      <c r="JR88" s="1"/>
      <c r="JS88" s="1"/>
      <c r="JT88" s="1"/>
      <c r="JU88" s="1"/>
      <c r="JV88" s="1"/>
      <c r="JW88" s="1"/>
      <c r="JX88" s="1"/>
      <c r="JY88" s="1"/>
      <c r="JZ88" s="1"/>
      <c r="KA88" s="1"/>
      <c r="KB88" s="1"/>
      <c r="KC88" s="1"/>
      <c r="KD88" s="1"/>
      <c r="KE88" s="1"/>
      <c r="KF88" s="1"/>
      <c r="KG88" s="1"/>
      <c r="KH88" s="1"/>
      <c r="KI88" s="1"/>
      <c r="KJ88" s="1"/>
      <c r="KK88" s="1"/>
      <c r="KL88" s="1"/>
      <c r="KM88" s="1"/>
      <c r="KN88" s="1"/>
      <c r="KO88" s="1"/>
      <c r="KP88" s="1"/>
      <c r="KQ88" s="1"/>
      <c r="KR88" s="1"/>
      <c r="KS88" s="1"/>
      <c r="KT88" s="1"/>
      <c r="KU88" s="1"/>
      <c r="KV88" s="1"/>
      <c r="KW88" s="1"/>
      <c r="KX88" s="1"/>
      <c r="KY88" s="1"/>
      <c r="KZ88" s="1"/>
      <c r="LA88" s="1"/>
      <c r="LB88" s="1"/>
      <c r="LC88" s="1"/>
      <c r="LD88" s="1"/>
      <c r="LE88" s="1"/>
      <c r="LF88" s="1"/>
      <c r="LG88" s="1"/>
      <c r="LH88" s="1"/>
      <c r="LI88" s="1"/>
      <c r="LJ88" s="1"/>
      <c r="LK88" s="1"/>
      <c r="LL88" s="1"/>
      <c r="LM88" s="1"/>
      <c r="LN88" s="1"/>
      <c r="LO88" s="1"/>
      <c r="LP88" s="1"/>
      <c r="LQ88" s="1"/>
      <c r="LR88" s="1"/>
      <c r="LS88" s="1"/>
      <c r="LT88" s="1"/>
      <c r="LU88" s="1"/>
      <c r="LV88" s="1"/>
      <c r="LW88" s="1"/>
      <c r="LX88" s="1"/>
      <c r="LY88" s="1"/>
      <c r="LZ88" s="1"/>
      <c r="MA88" s="1"/>
      <c r="MB88" s="1"/>
      <c r="MC88" s="1"/>
      <c r="MD88" s="1"/>
      <c r="ME88" s="1"/>
      <c r="MF88" s="1"/>
      <c r="MG88" s="1"/>
      <c r="MH88" s="1"/>
      <c r="MI88" s="1"/>
      <c r="MJ88" s="1"/>
      <c r="MK88" s="1"/>
      <c r="ML88" s="1"/>
      <c r="MM88" s="1"/>
      <c r="MN88" s="1"/>
      <c r="MO88" s="1"/>
      <c r="MP88" s="1"/>
      <c r="MQ88" s="1"/>
      <c r="MR88" s="1"/>
      <c r="MS88" s="1"/>
      <c r="MT88" s="1"/>
      <c r="MU88" s="1"/>
      <c r="MV88" s="1"/>
      <c r="MW88" s="1"/>
      <c r="MX88" s="1"/>
      <c r="MY88" s="1"/>
      <c r="MZ88" s="1"/>
      <c r="NA88" s="1"/>
      <c r="NB88" s="1"/>
      <c r="NC88" s="1"/>
      <c r="ND88" s="1"/>
      <c r="NE88" s="1"/>
      <c r="NF88" s="1"/>
      <c r="NG88" s="1"/>
      <c r="NH88" s="1"/>
      <c r="NI88" s="1"/>
      <c r="NJ88" s="1"/>
      <c r="NK88" s="1"/>
      <c r="NL88" s="1"/>
      <c r="NM88" s="1"/>
      <c r="NN88" s="1"/>
      <c r="NO88" s="1"/>
      <c r="NP88" s="1"/>
      <c r="NQ88" s="1"/>
      <c r="NR88" s="1"/>
      <c r="NS88" s="1"/>
      <c r="NT88" s="1"/>
      <c r="NU88" s="1"/>
      <c r="NV88" s="1"/>
      <c r="NW88" s="1"/>
      <c r="NX88" s="1"/>
      <c r="NY88" s="1"/>
      <c r="NZ88" s="1"/>
      <c r="OA88" s="1"/>
      <c r="OB88" s="1"/>
      <c r="OC88" s="1"/>
      <c r="OD88" s="1"/>
      <c r="OE88" s="1"/>
      <c r="OF88" s="1"/>
      <c r="OG88" s="1"/>
      <c r="OH88" s="1"/>
      <c r="OI88" s="1"/>
      <c r="OJ88" s="1"/>
      <c r="OK88" s="1"/>
      <c r="OL88" s="1"/>
      <c r="OM88" s="1"/>
      <c r="ON88" s="1"/>
      <c r="OO88" s="1"/>
      <c r="OP88" s="1"/>
      <c r="OQ88" s="1"/>
      <c r="OR88" s="1"/>
      <c r="OS88" s="1"/>
      <c r="OT88" s="1"/>
      <c r="OU88" s="1"/>
      <c r="OV88" s="1"/>
      <c r="OW88" s="1"/>
      <c r="OX88" s="1"/>
      <c r="OY88" s="1"/>
      <c r="OZ88" s="1"/>
      <c r="PA88" s="1"/>
      <c r="PB88" s="1"/>
      <c r="PC88" s="1"/>
      <c r="PD88" s="1"/>
      <c r="PE88" s="1"/>
      <c r="PF88" s="1"/>
      <c r="PG88" s="1"/>
      <c r="PH88" s="1"/>
      <c r="PI88" s="1"/>
      <c r="PJ88" s="1"/>
      <c r="PK88" s="1"/>
      <c r="PL88" s="1"/>
      <c r="PM88" s="1"/>
      <c r="PN88" s="1"/>
      <c r="PO88" s="1"/>
      <c r="PP88" s="1"/>
      <c r="PQ88" s="1"/>
      <c r="PR88" s="1"/>
      <c r="PS88" s="1"/>
      <c r="PT88" s="1"/>
      <c r="PU88" s="1"/>
      <c r="PV88" s="1"/>
      <c r="PW88" s="1"/>
      <c r="PX88" s="1"/>
      <c r="PY88" s="1"/>
      <c r="PZ88" s="1"/>
      <c r="QA88" s="1"/>
      <c r="QB88" s="1"/>
      <c r="QC88" s="1"/>
      <c r="QD88" s="1"/>
      <c r="QE88" s="1"/>
      <c r="QF88" s="1"/>
      <c r="QG88" s="1"/>
      <c r="QH88" s="1"/>
      <c r="QI88" s="1"/>
      <c r="QJ88" s="1"/>
      <c r="QK88" s="1"/>
      <c r="QL88" s="1"/>
      <c r="QM88" s="1"/>
      <c r="QN88" s="1"/>
      <c r="QO88" s="1"/>
      <c r="QP88" s="1"/>
      <c r="QQ88" s="1"/>
      <c r="QR88" s="1"/>
      <c r="QS88" s="1"/>
      <c r="QT88" s="1"/>
      <c r="QU88" s="1"/>
      <c r="QV88" s="1"/>
      <c r="QW88" s="1"/>
      <c r="QX88" s="1"/>
      <c r="QY88" s="1"/>
      <c r="QZ88" s="1"/>
      <c r="RA88" s="1"/>
      <c r="RB88" s="1"/>
      <c r="RC88" s="1"/>
      <c r="RD88" s="1"/>
      <c r="RE88" s="1"/>
      <c r="RF88" s="1"/>
      <c r="RG88" s="1"/>
      <c r="RH88" s="1"/>
      <c r="RI88" s="1"/>
      <c r="RJ88" s="1"/>
      <c r="RK88" s="1"/>
      <c r="RL88" s="1"/>
      <c r="RM88" s="1"/>
      <c r="RN88" s="1"/>
      <c r="RO88" s="1"/>
      <c r="RP88" s="1"/>
      <c r="RQ88" s="1"/>
      <c r="RR88" s="1"/>
      <c r="RS88" s="1"/>
      <c r="RT88" s="1"/>
      <c r="RU88" s="1"/>
      <c r="RV88" s="1"/>
      <c r="RW88" s="1"/>
      <c r="RX88" s="1"/>
      <c r="RY88" s="1"/>
      <c r="RZ88" s="1"/>
      <c r="SA88" s="1"/>
      <c r="SB88" s="1"/>
      <c r="SC88" s="1"/>
      <c r="SD88" s="1"/>
      <c r="SE88" s="1"/>
      <c r="SF88" s="1"/>
      <c r="SG88" s="1"/>
      <c r="SH88" s="1"/>
      <c r="SI88" s="1"/>
      <c r="SJ88" s="1"/>
      <c r="SK88" s="1"/>
      <c r="SL88" s="1"/>
      <c r="SM88" s="1"/>
      <c r="SN88" s="1"/>
      <c r="SO88" s="1"/>
      <c r="SP88" s="1"/>
      <c r="SQ88" s="1"/>
      <c r="SR88" s="1"/>
      <c r="SS88" s="1"/>
      <c r="ST88" s="1"/>
      <c r="SU88" s="1"/>
      <c r="SV88" s="1"/>
      <c r="SW88" s="1"/>
      <c r="SX88" s="1"/>
      <c r="SY88" s="1"/>
      <c r="SZ88" s="1"/>
      <c r="TA88" s="1"/>
      <c r="TB88" s="1"/>
      <c r="TC88" s="1"/>
      <c r="TD88" s="1"/>
      <c r="TE88" s="1"/>
      <c r="TF88" s="1"/>
      <c r="TG88" s="1"/>
      <c r="TH88" s="1"/>
      <c r="TI88" s="1"/>
      <c r="TJ88" s="1"/>
      <c r="TK88" s="1"/>
      <c r="TL88" s="1"/>
      <c r="TM88" s="1"/>
      <c r="TN88" s="1"/>
      <c r="TO88" s="1"/>
      <c r="TP88" s="1"/>
      <c r="TQ88" s="1"/>
      <c r="TR88" s="1"/>
      <c r="TS88" s="1"/>
      <c r="TT88" s="1"/>
      <c r="TU88" s="1"/>
      <c r="TV88" s="1"/>
      <c r="TW88" s="1"/>
      <c r="TX88" s="1"/>
      <c r="TY88" s="1"/>
      <c r="TZ88" s="1"/>
      <c r="UA88" s="1"/>
      <c r="UB88" s="1"/>
      <c r="UC88" s="1"/>
      <c r="UD88" s="1"/>
      <c r="UE88" s="1"/>
      <c r="UF88" s="1"/>
      <c r="UG88" s="1"/>
      <c r="UH88" s="1"/>
      <c r="UI88" s="1"/>
    </row>
    <row r="89" spans="1:555" ht="26.25" customHeight="1">
      <c r="A89" s="296">
        <v>90</v>
      </c>
      <c r="B89" s="297" t="s">
        <v>1165</v>
      </c>
      <c r="C89" s="298">
        <v>2235270</v>
      </c>
      <c r="D89" s="354" t="s">
        <v>99</v>
      </c>
      <c r="E89" s="299">
        <v>41835</v>
      </c>
      <c r="F89" s="300">
        <v>41821</v>
      </c>
      <c r="G89" s="301" t="s">
        <v>1166</v>
      </c>
      <c r="H89" s="297" t="s">
        <v>171</v>
      </c>
      <c r="I89" s="297" t="s">
        <v>1167</v>
      </c>
      <c r="J89" s="299">
        <v>42109</v>
      </c>
      <c r="K89" s="300">
        <v>42095</v>
      </c>
      <c r="L89" s="301" t="s">
        <v>1168</v>
      </c>
      <c r="M89" s="297" t="s">
        <v>195</v>
      </c>
      <c r="N89" s="297" t="s">
        <v>183</v>
      </c>
      <c r="O89" s="299">
        <v>42160</v>
      </c>
      <c r="P89" s="302">
        <v>42156</v>
      </c>
      <c r="Q89" s="301" t="s">
        <v>1169</v>
      </c>
      <c r="R89" s="297" t="s">
        <v>208</v>
      </c>
      <c r="S89" s="297" t="s">
        <v>1170</v>
      </c>
      <c r="T89" s="299">
        <v>42212</v>
      </c>
      <c r="U89" s="300">
        <v>42186</v>
      </c>
      <c r="V89" s="301" t="s">
        <v>1171</v>
      </c>
      <c r="W89" s="297" t="s">
        <v>63</v>
      </c>
      <c r="X89" s="297" t="s">
        <v>101</v>
      </c>
      <c r="Y89" s="299">
        <v>42290</v>
      </c>
      <c r="Z89" s="300">
        <v>42278</v>
      </c>
      <c r="AA89" s="301" t="s">
        <v>1172</v>
      </c>
      <c r="AB89" s="297" t="s">
        <v>63</v>
      </c>
      <c r="AC89" s="297" t="s">
        <v>131</v>
      </c>
      <c r="AD89" s="299" t="s">
        <v>1173</v>
      </c>
      <c r="AE89" s="300" t="s">
        <v>1174</v>
      </c>
      <c r="AF89" s="301" t="s">
        <v>1175</v>
      </c>
      <c r="AG89" s="297" t="s">
        <v>1176</v>
      </c>
      <c r="AH89" s="297" t="s">
        <v>1177</v>
      </c>
      <c r="AI89" s="304"/>
      <c r="AJ89" s="300"/>
      <c r="AK89" s="301"/>
      <c r="AL89" s="297"/>
      <c r="AM89" s="297"/>
      <c r="AN89" s="297"/>
      <c r="AO89" s="473"/>
      <c r="AP89" s="297"/>
      <c r="AQ89" s="301" t="s">
        <v>1178</v>
      </c>
      <c r="AR89" s="297" t="s">
        <v>66</v>
      </c>
      <c r="AS89" s="299">
        <v>38412</v>
      </c>
      <c r="AT89" s="299">
        <v>40786</v>
      </c>
      <c r="AU89" s="297" t="s">
        <v>1179</v>
      </c>
      <c r="AV89" s="297"/>
      <c r="AW89" s="297" t="s">
        <v>69</v>
      </c>
      <c r="AX89" s="297" t="s">
        <v>1180</v>
      </c>
      <c r="AY89" s="299">
        <v>41522</v>
      </c>
      <c r="AZ89" s="297" t="s">
        <v>1181</v>
      </c>
      <c r="BA89" s="299">
        <v>42054</v>
      </c>
      <c r="BB89" s="382">
        <v>42087</v>
      </c>
      <c r="BC89" s="297" t="s">
        <v>95</v>
      </c>
      <c r="BD89" s="297" t="s">
        <v>566</v>
      </c>
      <c r="BE89" s="297"/>
      <c r="BF89" s="301"/>
      <c r="BG89" s="301" t="s">
        <v>1182</v>
      </c>
      <c r="BH89" s="301" t="s">
        <v>1183</v>
      </c>
      <c r="BI89" s="301"/>
      <c r="BJ89" s="312">
        <v>187623622</v>
      </c>
      <c r="BK89" s="312">
        <v>187623622</v>
      </c>
      <c r="BL89" s="313">
        <v>41148118</v>
      </c>
      <c r="BM89" s="299">
        <v>43152</v>
      </c>
      <c r="BN89" s="314">
        <v>43132</v>
      </c>
      <c r="BO89" s="460" t="s">
        <v>1184</v>
      </c>
      <c r="BP89" s="390"/>
      <c r="BQ89" s="297"/>
      <c r="BR89" s="303"/>
      <c r="BS89" s="301"/>
      <c r="BT89" s="301"/>
      <c r="BU89" s="301"/>
      <c r="BV89" s="301"/>
      <c r="BW89" s="316"/>
      <c r="BX89" s="304"/>
      <c r="BY89" s="299"/>
      <c r="BZ89" s="317"/>
    </row>
    <row r="90" spans="1:555" ht="68.25" customHeight="1">
      <c r="A90" s="296">
        <v>91</v>
      </c>
      <c r="B90" s="297" t="s">
        <v>1185</v>
      </c>
      <c r="C90" s="298">
        <v>15921964</v>
      </c>
      <c r="D90" s="354" t="s">
        <v>677</v>
      </c>
      <c r="E90" s="299">
        <v>42114</v>
      </c>
      <c r="F90" s="300">
        <v>42095</v>
      </c>
      <c r="G90" s="301" t="s">
        <v>1186</v>
      </c>
      <c r="H90" s="297" t="s">
        <v>195</v>
      </c>
      <c r="I90" s="297" t="s">
        <v>101</v>
      </c>
      <c r="J90" s="299">
        <v>42047</v>
      </c>
      <c r="K90" s="300">
        <v>42036</v>
      </c>
      <c r="L90" s="301" t="s">
        <v>1187</v>
      </c>
      <c r="M90" s="297" t="s">
        <v>5</v>
      </c>
      <c r="N90" s="297" t="s">
        <v>85</v>
      </c>
      <c r="O90" s="299">
        <v>42247</v>
      </c>
      <c r="P90" s="302">
        <v>42217</v>
      </c>
      <c r="Q90" s="301" t="s">
        <v>1188</v>
      </c>
      <c r="R90" s="297" t="s">
        <v>5</v>
      </c>
      <c r="S90" s="297" t="s">
        <v>1189</v>
      </c>
      <c r="T90" s="299"/>
      <c r="U90" s="300"/>
      <c r="V90" s="301"/>
      <c r="W90" s="297"/>
      <c r="X90" s="297"/>
      <c r="Y90" s="299"/>
      <c r="Z90" s="300"/>
      <c r="AA90" s="301"/>
      <c r="AB90" s="297"/>
      <c r="AC90" s="297"/>
      <c r="AD90" s="299"/>
      <c r="AE90" s="300"/>
      <c r="AF90" s="301"/>
      <c r="AG90" s="297"/>
      <c r="AH90" s="297"/>
      <c r="AI90" s="304"/>
      <c r="AJ90" s="300"/>
      <c r="AK90" s="301"/>
      <c r="AL90" s="297"/>
      <c r="AM90" s="297"/>
      <c r="AN90" s="297"/>
      <c r="AO90" s="473"/>
      <c r="AP90" s="297"/>
      <c r="AQ90" s="301" t="s">
        <v>1190</v>
      </c>
      <c r="AR90" s="297" t="s">
        <v>66</v>
      </c>
      <c r="AS90" s="299">
        <v>37929</v>
      </c>
      <c r="AT90" s="299">
        <v>39989</v>
      </c>
      <c r="AU90" s="297" t="s">
        <v>1191</v>
      </c>
      <c r="AV90" s="297"/>
      <c r="AW90" s="297" t="s">
        <v>92</v>
      </c>
      <c r="AX90" s="297" t="s">
        <v>1192</v>
      </c>
      <c r="AY90" s="299">
        <v>41619</v>
      </c>
      <c r="AZ90" s="297" t="s">
        <v>693</v>
      </c>
      <c r="BA90" s="299">
        <v>41921</v>
      </c>
      <c r="BB90" s="382">
        <v>41934</v>
      </c>
      <c r="BC90" s="297" t="s">
        <v>95</v>
      </c>
      <c r="BD90" s="297" t="s">
        <v>566</v>
      </c>
      <c r="BE90" s="297"/>
      <c r="BF90" s="301" t="s">
        <v>737</v>
      </c>
      <c r="BG90" s="301" t="s">
        <v>1193</v>
      </c>
      <c r="BH90" s="301" t="s">
        <v>1194</v>
      </c>
      <c r="BI90" s="301"/>
      <c r="BJ90" s="312">
        <v>203531390</v>
      </c>
      <c r="BK90" s="312">
        <v>203531390</v>
      </c>
      <c r="BL90" s="313" t="s">
        <v>1195</v>
      </c>
      <c r="BM90" s="299">
        <v>43122</v>
      </c>
      <c r="BN90" s="314">
        <v>43101</v>
      </c>
      <c r="BO90" s="434" t="s">
        <v>700</v>
      </c>
      <c r="BP90" s="397"/>
      <c r="BQ90" s="398"/>
      <c r="BR90" s="320"/>
      <c r="BS90" s="301"/>
      <c r="BT90" s="301"/>
      <c r="BU90" s="301"/>
      <c r="BV90" s="301"/>
      <c r="BW90" s="316"/>
      <c r="BX90" s="304"/>
      <c r="BY90" s="299"/>
      <c r="BZ90" s="317"/>
    </row>
    <row r="91" spans="1:555" ht="77.25" customHeight="1">
      <c r="A91" s="296">
        <v>92</v>
      </c>
      <c r="B91" s="297" t="s">
        <v>1196</v>
      </c>
      <c r="C91" s="298">
        <v>71223859</v>
      </c>
      <c r="D91" s="354" t="s">
        <v>333</v>
      </c>
      <c r="E91" s="299">
        <v>42115</v>
      </c>
      <c r="F91" s="300">
        <v>42095</v>
      </c>
      <c r="G91" s="301" t="s">
        <v>1197</v>
      </c>
      <c r="H91" s="297" t="s">
        <v>5</v>
      </c>
      <c r="I91" s="297" t="s">
        <v>101</v>
      </c>
      <c r="J91" s="299">
        <v>42962</v>
      </c>
      <c r="K91" s="300">
        <v>42948</v>
      </c>
      <c r="L91" s="301" t="s">
        <v>1198</v>
      </c>
      <c r="M91" s="297" t="s">
        <v>1199</v>
      </c>
      <c r="N91" s="297" t="s">
        <v>79</v>
      </c>
      <c r="O91" s="299">
        <v>42962</v>
      </c>
      <c r="P91" s="302">
        <v>42948</v>
      </c>
      <c r="Q91" s="301" t="s">
        <v>1198</v>
      </c>
      <c r="R91" s="297" t="s">
        <v>5</v>
      </c>
      <c r="S91" s="297" t="s">
        <v>1200</v>
      </c>
      <c r="T91" s="299">
        <v>44285</v>
      </c>
      <c r="U91" s="300">
        <v>44285</v>
      </c>
      <c r="V91" s="301" t="s">
        <v>10423</v>
      </c>
      <c r="W91" s="297" t="s">
        <v>208</v>
      </c>
      <c r="X91" s="297" t="s">
        <v>9546</v>
      </c>
      <c r="Y91" s="299"/>
      <c r="Z91" s="300"/>
      <c r="AA91" s="301"/>
      <c r="AB91" s="297"/>
      <c r="AC91" s="297"/>
      <c r="AD91" s="299"/>
      <c r="AE91" s="300"/>
      <c r="AF91" s="301"/>
      <c r="AG91" s="297"/>
      <c r="AH91" s="297"/>
      <c r="AI91" s="304"/>
      <c r="AJ91" s="300"/>
      <c r="AK91" s="301"/>
      <c r="AL91" s="297"/>
      <c r="AM91" s="297"/>
      <c r="AN91" s="297" t="s">
        <v>1201</v>
      </c>
      <c r="AO91" s="473"/>
      <c r="AP91" s="297"/>
      <c r="AQ91" s="301" t="s">
        <v>1202</v>
      </c>
      <c r="AR91" s="297" t="s">
        <v>66</v>
      </c>
      <c r="AS91" s="299">
        <v>39264</v>
      </c>
      <c r="AT91" s="299">
        <v>39825</v>
      </c>
      <c r="AU91" s="297" t="s">
        <v>1203</v>
      </c>
      <c r="AV91" s="297"/>
      <c r="AW91" s="297" t="s">
        <v>92</v>
      </c>
      <c r="AX91" s="297" t="s">
        <v>1204</v>
      </c>
      <c r="AY91" s="299">
        <v>41509</v>
      </c>
      <c r="AZ91" s="297" t="s">
        <v>1205</v>
      </c>
      <c r="BA91" s="299">
        <v>41948</v>
      </c>
      <c r="BB91" s="382">
        <v>42048</v>
      </c>
      <c r="BC91" s="297" t="s">
        <v>95</v>
      </c>
      <c r="BD91" s="297" t="s">
        <v>566</v>
      </c>
      <c r="BE91" s="297"/>
      <c r="BF91" s="301"/>
      <c r="BG91" s="301"/>
      <c r="BH91" s="301" t="s">
        <v>1206</v>
      </c>
      <c r="BI91" s="301"/>
      <c r="BJ91" s="312">
        <v>61327319</v>
      </c>
      <c r="BK91" s="312">
        <v>61327319</v>
      </c>
      <c r="BL91" s="313">
        <v>41171718</v>
      </c>
      <c r="BM91" s="299">
        <v>43154</v>
      </c>
      <c r="BN91" s="314">
        <v>43132</v>
      </c>
      <c r="BO91" s="434" t="s">
        <v>1207</v>
      </c>
      <c r="BP91" s="396"/>
      <c r="BQ91" s="336"/>
      <c r="BR91" s="331"/>
      <c r="BS91" s="301"/>
      <c r="BT91" s="301"/>
      <c r="BU91" s="301"/>
      <c r="BV91" s="301"/>
      <c r="BW91" s="316"/>
      <c r="BX91" s="304"/>
      <c r="BY91" s="299"/>
      <c r="BZ91" s="317"/>
    </row>
    <row r="92" spans="1:555" ht="90" customHeight="1">
      <c r="A92" s="296">
        <v>93</v>
      </c>
      <c r="B92" s="297" t="s">
        <v>1208</v>
      </c>
      <c r="C92" s="298">
        <v>8323169</v>
      </c>
      <c r="D92" s="354" t="s">
        <v>333</v>
      </c>
      <c r="E92" s="299">
        <v>42115</v>
      </c>
      <c r="F92" s="300">
        <v>42095</v>
      </c>
      <c r="G92" s="301" t="s">
        <v>1209</v>
      </c>
      <c r="H92" s="297" t="s">
        <v>5</v>
      </c>
      <c r="I92" s="297" t="s">
        <v>101</v>
      </c>
      <c r="J92" s="299">
        <v>42229</v>
      </c>
      <c r="K92" s="300">
        <v>42217</v>
      </c>
      <c r="L92" s="301" t="s">
        <v>1210</v>
      </c>
      <c r="M92" s="297" t="s">
        <v>198</v>
      </c>
      <c r="N92" s="297" t="s">
        <v>336</v>
      </c>
      <c r="O92" s="299">
        <v>42649</v>
      </c>
      <c r="P92" s="302">
        <v>42644</v>
      </c>
      <c r="Q92" s="301" t="s">
        <v>1211</v>
      </c>
      <c r="R92" s="297" t="s">
        <v>208</v>
      </c>
      <c r="S92" s="297" t="s">
        <v>336</v>
      </c>
      <c r="T92" s="299">
        <v>42996</v>
      </c>
      <c r="U92" s="300">
        <v>42979</v>
      </c>
      <c r="V92" s="301" t="s">
        <v>1212</v>
      </c>
      <c r="W92" s="297" t="s">
        <v>208</v>
      </c>
      <c r="X92" s="297" t="s">
        <v>1213</v>
      </c>
      <c r="Y92" s="299">
        <v>42961</v>
      </c>
      <c r="Z92" s="300">
        <v>42948</v>
      </c>
      <c r="AA92" s="301" t="s">
        <v>1214</v>
      </c>
      <c r="AB92" s="297" t="s">
        <v>208</v>
      </c>
      <c r="AC92" s="297" t="s">
        <v>107</v>
      </c>
      <c r="AD92" s="299" t="s">
        <v>1215</v>
      </c>
      <c r="AE92" s="300" t="s">
        <v>1216</v>
      </c>
      <c r="AF92" s="301" t="s">
        <v>1217</v>
      </c>
      <c r="AG92" s="297" t="s">
        <v>1218</v>
      </c>
      <c r="AH92" s="297" t="s">
        <v>1219</v>
      </c>
      <c r="AI92" s="304"/>
      <c r="AJ92" s="300"/>
      <c r="AK92" s="301"/>
      <c r="AL92" s="297"/>
      <c r="AM92" s="297"/>
      <c r="AN92" s="303" t="s">
        <v>1220</v>
      </c>
      <c r="AO92" s="474"/>
      <c r="AP92" s="303"/>
      <c r="AQ92" s="301" t="s">
        <v>1221</v>
      </c>
      <c r="AR92" s="297" t="s">
        <v>66</v>
      </c>
      <c r="AS92" s="299">
        <v>37858</v>
      </c>
      <c r="AT92" s="299">
        <v>39825</v>
      </c>
      <c r="AU92" s="297" t="s">
        <v>1222</v>
      </c>
      <c r="AV92" s="297"/>
      <c r="AW92" s="297" t="s">
        <v>92</v>
      </c>
      <c r="AX92" s="297" t="s">
        <v>1204</v>
      </c>
      <c r="AY92" s="299">
        <v>41575</v>
      </c>
      <c r="AZ92" s="297" t="s">
        <v>1205</v>
      </c>
      <c r="BA92" s="299">
        <v>41948</v>
      </c>
      <c r="BB92" s="382">
        <v>42034</v>
      </c>
      <c r="BC92" s="297" t="s">
        <v>95</v>
      </c>
      <c r="BD92" s="297" t="s">
        <v>566</v>
      </c>
      <c r="BE92" s="297"/>
      <c r="BF92" s="301"/>
      <c r="BG92" s="301" t="s">
        <v>1223</v>
      </c>
      <c r="BH92" s="301" t="s">
        <v>1224</v>
      </c>
      <c r="BI92" s="301"/>
      <c r="BJ92" s="312">
        <v>230125515</v>
      </c>
      <c r="BK92" s="312">
        <v>230125515</v>
      </c>
      <c r="BL92" s="313">
        <v>163226718</v>
      </c>
      <c r="BM92" s="299">
        <v>43251</v>
      </c>
      <c r="BN92" s="314">
        <v>43221</v>
      </c>
      <c r="BO92" s="434" t="s">
        <v>1207</v>
      </c>
      <c r="BP92" s="397"/>
      <c r="BQ92" s="398"/>
      <c r="BR92" s="320"/>
      <c r="BS92" s="301"/>
      <c r="BT92" s="301"/>
      <c r="BU92" s="301"/>
      <c r="BV92" s="301"/>
      <c r="BW92" s="316"/>
      <c r="BX92" s="304"/>
      <c r="BY92" s="299"/>
      <c r="BZ92" s="317"/>
    </row>
    <row r="93" spans="1:555" ht="97.5" customHeight="1">
      <c r="A93" s="296">
        <v>94</v>
      </c>
      <c r="B93" s="297" t="s">
        <v>1225</v>
      </c>
      <c r="C93" s="298">
        <v>71335235</v>
      </c>
      <c r="D93" s="354" t="s">
        <v>1226</v>
      </c>
      <c r="E93" s="299">
        <v>42116</v>
      </c>
      <c r="F93" s="300">
        <v>42095</v>
      </c>
      <c r="G93" s="301" t="s">
        <v>1227</v>
      </c>
      <c r="H93" s="297" t="s">
        <v>5</v>
      </c>
      <c r="I93" s="297" t="s">
        <v>101</v>
      </c>
      <c r="J93" s="299">
        <v>42235</v>
      </c>
      <c r="K93" s="300">
        <v>42217</v>
      </c>
      <c r="L93" s="301" t="s">
        <v>1228</v>
      </c>
      <c r="M93" s="297" t="s">
        <v>198</v>
      </c>
      <c r="N93" s="297" t="s">
        <v>336</v>
      </c>
      <c r="O93" s="299">
        <v>42625</v>
      </c>
      <c r="P93" s="302">
        <v>42614</v>
      </c>
      <c r="Q93" s="301" t="s">
        <v>1229</v>
      </c>
      <c r="R93" s="297" t="s">
        <v>5</v>
      </c>
      <c r="S93" s="297" t="s">
        <v>336</v>
      </c>
      <c r="T93" s="299">
        <v>43391</v>
      </c>
      <c r="U93" s="300">
        <v>43391</v>
      </c>
      <c r="V93" s="301" t="s">
        <v>1230</v>
      </c>
      <c r="W93" s="297" t="s">
        <v>5</v>
      </c>
      <c r="X93" s="297" t="s">
        <v>174</v>
      </c>
      <c r="Y93" s="299">
        <v>43565</v>
      </c>
      <c r="Z93" s="300">
        <v>43565</v>
      </c>
      <c r="AA93" s="301" t="s">
        <v>8483</v>
      </c>
      <c r="AB93" s="297" t="s">
        <v>171</v>
      </c>
      <c r="AC93" s="297" t="s">
        <v>8484</v>
      </c>
      <c r="AD93" s="299">
        <v>43572</v>
      </c>
      <c r="AE93" s="300">
        <v>43572</v>
      </c>
      <c r="AF93" s="301" t="s">
        <v>8672</v>
      </c>
      <c r="AG93" s="297" t="s">
        <v>5</v>
      </c>
      <c r="AH93" s="297" t="s">
        <v>8673</v>
      </c>
      <c r="AI93" s="305" t="s">
        <v>8681</v>
      </c>
      <c r="AJ93" s="300" t="s">
        <v>8682</v>
      </c>
      <c r="AK93" s="301" t="s">
        <v>8683</v>
      </c>
      <c r="AL93" s="297" t="s">
        <v>8684</v>
      </c>
      <c r="AM93" s="297" t="s">
        <v>8691</v>
      </c>
      <c r="AN93" s="297" t="s">
        <v>1145</v>
      </c>
      <c r="AO93" s="479">
        <v>42116</v>
      </c>
      <c r="AP93" s="297"/>
      <c r="AQ93" s="301" t="s">
        <v>1231</v>
      </c>
      <c r="AR93" s="297" t="s">
        <v>161</v>
      </c>
      <c r="AS93" s="299">
        <v>38108</v>
      </c>
      <c r="AT93" s="299">
        <v>39051</v>
      </c>
      <c r="AU93" s="297" t="s">
        <v>1232</v>
      </c>
      <c r="AV93" s="297"/>
      <c r="AW93" s="297" t="s">
        <v>92</v>
      </c>
      <c r="AX93" s="297" t="s">
        <v>1233</v>
      </c>
      <c r="AY93" s="299">
        <v>41354</v>
      </c>
      <c r="AZ93" s="297" t="s">
        <v>409</v>
      </c>
      <c r="BA93" s="299">
        <v>41969</v>
      </c>
      <c r="BB93" s="382">
        <v>42034</v>
      </c>
      <c r="BC93" s="297" t="s">
        <v>95</v>
      </c>
      <c r="BD93" s="297" t="s">
        <v>566</v>
      </c>
      <c r="BE93" s="297"/>
      <c r="BF93" s="301" t="s">
        <v>1234</v>
      </c>
      <c r="BG93" s="301" t="s">
        <v>673</v>
      </c>
      <c r="BH93" s="301" t="s">
        <v>8321</v>
      </c>
      <c r="BI93" s="301"/>
      <c r="BJ93" s="312">
        <f>[17]MATRIZ!$J$56</f>
        <v>30075815.108449824</v>
      </c>
      <c r="BK93" s="312">
        <v>60330781</v>
      </c>
      <c r="BL93" s="313">
        <v>77108219</v>
      </c>
      <c r="BM93" s="299">
        <v>43560</v>
      </c>
      <c r="BN93" s="314">
        <v>43560</v>
      </c>
      <c r="BO93" s="460"/>
      <c r="BP93" s="390"/>
      <c r="BQ93" s="431"/>
      <c r="BR93" s="303"/>
      <c r="BS93" s="433" t="s">
        <v>7398</v>
      </c>
      <c r="BT93" s="301"/>
      <c r="BU93" s="301"/>
      <c r="BV93" s="301"/>
      <c r="BW93" s="316"/>
      <c r="BX93" s="304"/>
      <c r="BY93" s="299"/>
      <c r="BZ93" s="317"/>
    </row>
    <row r="94" spans="1:555" ht="84" customHeight="1">
      <c r="A94" s="296">
        <v>95</v>
      </c>
      <c r="B94" s="297" t="s">
        <v>1235</v>
      </c>
      <c r="C94" s="298" t="s">
        <v>1236</v>
      </c>
      <c r="D94" s="354" t="s">
        <v>167</v>
      </c>
      <c r="E94" s="299">
        <v>42119</v>
      </c>
      <c r="F94" s="300">
        <v>42095</v>
      </c>
      <c r="G94" s="301" t="s">
        <v>1237</v>
      </c>
      <c r="H94" s="297" t="s">
        <v>625</v>
      </c>
      <c r="I94" s="297" t="s">
        <v>2411</v>
      </c>
      <c r="J94" s="299">
        <v>42171</v>
      </c>
      <c r="K94" s="300">
        <v>42171</v>
      </c>
      <c r="L94" s="301" t="s">
        <v>1238</v>
      </c>
      <c r="M94" s="297" t="s">
        <v>5</v>
      </c>
      <c r="N94" s="297" t="s">
        <v>79</v>
      </c>
      <c r="O94" s="299">
        <v>42718</v>
      </c>
      <c r="P94" s="302">
        <v>42718</v>
      </c>
      <c r="Q94" s="301" t="s">
        <v>1239</v>
      </c>
      <c r="R94" s="297" t="s">
        <v>5</v>
      </c>
      <c r="S94" s="297" t="s">
        <v>85</v>
      </c>
      <c r="T94" s="305">
        <v>43269</v>
      </c>
      <c r="U94" s="300">
        <v>43252</v>
      </c>
      <c r="V94" s="308" t="s">
        <v>1240</v>
      </c>
      <c r="W94" s="297" t="s">
        <v>849</v>
      </c>
      <c r="X94" s="303" t="s">
        <v>1114</v>
      </c>
      <c r="Y94" s="305">
        <v>43269</v>
      </c>
      <c r="Z94" s="302">
        <v>43269</v>
      </c>
      <c r="AA94" s="315" t="s">
        <v>1240</v>
      </c>
      <c r="AB94" s="297" t="s">
        <v>5</v>
      </c>
      <c r="AC94" s="315" t="s">
        <v>1241</v>
      </c>
      <c r="AD94" s="299">
        <v>43399</v>
      </c>
      <c r="AE94" s="300">
        <v>43399</v>
      </c>
      <c r="AF94" s="301" t="s">
        <v>7334</v>
      </c>
      <c r="AG94" s="297" t="s">
        <v>5</v>
      </c>
      <c r="AH94" s="297" t="s">
        <v>7335</v>
      </c>
      <c r="AI94" s="305">
        <v>43789</v>
      </c>
      <c r="AJ94" s="300">
        <v>43789</v>
      </c>
      <c r="AK94" s="301" t="s">
        <v>9324</v>
      </c>
      <c r="AL94" s="297" t="s">
        <v>5</v>
      </c>
      <c r="AM94" s="297" t="s">
        <v>9325</v>
      </c>
      <c r="AN94" s="297"/>
      <c r="AO94" s="473"/>
      <c r="AP94" s="297"/>
      <c r="AQ94" s="301" t="s">
        <v>1242</v>
      </c>
      <c r="AR94" s="297" t="s">
        <v>66</v>
      </c>
      <c r="AS94" s="299" t="s">
        <v>67</v>
      </c>
      <c r="AT94" s="299" t="s">
        <v>67</v>
      </c>
      <c r="AU94" s="297" t="s">
        <v>1243</v>
      </c>
      <c r="AV94" s="297"/>
      <c r="AW94" s="297" t="s">
        <v>92</v>
      </c>
      <c r="AX94" s="297" t="s">
        <v>1244</v>
      </c>
      <c r="AY94" s="299">
        <v>41817</v>
      </c>
      <c r="AZ94" s="297" t="s">
        <v>1245</v>
      </c>
      <c r="BA94" s="299">
        <v>42066</v>
      </c>
      <c r="BB94" s="678">
        <v>42087</v>
      </c>
      <c r="BC94" s="303" t="s">
        <v>561</v>
      </c>
      <c r="BD94" s="303" t="s">
        <v>566</v>
      </c>
      <c r="BE94" s="297" t="s">
        <v>1246</v>
      </c>
      <c r="BF94" s="301"/>
      <c r="BG94" s="301" t="s">
        <v>67</v>
      </c>
      <c r="BH94" s="297" t="s">
        <v>1247</v>
      </c>
      <c r="BI94" s="301" t="s">
        <v>536</v>
      </c>
      <c r="BJ94" s="306">
        <v>399319946</v>
      </c>
      <c r="BK94" s="306" t="s">
        <v>1248</v>
      </c>
      <c r="BL94" s="307" t="s">
        <v>1249</v>
      </c>
      <c r="BM94" s="299" t="s">
        <v>1250</v>
      </c>
      <c r="BN94" s="314" t="s">
        <v>858</v>
      </c>
      <c r="BO94" s="460"/>
      <c r="BP94" s="390"/>
      <c r="BQ94" s="297"/>
      <c r="BR94" s="352"/>
      <c r="BS94" s="301"/>
      <c r="BT94" s="301" t="s">
        <v>1251</v>
      </c>
      <c r="BU94" s="301" t="s">
        <v>496</v>
      </c>
      <c r="BV94" s="301"/>
      <c r="BW94" s="316" t="s">
        <v>1252</v>
      </c>
      <c r="BX94" s="304" t="s">
        <v>1253</v>
      </c>
      <c r="BY94" s="299" t="s">
        <v>1254</v>
      </c>
      <c r="BZ94" s="317">
        <v>42856</v>
      </c>
    </row>
    <row r="95" spans="1:555" ht="108">
      <c r="A95" s="503">
        <v>97</v>
      </c>
      <c r="B95" s="297" t="s">
        <v>1266</v>
      </c>
      <c r="C95" s="298">
        <v>10288139</v>
      </c>
      <c r="D95" s="354" t="s">
        <v>677</v>
      </c>
      <c r="E95" s="299">
        <v>42122</v>
      </c>
      <c r="F95" s="300">
        <v>42095</v>
      </c>
      <c r="G95" s="301" t="s">
        <v>1267</v>
      </c>
      <c r="H95" s="297" t="s">
        <v>195</v>
      </c>
      <c r="I95" s="297" t="s">
        <v>101</v>
      </c>
      <c r="J95" s="299">
        <v>42247</v>
      </c>
      <c r="K95" s="300">
        <v>42217</v>
      </c>
      <c r="L95" s="301" t="s">
        <v>1268</v>
      </c>
      <c r="M95" s="297" t="s">
        <v>5</v>
      </c>
      <c r="N95" s="297" t="s">
        <v>85</v>
      </c>
      <c r="O95" s="299">
        <v>42930</v>
      </c>
      <c r="P95" s="302">
        <v>42917</v>
      </c>
      <c r="Q95" s="301" t="s">
        <v>1269</v>
      </c>
      <c r="R95" s="297" t="s">
        <v>208</v>
      </c>
      <c r="S95" s="297" t="s">
        <v>107</v>
      </c>
      <c r="T95" s="299">
        <v>43116</v>
      </c>
      <c r="U95" s="300">
        <v>43101</v>
      </c>
      <c r="V95" s="301" t="s">
        <v>965</v>
      </c>
      <c r="W95" s="297" t="s">
        <v>5</v>
      </c>
      <c r="X95" s="297" t="s">
        <v>582</v>
      </c>
      <c r="Y95" s="299">
        <v>43138</v>
      </c>
      <c r="Z95" s="300">
        <v>43132</v>
      </c>
      <c r="AA95" s="301" t="s">
        <v>1270</v>
      </c>
      <c r="AB95" s="297" t="s">
        <v>171</v>
      </c>
      <c r="AC95" s="297" t="s">
        <v>1271</v>
      </c>
      <c r="AD95" s="299">
        <v>43360</v>
      </c>
      <c r="AE95" s="300">
        <v>43360</v>
      </c>
      <c r="AF95" s="301" t="s">
        <v>1272</v>
      </c>
      <c r="AG95" s="297" t="s">
        <v>171</v>
      </c>
      <c r="AH95" s="297" t="s">
        <v>1273</v>
      </c>
      <c r="AI95" s="305">
        <v>43486</v>
      </c>
      <c r="AJ95" s="300">
        <v>43486</v>
      </c>
      <c r="AK95" s="301" t="s">
        <v>8026</v>
      </c>
      <c r="AL95" s="297" t="s">
        <v>503</v>
      </c>
      <c r="AM95" s="297" t="s">
        <v>8028</v>
      </c>
      <c r="AN95" s="297" t="s">
        <v>1274</v>
      </c>
      <c r="AO95" s="473"/>
      <c r="AP95" s="297"/>
      <c r="AQ95" s="301" t="s">
        <v>1275</v>
      </c>
      <c r="AR95" s="297" t="s">
        <v>66</v>
      </c>
      <c r="AS95" s="299">
        <v>38777</v>
      </c>
      <c r="AT95" s="299">
        <v>40084</v>
      </c>
      <c r="AU95" s="297" t="s">
        <v>1276</v>
      </c>
      <c r="AV95" s="297"/>
      <c r="AW95" s="297" t="s">
        <v>92</v>
      </c>
      <c r="AX95" s="297" t="s">
        <v>723</v>
      </c>
      <c r="AY95" s="299">
        <v>41547</v>
      </c>
      <c r="AZ95" s="297" t="s">
        <v>693</v>
      </c>
      <c r="BA95" s="299">
        <v>41941</v>
      </c>
      <c r="BB95" s="382">
        <v>41967</v>
      </c>
      <c r="BC95" s="297" t="s">
        <v>95</v>
      </c>
      <c r="BD95" s="297" t="s">
        <v>566</v>
      </c>
      <c r="BE95" s="297"/>
      <c r="BF95" s="301"/>
      <c r="BG95" s="301"/>
      <c r="BH95" s="301" t="s">
        <v>1277</v>
      </c>
      <c r="BI95" s="301"/>
      <c r="BJ95" s="312">
        <v>207965257</v>
      </c>
      <c r="BK95" s="312">
        <v>207965257</v>
      </c>
      <c r="BL95" s="313" t="s">
        <v>1278</v>
      </c>
      <c r="BM95" s="299">
        <v>43122</v>
      </c>
      <c r="BN95" s="314">
        <v>43101</v>
      </c>
      <c r="BO95" s="434" t="s">
        <v>1279</v>
      </c>
      <c r="BP95" s="396">
        <v>24904400</v>
      </c>
      <c r="BQ95" s="336" t="s">
        <v>7490</v>
      </c>
      <c r="BR95" s="430" t="s">
        <v>7491</v>
      </c>
      <c r="BS95" s="301" t="s">
        <v>1280</v>
      </c>
      <c r="BT95" s="301"/>
      <c r="BU95" s="301"/>
      <c r="BV95" s="301"/>
      <c r="BW95" s="316"/>
      <c r="BX95" s="304"/>
      <c r="BY95" s="299"/>
      <c r="BZ95" s="317"/>
    </row>
    <row r="96" spans="1:555" ht="129.75" customHeight="1">
      <c r="A96" s="503">
        <v>98</v>
      </c>
      <c r="B96" s="297" t="s">
        <v>1281</v>
      </c>
      <c r="C96" s="298">
        <v>75075217</v>
      </c>
      <c r="D96" s="354" t="s">
        <v>677</v>
      </c>
      <c r="E96" s="299">
        <v>42122</v>
      </c>
      <c r="F96" s="300">
        <v>42095</v>
      </c>
      <c r="G96" s="301" t="s">
        <v>1282</v>
      </c>
      <c r="H96" s="297" t="s">
        <v>195</v>
      </c>
      <c r="I96" s="297" t="s">
        <v>336</v>
      </c>
      <c r="J96" s="299">
        <v>42247</v>
      </c>
      <c r="K96" s="300">
        <v>42217</v>
      </c>
      <c r="L96" s="301" t="s">
        <v>1283</v>
      </c>
      <c r="M96" s="297" t="s">
        <v>5</v>
      </c>
      <c r="N96" s="297" t="s">
        <v>101</v>
      </c>
      <c r="O96" s="299">
        <v>43237</v>
      </c>
      <c r="P96" s="302">
        <v>43221</v>
      </c>
      <c r="Q96" s="301" t="s">
        <v>800</v>
      </c>
      <c r="R96" s="297" t="s">
        <v>5</v>
      </c>
      <c r="S96" s="297" t="s">
        <v>107</v>
      </c>
      <c r="T96" s="299">
        <v>43361</v>
      </c>
      <c r="U96" s="300">
        <v>43361</v>
      </c>
      <c r="V96" s="301" t="s">
        <v>1284</v>
      </c>
      <c r="W96" s="297" t="s">
        <v>171</v>
      </c>
      <c r="X96" s="297" t="s">
        <v>1273</v>
      </c>
      <c r="Y96" s="299"/>
      <c r="Z96" s="300"/>
      <c r="AA96" s="301"/>
      <c r="AB96" s="297"/>
      <c r="AC96" s="297"/>
      <c r="AD96" s="299"/>
      <c r="AE96" s="300"/>
      <c r="AF96" s="301"/>
      <c r="AG96" s="297"/>
      <c r="AH96" s="297"/>
      <c r="AI96" s="304"/>
      <c r="AJ96" s="300"/>
      <c r="AK96" s="301"/>
      <c r="AL96" s="297"/>
      <c r="AM96" s="297"/>
      <c r="AN96" s="297" t="s">
        <v>1274</v>
      </c>
      <c r="AO96" s="473"/>
      <c r="AP96" s="297"/>
      <c r="AQ96" s="301" t="s">
        <v>1285</v>
      </c>
      <c r="AR96" s="297" t="s">
        <v>66</v>
      </c>
      <c r="AS96" s="299">
        <v>38777</v>
      </c>
      <c r="AT96" s="299">
        <v>40539</v>
      </c>
      <c r="AU96" s="297" t="s">
        <v>1286</v>
      </c>
      <c r="AV96" s="297"/>
      <c r="AW96" s="297" t="s">
        <v>92</v>
      </c>
      <c r="AX96" s="297" t="s">
        <v>723</v>
      </c>
      <c r="AY96" s="299">
        <v>41386</v>
      </c>
      <c r="AZ96" s="297" t="s">
        <v>693</v>
      </c>
      <c r="BA96" s="299">
        <v>41767</v>
      </c>
      <c r="BB96" s="382">
        <v>41884</v>
      </c>
      <c r="BC96" s="297" t="s">
        <v>95</v>
      </c>
      <c r="BD96" s="297" t="s">
        <v>1792</v>
      </c>
      <c r="BE96" s="297"/>
      <c r="BF96" s="301"/>
      <c r="BG96" s="301" t="s">
        <v>1287</v>
      </c>
      <c r="BH96" s="301" t="s">
        <v>1288</v>
      </c>
      <c r="BI96" s="301"/>
      <c r="BJ96" s="312">
        <v>215567593</v>
      </c>
      <c r="BK96" s="312">
        <v>215567593</v>
      </c>
      <c r="BL96" s="313">
        <v>7769318</v>
      </c>
      <c r="BM96" s="299">
        <v>43122</v>
      </c>
      <c r="BN96" s="314">
        <v>43101</v>
      </c>
      <c r="BO96" s="434" t="s">
        <v>1289</v>
      </c>
      <c r="BP96" s="396">
        <v>25573400</v>
      </c>
      <c r="BQ96" s="336" t="s">
        <v>7476</v>
      </c>
      <c r="BR96" s="320"/>
      <c r="BS96" s="301" t="s">
        <v>1290</v>
      </c>
      <c r="BT96" s="301"/>
      <c r="BU96" s="301"/>
      <c r="BV96" s="301"/>
      <c r="BW96" s="316"/>
      <c r="BX96" s="304"/>
      <c r="BY96" s="299"/>
      <c r="BZ96" s="317"/>
    </row>
    <row r="97" spans="1:555" ht="83.25" customHeight="1">
      <c r="A97" s="296">
        <v>99</v>
      </c>
      <c r="B97" s="297" t="s">
        <v>1291</v>
      </c>
      <c r="C97" s="298">
        <v>75100021</v>
      </c>
      <c r="D97" s="354" t="s">
        <v>677</v>
      </c>
      <c r="E97" s="299">
        <v>42012</v>
      </c>
      <c r="F97" s="300">
        <v>42005</v>
      </c>
      <c r="G97" s="301" t="s">
        <v>1292</v>
      </c>
      <c r="H97" s="297" t="s">
        <v>5</v>
      </c>
      <c r="I97" s="297" t="s">
        <v>101</v>
      </c>
      <c r="J97" s="299">
        <v>42122</v>
      </c>
      <c r="K97" s="300">
        <v>42095</v>
      </c>
      <c r="L97" s="301" t="s">
        <v>1293</v>
      </c>
      <c r="M97" s="297" t="s">
        <v>195</v>
      </c>
      <c r="N97" s="297" t="s">
        <v>336</v>
      </c>
      <c r="O97" s="299">
        <v>42194</v>
      </c>
      <c r="P97" s="302">
        <v>42186</v>
      </c>
      <c r="Q97" s="301" t="s">
        <v>712</v>
      </c>
      <c r="R97" s="297" t="s">
        <v>5</v>
      </c>
      <c r="S97" s="297" t="s">
        <v>107</v>
      </c>
      <c r="T97" s="299">
        <v>42247</v>
      </c>
      <c r="U97" s="300">
        <v>42217</v>
      </c>
      <c r="V97" s="301" t="s">
        <v>1294</v>
      </c>
      <c r="W97" s="297" t="s">
        <v>5</v>
      </c>
      <c r="X97" s="297" t="s">
        <v>336</v>
      </c>
      <c r="Y97" s="299">
        <v>42293</v>
      </c>
      <c r="Z97" s="300">
        <v>42293</v>
      </c>
      <c r="AA97" s="301" t="s">
        <v>1295</v>
      </c>
      <c r="AB97" s="297" t="s">
        <v>5</v>
      </c>
      <c r="AC97" s="297" t="s">
        <v>107</v>
      </c>
      <c r="AD97" s="299" t="s">
        <v>1296</v>
      </c>
      <c r="AE97" s="300" t="s">
        <v>1297</v>
      </c>
      <c r="AF97" s="301" t="s">
        <v>1298</v>
      </c>
      <c r="AG97" s="297" t="s">
        <v>1299</v>
      </c>
      <c r="AH97" s="297" t="s">
        <v>1300</v>
      </c>
      <c r="AI97" s="305">
        <v>43363</v>
      </c>
      <c r="AJ97" s="300">
        <v>43363</v>
      </c>
      <c r="AK97" s="304" t="s">
        <v>1301</v>
      </c>
      <c r="AL97" s="297" t="s">
        <v>5</v>
      </c>
      <c r="AM97" s="304" t="s">
        <v>1302</v>
      </c>
      <c r="AN97" s="297"/>
      <c r="AO97" s="478"/>
      <c r="AP97" s="297"/>
      <c r="AQ97" s="301" t="s">
        <v>1303</v>
      </c>
      <c r="AR97" s="297" t="s">
        <v>66</v>
      </c>
      <c r="AS97" s="299">
        <v>38534</v>
      </c>
      <c r="AT97" s="299">
        <v>40164</v>
      </c>
      <c r="AU97" s="297" t="s">
        <v>8438</v>
      </c>
      <c r="AV97" s="297"/>
      <c r="AW97" s="297" t="s">
        <v>92</v>
      </c>
      <c r="AX97" s="297" t="s">
        <v>723</v>
      </c>
      <c r="AY97" s="299">
        <v>41571</v>
      </c>
      <c r="AZ97" s="297" t="s">
        <v>693</v>
      </c>
      <c r="BA97" s="299">
        <v>41824</v>
      </c>
      <c r="BB97" s="382">
        <v>41897</v>
      </c>
      <c r="BC97" s="297" t="s">
        <v>95</v>
      </c>
      <c r="BD97" s="297" t="s">
        <v>1792</v>
      </c>
      <c r="BE97" s="297"/>
      <c r="BF97" s="301"/>
      <c r="BG97" s="301"/>
      <c r="BH97" s="301" t="s">
        <v>1304</v>
      </c>
      <c r="BI97" s="301" t="s">
        <v>1305</v>
      </c>
      <c r="BJ97" s="74" t="s">
        <v>1306</v>
      </c>
      <c r="BK97" s="312" t="s">
        <v>1307</v>
      </c>
      <c r="BL97" s="313" t="s">
        <v>1308</v>
      </c>
      <c r="BM97" s="299" t="s">
        <v>1309</v>
      </c>
      <c r="BN97" s="314" t="s">
        <v>1310</v>
      </c>
      <c r="BO97" s="460"/>
      <c r="BP97" s="390">
        <v>8152100</v>
      </c>
      <c r="BQ97" s="297" t="s">
        <v>7462</v>
      </c>
      <c r="BR97" s="303"/>
      <c r="BS97" s="301" t="s">
        <v>1311</v>
      </c>
      <c r="BT97" s="301" t="s">
        <v>1312</v>
      </c>
      <c r="BU97" s="301" t="s">
        <v>1313</v>
      </c>
      <c r="BV97" s="301"/>
      <c r="BW97" s="316" t="s">
        <v>1314</v>
      </c>
      <c r="BX97" s="304" t="s">
        <v>1315</v>
      </c>
      <c r="BY97" s="299" t="s">
        <v>1316</v>
      </c>
      <c r="BZ97" s="317" t="s">
        <v>1317</v>
      </c>
    </row>
    <row r="98" spans="1:555" s="509" customFormat="1" ht="59.25" customHeight="1">
      <c r="A98" s="296">
        <v>100</v>
      </c>
      <c r="B98" s="297" t="s">
        <v>1318</v>
      </c>
      <c r="C98" s="298">
        <v>75072866</v>
      </c>
      <c r="D98" s="354" t="s">
        <v>677</v>
      </c>
      <c r="E98" s="299">
        <v>42122</v>
      </c>
      <c r="F98" s="300">
        <v>42095</v>
      </c>
      <c r="G98" s="301" t="s">
        <v>1319</v>
      </c>
      <c r="H98" s="297" t="s">
        <v>195</v>
      </c>
      <c r="I98" s="297" t="s">
        <v>183</v>
      </c>
      <c r="J98" s="299">
        <v>42247</v>
      </c>
      <c r="K98" s="300">
        <v>42217</v>
      </c>
      <c r="L98" s="301" t="s">
        <v>1320</v>
      </c>
      <c r="M98" s="297" t="s">
        <v>5</v>
      </c>
      <c r="N98" s="297" t="s">
        <v>101</v>
      </c>
      <c r="O98" s="299">
        <v>42986</v>
      </c>
      <c r="P98" s="302">
        <v>42979</v>
      </c>
      <c r="Q98" s="301" t="s">
        <v>1321</v>
      </c>
      <c r="R98" s="297" t="s">
        <v>208</v>
      </c>
      <c r="S98" s="297" t="s">
        <v>107</v>
      </c>
      <c r="T98" s="299">
        <v>42768</v>
      </c>
      <c r="U98" s="300">
        <v>42767</v>
      </c>
      <c r="V98" s="301" t="s">
        <v>1322</v>
      </c>
      <c r="W98" s="297" t="s">
        <v>208</v>
      </c>
      <c r="X98" s="297" t="s">
        <v>107</v>
      </c>
      <c r="Y98" s="299">
        <v>42894</v>
      </c>
      <c r="Z98" s="300">
        <v>42887</v>
      </c>
      <c r="AA98" s="301" t="s">
        <v>1323</v>
      </c>
      <c r="AB98" s="297" t="s">
        <v>208</v>
      </c>
      <c r="AC98" s="297" t="s">
        <v>107</v>
      </c>
      <c r="AD98" s="299" t="s">
        <v>1324</v>
      </c>
      <c r="AE98" s="300" t="s">
        <v>1325</v>
      </c>
      <c r="AF98" s="301" t="s">
        <v>1326</v>
      </c>
      <c r="AG98" s="297" t="s">
        <v>1327</v>
      </c>
      <c r="AH98" s="297" t="s">
        <v>1328</v>
      </c>
      <c r="AI98" s="305" t="s">
        <v>7287</v>
      </c>
      <c r="AJ98" s="300" t="s">
        <v>7288</v>
      </c>
      <c r="AK98" s="315" t="s">
        <v>7284</v>
      </c>
      <c r="AL98" s="315" t="s">
        <v>7285</v>
      </c>
      <c r="AM98" s="315" t="s">
        <v>7286</v>
      </c>
      <c r="AN98" s="297" t="s">
        <v>1029</v>
      </c>
      <c r="AO98" s="478"/>
      <c r="AP98" s="297"/>
      <c r="AQ98" s="301" t="s">
        <v>1329</v>
      </c>
      <c r="AR98" s="297" t="s">
        <v>66</v>
      </c>
      <c r="AS98" s="299">
        <v>39052</v>
      </c>
      <c r="AT98" s="299">
        <v>40626</v>
      </c>
      <c r="AU98" s="297" t="s">
        <v>9231</v>
      </c>
      <c r="AV98" s="297"/>
      <c r="AW98" s="297" t="s">
        <v>92</v>
      </c>
      <c r="AX98" s="297" t="s">
        <v>723</v>
      </c>
      <c r="AY98" s="299">
        <v>41759</v>
      </c>
      <c r="AZ98" s="297" t="s">
        <v>736</v>
      </c>
      <c r="BA98" s="299">
        <v>41914</v>
      </c>
      <c r="BB98" s="382">
        <v>41968</v>
      </c>
      <c r="BC98" s="297" t="s">
        <v>95</v>
      </c>
      <c r="BD98" s="297" t="s">
        <v>4604</v>
      </c>
      <c r="BE98" s="297"/>
      <c r="BF98" s="301"/>
      <c r="BG98" s="301" t="s">
        <v>1330</v>
      </c>
      <c r="BH98" s="301" t="s">
        <v>1331</v>
      </c>
      <c r="BI98" s="301"/>
      <c r="BJ98" s="74">
        <v>225542883</v>
      </c>
      <c r="BK98" s="312">
        <v>225542883</v>
      </c>
      <c r="BL98" s="313" t="s">
        <v>1332</v>
      </c>
      <c r="BM98" s="299">
        <v>43115</v>
      </c>
      <c r="BN98" s="314">
        <v>43101</v>
      </c>
      <c r="BO98" s="434" t="s">
        <v>1333</v>
      </c>
      <c r="BP98" s="396">
        <v>28190800</v>
      </c>
      <c r="BQ98" s="336" t="s">
        <v>7468</v>
      </c>
      <c r="BR98" s="320"/>
      <c r="BS98" s="301" t="s">
        <v>1334</v>
      </c>
      <c r="BT98" s="301"/>
      <c r="BU98" s="301"/>
      <c r="BV98" s="301"/>
      <c r="BW98" s="316"/>
      <c r="BX98" s="304"/>
      <c r="BY98" s="299"/>
      <c r="BZ98" s="317"/>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c r="IY98" s="1"/>
      <c r="IZ98" s="1"/>
      <c r="JA98" s="1"/>
      <c r="JB98" s="1"/>
      <c r="JC98" s="1"/>
      <c r="JD98" s="1"/>
      <c r="JE98" s="1"/>
      <c r="JF98" s="1"/>
      <c r="JG98" s="1"/>
      <c r="JH98" s="1"/>
      <c r="JI98" s="1"/>
      <c r="JJ98" s="1"/>
      <c r="JK98" s="1"/>
      <c r="JL98" s="1"/>
      <c r="JM98" s="1"/>
      <c r="JN98" s="1"/>
      <c r="JO98" s="1"/>
      <c r="JP98" s="1"/>
      <c r="JQ98" s="1"/>
      <c r="JR98" s="1"/>
      <c r="JS98" s="1"/>
      <c r="JT98" s="1"/>
      <c r="JU98" s="1"/>
      <c r="JV98" s="1"/>
      <c r="JW98" s="1"/>
      <c r="JX98" s="1"/>
      <c r="JY98" s="1"/>
      <c r="JZ98" s="1"/>
      <c r="KA98" s="1"/>
      <c r="KB98" s="1"/>
      <c r="KC98" s="1"/>
      <c r="KD98" s="1"/>
      <c r="KE98" s="1"/>
      <c r="KF98" s="1"/>
      <c r="KG98" s="1"/>
      <c r="KH98" s="1"/>
      <c r="KI98" s="1"/>
      <c r="KJ98" s="1"/>
      <c r="KK98" s="1"/>
      <c r="KL98" s="1"/>
      <c r="KM98" s="1"/>
      <c r="KN98" s="1"/>
      <c r="KO98" s="1"/>
      <c r="KP98" s="1"/>
      <c r="KQ98" s="1"/>
      <c r="KR98" s="1"/>
      <c r="KS98" s="1"/>
      <c r="KT98" s="1"/>
      <c r="KU98" s="1"/>
      <c r="KV98" s="1"/>
      <c r="KW98" s="1"/>
      <c r="KX98" s="1"/>
      <c r="KY98" s="1"/>
      <c r="KZ98" s="1"/>
      <c r="LA98" s="1"/>
      <c r="LB98" s="1"/>
      <c r="LC98" s="1"/>
      <c r="LD98" s="1"/>
      <c r="LE98" s="1"/>
      <c r="LF98" s="1"/>
      <c r="LG98" s="1"/>
      <c r="LH98" s="1"/>
      <c r="LI98" s="1"/>
      <c r="LJ98" s="1"/>
      <c r="LK98" s="1"/>
      <c r="LL98" s="1"/>
      <c r="LM98" s="1"/>
      <c r="LN98" s="1"/>
      <c r="LO98" s="1"/>
      <c r="LP98" s="1"/>
      <c r="LQ98" s="1"/>
      <c r="LR98" s="1"/>
      <c r="LS98" s="1"/>
      <c r="LT98" s="1"/>
      <c r="LU98" s="1"/>
      <c r="LV98" s="1"/>
      <c r="LW98" s="1"/>
      <c r="LX98" s="1"/>
      <c r="LY98" s="1"/>
      <c r="LZ98" s="1"/>
      <c r="MA98" s="1"/>
      <c r="MB98" s="1"/>
      <c r="MC98" s="1"/>
      <c r="MD98" s="1"/>
      <c r="ME98" s="1"/>
      <c r="MF98" s="1"/>
      <c r="MG98" s="1"/>
      <c r="MH98" s="1"/>
      <c r="MI98" s="1"/>
      <c r="MJ98" s="1"/>
      <c r="MK98" s="1"/>
      <c r="ML98" s="1"/>
      <c r="MM98" s="1"/>
      <c r="MN98" s="1"/>
      <c r="MO98" s="1"/>
      <c r="MP98" s="1"/>
      <c r="MQ98" s="1"/>
      <c r="MR98" s="1"/>
      <c r="MS98" s="1"/>
      <c r="MT98" s="1"/>
      <c r="MU98" s="1"/>
      <c r="MV98" s="1"/>
      <c r="MW98" s="1"/>
      <c r="MX98" s="1"/>
      <c r="MY98" s="1"/>
      <c r="MZ98" s="1"/>
      <c r="NA98" s="1"/>
      <c r="NB98" s="1"/>
      <c r="NC98" s="1"/>
      <c r="ND98" s="1"/>
      <c r="NE98" s="1"/>
      <c r="NF98" s="1"/>
      <c r="NG98" s="1"/>
      <c r="NH98" s="1"/>
      <c r="NI98" s="1"/>
      <c r="NJ98" s="1"/>
      <c r="NK98" s="1"/>
      <c r="NL98" s="1"/>
      <c r="NM98" s="1"/>
      <c r="NN98" s="1"/>
      <c r="NO98" s="1"/>
      <c r="NP98" s="1"/>
      <c r="NQ98" s="1"/>
      <c r="NR98" s="1"/>
      <c r="NS98" s="1"/>
      <c r="NT98" s="1"/>
      <c r="NU98" s="1"/>
      <c r="NV98" s="1"/>
      <c r="NW98" s="1"/>
      <c r="NX98" s="1"/>
      <c r="NY98" s="1"/>
      <c r="NZ98" s="1"/>
      <c r="OA98" s="1"/>
      <c r="OB98" s="1"/>
      <c r="OC98" s="1"/>
      <c r="OD98" s="1"/>
      <c r="OE98" s="1"/>
      <c r="OF98" s="1"/>
      <c r="OG98" s="1"/>
      <c r="OH98" s="1"/>
      <c r="OI98" s="1"/>
      <c r="OJ98" s="1"/>
      <c r="OK98" s="1"/>
      <c r="OL98" s="1"/>
      <c r="OM98" s="1"/>
      <c r="ON98" s="1"/>
      <c r="OO98" s="1"/>
      <c r="OP98" s="1"/>
      <c r="OQ98" s="1"/>
      <c r="OR98" s="1"/>
      <c r="OS98" s="1"/>
      <c r="OT98" s="1"/>
      <c r="OU98" s="1"/>
      <c r="OV98" s="1"/>
      <c r="OW98" s="1"/>
      <c r="OX98" s="1"/>
      <c r="OY98" s="1"/>
      <c r="OZ98" s="1"/>
      <c r="PA98" s="1"/>
      <c r="PB98" s="1"/>
      <c r="PC98" s="1"/>
      <c r="PD98" s="1"/>
      <c r="PE98" s="1"/>
      <c r="PF98" s="1"/>
      <c r="PG98" s="1"/>
      <c r="PH98" s="1"/>
      <c r="PI98" s="1"/>
      <c r="PJ98" s="1"/>
      <c r="PK98" s="1"/>
      <c r="PL98" s="1"/>
      <c r="PM98" s="1"/>
      <c r="PN98" s="1"/>
      <c r="PO98" s="1"/>
      <c r="PP98" s="1"/>
      <c r="PQ98" s="1"/>
      <c r="PR98" s="1"/>
      <c r="PS98" s="1"/>
      <c r="PT98" s="1"/>
      <c r="PU98" s="1"/>
      <c r="PV98" s="1"/>
      <c r="PW98" s="1"/>
      <c r="PX98" s="1"/>
      <c r="PY98" s="1"/>
      <c r="PZ98" s="1"/>
      <c r="QA98" s="1"/>
      <c r="QB98" s="1"/>
      <c r="QC98" s="1"/>
      <c r="QD98" s="1"/>
      <c r="QE98" s="1"/>
      <c r="QF98" s="1"/>
      <c r="QG98" s="1"/>
      <c r="QH98" s="1"/>
      <c r="QI98" s="1"/>
      <c r="QJ98" s="1"/>
      <c r="QK98" s="1"/>
      <c r="QL98" s="1"/>
      <c r="QM98" s="1"/>
      <c r="QN98" s="1"/>
      <c r="QO98" s="1"/>
      <c r="QP98" s="1"/>
      <c r="QQ98" s="1"/>
      <c r="QR98" s="1"/>
      <c r="QS98" s="1"/>
      <c r="QT98" s="1"/>
      <c r="QU98" s="1"/>
      <c r="QV98" s="1"/>
      <c r="QW98" s="1"/>
      <c r="QX98" s="1"/>
      <c r="QY98" s="1"/>
      <c r="QZ98" s="1"/>
      <c r="RA98" s="1"/>
      <c r="RB98" s="1"/>
      <c r="RC98" s="1"/>
      <c r="RD98" s="1"/>
      <c r="RE98" s="1"/>
      <c r="RF98" s="1"/>
      <c r="RG98" s="1"/>
      <c r="RH98" s="1"/>
      <c r="RI98" s="1"/>
      <c r="RJ98" s="1"/>
      <c r="RK98" s="1"/>
      <c r="RL98" s="1"/>
      <c r="RM98" s="1"/>
      <c r="RN98" s="1"/>
      <c r="RO98" s="1"/>
      <c r="RP98" s="1"/>
      <c r="RQ98" s="1"/>
      <c r="RR98" s="1"/>
      <c r="RS98" s="1"/>
      <c r="RT98" s="1"/>
      <c r="RU98" s="1"/>
      <c r="RV98" s="1"/>
      <c r="RW98" s="1"/>
      <c r="RX98" s="1"/>
      <c r="RY98" s="1"/>
      <c r="RZ98" s="1"/>
      <c r="SA98" s="1"/>
      <c r="SB98" s="1"/>
      <c r="SC98" s="1"/>
      <c r="SD98" s="1"/>
      <c r="SE98" s="1"/>
      <c r="SF98" s="1"/>
      <c r="SG98" s="1"/>
      <c r="SH98" s="1"/>
      <c r="SI98" s="1"/>
      <c r="SJ98" s="1"/>
      <c r="SK98" s="1"/>
      <c r="SL98" s="1"/>
      <c r="SM98" s="1"/>
      <c r="SN98" s="1"/>
      <c r="SO98" s="1"/>
      <c r="SP98" s="1"/>
      <c r="SQ98" s="1"/>
      <c r="SR98" s="1"/>
      <c r="SS98" s="1"/>
      <c r="ST98" s="1"/>
      <c r="SU98" s="1"/>
      <c r="SV98" s="1"/>
      <c r="SW98" s="1"/>
      <c r="SX98" s="1"/>
      <c r="SY98" s="1"/>
      <c r="SZ98" s="1"/>
      <c r="TA98" s="1"/>
      <c r="TB98" s="1"/>
      <c r="TC98" s="1"/>
      <c r="TD98" s="1"/>
      <c r="TE98" s="1"/>
      <c r="TF98" s="1"/>
      <c r="TG98" s="1"/>
      <c r="TH98" s="1"/>
      <c r="TI98" s="1"/>
      <c r="TJ98" s="1"/>
      <c r="TK98" s="1"/>
      <c r="TL98" s="1"/>
      <c r="TM98" s="1"/>
      <c r="TN98" s="1"/>
      <c r="TO98" s="1"/>
      <c r="TP98" s="1"/>
      <c r="TQ98" s="1"/>
      <c r="TR98" s="1"/>
      <c r="TS98" s="1"/>
      <c r="TT98" s="1"/>
      <c r="TU98" s="1"/>
      <c r="TV98" s="1"/>
      <c r="TW98" s="1"/>
      <c r="TX98" s="1"/>
      <c r="TY98" s="1"/>
      <c r="TZ98" s="1"/>
      <c r="UA98" s="1"/>
      <c r="UB98" s="1"/>
      <c r="UC98" s="1"/>
      <c r="UD98" s="1"/>
      <c r="UE98" s="1"/>
      <c r="UF98" s="1"/>
      <c r="UG98" s="1"/>
      <c r="UH98" s="1"/>
      <c r="UI98" s="1"/>
    </row>
    <row r="99" spans="1:555" ht="88.5" customHeight="1">
      <c r="A99" s="296">
        <v>101</v>
      </c>
      <c r="B99" s="297" t="s">
        <v>1335</v>
      </c>
      <c r="C99" s="298">
        <v>91498756</v>
      </c>
      <c r="D99" s="354" t="s">
        <v>1336</v>
      </c>
      <c r="E99" s="299">
        <v>42125</v>
      </c>
      <c r="F99" s="300">
        <v>42125</v>
      </c>
      <c r="G99" s="301" t="s">
        <v>1337</v>
      </c>
      <c r="H99" s="297" t="s">
        <v>5</v>
      </c>
      <c r="I99" s="297" t="s">
        <v>101</v>
      </c>
      <c r="J99" s="299">
        <v>42229</v>
      </c>
      <c r="K99" s="300">
        <v>42217</v>
      </c>
      <c r="L99" s="301" t="s">
        <v>1338</v>
      </c>
      <c r="M99" s="297" t="s">
        <v>195</v>
      </c>
      <c r="N99" s="297" t="s">
        <v>336</v>
      </c>
      <c r="O99" s="299">
        <v>42340</v>
      </c>
      <c r="P99" s="302">
        <v>42339</v>
      </c>
      <c r="Q99" s="301" t="s">
        <v>1339</v>
      </c>
      <c r="R99" s="297" t="s">
        <v>5</v>
      </c>
      <c r="S99" s="297" t="s">
        <v>169</v>
      </c>
      <c r="T99" s="299"/>
      <c r="U99" s="300"/>
      <c r="V99" s="301"/>
      <c r="W99" s="297"/>
      <c r="X99" s="297"/>
      <c r="Y99" s="299"/>
      <c r="Z99" s="300"/>
      <c r="AA99" s="301"/>
      <c r="AB99" s="297"/>
      <c r="AC99" s="297"/>
      <c r="AD99" s="299"/>
      <c r="AE99" s="300"/>
      <c r="AF99" s="301"/>
      <c r="AG99" s="297"/>
      <c r="AH99" s="297"/>
      <c r="AI99" s="304"/>
      <c r="AJ99" s="300"/>
      <c r="AK99" s="301"/>
      <c r="AL99" s="297"/>
      <c r="AM99" s="297"/>
      <c r="AN99" s="297"/>
      <c r="AO99" s="473"/>
      <c r="AP99" s="297"/>
      <c r="AQ99" s="301" t="s">
        <v>1340</v>
      </c>
      <c r="AR99" s="297" t="s">
        <v>66</v>
      </c>
      <c r="AS99" s="299">
        <v>38108</v>
      </c>
      <c r="AT99" s="299">
        <v>39859</v>
      </c>
      <c r="AU99" s="297" t="s">
        <v>186</v>
      </c>
      <c r="AV99" s="297"/>
      <c r="AW99" s="297" t="s">
        <v>92</v>
      </c>
      <c r="AX99" s="297" t="s">
        <v>1341</v>
      </c>
      <c r="AY99" s="299">
        <v>41759</v>
      </c>
      <c r="AZ99" s="297" t="s">
        <v>67</v>
      </c>
      <c r="BA99" s="299" t="s">
        <v>67</v>
      </c>
      <c r="BB99" s="382">
        <v>42067</v>
      </c>
      <c r="BC99" s="297" t="s">
        <v>95</v>
      </c>
      <c r="BD99" s="297" t="s">
        <v>566</v>
      </c>
      <c r="BE99" s="297"/>
      <c r="BF99" s="301"/>
      <c r="BG99" s="301" t="s">
        <v>67</v>
      </c>
      <c r="BH99" s="301" t="s">
        <v>1342</v>
      </c>
      <c r="BI99" s="301" t="s">
        <v>1343</v>
      </c>
      <c r="BJ99" s="312">
        <v>115007815</v>
      </c>
      <c r="BK99" s="312">
        <v>115007815</v>
      </c>
      <c r="BL99" s="313" t="s">
        <v>1344</v>
      </c>
      <c r="BM99" s="299">
        <v>42667</v>
      </c>
      <c r="BN99" s="314">
        <v>42644</v>
      </c>
      <c r="BO99" s="460"/>
      <c r="BP99" s="390"/>
      <c r="BQ99" s="297"/>
      <c r="BR99" s="303"/>
      <c r="BS99" s="301"/>
      <c r="BT99" s="301" t="s">
        <v>1345</v>
      </c>
      <c r="BU99" s="301"/>
      <c r="BV99" s="301"/>
      <c r="BW99" s="316"/>
      <c r="BX99" s="304"/>
      <c r="BY99" s="299"/>
      <c r="BZ99" s="317"/>
    </row>
    <row r="100" spans="1:555" ht="42" customHeight="1">
      <c r="A100" s="502">
        <v>102</v>
      </c>
      <c r="B100" s="303" t="s">
        <v>1346</v>
      </c>
      <c r="C100" s="298">
        <v>91071640</v>
      </c>
      <c r="D100" s="443" t="s">
        <v>382</v>
      </c>
      <c r="E100" s="299">
        <v>42129</v>
      </c>
      <c r="F100" s="300">
        <v>42125</v>
      </c>
      <c r="G100" s="301" t="s">
        <v>1347</v>
      </c>
      <c r="H100" s="297" t="s">
        <v>5</v>
      </c>
      <c r="I100" s="297" t="s">
        <v>101</v>
      </c>
      <c r="J100" s="305">
        <v>43629</v>
      </c>
      <c r="K100" s="300">
        <v>43629</v>
      </c>
      <c r="L100" s="315" t="s">
        <v>8889</v>
      </c>
      <c r="M100" s="304" t="s">
        <v>5</v>
      </c>
      <c r="N100" s="299" t="s">
        <v>8243</v>
      </c>
      <c r="O100" s="299"/>
      <c r="P100" s="302"/>
      <c r="Q100" s="301"/>
      <c r="R100" s="297"/>
      <c r="S100" s="297"/>
      <c r="T100" s="299"/>
      <c r="U100" s="300"/>
      <c r="V100" s="301"/>
      <c r="W100" s="297"/>
      <c r="X100" s="297"/>
      <c r="Y100" s="299"/>
      <c r="Z100" s="300"/>
      <c r="AA100" s="301"/>
      <c r="AB100" s="297"/>
      <c r="AC100" s="297"/>
      <c r="AD100" s="299"/>
      <c r="AE100" s="300"/>
      <c r="AF100" s="301"/>
      <c r="AG100" s="297"/>
      <c r="AH100" s="297"/>
      <c r="AI100" s="304"/>
      <c r="AJ100" s="300"/>
      <c r="AK100" s="301"/>
      <c r="AL100" s="297"/>
      <c r="AM100" s="297"/>
      <c r="AN100" s="303" t="s">
        <v>600</v>
      </c>
      <c r="AO100" s="474"/>
      <c r="AP100" s="303"/>
      <c r="AQ100" s="301" t="s">
        <v>1348</v>
      </c>
      <c r="AR100" s="297" t="s">
        <v>66</v>
      </c>
      <c r="AS100" s="299">
        <v>38534</v>
      </c>
      <c r="AT100" s="299">
        <v>39794</v>
      </c>
      <c r="AU100" s="303" t="s">
        <v>1349</v>
      </c>
      <c r="AV100" s="303"/>
      <c r="AW100" s="297" t="s">
        <v>92</v>
      </c>
      <c r="AX100" s="297" t="s">
        <v>1350</v>
      </c>
      <c r="AY100" s="299">
        <v>41956</v>
      </c>
      <c r="AZ100" s="297" t="s">
        <v>67</v>
      </c>
      <c r="BA100" s="299" t="s">
        <v>67</v>
      </c>
      <c r="BB100" s="382">
        <v>41971</v>
      </c>
      <c r="BC100" s="297" t="s">
        <v>95</v>
      </c>
      <c r="BD100" s="297" t="s">
        <v>1792</v>
      </c>
      <c r="BE100" s="297"/>
      <c r="BF100" s="301"/>
      <c r="BG100" s="301" t="s">
        <v>1351</v>
      </c>
      <c r="BH100" s="301" t="s">
        <v>1352</v>
      </c>
      <c r="BI100" s="301"/>
      <c r="BJ100" s="312">
        <v>128139127</v>
      </c>
      <c r="BK100" s="312">
        <v>128139127</v>
      </c>
      <c r="BL100" s="313" t="s">
        <v>1353</v>
      </c>
      <c r="BM100" s="299">
        <v>43115</v>
      </c>
      <c r="BN100" s="314">
        <v>43101</v>
      </c>
      <c r="BO100" s="434" t="s">
        <v>1354</v>
      </c>
      <c r="BP100" s="397"/>
      <c r="BQ100" s="398"/>
      <c r="BR100" s="320"/>
      <c r="BS100" s="301" t="s">
        <v>8814</v>
      </c>
      <c r="BT100" s="301"/>
      <c r="BU100" s="301"/>
      <c r="BV100" s="301"/>
      <c r="BW100" s="316"/>
      <c r="BX100" s="304"/>
      <c r="BY100" s="299"/>
      <c r="BZ100" s="317"/>
    </row>
    <row r="101" spans="1:555" ht="93" customHeight="1">
      <c r="A101" s="296">
        <v>103</v>
      </c>
      <c r="B101" s="297" t="s">
        <v>1356</v>
      </c>
      <c r="C101" s="298">
        <v>75100125</v>
      </c>
      <c r="D101" s="354" t="s">
        <v>677</v>
      </c>
      <c r="E101" s="299">
        <v>42135</v>
      </c>
      <c r="F101" s="300">
        <v>42125</v>
      </c>
      <c r="G101" s="301" t="s">
        <v>1357</v>
      </c>
      <c r="H101" s="297" t="s">
        <v>5</v>
      </c>
      <c r="I101" s="297" t="s">
        <v>101</v>
      </c>
      <c r="J101" s="299">
        <v>42247</v>
      </c>
      <c r="K101" s="300">
        <v>42217</v>
      </c>
      <c r="L101" s="301" t="s">
        <v>1358</v>
      </c>
      <c r="M101" s="297" t="s">
        <v>5</v>
      </c>
      <c r="N101" s="297" t="s">
        <v>336</v>
      </c>
      <c r="O101" s="299">
        <v>43476</v>
      </c>
      <c r="P101" s="302">
        <v>43476</v>
      </c>
      <c r="Q101" s="301" t="s">
        <v>8019</v>
      </c>
      <c r="R101" s="297" t="s">
        <v>171</v>
      </c>
      <c r="S101" s="297" t="s">
        <v>2731</v>
      </c>
      <c r="T101" s="299">
        <v>43480</v>
      </c>
      <c r="U101" s="300">
        <v>43480</v>
      </c>
      <c r="V101" s="301" t="s">
        <v>8021</v>
      </c>
      <c r="W101" s="297" t="s">
        <v>171</v>
      </c>
      <c r="X101" s="297" t="s">
        <v>2731</v>
      </c>
      <c r="Y101" s="299"/>
      <c r="Z101" s="300"/>
      <c r="AA101" s="301"/>
      <c r="AB101" s="297"/>
      <c r="AC101" s="297"/>
      <c r="AD101" s="299"/>
      <c r="AE101" s="300"/>
      <c r="AF101" s="301"/>
      <c r="AG101" s="297"/>
      <c r="AH101" s="297"/>
      <c r="AI101" s="304"/>
      <c r="AJ101" s="300"/>
      <c r="AK101" s="301"/>
      <c r="AL101" s="297"/>
      <c r="AM101" s="297"/>
      <c r="AN101" s="297" t="s">
        <v>1359</v>
      </c>
      <c r="AO101" s="473"/>
      <c r="AP101" s="297"/>
      <c r="AQ101" s="301" t="s">
        <v>1360</v>
      </c>
      <c r="AR101" s="297" t="s">
        <v>66</v>
      </c>
      <c r="AS101" s="299">
        <v>38412</v>
      </c>
      <c r="AT101" s="299">
        <v>40540</v>
      </c>
      <c r="AU101" s="297" t="s">
        <v>1361</v>
      </c>
      <c r="AV101" s="297"/>
      <c r="AW101" s="297" t="s">
        <v>92</v>
      </c>
      <c r="AX101" s="297" t="s">
        <v>1362</v>
      </c>
      <c r="AY101" s="299">
        <v>41666</v>
      </c>
      <c r="AZ101" s="297" t="s">
        <v>804</v>
      </c>
      <c r="BA101" s="299">
        <v>41964</v>
      </c>
      <c r="BB101" s="382">
        <v>42073</v>
      </c>
      <c r="BC101" s="297" t="s">
        <v>95</v>
      </c>
      <c r="BD101" s="297" t="s">
        <v>566</v>
      </c>
      <c r="BE101" s="297"/>
      <c r="BF101" s="301"/>
      <c r="BG101" s="301" t="s">
        <v>1363</v>
      </c>
      <c r="BH101" s="301" t="s">
        <v>1364</v>
      </c>
      <c r="BI101" s="301"/>
      <c r="BJ101" s="312">
        <v>228755397</v>
      </c>
      <c r="BK101" s="312">
        <v>228755397</v>
      </c>
      <c r="BL101" s="313" t="s">
        <v>1365</v>
      </c>
      <c r="BM101" s="299">
        <v>43112</v>
      </c>
      <c r="BN101" s="314">
        <v>43101</v>
      </c>
      <c r="BO101" s="434" t="s">
        <v>1366</v>
      </c>
      <c r="BP101" s="397"/>
      <c r="BQ101" s="398"/>
      <c r="BR101" s="320"/>
      <c r="BS101" s="301" t="s">
        <v>1367</v>
      </c>
      <c r="BT101" s="301"/>
      <c r="BU101" s="301"/>
      <c r="BV101" s="301"/>
      <c r="BW101" s="316"/>
      <c r="BX101" s="304"/>
      <c r="BY101" s="299"/>
      <c r="BZ101" s="317"/>
    </row>
    <row r="102" spans="1:555" ht="80.25" customHeight="1">
      <c r="A102" s="503">
        <v>104</v>
      </c>
      <c r="B102" s="297" t="s">
        <v>1368</v>
      </c>
      <c r="C102" s="298">
        <v>93383493</v>
      </c>
      <c r="D102" s="354" t="s">
        <v>382</v>
      </c>
      <c r="E102" s="299">
        <v>42129</v>
      </c>
      <c r="F102" s="300">
        <v>42125</v>
      </c>
      <c r="G102" s="301" t="s">
        <v>1369</v>
      </c>
      <c r="H102" s="297" t="s">
        <v>5</v>
      </c>
      <c r="I102" s="297" t="s">
        <v>101</v>
      </c>
      <c r="J102" s="299">
        <v>42830</v>
      </c>
      <c r="K102" s="300">
        <v>42826</v>
      </c>
      <c r="L102" s="301" t="s">
        <v>1370</v>
      </c>
      <c r="M102" s="297" t="s">
        <v>5</v>
      </c>
      <c r="N102" s="297" t="s">
        <v>1371</v>
      </c>
      <c r="O102" s="299">
        <v>43139</v>
      </c>
      <c r="P102" s="302">
        <v>43132</v>
      </c>
      <c r="Q102" s="301" t="s">
        <v>1372</v>
      </c>
      <c r="R102" s="297" t="s">
        <v>208</v>
      </c>
      <c r="S102" s="297" t="s">
        <v>107</v>
      </c>
      <c r="T102" s="299">
        <v>43336</v>
      </c>
      <c r="U102" s="300">
        <v>43336</v>
      </c>
      <c r="V102" s="301" t="s">
        <v>1373</v>
      </c>
      <c r="W102" s="297" t="s">
        <v>576</v>
      </c>
      <c r="X102" s="297" t="s">
        <v>1374</v>
      </c>
      <c r="Y102" s="299">
        <v>43336</v>
      </c>
      <c r="Z102" s="300">
        <v>43336</v>
      </c>
      <c r="AA102" s="301" t="s">
        <v>1375</v>
      </c>
      <c r="AB102" s="297" t="s">
        <v>576</v>
      </c>
      <c r="AC102" s="297" t="s">
        <v>1374</v>
      </c>
      <c r="AD102" s="299">
        <v>43383</v>
      </c>
      <c r="AE102" s="300">
        <v>43383</v>
      </c>
      <c r="AF102" s="301" t="s">
        <v>1376</v>
      </c>
      <c r="AG102" s="297" t="s">
        <v>576</v>
      </c>
      <c r="AH102" s="297" t="s">
        <v>1377</v>
      </c>
      <c r="AI102" s="305" t="s">
        <v>8884</v>
      </c>
      <c r="AJ102" s="300" t="s">
        <v>8885</v>
      </c>
      <c r="AK102" s="301" t="s">
        <v>8886</v>
      </c>
      <c r="AL102" s="297" t="s">
        <v>8887</v>
      </c>
      <c r="AM102" s="297" t="s">
        <v>8888</v>
      </c>
      <c r="AN102" s="297"/>
      <c r="AO102" s="473"/>
      <c r="AP102" s="297"/>
      <c r="AQ102" s="301" t="s">
        <v>1378</v>
      </c>
      <c r="AR102" s="297" t="s">
        <v>66</v>
      </c>
      <c r="AS102" s="299">
        <v>38777</v>
      </c>
      <c r="AT102" s="299">
        <v>40862</v>
      </c>
      <c r="AU102" s="297" t="s">
        <v>1379</v>
      </c>
      <c r="AV102" s="297"/>
      <c r="AW102" s="297" t="s">
        <v>69</v>
      </c>
      <c r="AX102" s="297" t="s">
        <v>1380</v>
      </c>
      <c r="AY102" s="299">
        <v>41514</v>
      </c>
      <c r="AZ102" s="297" t="s">
        <v>1381</v>
      </c>
      <c r="BA102" s="299">
        <v>41898</v>
      </c>
      <c r="BB102" s="382">
        <v>41955</v>
      </c>
      <c r="BC102" s="297" t="s">
        <v>95</v>
      </c>
      <c r="BD102" s="297" t="s">
        <v>1792</v>
      </c>
      <c r="BE102" s="297"/>
      <c r="BF102" s="301"/>
      <c r="BG102" s="301" t="s">
        <v>1382</v>
      </c>
      <c r="BH102" s="301" t="s">
        <v>1383</v>
      </c>
      <c r="BI102" s="301" t="s">
        <v>1384</v>
      </c>
      <c r="BJ102" s="312">
        <v>150034771</v>
      </c>
      <c r="BK102" s="312" t="s">
        <v>1385</v>
      </c>
      <c r="BL102" s="313" t="s">
        <v>1386</v>
      </c>
      <c r="BM102" s="299" t="s">
        <v>1387</v>
      </c>
      <c r="BN102" s="314">
        <v>42856</v>
      </c>
      <c r="BO102" s="434" t="s">
        <v>1354</v>
      </c>
      <c r="BP102" s="396">
        <v>20945000</v>
      </c>
      <c r="BQ102" s="336" t="s">
        <v>7463</v>
      </c>
      <c r="BR102" s="320"/>
      <c r="BS102" s="301" t="s">
        <v>1355</v>
      </c>
      <c r="BT102" s="301" t="s">
        <v>1388</v>
      </c>
      <c r="BU102" s="301"/>
      <c r="BV102" s="301"/>
      <c r="BW102" s="328">
        <v>36843373</v>
      </c>
      <c r="BX102" s="304" t="s">
        <v>1389</v>
      </c>
      <c r="BY102" s="299">
        <v>43112</v>
      </c>
      <c r="BZ102" s="317">
        <v>43101</v>
      </c>
    </row>
    <row r="103" spans="1:555" ht="154.5" customHeight="1">
      <c r="A103" s="296">
        <v>105</v>
      </c>
      <c r="B103" s="297" t="s">
        <v>1390</v>
      </c>
      <c r="C103" s="298">
        <v>88230866</v>
      </c>
      <c r="D103" s="354" t="s">
        <v>994</v>
      </c>
      <c r="E103" s="299">
        <v>42139</v>
      </c>
      <c r="F103" s="300">
        <v>42036</v>
      </c>
      <c r="G103" s="301" t="s">
        <v>1391</v>
      </c>
      <c r="H103" s="297" t="s">
        <v>5</v>
      </c>
      <c r="I103" s="297" t="s">
        <v>101</v>
      </c>
      <c r="J103" s="299">
        <v>42199</v>
      </c>
      <c r="K103" s="300">
        <v>42186</v>
      </c>
      <c r="L103" s="301" t="s">
        <v>1392</v>
      </c>
      <c r="M103" s="297" t="s">
        <v>5</v>
      </c>
      <c r="N103" s="297" t="s">
        <v>169</v>
      </c>
      <c r="O103" s="299">
        <v>43061</v>
      </c>
      <c r="P103" s="302">
        <v>43040</v>
      </c>
      <c r="Q103" s="301" t="s">
        <v>271</v>
      </c>
      <c r="R103" s="297" t="s">
        <v>171</v>
      </c>
      <c r="S103" s="297" t="s">
        <v>1393</v>
      </c>
      <c r="T103" s="299">
        <v>43066</v>
      </c>
      <c r="U103" s="300">
        <v>43040</v>
      </c>
      <c r="V103" s="301" t="s">
        <v>1394</v>
      </c>
      <c r="W103" s="297" t="s">
        <v>171</v>
      </c>
      <c r="X103" s="297" t="s">
        <v>1000</v>
      </c>
      <c r="Y103" s="299">
        <v>43202</v>
      </c>
      <c r="Z103" s="300">
        <v>43191</v>
      </c>
      <c r="AA103" s="301" t="s">
        <v>1395</v>
      </c>
      <c r="AB103" s="297" t="s">
        <v>5</v>
      </c>
      <c r="AC103" s="297" t="s">
        <v>1396</v>
      </c>
      <c r="AD103" s="299"/>
      <c r="AE103" s="300"/>
      <c r="AF103" s="301"/>
      <c r="AG103" s="297"/>
      <c r="AH103" s="297"/>
      <c r="AI103" s="304"/>
      <c r="AJ103" s="300"/>
      <c r="AK103" s="301"/>
      <c r="AL103" s="297"/>
      <c r="AM103" s="297"/>
      <c r="AN103" s="297"/>
      <c r="AO103" s="473"/>
      <c r="AP103" s="297"/>
      <c r="AQ103" s="301" t="s">
        <v>1397</v>
      </c>
      <c r="AR103" s="297" t="s">
        <v>66</v>
      </c>
      <c r="AS103" s="299">
        <v>37842</v>
      </c>
      <c r="AT103" s="299">
        <v>40420</v>
      </c>
      <c r="AU103" s="297" t="s">
        <v>1398</v>
      </c>
      <c r="AV103" s="297"/>
      <c r="AW103" s="297" t="s">
        <v>92</v>
      </c>
      <c r="AX103" s="297" t="s">
        <v>1399</v>
      </c>
      <c r="AY103" s="299">
        <v>41516</v>
      </c>
      <c r="AZ103" s="297" t="s">
        <v>1400</v>
      </c>
      <c r="BA103" s="299">
        <v>41759</v>
      </c>
      <c r="BB103" s="382">
        <v>41807</v>
      </c>
      <c r="BC103" s="297" t="s">
        <v>95</v>
      </c>
      <c r="BD103" s="297" t="s">
        <v>566</v>
      </c>
      <c r="BE103" s="297"/>
      <c r="BF103" s="301"/>
      <c r="BG103" s="301" t="s">
        <v>67</v>
      </c>
      <c r="BH103" s="301" t="s">
        <v>1401</v>
      </c>
      <c r="BI103" s="301" t="s">
        <v>1402</v>
      </c>
      <c r="BJ103" s="312">
        <v>188116053</v>
      </c>
      <c r="BK103" s="312" t="s">
        <v>1403</v>
      </c>
      <c r="BL103" s="313" t="s">
        <v>1404</v>
      </c>
      <c r="BM103" s="299" t="s">
        <v>1405</v>
      </c>
      <c r="BN103" s="314">
        <v>42887</v>
      </c>
      <c r="BO103" s="434" t="s">
        <v>1406</v>
      </c>
      <c r="BP103" s="396">
        <v>21902974</v>
      </c>
      <c r="BQ103" s="336" t="s">
        <v>7488</v>
      </c>
      <c r="BR103" s="429" t="s">
        <v>7487</v>
      </c>
      <c r="BS103" s="301" t="s">
        <v>1407</v>
      </c>
      <c r="BT103" s="301" t="s">
        <v>1408</v>
      </c>
      <c r="BU103" s="301"/>
      <c r="BV103" s="301"/>
      <c r="BW103" s="328">
        <v>21902974</v>
      </c>
      <c r="BX103" s="304">
        <v>96066618</v>
      </c>
      <c r="BY103" s="299">
        <v>43196</v>
      </c>
      <c r="BZ103" s="317">
        <v>43191</v>
      </c>
    </row>
    <row r="104" spans="1:555" ht="139.5" customHeight="1">
      <c r="A104" s="502">
        <v>106</v>
      </c>
      <c r="B104" s="297" t="s">
        <v>1409</v>
      </c>
      <c r="C104" s="298">
        <v>94400781</v>
      </c>
      <c r="D104" s="354" t="s">
        <v>1410</v>
      </c>
      <c r="E104" s="299">
        <v>42143</v>
      </c>
      <c r="F104" s="300">
        <v>42125</v>
      </c>
      <c r="G104" s="301" t="s">
        <v>1411</v>
      </c>
      <c r="H104" s="297" t="s">
        <v>63</v>
      </c>
      <c r="I104" s="297" t="s">
        <v>101</v>
      </c>
      <c r="J104" s="299">
        <v>42278</v>
      </c>
      <c r="K104" s="300">
        <v>42278</v>
      </c>
      <c r="L104" s="301" t="s">
        <v>1412</v>
      </c>
      <c r="M104" s="297" t="s">
        <v>63</v>
      </c>
      <c r="N104" s="297" t="s">
        <v>336</v>
      </c>
      <c r="O104" s="299">
        <v>43235</v>
      </c>
      <c r="P104" s="302">
        <v>43221</v>
      </c>
      <c r="Q104" s="301" t="s">
        <v>1413</v>
      </c>
      <c r="R104" s="297" t="s">
        <v>63</v>
      </c>
      <c r="S104" s="297" t="s">
        <v>1414</v>
      </c>
      <c r="T104" s="299">
        <v>43235</v>
      </c>
      <c r="U104" s="300">
        <v>43221</v>
      </c>
      <c r="V104" s="301" t="s">
        <v>1415</v>
      </c>
      <c r="W104" s="297" t="s">
        <v>63</v>
      </c>
      <c r="X104" s="297" t="s">
        <v>9228</v>
      </c>
      <c r="Y104" s="299">
        <v>43486</v>
      </c>
      <c r="Z104" s="300">
        <v>43486</v>
      </c>
      <c r="AA104" s="301" t="s">
        <v>8026</v>
      </c>
      <c r="AB104" s="297" t="s">
        <v>503</v>
      </c>
      <c r="AC104" s="297" t="s">
        <v>8028</v>
      </c>
      <c r="AD104" s="299"/>
      <c r="AE104" s="300"/>
      <c r="AF104" s="301"/>
      <c r="AG104" s="297"/>
      <c r="AH104" s="297"/>
      <c r="AI104" s="304"/>
      <c r="AJ104" s="300"/>
      <c r="AK104" s="301"/>
      <c r="AL104" s="297"/>
      <c r="AM104" s="297"/>
      <c r="AN104" s="297" t="s">
        <v>366</v>
      </c>
      <c r="AO104" s="473"/>
      <c r="AP104" s="297"/>
      <c r="AQ104" s="301" t="s">
        <v>8144</v>
      </c>
      <c r="AR104" s="297" t="s">
        <v>66</v>
      </c>
      <c r="AS104" s="299">
        <v>37073</v>
      </c>
      <c r="AT104" s="299">
        <v>38411</v>
      </c>
      <c r="AU104" s="297" t="s">
        <v>1416</v>
      </c>
      <c r="AV104" s="297"/>
      <c r="AW104" s="297" t="s">
        <v>92</v>
      </c>
      <c r="AX104" s="297" t="s">
        <v>1417</v>
      </c>
      <c r="AY104" s="299">
        <v>41051</v>
      </c>
      <c r="AZ104" s="297" t="s">
        <v>1418</v>
      </c>
      <c r="BA104" s="299">
        <v>41975</v>
      </c>
      <c r="BB104" s="382">
        <v>42020</v>
      </c>
      <c r="BC104" s="297" t="s">
        <v>95</v>
      </c>
      <c r="BD104" s="297" t="s">
        <v>566</v>
      </c>
      <c r="BE104" s="297"/>
      <c r="BF104" s="301"/>
      <c r="BG104" s="301" t="s">
        <v>1419</v>
      </c>
      <c r="BH104" s="301" t="s">
        <v>1420</v>
      </c>
      <c r="BI104" s="301" t="s">
        <v>67</v>
      </c>
      <c r="BJ104" s="312">
        <v>88523401</v>
      </c>
      <c r="BK104" s="312">
        <v>88523401</v>
      </c>
      <c r="BL104" s="313">
        <v>115228518</v>
      </c>
      <c r="BM104" s="299">
        <v>43214</v>
      </c>
      <c r="BN104" s="314">
        <v>43191</v>
      </c>
      <c r="BO104" s="434" t="s">
        <v>1421</v>
      </c>
      <c r="BP104" s="396"/>
      <c r="BQ104" s="336"/>
      <c r="BR104" s="331"/>
      <c r="BS104" s="308" t="s">
        <v>1422</v>
      </c>
      <c r="BT104" s="308"/>
      <c r="BU104" s="308"/>
      <c r="BV104" s="308"/>
      <c r="BW104" s="309"/>
      <c r="BX104" s="310"/>
      <c r="BY104" s="305"/>
      <c r="BZ104" s="311"/>
    </row>
    <row r="105" spans="1:555" ht="81">
      <c r="A105" s="296">
        <v>107</v>
      </c>
      <c r="B105" s="297" t="s">
        <v>1423</v>
      </c>
      <c r="C105" s="298">
        <v>66962299</v>
      </c>
      <c r="D105" s="354" t="s">
        <v>906</v>
      </c>
      <c r="E105" s="299">
        <v>42143</v>
      </c>
      <c r="F105" s="300">
        <v>42125</v>
      </c>
      <c r="G105" s="301" t="s">
        <v>1424</v>
      </c>
      <c r="H105" s="297" t="s">
        <v>171</v>
      </c>
      <c r="I105" s="297" t="s">
        <v>183</v>
      </c>
      <c r="J105" s="299">
        <v>42422</v>
      </c>
      <c r="K105" s="300">
        <v>42422</v>
      </c>
      <c r="L105" s="301" t="s">
        <v>1425</v>
      </c>
      <c r="M105" s="297" t="s">
        <v>625</v>
      </c>
      <c r="N105" s="297" t="s">
        <v>2411</v>
      </c>
      <c r="O105" s="299">
        <v>42642</v>
      </c>
      <c r="P105" s="302">
        <v>42642</v>
      </c>
      <c r="Q105" s="301" t="s">
        <v>1426</v>
      </c>
      <c r="R105" s="297" t="s">
        <v>5</v>
      </c>
      <c r="S105" s="297" t="s">
        <v>79</v>
      </c>
      <c r="T105" s="299">
        <v>43637</v>
      </c>
      <c r="U105" s="300">
        <v>43637</v>
      </c>
      <c r="V105" s="301" t="s">
        <v>8845</v>
      </c>
      <c r="W105" s="297" t="s">
        <v>5</v>
      </c>
      <c r="X105" s="297" t="s">
        <v>8846</v>
      </c>
      <c r="Y105" s="299"/>
      <c r="Z105" s="300"/>
      <c r="AA105" s="301"/>
      <c r="AB105" s="297"/>
      <c r="AC105" s="297"/>
      <c r="AD105" s="299"/>
      <c r="AE105" s="300"/>
      <c r="AF105" s="301"/>
      <c r="AG105" s="297"/>
      <c r="AH105" s="297"/>
      <c r="AI105" s="304"/>
      <c r="AJ105" s="300"/>
      <c r="AK105" s="301"/>
      <c r="AL105" s="297"/>
      <c r="AM105" s="297"/>
      <c r="AN105" s="297" t="s">
        <v>1220</v>
      </c>
      <c r="AO105" s="479">
        <v>42703</v>
      </c>
      <c r="AP105" s="297"/>
      <c r="AQ105" s="301" t="s">
        <v>1427</v>
      </c>
      <c r="AR105" s="297" t="s">
        <v>161</v>
      </c>
      <c r="AS105" s="299" t="s">
        <v>67</v>
      </c>
      <c r="AT105" s="299" t="s">
        <v>67</v>
      </c>
      <c r="AU105" s="297" t="s">
        <v>1428</v>
      </c>
      <c r="AV105" s="297"/>
      <c r="AW105" s="297" t="s">
        <v>69</v>
      </c>
      <c r="AX105" s="297" t="s">
        <v>1429</v>
      </c>
      <c r="AY105" s="299">
        <v>42080</v>
      </c>
      <c r="AZ105" s="297" t="s">
        <v>67</v>
      </c>
      <c r="BA105" s="299" t="s">
        <v>67</v>
      </c>
      <c r="BB105" s="382">
        <v>42136</v>
      </c>
      <c r="BC105" s="303" t="s">
        <v>912</v>
      </c>
      <c r="BD105" s="303" t="s">
        <v>566</v>
      </c>
      <c r="BE105" s="297"/>
      <c r="BF105" s="301"/>
      <c r="BG105" s="301" t="s">
        <v>673</v>
      </c>
      <c r="BH105" s="301" t="s">
        <v>8460</v>
      </c>
      <c r="BI105" s="301"/>
      <c r="BJ105" s="306">
        <f>+'[18]MATRIZ '!$J$44</f>
        <v>5271672.8256157394</v>
      </c>
      <c r="BK105" s="306">
        <v>5271673</v>
      </c>
      <c r="BL105" s="313">
        <v>98371419</v>
      </c>
      <c r="BM105" s="299">
        <v>43581</v>
      </c>
      <c r="BN105" s="314">
        <v>43581</v>
      </c>
      <c r="BO105" s="531" t="s">
        <v>8753</v>
      </c>
      <c r="BP105" s="390"/>
      <c r="BQ105" s="297"/>
      <c r="BR105" s="303"/>
      <c r="BS105" s="301"/>
      <c r="BT105" s="301"/>
      <c r="BU105" s="301"/>
      <c r="BV105" s="301"/>
      <c r="BW105" s="316"/>
      <c r="BX105" s="304"/>
      <c r="BY105" s="299"/>
      <c r="BZ105" s="317"/>
    </row>
    <row r="106" spans="1:555" ht="79.5" customHeight="1">
      <c r="A106" s="296">
        <v>108</v>
      </c>
      <c r="B106" s="297" t="s">
        <v>1430</v>
      </c>
      <c r="C106" s="298">
        <v>51608134</v>
      </c>
      <c r="D106" s="354" t="s">
        <v>1431</v>
      </c>
      <c r="E106" s="299">
        <v>42143</v>
      </c>
      <c r="F106" s="300">
        <v>42125</v>
      </c>
      <c r="G106" s="301" t="s">
        <v>1432</v>
      </c>
      <c r="H106" s="297" t="s">
        <v>5</v>
      </c>
      <c r="I106" s="297" t="s">
        <v>101</v>
      </c>
      <c r="J106" s="299">
        <v>42237</v>
      </c>
      <c r="K106" s="300">
        <v>42217</v>
      </c>
      <c r="L106" s="301" t="s">
        <v>1433</v>
      </c>
      <c r="M106" s="297" t="s">
        <v>5</v>
      </c>
      <c r="N106" s="297" t="s">
        <v>336</v>
      </c>
      <c r="O106" s="299">
        <v>42661</v>
      </c>
      <c r="P106" s="302">
        <v>42644</v>
      </c>
      <c r="Q106" s="301" t="s">
        <v>1434</v>
      </c>
      <c r="R106" s="297" t="s">
        <v>5</v>
      </c>
      <c r="S106" s="297" t="s">
        <v>85</v>
      </c>
      <c r="T106" s="299">
        <v>43174</v>
      </c>
      <c r="U106" s="300">
        <v>43160</v>
      </c>
      <c r="V106" s="301" t="s">
        <v>1435</v>
      </c>
      <c r="W106" s="297" t="s">
        <v>5</v>
      </c>
      <c r="X106" s="297" t="s">
        <v>85</v>
      </c>
      <c r="Y106" s="299">
        <v>43185</v>
      </c>
      <c r="Z106" s="300">
        <v>43160</v>
      </c>
      <c r="AA106" s="301" t="s">
        <v>1436</v>
      </c>
      <c r="AB106" s="297" t="s">
        <v>208</v>
      </c>
      <c r="AC106" s="297" t="s">
        <v>1213</v>
      </c>
      <c r="AD106" s="299"/>
      <c r="AE106" s="300"/>
      <c r="AF106" s="301"/>
      <c r="AG106" s="297"/>
      <c r="AH106" s="297"/>
      <c r="AI106" s="304"/>
      <c r="AJ106" s="300"/>
      <c r="AK106" s="301"/>
      <c r="AL106" s="297"/>
      <c r="AM106" s="297"/>
      <c r="AN106" s="297"/>
      <c r="AO106" s="473"/>
      <c r="AP106" s="297"/>
      <c r="AQ106" s="301" t="s">
        <v>1437</v>
      </c>
      <c r="AR106" s="297" t="s">
        <v>66</v>
      </c>
      <c r="AS106" s="299" t="s">
        <v>67</v>
      </c>
      <c r="AT106" s="299" t="s">
        <v>67</v>
      </c>
      <c r="AU106" s="297" t="s">
        <v>1438</v>
      </c>
      <c r="AV106" s="297"/>
      <c r="AW106" s="297" t="s">
        <v>92</v>
      </c>
      <c r="AX106" s="297" t="s">
        <v>818</v>
      </c>
      <c r="AY106" s="299">
        <v>37740</v>
      </c>
      <c r="AZ106" s="297" t="s">
        <v>576</v>
      </c>
      <c r="BA106" s="299">
        <v>41816</v>
      </c>
      <c r="BB106" s="678">
        <v>42017</v>
      </c>
      <c r="BC106" s="303" t="s">
        <v>561</v>
      </c>
      <c r="BD106" s="303" t="s">
        <v>1439</v>
      </c>
      <c r="BE106" s="297" t="s">
        <v>1440</v>
      </c>
      <c r="BF106" s="301"/>
      <c r="BG106" s="301" t="s">
        <v>1441</v>
      </c>
      <c r="BH106" s="301" t="s">
        <v>1442</v>
      </c>
      <c r="BI106" s="301"/>
      <c r="BJ106" s="306">
        <v>3390552996</v>
      </c>
      <c r="BK106" s="312" t="s">
        <v>1443</v>
      </c>
      <c r="BL106" s="313" t="s">
        <v>1444</v>
      </c>
      <c r="BM106" s="299" t="s">
        <v>1445</v>
      </c>
      <c r="BN106" s="300" t="s">
        <v>1446</v>
      </c>
      <c r="BO106" s="434" t="s">
        <v>1447</v>
      </c>
      <c r="BP106" s="397"/>
      <c r="BQ106" s="398"/>
      <c r="BR106" s="320"/>
      <c r="BS106" s="301"/>
      <c r="BT106" s="301"/>
      <c r="BU106" s="301"/>
      <c r="BV106" s="301"/>
      <c r="BW106" s="316"/>
      <c r="BX106" s="304"/>
      <c r="BY106" s="299"/>
      <c r="BZ106" s="317"/>
    </row>
    <row r="107" spans="1:555" ht="283.5">
      <c r="A107" s="296">
        <v>109</v>
      </c>
      <c r="B107" s="297" t="s">
        <v>1448</v>
      </c>
      <c r="C107" s="298">
        <v>79405652</v>
      </c>
      <c r="D107" s="354" t="s">
        <v>906</v>
      </c>
      <c r="E107" s="299">
        <v>42143</v>
      </c>
      <c r="F107" s="300">
        <v>42125</v>
      </c>
      <c r="G107" s="301" t="s">
        <v>1424</v>
      </c>
      <c r="H107" s="297" t="s">
        <v>171</v>
      </c>
      <c r="I107" s="297" t="s">
        <v>183</v>
      </c>
      <c r="J107" s="299">
        <v>42642</v>
      </c>
      <c r="K107" s="300">
        <v>42614</v>
      </c>
      <c r="L107" s="301" t="s">
        <v>1426</v>
      </c>
      <c r="M107" s="297" t="s">
        <v>5</v>
      </c>
      <c r="N107" s="297" t="s">
        <v>101</v>
      </c>
      <c r="O107" s="299"/>
      <c r="P107" s="302"/>
      <c r="Q107" s="301"/>
      <c r="R107" s="297"/>
      <c r="S107" s="297"/>
      <c r="T107" s="299"/>
      <c r="U107" s="300"/>
      <c r="V107" s="301"/>
      <c r="W107" s="297"/>
      <c r="X107" s="297"/>
      <c r="Y107" s="299"/>
      <c r="Z107" s="300"/>
      <c r="AA107" s="301"/>
      <c r="AB107" s="297"/>
      <c r="AC107" s="297"/>
      <c r="AD107" s="299"/>
      <c r="AE107" s="300"/>
      <c r="AF107" s="301"/>
      <c r="AG107" s="297"/>
      <c r="AH107" s="297"/>
      <c r="AI107" s="304"/>
      <c r="AJ107" s="300"/>
      <c r="AK107" s="301"/>
      <c r="AL107" s="297"/>
      <c r="AM107" s="297"/>
      <c r="AN107" s="297"/>
      <c r="AO107" s="473"/>
      <c r="AP107" s="297"/>
      <c r="AQ107" s="301" t="s">
        <v>1449</v>
      </c>
      <c r="AR107" s="297" t="s">
        <v>66</v>
      </c>
      <c r="AS107" s="299" t="s">
        <v>67</v>
      </c>
      <c r="AT107" s="299" t="s">
        <v>67</v>
      </c>
      <c r="AU107" s="297" t="s">
        <v>1450</v>
      </c>
      <c r="AV107" s="297"/>
      <c r="AW107" s="297" t="s">
        <v>69</v>
      </c>
      <c r="AX107" s="297" t="s">
        <v>1429</v>
      </c>
      <c r="AY107" s="299">
        <v>42080</v>
      </c>
      <c r="AZ107" s="297" t="s">
        <v>1451</v>
      </c>
      <c r="BA107" s="299">
        <v>42271</v>
      </c>
      <c r="BB107" s="382">
        <v>42277</v>
      </c>
      <c r="BC107" s="303" t="s">
        <v>912</v>
      </c>
      <c r="BD107" s="303" t="s">
        <v>566</v>
      </c>
      <c r="BE107" s="297"/>
      <c r="BF107" s="301"/>
      <c r="BG107" s="301" t="s">
        <v>1452</v>
      </c>
      <c r="BH107" s="301" t="s">
        <v>1453</v>
      </c>
      <c r="BI107" s="301"/>
      <c r="BJ107" s="306">
        <v>33991439</v>
      </c>
      <c r="BK107" s="306">
        <v>33991439</v>
      </c>
      <c r="BL107" s="307">
        <v>115415818</v>
      </c>
      <c r="BM107" s="299">
        <v>43214</v>
      </c>
      <c r="BN107" s="314">
        <v>43191</v>
      </c>
      <c r="BO107" s="460" t="s">
        <v>1454</v>
      </c>
      <c r="BP107" s="390" t="s">
        <v>7492</v>
      </c>
      <c r="BQ107" s="297" t="s">
        <v>7493</v>
      </c>
      <c r="BR107" s="430" t="s">
        <v>7494</v>
      </c>
      <c r="BS107" s="308"/>
      <c r="BT107" s="301"/>
      <c r="BU107" s="301"/>
      <c r="BV107" s="301"/>
      <c r="BW107" s="316"/>
      <c r="BX107" s="304"/>
      <c r="BY107" s="299"/>
      <c r="BZ107" s="317"/>
    </row>
    <row r="108" spans="1:555" ht="78" customHeight="1">
      <c r="A108" s="296">
        <v>110</v>
      </c>
      <c r="B108" s="297" t="s">
        <v>1455</v>
      </c>
      <c r="C108" s="332">
        <v>16766367</v>
      </c>
      <c r="D108" s="354" t="s">
        <v>1456</v>
      </c>
      <c r="E108" s="299">
        <v>42145</v>
      </c>
      <c r="F108" s="300">
        <v>42125</v>
      </c>
      <c r="G108" s="301" t="s">
        <v>1457</v>
      </c>
      <c r="H108" s="297" t="s">
        <v>625</v>
      </c>
      <c r="I108" s="297" t="s">
        <v>183</v>
      </c>
      <c r="J108" s="299">
        <v>42194</v>
      </c>
      <c r="K108" s="300">
        <v>42186</v>
      </c>
      <c r="L108" s="301" t="s">
        <v>1458</v>
      </c>
      <c r="M108" s="297" t="s">
        <v>5</v>
      </c>
      <c r="N108" s="297" t="s">
        <v>101</v>
      </c>
      <c r="O108" s="299">
        <v>42243</v>
      </c>
      <c r="P108" s="302">
        <v>42217</v>
      </c>
      <c r="Q108" s="301" t="s">
        <v>1459</v>
      </c>
      <c r="R108" s="297" t="s">
        <v>503</v>
      </c>
      <c r="S108" s="297" t="s">
        <v>336</v>
      </c>
      <c r="T108" s="299">
        <v>42268</v>
      </c>
      <c r="U108" s="300">
        <v>42248</v>
      </c>
      <c r="V108" s="301" t="s">
        <v>1460</v>
      </c>
      <c r="W108" s="297" t="s">
        <v>5</v>
      </c>
      <c r="X108" s="297" t="s">
        <v>1461</v>
      </c>
      <c r="Y108" s="299">
        <v>42573</v>
      </c>
      <c r="Z108" s="300">
        <v>42552</v>
      </c>
      <c r="AA108" s="301" t="s">
        <v>1462</v>
      </c>
      <c r="AB108" s="297" t="s">
        <v>5</v>
      </c>
      <c r="AC108" s="297" t="s">
        <v>336</v>
      </c>
      <c r="AD108" s="299"/>
      <c r="AE108" s="300"/>
      <c r="AF108" s="301"/>
      <c r="AG108" s="297"/>
      <c r="AH108" s="297"/>
      <c r="AI108" s="304"/>
      <c r="AJ108" s="300"/>
      <c r="AK108" s="301"/>
      <c r="AL108" s="297"/>
      <c r="AM108" s="297"/>
      <c r="AN108" s="303" t="s">
        <v>1274</v>
      </c>
      <c r="AO108" s="474"/>
      <c r="AP108" s="303"/>
      <c r="AQ108" s="301" t="s">
        <v>1463</v>
      </c>
      <c r="AR108" s="297" t="s">
        <v>66</v>
      </c>
      <c r="AS108" s="299">
        <v>37043</v>
      </c>
      <c r="AT108" s="299">
        <v>39813</v>
      </c>
      <c r="AU108" s="297" t="s">
        <v>1464</v>
      </c>
      <c r="AV108" s="297"/>
      <c r="AW108" s="297" t="s">
        <v>92</v>
      </c>
      <c r="AX108" s="297" t="s">
        <v>1465</v>
      </c>
      <c r="AY108" s="299">
        <v>41516</v>
      </c>
      <c r="AZ108" s="297" t="s">
        <v>1466</v>
      </c>
      <c r="BA108" s="299">
        <v>41884</v>
      </c>
      <c r="BB108" s="382">
        <v>41904</v>
      </c>
      <c r="BC108" s="297" t="s">
        <v>95</v>
      </c>
      <c r="BD108" s="297" t="s">
        <v>566</v>
      </c>
      <c r="BE108" s="297"/>
      <c r="BF108" s="301"/>
      <c r="BG108" s="301" t="s">
        <v>1467</v>
      </c>
      <c r="BH108" s="301" t="s">
        <v>1468</v>
      </c>
      <c r="BI108" s="301"/>
      <c r="BJ108" s="312">
        <v>195073199</v>
      </c>
      <c r="BK108" s="312">
        <v>195073199</v>
      </c>
      <c r="BL108" s="313" t="s">
        <v>1469</v>
      </c>
      <c r="BM108" s="299">
        <v>43110</v>
      </c>
      <c r="BN108" s="314">
        <v>43101</v>
      </c>
      <c r="BO108" s="434" t="s">
        <v>1470</v>
      </c>
      <c r="BP108" s="397"/>
      <c r="BQ108" s="398"/>
      <c r="BR108" s="320"/>
      <c r="BS108" s="308"/>
      <c r="BT108" s="308"/>
      <c r="BU108" s="308"/>
      <c r="BV108" s="308"/>
      <c r="BW108" s="309"/>
      <c r="BX108" s="310"/>
      <c r="BY108" s="305"/>
      <c r="BZ108" s="311"/>
    </row>
    <row r="109" spans="1:555" ht="64.5" customHeight="1">
      <c r="A109" s="296">
        <v>111</v>
      </c>
      <c r="B109" s="297" t="s">
        <v>1471</v>
      </c>
      <c r="C109" s="329">
        <v>88030331</v>
      </c>
      <c r="D109" s="354" t="s">
        <v>994</v>
      </c>
      <c r="E109" s="299">
        <v>42146</v>
      </c>
      <c r="F109" s="300">
        <v>42125</v>
      </c>
      <c r="G109" s="301" t="s">
        <v>1472</v>
      </c>
      <c r="H109" s="297" t="s">
        <v>625</v>
      </c>
      <c r="I109" s="297" t="s">
        <v>183</v>
      </c>
      <c r="J109" s="299">
        <v>42222</v>
      </c>
      <c r="K109" s="300">
        <v>42221</v>
      </c>
      <c r="L109" s="301" t="s">
        <v>1473</v>
      </c>
      <c r="M109" s="297" t="s">
        <v>5</v>
      </c>
      <c r="N109" s="297" t="s">
        <v>101</v>
      </c>
      <c r="O109" s="299">
        <v>43116</v>
      </c>
      <c r="P109" s="302">
        <v>43101</v>
      </c>
      <c r="Q109" s="301" t="s">
        <v>1474</v>
      </c>
      <c r="R109" s="297" t="s">
        <v>5</v>
      </c>
      <c r="S109" s="297" t="s">
        <v>107</v>
      </c>
      <c r="T109" s="299">
        <v>43174</v>
      </c>
      <c r="U109" s="300">
        <v>43160</v>
      </c>
      <c r="V109" s="301" t="s">
        <v>1475</v>
      </c>
      <c r="W109" s="297" t="s">
        <v>208</v>
      </c>
      <c r="X109" s="297" t="s">
        <v>1476</v>
      </c>
      <c r="Y109" s="299">
        <v>43202</v>
      </c>
      <c r="Z109" s="300">
        <v>43191</v>
      </c>
      <c r="AA109" s="301" t="s">
        <v>1395</v>
      </c>
      <c r="AB109" s="297" t="s">
        <v>5</v>
      </c>
      <c r="AC109" s="297" t="s">
        <v>1396</v>
      </c>
      <c r="AD109" s="299">
        <v>43083</v>
      </c>
      <c r="AE109" s="300">
        <v>43083</v>
      </c>
      <c r="AF109" s="301" t="s">
        <v>1477</v>
      </c>
      <c r="AG109" s="297" t="s">
        <v>171</v>
      </c>
      <c r="AH109" s="297" t="s">
        <v>1478</v>
      </c>
      <c r="AI109" s="305">
        <v>43320</v>
      </c>
      <c r="AJ109" s="300">
        <v>43320</v>
      </c>
      <c r="AK109" s="315" t="s">
        <v>1479</v>
      </c>
      <c r="AL109" s="297" t="s">
        <v>1480</v>
      </c>
      <c r="AM109" s="297" t="s">
        <v>107</v>
      </c>
      <c r="AN109" s="297"/>
      <c r="AO109" s="473"/>
      <c r="AP109" s="297"/>
      <c r="AQ109" s="301" t="s">
        <v>1481</v>
      </c>
      <c r="AR109" s="297" t="s">
        <v>66</v>
      </c>
      <c r="AS109" s="299">
        <v>38275</v>
      </c>
      <c r="AT109" s="299">
        <v>39994</v>
      </c>
      <c r="AU109" s="297" t="s">
        <v>1482</v>
      </c>
      <c r="AV109" s="297"/>
      <c r="AW109" s="297" t="s">
        <v>92</v>
      </c>
      <c r="AX109" s="297" t="s">
        <v>1483</v>
      </c>
      <c r="AY109" s="299">
        <v>41516</v>
      </c>
      <c r="AZ109" s="297" t="s">
        <v>1004</v>
      </c>
      <c r="BA109" s="299">
        <v>41943</v>
      </c>
      <c r="BB109" s="382">
        <v>42137</v>
      </c>
      <c r="BC109" s="297" t="s">
        <v>95</v>
      </c>
      <c r="BD109" s="297" t="s">
        <v>566</v>
      </c>
      <c r="BE109" s="297"/>
      <c r="BF109" s="301"/>
      <c r="BG109" s="301"/>
      <c r="BH109" s="301" t="s">
        <v>1484</v>
      </c>
      <c r="BI109" s="301" t="s">
        <v>1485</v>
      </c>
      <c r="BJ109" s="312">
        <v>158402205</v>
      </c>
      <c r="BK109" s="312">
        <v>158402205</v>
      </c>
      <c r="BL109" s="313" t="s">
        <v>1486</v>
      </c>
      <c r="BM109" s="299">
        <v>42963</v>
      </c>
      <c r="BN109" s="314">
        <v>42948</v>
      </c>
      <c r="BO109" s="434" t="s">
        <v>1406</v>
      </c>
      <c r="BP109" s="396">
        <v>20213400</v>
      </c>
      <c r="BQ109" s="336" t="s">
        <v>7466</v>
      </c>
      <c r="BR109" s="320"/>
      <c r="BS109" s="301" t="s">
        <v>1487</v>
      </c>
      <c r="BT109" s="308" t="s">
        <v>1488</v>
      </c>
      <c r="BU109" s="308"/>
      <c r="BV109" s="308"/>
      <c r="BW109" s="333">
        <v>31513994</v>
      </c>
      <c r="BX109" s="310">
        <v>94889418</v>
      </c>
      <c r="BY109" s="305">
        <v>43195</v>
      </c>
      <c r="BZ109" s="311">
        <v>43191</v>
      </c>
    </row>
    <row r="110" spans="1:555" ht="70.5" customHeight="1">
      <c r="A110" s="296">
        <v>112</v>
      </c>
      <c r="B110" s="297" t="s">
        <v>1489</v>
      </c>
      <c r="C110" s="298">
        <v>10179016</v>
      </c>
      <c r="D110" s="354" t="s">
        <v>677</v>
      </c>
      <c r="E110" s="299">
        <v>41996</v>
      </c>
      <c r="F110" s="300">
        <v>41974</v>
      </c>
      <c r="G110" s="301" t="s">
        <v>1490</v>
      </c>
      <c r="H110" s="297" t="s">
        <v>198</v>
      </c>
      <c r="I110" s="297" t="s">
        <v>1491</v>
      </c>
      <c r="J110" s="299">
        <v>42150</v>
      </c>
      <c r="K110" s="300">
        <v>42125</v>
      </c>
      <c r="L110" s="301" t="s">
        <v>1492</v>
      </c>
      <c r="M110" s="297" t="s">
        <v>1493</v>
      </c>
      <c r="N110" s="297" t="s">
        <v>183</v>
      </c>
      <c r="O110" s="299">
        <v>42195</v>
      </c>
      <c r="P110" s="302">
        <v>42186</v>
      </c>
      <c r="Q110" s="301" t="s">
        <v>1494</v>
      </c>
      <c r="R110" s="297" t="s">
        <v>625</v>
      </c>
      <c r="S110" s="297" t="s">
        <v>1495</v>
      </c>
      <c r="T110" s="299">
        <v>42221</v>
      </c>
      <c r="U110" s="300">
        <v>42217</v>
      </c>
      <c r="V110" s="301" t="s">
        <v>1496</v>
      </c>
      <c r="W110" s="297" t="s">
        <v>5</v>
      </c>
      <c r="X110" s="297" t="s">
        <v>79</v>
      </c>
      <c r="Y110" s="299">
        <v>42247</v>
      </c>
      <c r="Z110" s="300">
        <v>42247</v>
      </c>
      <c r="AA110" s="301" t="s">
        <v>1497</v>
      </c>
      <c r="AB110" s="297" t="s">
        <v>5</v>
      </c>
      <c r="AC110" s="297" t="s">
        <v>101</v>
      </c>
      <c r="AD110" s="299" t="s">
        <v>1498</v>
      </c>
      <c r="AE110" s="300" t="s">
        <v>1499</v>
      </c>
      <c r="AF110" s="301" t="s">
        <v>1500</v>
      </c>
      <c r="AG110" s="297" t="s">
        <v>1501</v>
      </c>
      <c r="AH110" s="297" t="s">
        <v>1502</v>
      </c>
      <c r="AI110" s="304"/>
      <c r="AJ110" s="300"/>
      <c r="AK110" s="301"/>
      <c r="AL110" s="297"/>
      <c r="AM110" s="297"/>
      <c r="AN110" s="297" t="s">
        <v>1274</v>
      </c>
      <c r="AO110" s="473"/>
      <c r="AP110" s="297"/>
      <c r="AQ110" s="301" t="s">
        <v>1503</v>
      </c>
      <c r="AR110" s="297" t="s">
        <v>66</v>
      </c>
      <c r="AS110" s="299">
        <v>38657</v>
      </c>
      <c r="AT110" s="299">
        <v>39989</v>
      </c>
      <c r="AU110" s="297" t="s">
        <v>1504</v>
      </c>
      <c r="AV110" s="297"/>
      <c r="AW110" s="297" t="s">
        <v>69</v>
      </c>
      <c r="AX110" s="297" t="s">
        <v>736</v>
      </c>
      <c r="AY110" s="299">
        <v>42149</v>
      </c>
      <c r="AZ110" s="297" t="s">
        <v>67</v>
      </c>
      <c r="BA110" s="299" t="s">
        <v>67</v>
      </c>
      <c r="BB110" s="382">
        <v>42166</v>
      </c>
      <c r="BC110" s="297" t="s">
        <v>95</v>
      </c>
      <c r="BD110" s="297" t="s">
        <v>1792</v>
      </c>
      <c r="BE110" s="297"/>
      <c r="BF110" s="301"/>
      <c r="BG110" s="301" t="s">
        <v>1505</v>
      </c>
      <c r="BH110" s="301" t="s">
        <v>1506</v>
      </c>
      <c r="BI110" s="301"/>
      <c r="BJ110" s="312">
        <v>149144020</v>
      </c>
      <c r="BK110" s="312">
        <v>149144020</v>
      </c>
      <c r="BL110" s="334">
        <v>3013818</v>
      </c>
      <c r="BM110" s="299">
        <v>43115</v>
      </c>
      <c r="BN110" s="314">
        <v>43101</v>
      </c>
      <c r="BO110" s="434" t="s">
        <v>1507</v>
      </c>
      <c r="BP110" s="396"/>
      <c r="BQ110" s="336"/>
      <c r="BR110" s="320"/>
      <c r="BS110" s="301"/>
      <c r="BT110" s="301"/>
      <c r="BU110" s="301"/>
      <c r="BV110" s="301"/>
      <c r="BW110" s="316"/>
      <c r="BX110" s="304"/>
      <c r="BY110" s="299"/>
      <c r="BZ110" s="317"/>
    </row>
    <row r="111" spans="1:555" ht="81">
      <c r="A111" s="296">
        <v>113</v>
      </c>
      <c r="B111" s="297" t="s">
        <v>7401</v>
      </c>
      <c r="C111" s="298">
        <v>11804993</v>
      </c>
      <c r="D111" s="354" t="s">
        <v>1226</v>
      </c>
      <c r="E111" s="299">
        <v>42152</v>
      </c>
      <c r="F111" s="300">
        <v>42125</v>
      </c>
      <c r="G111" s="301" t="s">
        <v>1508</v>
      </c>
      <c r="H111" s="297" t="s">
        <v>5</v>
      </c>
      <c r="I111" s="297" t="s">
        <v>101</v>
      </c>
      <c r="J111" s="299">
        <v>42152</v>
      </c>
      <c r="K111" s="300">
        <v>42125</v>
      </c>
      <c r="L111" s="301" t="s">
        <v>1509</v>
      </c>
      <c r="M111" s="297" t="s">
        <v>198</v>
      </c>
      <c r="N111" s="297" t="s">
        <v>336</v>
      </c>
      <c r="O111" s="299"/>
      <c r="P111" s="302"/>
      <c r="Q111" s="301"/>
      <c r="R111" s="297"/>
      <c r="S111" s="297"/>
      <c r="T111" s="299"/>
      <c r="U111" s="300"/>
      <c r="V111" s="301"/>
      <c r="W111" s="297"/>
      <c r="X111" s="297"/>
      <c r="Y111" s="299"/>
      <c r="Z111" s="300"/>
      <c r="AA111" s="301"/>
      <c r="AB111" s="297"/>
      <c r="AC111" s="297"/>
      <c r="AD111" s="299"/>
      <c r="AE111" s="300"/>
      <c r="AF111" s="301"/>
      <c r="AG111" s="297"/>
      <c r="AH111" s="297"/>
      <c r="AI111" s="304"/>
      <c r="AJ111" s="300"/>
      <c r="AK111" s="301"/>
      <c r="AL111" s="297"/>
      <c r="AM111" s="297"/>
      <c r="AN111" s="297" t="s">
        <v>1220</v>
      </c>
      <c r="AO111" s="479">
        <v>42500</v>
      </c>
      <c r="AP111" s="297"/>
      <c r="AQ111" s="301" t="s">
        <v>1511</v>
      </c>
      <c r="AR111" s="297" t="s">
        <v>161</v>
      </c>
      <c r="AS111" s="299">
        <v>37062</v>
      </c>
      <c r="AT111" s="299">
        <v>39447</v>
      </c>
      <c r="AU111" s="297" t="s">
        <v>1512</v>
      </c>
      <c r="AV111" s="297"/>
      <c r="AW111" s="297" t="s">
        <v>92</v>
      </c>
      <c r="AX111" s="297" t="s">
        <v>1513</v>
      </c>
      <c r="AY111" s="299">
        <v>41180</v>
      </c>
      <c r="AZ111" s="297" t="s">
        <v>409</v>
      </c>
      <c r="BA111" s="299">
        <v>41913</v>
      </c>
      <c r="BB111" s="382">
        <v>42048</v>
      </c>
      <c r="BC111" s="297" t="s">
        <v>95</v>
      </c>
      <c r="BD111" s="297" t="s">
        <v>1792</v>
      </c>
      <c r="BE111" s="297"/>
      <c r="BF111" s="301" t="s">
        <v>1514</v>
      </c>
      <c r="BG111" s="301" t="s">
        <v>673</v>
      </c>
      <c r="BH111" s="301" t="s">
        <v>8458</v>
      </c>
      <c r="BI111" s="301"/>
      <c r="BJ111" s="312">
        <f>+[19]MATRIZ!$J$72</f>
        <v>247853303.12581319</v>
      </c>
      <c r="BK111" s="312">
        <v>247853303</v>
      </c>
      <c r="BL111" s="313">
        <v>98500319</v>
      </c>
      <c r="BM111" s="299">
        <v>43581</v>
      </c>
      <c r="BN111" s="314">
        <v>43581</v>
      </c>
      <c r="BO111" s="460"/>
      <c r="BP111" s="390"/>
      <c r="BQ111" s="297"/>
      <c r="BR111" s="303"/>
      <c r="BS111" s="301"/>
      <c r="BT111" s="301"/>
      <c r="BU111" s="301"/>
      <c r="BV111" s="301"/>
      <c r="BW111" s="316"/>
      <c r="BX111" s="304"/>
      <c r="BY111" s="299"/>
      <c r="BZ111" s="317"/>
    </row>
    <row r="112" spans="1:555" ht="79.5" customHeight="1">
      <c r="A112" s="296">
        <v>114</v>
      </c>
      <c r="B112" s="297" t="s">
        <v>1515</v>
      </c>
      <c r="C112" s="298" t="s">
        <v>60</v>
      </c>
      <c r="D112" s="354" t="s">
        <v>61</v>
      </c>
      <c r="E112" s="299">
        <v>42156</v>
      </c>
      <c r="F112" s="300">
        <v>42156</v>
      </c>
      <c r="G112" s="301" t="s">
        <v>1516</v>
      </c>
      <c r="H112" s="297" t="s">
        <v>63</v>
      </c>
      <c r="I112" s="297" t="s">
        <v>8114</v>
      </c>
      <c r="J112" s="299">
        <v>42149</v>
      </c>
      <c r="K112" s="300">
        <v>42149</v>
      </c>
      <c r="L112" s="301" t="s">
        <v>1517</v>
      </c>
      <c r="M112" s="297" t="s">
        <v>171</v>
      </c>
      <c r="N112" s="297" t="s">
        <v>8114</v>
      </c>
      <c r="O112" s="299"/>
      <c r="P112" s="302"/>
      <c r="Q112" s="301"/>
      <c r="R112" s="297"/>
      <c r="S112" s="297"/>
      <c r="T112" s="299"/>
      <c r="U112" s="300"/>
      <c r="V112" s="301"/>
      <c r="W112" s="297"/>
      <c r="X112" s="297"/>
      <c r="Y112" s="299"/>
      <c r="Z112" s="300"/>
      <c r="AA112" s="301"/>
      <c r="AB112" s="297"/>
      <c r="AC112" s="297"/>
      <c r="AD112" s="299"/>
      <c r="AE112" s="300"/>
      <c r="AF112" s="301"/>
      <c r="AG112" s="297"/>
      <c r="AH112" s="297"/>
      <c r="AI112" s="304"/>
      <c r="AJ112" s="300"/>
      <c r="AK112" s="301"/>
      <c r="AL112" s="297"/>
      <c r="AM112" s="297"/>
      <c r="AN112" s="297"/>
      <c r="AO112" s="473"/>
      <c r="AP112" s="297"/>
      <c r="AQ112" s="301" t="s">
        <v>1518</v>
      </c>
      <c r="AR112" s="297" t="s">
        <v>66</v>
      </c>
      <c r="AS112" s="299" t="s">
        <v>67</v>
      </c>
      <c r="AT112" s="299" t="s">
        <v>67</v>
      </c>
      <c r="AU112" s="297" t="s">
        <v>1519</v>
      </c>
      <c r="AV112" s="297"/>
      <c r="AW112" s="297" t="s">
        <v>69</v>
      </c>
      <c r="AX112" s="297" t="s">
        <v>1520</v>
      </c>
      <c r="AY112" s="299">
        <v>41823</v>
      </c>
      <c r="AZ112" s="297" t="s">
        <v>1521</v>
      </c>
      <c r="BA112" s="299">
        <v>42067</v>
      </c>
      <c r="BB112" s="678">
        <v>42139</v>
      </c>
      <c r="BC112" s="303" t="s">
        <v>71</v>
      </c>
      <c r="BD112" s="303"/>
      <c r="BE112" s="297"/>
      <c r="BF112" s="301"/>
      <c r="BG112" s="301" t="s">
        <v>67</v>
      </c>
      <c r="BH112" s="301" t="s">
        <v>1522</v>
      </c>
      <c r="BI112" s="301" t="s">
        <v>1523</v>
      </c>
      <c r="BJ112" s="306">
        <v>32277544</v>
      </c>
      <c r="BK112" s="306">
        <v>32277544</v>
      </c>
      <c r="BL112" s="307" t="s">
        <v>7402</v>
      </c>
      <c r="BM112" s="299">
        <v>42500</v>
      </c>
      <c r="BN112" s="314">
        <v>42491</v>
      </c>
      <c r="BO112" s="460"/>
      <c r="BP112" s="390"/>
      <c r="BQ112" s="297"/>
      <c r="BR112" s="303"/>
      <c r="BS112" s="308"/>
      <c r="BT112" s="301"/>
      <c r="BU112" s="301"/>
      <c r="BV112" s="301"/>
      <c r="BW112" s="316"/>
      <c r="BX112" s="304"/>
      <c r="BY112" s="299"/>
      <c r="BZ112" s="317"/>
    </row>
    <row r="113" spans="1:78" ht="95.25" customHeight="1">
      <c r="A113" s="296">
        <v>115</v>
      </c>
      <c r="B113" s="297" t="s">
        <v>1524</v>
      </c>
      <c r="C113" s="298">
        <v>17356327</v>
      </c>
      <c r="D113" s="354" t="s">
        <v>1525</v>
      </c>
      <c r="E113" s="299">
        <v>42159</v>
      </c>
      <c r="F113" s="300">
        <v>42156</v>
      </c>
      <c r="G113" s="301" t="s">
        <v>1526</v>
      </c>
      <c r="H113" s="297" t="s">
        <v>625</v>
      </c>
      <c r="I113" s="297" t="s">
        <v>183</v>
      </c>
      <c r="J113" s="299">
        <v>42349</v>
      </c>
      <c r="K113" s="300">
        <v>42339</v>
      </c>
      <c r="L113" s="301" t="s">
        <v>1527</v>
      </c>
      <c r="M113" s="297" t="s">
        <v>5</v>
      </c>
      <c r="N113" s="297" t="s">
        <v>101</v>
      </c>
      <c r="O113" s="299">
        <v>42495</v>
      </c>
      <c r="P113" s="302">
        <v>42491</v>
      </c>
      <c r="Q113" s="301" t="s">
        <v>1528</v>
      </c>
      <c r="R113" s="297" t="s">
        <v>5</v>
      </c>
      <c r="S113" s="297" t="s">
        <v>336</v>
      </c>
      <c r="T113" s="299">
        <v>42810</v>
      </c>
      <c r="U113" s="300">
        <v>42795</v>
      </c>
      <c r="V113" s="301" t="s">
        <v>1529</v>
      </c>
      <c r="W113" s="297" t="s">
        <v>5</v>
      </c>
      <c r="X113" s="297" t="s">
        <v>79</v>
      </c>
      <c r="Y113" s="299">
        <v>42961</v>
      </c>
      <c r="Z113" s="300">
        <v>42948</v>
      </c>
      <c r="AA113" s="301" t="s">
        <v>1530</v>
      </c>
      <c r="AB113" s="297" t="s">
        <v>503</v>
      </c>
      <c r="AC113" s="297" t="s">
        <v>1531</v>
      </c>
      <c r="AD113" s="299" t="s">
        <v>1532</v>
      </c>
      <c r="AE113" s="300" t="s">
        <v>1533</v>
      </c>
      <c r="AF113" s="301" t="s">
        <v>1534</v>
      </c>
      <c r="AG113" s="297" t="s">
        <v>1535</v>
      </c>
      <c r="AH113" s="297" t="s">
        <v>1536</v>
      </c>
      <c r="AI113" s="299" t="s">
        <v>9359</v>
      </c>
      <c r="AJ113" s="300" t="s">
        <v>9360</v>
      </c>
      <c r="AK113" s="301" t="s">
        <v>9358</v>
      </c>
      <c r="AL113" s="297" t="s">
        <v>9361</v>
      </c>
      <c r="AM113" s="297" t="s">
        <v>9362</v>
      </c>
      <c r="AN113" s="297" t="s">
        <v>1538</v>
      </c>
      <c r="AO113" s="540">
        <v>42495</v>
      </c>
      <c r="AP113" s="297"/>
      <c r="AQ113" s="301" t="s">
        <v>1539</v>
      </c>
      <c r="AR113" s="297" t="s">
        <v>161</v>
      </c>
      <c r="AS113" s="299">
        <v>37235</v>
      </c>
      <c r="AT113" s="299">
        <v>39994</v>
      </c>
      <c r="AU113" s="297" t="s">
        <v>7291</v>
      </c>
      <c r="AV113" s="297"/>
      <c r="AW113" s="297" t="s">
        <v>92</v>
      </c>
      <c r="AX113" s="297" t="s">
        <v>1244</v>
      </c>
      <c r="AY113" s="299">
        <v>41516</v>
      </c>
      <c r="AZ113" s="297" t="s">
        <v>1540</v>
      </c>
      <c r="BA113" s="299">
        <v>42136</v>
      </c>
      <c r="BB113" s="382">
        <v>42149</v>
      </c>
      <c r="BC113" s="297" t="s">
        <v>95</v>
      </c>
      <c r="BD113" s="297" t="s">
        <v>566</v>
      </c>
      <c r="BE113" s="297"/>
      <c r="BF113" s="301" t="s">
        <v>8518</v>
      </c>
      <c r="BG113" s="301" t="s">
        <v>1541</v>
      </c>
      <c r="BH113" s="301" t="s">
        <v>9334</v>
      </c>
      <c r="BI113" s="301"/>
      <c r="BJ113" s="312">
        <f>[20]MATRIZ!$J$72</f>
        <v>231395397.13398102</v>
      </c>
      <c r="BK113" s="312">
        <v>231395397</v>
      </c>
      <c r="BL113" s="313">
        <v>412496919</v>
      </c>
      <c r="BM113" s="299">
        <v>43825</v>
      </c>
      <c r="BN113" s="314">
        <v>43825</v>
      </c>
      <c r="BO113" s="531" t="s">
        <v>9341</v>
      </c>
      <c r="BP113" s="390"/>
      <c r="BQ113" s="431"/>
      <c r="BR113" s="303"/>
      <c r="BS113" s="432"/>
      <c r="BT113" s="301"/>
      <c r="BU113" s="301"/>
      <c r="BV113" s="301"/>
      <c r="BW113" s="316"/>
      <c r="BX113" s="304"/>
      <c r="BY113" s="299"/>
      <c r="BZ113" s="317"/>
    </row>
    <row r="114" spans="1:78" ht="95.25" customHeight="1">
      <c r="A114" s="296">
        <v>116</v>
      </c>
      <c r="B114" s="297" t="s">
        <v>1542</v>
      </c>
      <c r="C114" s="298">
        <v>71611738</v>
      </c>
      <c r="D114" s="354" t="s">
        <v>906</v>
      </c>
      <c r="E114" s="299">
        <v>42159</v>
      </c>
      <c r="F114" s="300">
        <v>42156</v>
      </c>
      <c r="G114" s="301" t="s">
        <v>1543</v>
      </c>
      <c r="H114" s="297" t="s">
        <v>171</v>
      </c>
      <c r="I114" s="297" t="s">
        <v>1544</v>
      </c>
      <c r="J114" s="299">
        <v>42264</v>
      </c>
      <c r="K114" s="300">
        <v>42264</v>
      </c>
      <c r="L114" s="301" t="s">
        <v>1545</v>
      </c>
      <c r="M114" s="297" t="s">
        <v>5</v>
      </c>
      <c r="N114" s="297" t="s">
        <v>101</v>
      </c>
      <c r="O114" s="299">
        <v>43207</v>
      </c>
      <c r="P114" s="302">
        <v>43191</v>
      </c>
      <c r="Q114" s="301" t="s">
        <v>1546</v>
      </c>
      <c r="R114" s="297" t="s">
        <v>5</v>
      </c>
      <c r="S114" s="297" t="s">
        <v>85</v>
      </c>
      <c r="T114" s="299">
        <v>43637</v>
      </c>
      <c r="U114" s="300">
        <v>43637</v>
      </c>
      <c r="V114" s="301" t="s">
        <v>8844</v>
      </c>
      <c r="W114" s="297" t="s">
        <v>5</v>
      </c>
      <c r="X114" s="297" t="s">
        <v>8243</v>
      </c>
      <c r="Y114" s="299"/>
      <c r="Z114" s="300"/>
      <c r="AA114" s="301"/>
      <c r="AB114" s="297"/>
      <c r="AC114" s="297"/>
      <c r="AD114" s="299"/>
      <c r="AE114" s="300"/>
      <c r="AF114" s="301"/>
      <c r="AG114" s="297"/>
      <c r="AH114" s="297"/>
      <c r="AI114" s="304"/>
      <c r="AJ114" s="300"/>
      <c r="AK114" s="301"/>
      <c r="AL114" s="297"/>
      <c r="AM114" s="297"/>
      <c r="AN114" s="297" t="s">
        <v>477</v>
      </c>
      <c r="AO114" s="479">
        <v>42264</v>
      </c>
      <c r="AP114" s="297"/>
      <c r="AQ114" s="301" t="s">
        <v>1547</v>
      </c>
      <c r="AR114" s="297" t="s">
        <v>161</v>
      </c>
      <c r="AS114" s="299" t="s">
        <v>67</v>
      </c>
      <c r="AT114" s="299" t="s">
        <v>67</v>
      </c>
      <c r="AU114" s="297" t="s">
        <v>1548</v>
      </c>
      <c r="AV114" s="297"/>
      <c r="AW114" s="297" t="s">
        <v>69</v>
      </c>
      <c r="AX114" s="297" t="s">
        <v>1549</v>
      </c>
      <c r="AY114" s="299">
        <v>41696</v>
      </c>
      <c r="AZ114" s="297" t="s">
        <v>409</v>
      </c>
      <c r="BA114" s="299">
        <v>41985</v>
      </c>
      <c r="BB114" s="678">
        <v>41992</v>
      </c>
      <c r="BC114" s="303" t="s">
        <v>912</v>
      </c>
      <c r="BD114" s="303" t="s">
        <v>566</v>
      </c>
      <c r="BE114" s="297"/>
      <c r="BF114" s="301"/>
      <c r="BG114" s="301"/>
      <c r="BH114" s="301" t="s">
        <v>8745</v>
      </c>
      <c r="BI114" s="301"/>
      <c r="BJ114" s="306">
        <f>+[21]MATRIZ!$J$47</f>
        <v>7337088.0511285411</v>
      </c>
      <c r="BK114" s="306">
        <v>7337088</v>
      </c>
      <c r="BL114" s="307">
        <v>121670219</v>
      </c>
      <c r="BM114" s="299">
        <v>43606</v>
      </c>
      <c r="BN114" s="314">
        <v>43606</v>
      </c>
      <c r="BO114" s="460"/>
      <c r="BP114" s="390"/>
      <c r="BQ114" s="297"/>
      <c r="BR114" s="352"/>
      <c r="BS114" s="301"/>
      <c r="BT114" s="301"/>
      <c r="BU114" s="301"/>
      <c r="BV114" s="301"/>
      <c r="BW114" s="316"/>
      <c r="BX114" s="304"/>
      <c r="BY114" s="299"/>
      <c r="BZ114" s="317"/>
    </row>
    <row r="115" spans="1:78" ht="96" customHeight="1">
      <c r="A115" s="296">
        <v>117</v>
      </c>
      <c r="B115" s="297" t="s">
        <v>1550</v>
      </c>
      <c r="C115" s="298">
        <v>36088691</v>
      </c>
      <c r="D115" s="354" t="s">
        <v>1551</v>
      </c>
      <c r="E115" s="299">
        <v>42160</v>
      </c>
      <c r="F115" s="300">
        <v>42156</v>
      </c>
      <c r="G115" s="301" t="s">
        <v>1552</v>
      </c>
      <c r="H115" s="297" t="s">
        <v>586</v>
      </c>
      <c r="I115" s="297" t="s">
        <v>2411</v>
      </c>
      <c r="J115" s="299"/>
      <c r="K115" s="300">
        <v>42165</v>
      </c>
      <c r="L115" s="301" t="s">
        <v>1553</v>
      </c>
      <c r="M115" s="297"/>
      <c r="N115" s="297"/>
      <c r="O115" s="299"/>
      <c r="P115" s="302"/>
      <c r="Q115" s="301"/>
      <c r="R115" s="297"/>
      <c r="S115" s="297"/>
      <c r="T115" s="299"/>
      <c r="U115" s="300"/>
      <c r="V115" s="301"/>
      <c r="W115" s="297"/>
      <c r="X115" s="297"/>
      <c r="Y115" s="299"/>
      <c r="Z115" s="300"/>
      <c r="AA115" s="301"/>
      <c r="AB115" s="297"/>
      <c r="AC115" s="297"/>
      <c r="AD115" s="299"/>
      <c r="AE115" s="300"/>
      <c r="AF115" s="301"/>
      <c r="AG115" s="297"/>
      <c r="AH115" s="297"/>
      <c r="AI115" s="304"/>
      <c r="AJ115" s="300"/>
      <c r="AK115" s="301"/>
      <c r="AL115" s="297"/>
      <c r="AM115" s="297"/>
      <c r="AN115" s="297"/>
      <c r="AO115" s="473"/>
      <c r="AP115" s="297"/>
      <c r="AQ115" s="301" t="s">
        <v>1554</v>
      </c>
      <c r="AR115" s="297" t="s">
        <v>66</v>
      </c>
      <c r="AS115" s="299" t="s">
        <v>67</v>
      </c>
      <c r="AT115" s="299" t="s">
        <v>67</v>
      </c>
      <c r="AU115" s="297" t="s">
        <v>8193</v>
      </c>
      <c r="AV115" s="297"/>
      <c r="AW115" s="297" t="s">
        <v>92</v>
      </c>
      <c r="AX115" s="297" t="s">
        <v>1555</v>
      </c>
      <c r="AY115" s="299">
        <v>40135</v>
      </c>
      <c r="AZ115" s="297" t="s">
        <v>1556</v>
      </c>
      <c r="BA115" s="299">
        <v>41894</v>
      </c>
      <c r="BB115" s="678">
        <v>42104</v>
      </c>
      <c r="BC115" s="303" t="s">
        <v>561</v>
      </c>
      <c r="BD115" s="303" t="s">
        <v>1557</v>
      </c>
      <c r="BE115" s="297" t="s">
        <v>1558</v>
      </c>
      <c r="BF115" s="301"/>
      <c r="BG115" s="301" t="s">
        <v>1559</v>
      </c>
      <c r="BH115" s="301" t="s">
        <v>1560</v>
      </c>
      <c r="BI115" s="301" t="s">
        <v>1561</v>
      </c>
      <c r="BJ115" s="306">
        <v>147601054</v>
      </c>
      <c r="BK115" s="306" t="s">
        <v>1562</v>
      </c>
      <c r="BL115" s="307" t="s">
        <v>1563</v>
      </c>
      <c r="BM115" s="299" t="s">
        <v>1564</v>
      </c>
      <c r="BN115" s="314" t="s">
        <v>1565</v>
      </c>
      <c r="BO115" s="460"/>
      <c r="BP115" s="390"/>
      <c r="BQ115" s="297"/>
      <c r="BR115" s="303"/>
      <c r="BS115" s="301"/>
      <c r="BT115" s="308"/>
      <c r="BU115" s="308"/>
      <c r="BV115" s="308"/>
      <c r="BW115" s="309"/>
      <c r="BX115" s="310"/>
      <c r="BY115" s="305"/>
      <c r="BZ115" s="311"/>
    </row>
    <row r="116" spans="1:78" ht="94.5" customHeight="1">
      <c r="A116" s="296">
        <v>118</v>
      </c>
      <c r="B116" s="297" t="s">
        <v>1566</v>
      </c>
      <c r="C116" s="298">
        <v>10932622</v>
      </c>
      <c r="D116" s="354" t="s">
        <v>1567</v>
      </c>
      <c r="E116" s="299">
        <v>42164</v>
      </c>
      <c r="F116" s="300">
        <v>42156</v>
      </c>
      <c r="G116" s="301" t="s">
        <v>1568</v>
      </c>
      <c r="H116" s="297" t="s">
        <v>5</v>
      </c>
      <c r="I116" s="297" t="s">
        <v>101</v>
      </c>
      <c r="J116" s="299">
        <v>42264</v>
      </c>
      <c r="K116" s="300">
        <v>42248</v>
      </c>
      <c r="L116" s="301" t="s">
        <v>1569</v>
      </c>
      <c r="M116" s="297" t="s">
        <v>5</v>
      </c>
      <c r="N116" s="297" t="s">
        <v>85</v>
      </c>
      <c r="O116" s="299">
        <v>42767</v>
      </c>
      <c r="P116" s="302">
        <v>42767</v>
      </c>
      <c r="Q116" s="301" t="s">
        <v>1570</v>
      </c>
      <c r="R116" s="297" t="s">
        <v>5</v>
      </c>
      <c r="S116" s="297" t="s">
        <v>131</v>
      </c>
      <c r="T116" s="299">
        <v>42790</v>
      </c>
      <c r="U116" s="300">
        <v>42767</v>
      </c>
      <c r="V116" s="301" t="s">
        <v>1571</v>
      </c>
      <c r="W116" s="297" t="s">
        <v>5</v>
      </c>
      <c r="X116" s="297" t="s">
        <v>1572</v>
      </c>
      <c r="Y116" s="299">
        <v>43021</v>
      </c>
      <c r="Z116" s="300">
        <v>43009</v>
      </c>
      <c r="AA116" s="301" t="s">
        <v>1573</v>
      </c>
      <c r="AB116" s="297" t="s">
        <v>171</v>
      </c>
      <c r="AC116" s="297" t="s">
        <v>1574</v>
      </c>
      <c r="AD116" s="299">
        <v>43123</v>
      </c>
      <c r="AE116" s="300">
        <v>43101</v>
      </c>
      <c r="AF116" s="301" t="s">
        <v>1575</v>
      </c>
      <c r="AG116" s="297" t="s">
        <v>5</v>
      </c>
      <c r="AH116" s="297" t="s">
        <v>1576</v>
      </c>
      <c r="AI116" s="299" t="s">
        <v>1577</v>
      </c>
      <c r="AJ116" s="300" t="s">
        <v>689</v>
      </c>
      <c r="AK116" s="301" t="s">
        <v>1578</v>
      </c>
      <c r="AL116" s="297" t="s">
        <v>364</v>
      </c>
      <c r="AM116" s="297" t="s">
        <v>1579</v>
      </c>
      <c r="AN116" s="325" t="s">
        <v>1580</v>
      </c>
      <c r="AO116" s="475"/>
      <c r="AP116" s="325"/>
      <c r="AQ116" s="301" t="s">
        <v>1581</v>
      </c>
      <c r="AR116" s="297" t="s">
        <v>66</v>
      </c>
      <c r="AS116" s="299">
        <v>38285</v>
      </c>
      <c r="AT116" s="299">
        <v>40694</v>
      </c>
      <c r="AU116" s="297" t="s">
        <v>1582</v>
      </c>
      <c r="AV116" s="297"/>
      <c r="AW116" s="297" t="s">
        <v>92</v>
      </c>
      <c r="AX116" s="297" t="s">
        <v>1583</v>
      </c>
      <c r="AY116" s="299" t="s">
        <v>1584</v>
      </c>
      <c r="AZ116" s="297" t="s">
        <v>67</v>
      </c>
      <c r="BA116" s="299" t="s">
        <v>67</v>
      </c>
      <c r="BB116" s="382">
        <v>42081</v>
      </c>
      <c r="BC116" s="297" t="s">
        <v>95</v>
      </c>
      <c r="BD116" s="297" t="s">
        <v>566</v>
      </c>
      <c r="BE116" s="297"/>
      <c r="BF116" s="301"/>
      <c r="BG116" s="301"/>
      <c r="BH116" s="301" t="s">
        <v>1585</v>
      </c>
      <c r="BI116" s="301"/>
      <c r="BJ116" s="312">
        <v>209467139</v>
      </c>
      <c r="BK116" s="312">
        <v>209467139</v>
      </c>
      <c r="BL116" s="313" t="s">
        <v>1586</v>
      </c>
      <c r="BM116" s="299">
        <v>43112</v>
      </c>
      <c r="BN116" s="314">
        <v>43101</v>
      </c>
      <c r="BO116" s="434" t="s">
        <v>1587</v>
      </c>
      <c r="BP116" s="397"/>
      <c r="BQ116" s="398"/>
      <c r="BR116" s="320"/>
      <c r="BS116" s="308" t="s">
        <v>1588</v>
      </c>
      <c r="BT116" s="301"/>
      <c r="BU116" s="301"/>
      <c r="BV116" s="301"/>
      <c r="BW116" s="316"/>
      <c r="BX116" s="304"/>
      <c r="BY116" s="299"/>
      <c r="BZ116" s="317"/>
    </row>
    <row r="117" spans="1:78" ht="72" customHeight="1">
      <c r="A117" s="296">
        <v>119</v>
      </c>
      <c r="B117" s="297" t="s">
        <v>1589</v>
      </c>
      <c r="C117" s="298">
        <v>3654271</v>
      </c>
      <c r="D117" s="354" t="s">
        <v>677</v>
      </c>
      <c r="E117" s="299">
        <v>42164</v>
      </c>
      <c r="F117" s="300">
        <v>42156</v>
      </c>
      <c r="G117" s="301" t="s">
        <v>1590</v>
      </c>
      <c r="H117" s="297" t="s">
        <v>5</v>
      </c>
      <c r="I117" s="297" t="s">
        <v>101</v>
      </c>
      <c r="J117" s="299">
        <v>42271</v>
      </c>
      <c r="K117" s="300">
        <v>42248</v>
      </c>
      <c r="L117" s="301" t="s">
        <v>1591</v>
      </c>
      <c r="M117" s="297" t="s">
        <v>195</v>
      </c>
      <c r="N117" s="297" t="s">
        <v>85</v>
      </c>
      <c r="O117" s="299">
        <v>42247</v>
      </c>
      <c r="P117" s="302">
        <v>42217</v>
      </c>
      <c r="Q117" s="301" t="s">
        <v>1592</v>
      </c>
      <c r="R117" s="297" t="s">
        <v>5</v>
      </c>
      <c r="S117" s="297" t="s">
        <v>336</v>
      </c>
      <c r="T117" s="299">
        <v>42760</v>
      </c>
      <c r="U117" s="300">
        <v>42736</v>
      </c>
      <c r="V117" s="301" t="s">
        <v>1593</v>
      </c>
      <c r="W117" s="297" t="s">
        <v>208</v>
      </c>
      <c r="X117" s="297" t="s">
        <v>1594</v>
      </c>
      <c r="Y117" s="299">
        <v>43138</v>
      </c>
      <c r="Z117" s="300">
        <v>43132</v>
      </c>
      <c r="AA117" s="301" t="s">
        <v>1595</v>
      </c>
      <c r="AB117" s="297" t="s">
        <v>171</v>
      </c>
      <c r="AC117" s="297" t="s">
        <v>1271</v>
      </c>
      <c r="AD117" s="299">
        <v>43360</v>
      </c>
      <c r="AE117" s="300">
        <v>43360</v>
      </c>
      <c r="AF117" s="301" t="s">
        <v>1596</v>
      </c>
      <c r="AG117" s="297" t="s">
        <v>171</v>
      </c>
      <c r="AH117" s="297" t="s">
        <v>1273</v>
      </c>
      <c r="AI117" s="299"/>
      <c r="AJ117" s="300"/>
      <c r="AK117" s="301" t="s">
        <v>7323</v>
      </c>
      <c r="AL117" s="297" t="s">
        <v>171</v>
      </c>
      <c r="AM117" s="297" t="s">
        <v>7322</v>
      </c>
      <c r="AN117" s="297" t="s">
        <v>1023</v>
      </c>
      <c r="AO117" s="473"/>
      <c r="AP117" s="297"/>
      <c r="AQ117" s="301" t="s">
        <v>1597</v>
      </c>
      <c r="AR117" s="297" t="s">
        <v>66</v>
      </c>
      <c r="AS117" s="299">
        <v>37767</v>
      </c>
      <c r="AT117" s="299">
        <v>40539</v>
      </c>
      <c r="AU117" s="297" t="s">
        <v>8194</v>
      </c>
      <c r="AV117" s="297"/>
      <c r="AW117" s="297" t="s">
        <v>92</v>
      </c>
      <c r="AX117" s="297" t="s">
        <v>1598</v>
      </c>
      <c r="AY117" s="299">
        <v>41618</v>
      </c>
      <c r="AZ117" s="297" t="s">
        <v>736</v>
      </c>
      <c r="BA117" s="299">
        <v>41964</v>
      </c>
      <c r="BB117" s="382">
        <v>42138</v>
      </c>
      <c r="BC117" s="297" t="s">
        <v>95</v>
      </c>
      <c r="BD117" s="297" t="s">
        <v>566</v>
      </c>
      <c r="BE117" s="297"/>
      <c r="BF117" s="301" t="s">
        <v>737</v>
      </c>
      <c r="BG117" s="301" t="s">
        <v>1599</v>
      </c>
      <c r="BH117" s="301" t="s">
        <v>1600</v>
      </c>
      <c r="BI117" s="301"/>
      <c r="BJ117" s="312">
        <v>294896873</v>
      </c>
      <c r="BK117" s="312">
        <v>294896873</v>
      </c>
      <c r="BL117" s="313">
        <v>6799018</v>
      </c>
      <c r="BM117" s="299">
        <v>43117</v>
      </c>
      <c r="BN117" s="314">
        <v>43101</v>
      </c>
      <c r="BO117" s="460"/>
      <c r="BP117" s="390"/>
      <c r="BQ117" s="297"/>
      <c r="BR117" s="303"/>
      <c r="BS117" s="301" t="s">
        <v>1601</v>
      </c>
      <c r="BT117" s="301"/>
      <c r="BU117" s="301"/>
      <c r="BV117" s="301"/>
      <c r="BW117" s="316"/>
      <c r="BX117" s="304"/>
      <c r="BY117" s="299"/>
      <c r="BZ117" s="317"/>
    </row>
    <row r="118" spans="1:78" ht="81">
      <c r="A118" s="296">
        <v>120</v>
      </c>
      <c r="B118" s="297" t="s">
        <v>1602</v>
      </c>
      <c r="C118" s="298">
        <v>71336597</v>
      </c>
      <c r="D118" s="354" t="s">
        <v>333</v>
      </c>
      <c r="E118" s="299">
        <v>42165</v>
      </c>
      <c r="F118" s="300">
        <v>42156</v>
      </c>
      <c r="G118" s="301" t="s">
        <v>1603</v>
      </c>
      <c r="H118" s="297" t="s">
        <v>5</v>
      </c>
      <c r="I118" s="297" t="s">
        <v>101</v>
      </c>
      <c r="J118" s="299"/>
      <c r="K118" s="300"/>
      <c r="L118" s="301"/>
      <c r="M118" s="297"/>
      <c r="N118" s="297"/>
      <c r="O118" s="299"/>
      <c r="P118" s="302"/>
      <c r="Q118" s="301"/>
      <c r="R118" s="297"/>
      <c r="S118" s="297"/>
      <c r="T118" s="299"/>
      <c r="U118" s="300"/>
      <c r="V118" s="301"/>
      <c r="W118" s="297"/>
      <c r="X118" s="297"/>
      <c r="Y118" s="299"/>
      <c r="Z118" s="300"/>
      <c r="AA118" s="301"/>
      <c r="AB118" s="297"/>
      <c r="AC118" s="297"/>
      <c r="AD118" s="299"/>
      <c r="AE118" s="300"/>
      <c r="AF118" s="301"/>
      <c r="AG118" s="297"/>
      <c r="AH118" s="297"/>
      <c r="AI118" s="304"/>
      <c r="AJ118" s="300"/>
      <c r="AK118" s="301"/>
      <c r="AL118" s="297"/>
      <c r="AM118" s="297"/>
      <c r="AN118" s="297" t="s">
        <v>1604</v>
      </c>
      <c r="AO118" s="473"/>
      <c r="AP118" s="297"/>
      <c r="AQ118" s="301" t="s">
        <v>1605</v>
      </c>
      <c r="AR118" s="297" t="s">
        <v>66</v>
      </c>
      <c r="AS118" s="299">
        <v>39264</v>
      </c>
      <c r="AT118" s="299">
        <v>39826</v>
      </c>
      <c r="AU118" s="297" t="s">
        <v>1606</v>
      </c>
      <c r="AV118" s="297"/>
      <c r="AW118" s="297" t="s">
        <v>92</v>
      </c>
      <c r="AX118" s="297" t="s">
        <v>1607</v>
      </c>
      <c r="AY118" s="299">
        <v>41816</v>
      </c>
      <c r="AZ118" s="297" t="s">
        <v>67</v>
      </c>
      <c r="BA118" s="299" t="s">
        <v>67</v>
      </c>
      <c r="BB118" s="382">
        <v>41929</v>
      </c>
      <c r="BC118" s="297" t="s">
        <v>95</v>
      </c>
      <c r="BD118" s="297" t="s">
        <v>566</v>
      </c>
      <c r="BE118" s="297"/>
      <c r="BF118" s="301"/>
      <c r="BG118" s="301" t="s">
        <v>1608</v>
      </c>
      <c r="BH118" s="301" t="s">
        <v>1609</v>
      </c>
      <c r="BI118" s="301"/>
      <c r="BJ118" s="312">
        <v>54187739</v>
      </c>
      <c r="BK118" s="312">
        <v>54187739</v>
      </c>
      <c r="BL118" s="313">
        <v>115478918</v>
      </c>
      <c r="BM118" s="299">
        <v>43216</v>
      </c>
      <c r="BN118" s="314">
        <v>43191</v>
      </c>
      <c r="BO118" s="460" t="s">
        <v>1610</v>
      </c>
      <c r="BP118" s="390"/>
      <c r="BQ118" s="297"/>
      <c r="BR118" s="303"/>
      <c r="BS118" s="301"/>
      <c r="BT118" s="301"/>
      <c r="BU118" s="301"/>
      <c r="BV118" s="301"/>
      <c r="BW118" s="316"/>
      <c r="BX118" s="304"/>
      <c r="BY118" s="299"/>
      <c r="BZ118" s="317"/>
    </row>
    <row r="119" spans="1:78" ht="125.25" customHeight="1">
      <c r="A119" s="296">
        <v>121</v>
      </c>
      <c r="B119" s="297" t="s">
        <v>1611</v>
      </c>
      <c r="C119" s="298">
        <v>93693615</v>
      </c>
      <c r="D119" s="354" t="s">
        <v>1612</v>
      </c>
      <c r="E119" s="299">
        <v>42167</v>
      </c>
      <c r="F119" s="300">
        <v>42156</v>
      </c>
      <c r="G119" s="301" t="s">
        <v>1613</v>
      </c>
      <c r="H119" s="297" t="s">
        <v>5</v>
      </c>
      <c r="I119" s="297" t="s">
        <v>101</v>
      </c>
      <c r="J119" s="299"/>
      <c r="K119" s="300"/>
      <c r="L119" s="301"/>
      <c r="M119" s="297"/>
      <c r="N119" s="297"/>
      <c r="O119" s="299"/>
      <c r="P119" s="302"/>
      <c r="Q119" s="301"/>
      <c r="R119" s="297"/>
      <c r="S119" s="297"/>
      <c r="T119" s="299"/>
      <c r="U119" s="300"/>
      <c r="V119" s="301"/>
      <c r="W119" s="297"/>
      <c r="X119" s="297"/>
      <c r="Y119" s="299"/>
      <c r="Z119" s="300"/>
      <c r="AA119" s="301"/>
      <c r="AB119" s="297"/>
      <c r="AC119" s="297"/>
      <c r="AD119" s="299"/>
      <c r="AE119" s="300"/>
      <c r="AF119" s="301"/>
      <c r="AG119" s="297"/>
      <c r="AH119" s="297"/>
      <c r="AI119" s="304"/>
      <c r="AJ119" s="300"/>
      <c r="AK119" s="301"/>
      <c r="AL119" s="297"/>
      <c r="AM119" s="297"/>
      <c r="AN119" s="297"/>
      <c r="AO119" s="473"/>
      <c r="AP119" s="297"/>
      <c r="AQ119" s="301" t="s">
        <v>1614</v>
      </c>
      <c r="AR119" s="297" t="s">
        <v>66</v>
      </c>
      <c r="AS119" s="299" t="s">
        <v>67</v>
      </c>
      <c r="AT119" s="299" t="s">
        <v>67</v>
      </c>
      <c r="AU119" s="297" t="s">
        <v>110</v>
      </c>
      <c r="AV119" s="297"/>
      <c r="AW119" s="297" t="s">
        <v>92</v>
      </c>
      <c r="AX119" s="297" t="s">
        <v>124</v>
      </c>
      <c r="AY119" s="299">
        <v>41880</v>
      </c>
      <c r="AZ119" s="297" t="s">
        <v>1615</v>
      </c>
      <c r="BA119" s="299">
        <v>41985</v>
      </c>
      <c r="BB119" s="678">
        <v>42020</v>
      </c>
      <c r="BC119" s="303" t="s">
        <v>71</v>
      </c>
      <c r="BD119" s="303" t="s">
        <v>5690</v>
      </c>
      <c r="BE119" s="297" t="s">
        <v>1616</v>
      </c>
      <c r="BF119" s="301"/>
      <c r="BG119" s="301" t="s">
        <v>1617</v>
      </c>
      <c r="BH119" s="301" t="s">
        <v>1617</v>
      </c>
      <c r="BI119" s="301" t="s">
        <v>1618</v>
      </c>
      <c r="BJ119" s="312">
        <v>13403168</v>
      </c>
      <c r="BK119" s="312">
        <v>13403168</v>
      </c>
      <c r="BL119" s="307">
        <v>117434716</v>
      </c>
      <c r="BM119" s="299">
        <v>42500</v>
      </c>
      <c r="BN119" s="314">
        <v>42491</v>
      </c>
      <c r="BO119" s="460"/>
      <c r="BP119" s="390"/>
      <c r="BQ119" s="297"/>
      <c r="BR119" s="303"/>
      <c r="BS119" s="301"/>
      <c r="BT119" s="308"/>
      <c r="BU119" s="308"/>
      <c r="BV119" s="308"/>
      <c r="BW119" s="309"/>
      <c r="BX119" s="310"/>
      <c r="BY119" s="305"/>
      <c r="BZ119" s="311"/>
    </row>
    <row r="120" spans="1:78" ht="81.75" customHeight="1">
      <c r="A120" s="296">
        <v>122</v>
      </c>
      <c r="B120" s="297" t="s">
        <v>1619</v>
      </c>
      <c r="C120" s="298">
        <v>15702290</v>
      </c>
      <c r="D120" s="354" t="s">
        <v>1567</v>
      </c>
      <c r="E120" s="299">
        <v>42171</v>
      </c>
      <c r="F120" s="300">
        <v>42156</v>
      </c>
      <c r="G120" s="301" t="s">
        <v>1620</v>
      </c>
      <c r="H120" s="297" t="s">
        <v>171</v>
      </c>
      <c r="I120" s="297" t="s">
        <v>336</v>
      </c>
      <c r="J120" s="299">
        <v>42261</v>
      </c>
      <c r="K120" s="300">
        <v>42248</v>
      </c>
      <c r="L120" s="301" t="s">
        <v>1621</v>
      </c>
      <c r="M120" s="297" t="s">
        <v>5</v>
      </c>
      <c r="N120" s="297" t="s">
        <v>101</v>
      </c>
      <c r="O120" s="299">
        <v>42261</v>
      </c>
      <c r="P120" s="302">
        <v>42248</v>
      </c>
      <c r="Q120" s="301" t="s">
        <v>1622</v>
      </c>
      <c r="R120" s="297" t="s">
        <v>625</v>
      </c>
      <c r="S120" s="297" t="s">
        <v>183</v>
      </c>
      <c r="T120" s="299">
        <v>42751</v>
      </c>
      <c r="U120" s="300">
        <v>42736</v>
      </c>
      <c r="V120" s="301" t="s">
        <v>1570</v>
      </c>
      <c r="W120" s="297" t="s">
        <v>5</v>
      </c>
      <c r="X120" s="297" t="s">
        <v>131</v>
      </c>
      <c r="Y120" s="299">
        <v>43123</v>
      </c>
      <c r="Z120" s="300">
        <v>43101</v>
      </c>
      <c r="AA120" s="301" t="s">
        <v>1575</v>
      </c>
      <c r="AB120" s="297" t="s">
        <v>5</v>
      </c>
      <c r="AC120" s="297" t="s">
        <v>1623</v>
      </c>
      <c r="AD120" s="299">
        <v>43130</v>
      </c>
      <c r="AE120" s="300">
        <v>43101</v>
      </c>
      <c r="AF120" s="301" t="s">
        <v>1624</v>
      </c>
      <c r="AG120" s="297" t="s">
        <v>5</v>
      </c>
      <c r="AH120" s="297" t="s">
        <v>1625</v>
      </c>
      <c r="AI120" s="299" t="s">
        <v>1577</v>
      </c>
      <c r="AJ120" s="300" t="s">
        <v>689</v>
      </c>
      <c r="AK120" s="301" t="s">
        <v>1578</v>
      </c>
      <c r="AL120" s="297" t="s">
        <v>364</v>
      </c>
      <c r="AM120" s="297" t="s">
        <v>1626</v>
      </c>
      <c r="AN120" s="297" t="s">
        <v>1145</v>
      </c>
      <c r="AO120" s="473"/>
      <c r="AP120" s="297"/>
      <c r="AQ120" s="301" t="s">
        <v>1627</v>
      </c>
      <c r="AR120" s="297" t="s">
        <v>66</v>
      </c>
      <c r="AS120" s="299">
        <v>37956</v>
      </c>
      <c r="AT120" s="299">
        <v>39825</v>
      </c>
      <c r="AU120" s="297" t="s">
        <v>1628</v>
      </c>
      <c r="AV120" s="297"/>
      <c r="AW120" s="297" t="s">
        <v>92</v>
      </c>
      <c r="AX120" s="297" t="s">
        <v>1629</v>
      </c>
      <c r="AY120" s="299">
        <v>41543</v>
      </c>
      <c r="AZ120" s="297" t="s">
        <v>1630</v>
      </c>
      <c r="BA120" s="299">
        <v>42124</v>
      </c>
      <c r="BB120" s="382">
        <v>42138</v>
      </c>
      <c r="BC120" s="297" t="s">
        <v>95</v>
      </c>
      <c r="BD120" s="297" t="s">
        <v>1792</v>
      </c>
      <c r="BE120" s="297"/>
      <c r="BF120" s="301"/>
      <c r="BG120" s="301" t="s">
        <v>1631</v>
      </c>
      <c r="BH120" s="301" t="s">
        <v>1632</v>
      </c>
      <c r="BI120" s="301"/>
      <c r="BJ120" s="312">
        <v>186979684</v>
      </c>
      <c r="BK120" s="312">
        <v>186979684</v>
      </c>
      <c r="BL120" s="313" t="s">
        <v>1633</v>
      </c>
      <c r="BM120" s="299">
        <v>43118</v>
      </c>
      <c r="BN120" s="314">
        <v>43101</v>
      </c>
      <c r="BO120" s="460" t="s">
        <v>1634</v>
      </c>
      <c r="BP120" s="390"/>
      <c r="BQ120" s="297"/>
      <c r="BR120" s="303"/>
      <c r="BS120" s="308" t="s">
        <v>1635</v>
      </c>
      <c r="BT120" s="308"/>
      <c r="BU120" s="308"/>
      <c r="BV120" s="308"/>
      <c r="BW120" s="309"/>
      <c r="BX120" s="310"/>
      <c r="BY120" s="305"/>
      <c r="BZ120" s="311"/>
    </row>
    <row r="121" spans="1:78" ht="74.25" customHeight="1">
      <c r="A121" s="296">
        <v>123</v>
      </c>
      <c r="B121" s="297" t="s">
        <v>1636</v>
      </c>
      <c r="C121" s="329">
        <v>91440794</v>
      </c>
      <c r="D121" s="354" t="s">
        <v>167</v>
      </c>
      <c r="E121" s="299">
        <v>42171</v>
      </c>
      <c r="F121" s="300">
        <v>42156</v>
      </c>
      <c r="G121" s="301" t="s">
        <v>1637</v>
      </c>
      <c r="H121" s="297" t="s">
        <v>1480</v>
      </c>
      <c r="I121" s="297" t="s">
        <v>131</v>
      </c>
      <c r="J121" s="299">
        <v>42264</v>
      </c>
      <c r="K121" s="300">
        <v>42251</v>
      </c>
      <c r="L121" s="301" t="s">
        <v>1638</v>
      </c>
      <c r="M121" s="297" t="s">
        <v>5</v>
      </c>
      <c r="N121" s="297" t="s">
        <v>101</v>
      </c>
      <c r="O121" s="299">
        <v>41694</v>
      </c>
      <c r="P121" s="302">
        <v>42767</v>
      </c>
      <c r="Q121" s="301" t="s">
        <v>1639</v>
      </c>
      <c r="R121" s="297" t="s">
        <v>208</v>
      </c>
      <c r="S121" s="297" t="s">
        <v>131</v>
      </c>
      <c r="T121" s="305">
        <v>43269</v>
      </c>
      <c r="U121" s="300">
        <v>43269</v>
      </c>
      <c r="V121" s="315" t="s">
        <v>1640</v>
      </c>
      <c r="W121" s="297" t="s">
        <v>5</v>
      </c>
      <c r="X121" s="297" t="s">
        <v>79</v>
      </c>
      <c r="Y121" s="299">
        <v>44256</v>
      </c>
      <c r="Z121" s="300">
        <v>44256</v>
      </c>
      <c r="AA121" s="301" t="s">
        <v>10359</v>
      </c>
      <c r="AB121" s="297" t="s">
        <v>208</v>
      </c>
      <c r="AC121" s="297" t="s">
        <v>10360</v>
      </c>
      <c r="AD121" s="299"/>
      <c r="AE121" s="300"/>
      <c r="AF121" s="301"/>
      <c r="AG121" s="297"/>
      <c r="AH121" s="297"/>
      <c r="AI121" s="304"/>
      <c r="AJ121" s="300"/>
      <c r="AK121" s="301"/>
      <c r="AL121" s="297"/>
      <c r="AM121" s="297"/>
      <c r="AN121" s="297" t="s">
        <v>1220</v>
      </c>
      <c r="AO121" s="479">
        <v>42251</v>
      </c>
      <c r="AP121" s="297"/>
      <c r="AQ121" s="301" t="s">
        <v>1641</v>
      </c>
      <c r="AR121" s="297" t="s">
        <v>161</v>
      </c>
      <c r="AS121" s="299">
        <v>37837</v>
      </c>
      <c r="AT121" s="299">
        <v>39794</v>
      </c>
      <c r="AU121" s="297" t="s">
        <v>1642</v>
      </c>
      <c r="AV121" s="297"/>
      <c r="AW121" s="297" t="s">
        <v>92</v>
      </c>
      <c r="AX121" s="297" t="s">
        <v>660</v>
      </c>
      <c r="AY121" s="299">
        <v>41606</v>
      </c>
      <c r="AZ121" s="297" t="s">
        <v>1643</v>
      </c>
      <c r="BA121" s="299">
        <v>41970</v>
      </c>
      <c r="BB121" s="382">
        <v>42076</v>
      </c>
      <c r="BC121" s="297" t="s">
        <v>95</v>
      </c>
      <c r="BD121" s="297" t="s">
        <v>566</v>
      </c>
      <c r="BE121" s="297"/>
      <c r="BF121" s="301" t="s">
        <v>1644</v>
      </c>
      <c r="BG121" s="301" t="s">
        <v>1645</v>
      </c>
      <c r="BH121" s="301" t="s">
        <v>8465</v>
      </c>
      <c r="BI121" s="301"/>
      <c r="BJ121" s="312">
        <f>+[22]MATRIZ!$J$64</f>
        <v>233867437.87996742</v>
      </c>
      <c r="BK121" s="312">
        <v>232707210</v>
      </c>
      <c r="BL121" s="313">
        <v>98494519</v>
      </c>
      <c r="BM121" s="299">
        <v>43581</v>
      </c>
      <c r="BN121" s="314">
        <v>43581</v>
      </c>
      <c r="BO121" s="531" t="s">
        <v>8573</v>
      </c>
      <c r="BP121" s="396"/>
      <c r="BQ121" s="336"/>
      <c r="BR121" s="331"/>
      <c r="BS121" s="301"/>
      <c r="BT121" s="308"/>
      <c r="BU121" s="308"/>
      <c r="BV121" s="308"/>
      <c r="BW121" s="309"/>
      <c r="BX121" s="310"/>
      <c r="BY121" s="305"/>
      <c r="BZ121" s="311"/>
    </row>
    <row r="122" spans="1:78" ht="90" customHeight="1">
      <c r="A122" s="296">
        <v>125</v>
      </c>
      <c r="B122" s="297" t="s">
        <v>1652</v>
      </c>
      <c r="C122" s="298">
        <v>23588312</v>
      </c>
      <c r="D122" s="354" t="s">
        <v>1653</v>
      </c>
      <c r="E122" s="299">
        <v>42179</v>
      </c>
      <c r="F122" s="300">
        <v>42156</v>
      </c>
      <c r="G122" s="301" t="s">
        <v>1654</v>
      </c>
      <c r="H122" s="297" t="s">
        <v>195</v>
      </c>
      <c r="I122" s="297" t="s">
        <v>336</v>
      </c>
      <c r="J122" s="299">
        <v>42229</v>
      </c>
      <c r="K122" s="300">
        <v>42217</v>
      </c>
      <c r="L122" s="301" t="s">
        <v>1655</v>
      </c>
      <c r="M122" s="297" t="s">
        <v>198</v>
      </c>
      <c r="N122" s="297" t="s">
        <v>336</v>
      </c>
      <c r="O122" s="299">
        <v>42396</v>
      </c>
      <c r="P122" s="302">
        <v>42370</v>
      </c>
      <c r="Q122" s="301" t="s">
        <v>1656</v>
      </c>
      <c r="R122" s="297" t="s">
        <v>5</v>
      </c>
      <c r="S122" s="297" t="s">
        <v>101</v>
      </c>
      <c r="T122" s="299"/>
      <c r="U122" s="314"/>
      <c r="V122" s="301"/>
      <c r="W122" s="297"/>
      <c r="X122" s="297"/>
      <c r="Y122" s="299"/>
      <c r="Z122" s="300"/>
      <c r="AA122" s="301"/>
      <c r="AB122" s="297"/>
      <c r="AC122" s="297"/>
      <c r="AD122" s="299"/>
      <c r="AE122" s="300"/>
      <c r="AF122" s="301"/>
      <c r="AG122" s="297"/>
      <c r="AH122" s="297"/>
      <c r="AI122" s="304"/>
      <c r="AJ122" s="300"/>
      <c r="AK122" s="301"/>
      <c r="AL122" s="297"/>
      <c r="AM122" s="297"/>
      <c r="AN122" s="297"/>
      <c r="AO122" s="473"/>
      <c r="AP122" s="297"/>
      <c r="AQ122" s="301" t="s">
        <v>1657</v>
      </c>
      <c r="AR122" s="297" t="s">
        <v>66</v>
      </c>
      <c r="AS122" s="299" t="s">
        <v>67</v>
      </c>
      <c r="AT122" s="299" t="s">
        <v>67</v>
      </c>
      <c r="AU122" s="297" t="s">
        <v>1658</v>
      </c>
      <c r="AV122" s="297"/>
      <c r="AW122" s="297" t="s">
        <v>92</v>
      </c>
      <c r="AX122" s="297" t="s">
        <v>1659</v>
      </c>
      <c r="AY122" s="299">
        <v>41235</v>
      </c>
      <c r="AZ122" s="297" t="s">
        <v>1660</v>
      </c>
      <c r="BA122" s="299">
        <v>42047</v>
      </c>
      <c r="BB122" s="678">
        <v>42088</v>
      </c>
      <c r="BC122" s="303" t="s">
        <v>561</v>
      </c>
      <c r="BD122" s="303" t="s">
        <v>566</v>
      </c>
      <c r="BE122" s="297" t="s">
        <v>1661</v>
      </c>
      <c r="BF122" s="301"/>
      <c r="BG122" s="301" t="s">
        <v>1662</v>
      </c>
      <c r="BH122" s="301" t="s">
        <v>1663</v>
      </c>
      <c r="BI122" s="301" t="s">
        <v>1664</v>
      </c>
      <c r="BJ122" s="306">
        <v>373639429</v>
      </c>
      <c r="BK122" s="306" t="s">
        <v>1665</v>
      </c>
      <c r="BL122" s="307" t="s">
        <v>1666</v>
      </c>
      <c r="BM122" s="299" t="s">
        <v>1667</v>
      </c>
      <c r="BN122" s="314" t="s">
        <v>1668</v>
      </c>
      <c r="BO122" s="460"/>
      <c r="BP122" s="390"/>
      <c r="BQ122" s="297"/>
      <c r="BR122" s="303"/>
      <c r="BS122" s="308"/>
      <c r="BT122" s="308"/>
      <c r="BU122" s="308"/>
      <c r="BV122" s="308"/>
      <c r="BW122" s="309"/>
      <c r="BX122" s="310"/>
      <c r="BY122" s="305"/>
      <c r="BZ122" s="311"/>
    </row>
    <row r="123" spans="1:78" ht="68.25" customHeight="1">
      <c r="A123" s="296">
        <v>126</v>
      </c>
      <c r="B123" s="297" t="s">
        <v>1669</v>
      </c>
      <c r="C123" s="298">
        <v>80255956</v>
      </c>
      <c r="D123" s="354" t="s">
        <v>597</v>
      </c>
      <c r="E123" s="299">
        <v>42181</v>
      </c>
      <c r="F123" s="300">
        <v>42156</v>
      </c>
      <c r="G123" s="301" t="s">
        <v>1670</v>
      </c>
      <c r="H123" s="297" t="s">
        <v>63</v>
      </c>
      <c r="I123" s="297" t="s">
        <v>101</v>
      </c>
      <c r="J123" s="299">
        <v>43073</v>
      </c>
      <c r="K123" s="300">
        <v>43070</v>
      </c>
      <c r="L123" s="301" t="s">
        <v>1671</v>
      </c>
      <c r="M123" s="297" t="s">
        <v>63</v>
      </c>
      <c r="N123" s="297" t="s">
        <v>287</v>
      </c>
      <c r="O123" s="299">
        <v>43098</v>
      </c>
      <c r="P123" s="302">
        <v>43070</v>
      </c>
      <c r="Q123" s="301" t="s">
        <v>1672</v>
      </c>
      <c r="R123" s="297" t="s">
        <v>103</v>
      </c>
      <c r="S123" s="297" t="s">
        <v>1673</v>
      </c>
      <c r="T123" s="299">
        <v>43179</v>
      </c>
      <c r="U123" s="300">
        <v>43160</v>
      </c>
      <c r="V123" s="301" t="s">
        <v>1674</v>
      </c>
      <c r="W123" s="297" t="s">
        <v>171</v>
      </c>
      <c r="X123" s="297" t="s">
        <v>1675</v>
      </c>
      <c r="Y123" s="299"/>
      <c r="Z123" s="300"/>
      <c r="AA123" s="301"/>
      <c r="AB123" s="297"/>
      <c r="AC123" s="297"/>
      <c r="AD123" s="299"/>
      <c r="AE123" s="300"/>
      <c r="AF123" s="301"/>
      <c r="AG123" s="297"/>
      <c r="AH123" s="297"/>
      <c r="AI123" s="304"/>
      <c r="AJ123" s="300"/>
      <c r="AK123" s="301"/>
      <c r="AL123" s="297"/>
      <c r="AM123" s="297"/>
      <c r="AN123" s="297" t="s">
        <v>477</v>
      </c>
      <c r="AO123" s="473"/>
      <c r="AP123" s="297"/>
      <c r="AQ123" s="301" t="s">
        <v>1676</v>
      </c>
      <c r="AR123" s="297" t="s">
        <v>66</v>
      </c>
      <c r="AS123" s="299">
        <v>38385</v>
      </c>
      <c r="AT123" s="299">
        <v>39853</v>
      </c>
      <c r="AU123" s="297" t="s">
        <v>1677</v>
      </c>
      <c r="AV123" s="297"/>
      <c r="AW123" s="297" t="s">
        <v>69</v>
      </c>
      <c r="AX123" s="297" t="s">
        <v>1678</v>
      </c>
      <c r="AY123" s="299">
        <v>41754</v>
      </c>
      <c r="AZ123" s="297" t="s">
        <v>1679</v>
      </c>
      <c r="BA123" s="299">
        <v>42019</v>
      </c>
      <c r="BB123" s="382">
        <v>42058</v>
      </c>
      <c r="BC123" s="297" t="s">
        <v>95</v>
      </c>
      <c r="BD123" s="297" t="s">
        <v>1792</v>
      </c>
      <c r="BE123" s="297"/>
      <c r="BF123" s="301"/>
      <c r="BG123" s="301" t="s">
        <v>1680</v>
      </c>
      <c r="BH123" s="301" t="s">
        <v>1681</v>
      </c>
      <c r="BI123" s="301"/>
      <c r="BJ123" s="312">
        <v>115466963</v>
      </c>
      <c r="BK123" s="312">
        <v>115466963</v>
      </c>
      <c r="BL123" s="313" t="s">
        <v>1682</v>
      </c>
      <c r="BM123" s="299">
        <v>43115</v>
      </c>
      <c r="BN123" s="314">
        <v>43101</v>
      </c>
      <c r="BO123" s="434" t="s">
        <v>1683</v>
      </c>
      <c r="BP123" s="397"/>
      <c r="BQ123" s="398"/>
      <c r="BR123" s="320"/>
      <c r="BS123" s="301" t="s">
        <v>1684</v>
      </c>
      <c r="BT123" s="308"/>
      <c r="BU123" s="308"/>
      <c r="BV123" s="308"/>
      <c r="BW123" s="309"/>
      <c r="BX123" s="310"/>
      <c r="BY123" s="305"/>
      <c r="BZ123" s="311"/>
    </row>
    <row r="124" spans="1:78" ht="77.25" customHeight="1">
      <c r="A124" s="503">
        <v>127</v>
      </c>
      <c r="B124" s="297" t="s">
        <v>1685</v>
      </c>
      <c r="C124" s="298">
        <v>11324560</v>
      </c>
      <c r="D124" s="354" t="s">
        <v>597</v>
      </c>
      <c r="E124" s="299">
        <v>42181</v>
      </c>
      <c r="F124" s="300">
        <v>42156</v>
      </c>
      <c r="G124" s="301" t="s">
        <v>1686</v>
      </c>
      <c r="H124" s="297" t="s">
        <v>63</v>
      </c>
      <c r="I124" s="297" t="s">
        <v>101</v>
      </c>
      <c r="J124" s="299">
        <v>42340</v>
      </c>
      <c r="K124" s="300">
        <v>42339</v>
      </c>
      <c r="L124" s="301" t="s">
        <v>1687</v>
      </c>
      <c r="M124" s="297" t="s">
        <v>171</v>
      </c>
      <c r="N124" s="297" t="s">
        <v>1544</v>
      </c>
      <c r="O124" s="299">
        <v>42340</v>
      </c>
      <c r="P124" s="302">
        <v>42339</v>
      </c>
      <c r="Q124" s="301" t="s">
        <v>1688</v>
      </c>
      <c r="R124" s="297" t="s">
        <v>63</v>
      </c>
      <c r="S124" s="297" t="s">
        <v>79</v>
      </c>
      <c r="T124" s="299">
        <v>43241</v>
      </c>
      <c r="U124" s="300">
        <v>43221</v>
      </c>
      <c r="V124" s="301" t="s">
        <v>1689</v>
      </c>
      <c r="W124" s="297" t="s">
        <v>171</v>
      </c>
      <c r="X124" s="297" t="s">
        <v>1690</v>
      </c>
      <c r="Y124" s="299"/>
      <c r="Z124" s="300"/>
      <c r="AA124" s="301"/>
      <c r="AB124" s="297"/>
      <c r="AC124" s="297"/>
      <c r="AD124" s="299"/>
      <c r="AE124" s="300"/>
      <c r="AF124" s="301"/>
      <c r="AG124" s="297"/>
      <c r="AH124" s="297"/>
      <c r="AI124" s="304"/>
      <c r="AJ124" s="300"/>
      <c r="AK124" s="301"/>
      <c r="AL124" s="297"/>
      <c r="AM124" s="297"/>
      <c r="AN124" s="297" t="s">
        <v>1691</v>
      </c>
      <c r="AO124" s="473"/>
      <c r="AP124" s="297"/>
      <c r="AQ124" s="301" t="s">
        <v>1692</v>
      </c>
      <c r="AR124" s="297" t="s">
        <v>66</v>
      </c>
      <c r="AS124" s="299">
        <v>37987</v>
      </c>
      <c r="AT124" s="299">
        <v>40858</v>
      </c>
      <c r="AU124" s="297" t="s">
        <v>1693</v>
      </c>
      <c r="AV124" s="297"/>
      <c r="AW124" s="297" t="s">
        <v>69</v>
      </c>
      <c r="AX124" s="297" t="s">
        <v>1694</v>
      </c>
      <c r="AY124" s="299">
        <v>41890</v>
      </c>
      <c r="AZ124" s="297" t="s">
        <v>67</v>
      </c>
      <c r="BA124" s="299" t="s">
        <v>67</v>
      </c>
      <c r="BB124" s="382">
        <v>42181</v>
      </c>
      <c r="BC124" s="297" t="s">
        <v>95</v>
      </c>
      <c r="BD124" s="297" t="s">
        <v>1792</v>
      </c>
      <c r="BE124" s="297"/>
      <c r="BF124" s="301"/>
      <c r="BG124" s="301" t="s">
        <v>1695</v>
      </c>
      <c r="BH124" s="301" t="s">
        <v>9745</v>
      </c>
      <c r="BI124" s="301"/>
      <c r="BJ124" s="312" t="s">
        <v>9746</v>
      </c>
      <c r="BK124" s="312" t="s">
        <v>9746</v>
      </c>
      <c r="BL124" s="313" t="s">
        <v>9858</v>
      </c>
      <c r="BM124" s="299" t="s">
        <v>9859</v>
      </c>
      <c r="BN124" s="314" t="s">
        <v>9860</v>
      </c>
      <c r="BO124" s="434" t="s">
        <v>1683</v>
      </c>
      <c r="BP124" s="396"/>
      <c r="BQ124" s="336"/>
      <c r="BR124" s="320"/>
      <c r="BS124" s="301" t="s">
        <v>1696</v>
      </c>
      <c r="BT124" s="301"/>
      <c r="BU124" s="301"/>
      <c r="BV124" s="301"/>
      <c r="BW124" s="316"/>
      <c r="BX124" s="304"/>
      <c r="BY124" s="299"/>
      <c r="BZ124" s="317"/>
    </row>
    <row r="125" spans="1:78" ht="162">
      <c r="A125" s="296">
        <v>128</v>
      </c>
      <c r="B125" s="297" t="s">
        <v>1697</v>
      </c>
      <c r="C125" s="298">
        <v>77182197</v>
      </c>
      <c r="D125" s="354" t="s">
        <v>1647</v>
      </c>
      <c r="E125" s="299">
        <v>42304</v>
      </c>
      <c r="F125" s="300">
        <v>42278</v>
      </c>
      <c r="G125" s="301" t="s">
        <v>1698</v>
      </c>
      <c r="H125" s="297" t="s">
        <v>5</v>
      </c>
      <c r="I125" s="297" t="s">
        <v>101</v>
      </c>
      <c r="J125" s="299">
        <v>42647</v>
      </c>
      <c r="K125" s="300">
        <v>42644</v>
      </c>
      <c r="L125" s="301" t="s">
        <v>1699</v>
      </c>
      <c r="M125" s="297" t="s">
        <v>5</v>
      </c>
      <c r="N125" s="297" t="s">
        <v>85</v>
      </c>
      <c r="O125" s="299">
        <v>43669</v>
      </c>
      <c r="P125" s="300">
        <v>43669</v>
      </c>
      <c r="Q125" s="301" t="s">
        <v>9066</v>
      </c>
      <c r="R125" s="297" t="s">
        <v>9067</v>
      </c>
      <c r="S125" s="297" t="s">
        <v>9068</v>
      </c>
      <c r="T125" s="299">
        <v>44172</v>
      </c>
      <c r="U125" s="300">
        <v>44172</v>
      </c>
      <c r="V125" s="301" t="s">
        <v>9790</v>
      </c>
      <c r="W125" s="297" t="s">
        <v>5</v>
      </c>
      <c r="X125" s="297" t="s">
        <v>79</v>
      </c>
      <c r="Y125" s="299"/>
      <c r="Z125" s="300"/>
      <c r="AA125" s="301"/>
      <c r="AB125" s="297"/>
      <c r="AC125" s="297"/>
      <c r="AD125" s="299"/>
      <c r="AE125" s="300"/>
      <c r="AF125" s="301"/>
      <c r="AG125" s="297"/>
      <c r="AH125" s="297"/>
      <c r="AI125" s="304"/>
      <c r="AJ125" s="300"/>
      <c r="AK125" s="301"/>
      <c r="AL125" s="297"/>
      <c r="AM125" s="297"/>
      <c r="AN125" s="297" t="s">
        <v>1700</v>
      </c>
      <c r="AO125" s="473"/>
      <c r="AP125" s="297"/>
      <c r="AQ125" s="301" t="s">
        <v>1701</v>
      </c>
      <c r="AR125" s="297" t="s">
        <v>66</v>
      </c>
      <c r="AS125" s="299">
        <v>38538</v>
      </c>
      <c r="AT125" s="299">
        <v>40633</v>
      </c>
      <c r="AU125" s="297" t="s">
        <v>1702</v>
      </c>
      <c r="AV125" s="297"/>
      <c r="AW125" s="297" t="s">
        <v>69</v>
      </c>
      <c r="AX125" s="297" t="s">
        <v>1703</v>
      </c>
      <c r="AY125" s="299">
        <v>41732</v>
      </c>
      <c r="AZ125" s="297" t="s">
        <v>612</v>
      </c>
      <c r="BA125" s="299">
        <v>42173</v>
      </c>
      <c r="BB125" s="382">
        <v>42180</v>
      </c>
      <c r="BC125" s="297" t="s">
        <v>95</v>
      </c>
      <c r="BD125" s="297" t="s">
        <v>1792</v>
      </c>
      <c r="BE125" s="297"/>
      <c r="BF125" s="301"/>
      <c r="BG125" s="301"/>
      <c r="BH125" s="301" t="s">
        <v>1704</v>
      </c>
      <c r="BI125" s="301"/>
      <c r="BJ125" s="312">
        <v>191943912</v>
      </c>
      <c r="BK125" s="312">
        <v>191943912</v>
      </c>
      <c r="BL125" s="313" t="s">
        <v>1705</v>
      </c>
      <c r="BM125" s="299">
        <v>43118</v>
      </c>
      <c r="BN125" s="314">
        <v>43101</v>
      </c>
      <c r="BO125" s="434" t="s">
        <v>1706</v>
      </c>
      <c r="BP125" s="396">
        <v>21493200</v>
      </c>
      <c r="BQ125" s="336" t="s">
        <v>7478</v>
      </c>
      <c r="BR125" s="320"/>
      <c r="BS125" s="308"/>
      <c r="BT125" s="301"/>
      <c r="BU125" s="301"/>
      <c r="BV125" s="301"/>
      <c r="BW125" s="316"/>
      <c r="BX125" s="304"/>
      <c r="BY125" s="299"/>
      <c r="BZ125" s="317"/>
    </row>
    <row r="126" spans="1:78" ht="105" customHeight="1">
      <c r="A126" s="296">
        <v>129</v>
      </c>
      <c r="B126" s="297" t="s">
        <v>1707</v>
      </c>
      <c r="C126" s="298">
        <v>77175278</v>
      </c>
      <c r="D126" s="354" t="s">
        <v>1647</v>
      </c>
      <c r="E126" s="299">
        <v>42304</v>
      </c>
      <c r="F126" s="300">
        <v>42278</v>
      </c>
      <c r="G126" s="301" t="s">
        <v>1698</v>
      </c>
      <c r="H126" s="297" t="s">
        <v>5</v>
      </c>
      <c r="I126" s="297" t="s">
        <v>101</v>
      </c>
      <c r="J126" s="299">
        <v>42647</v>
      </c>
      <c r="K126" s="300">
        <v>42644</v>
      </c>
      <c r="L126" s="301" t="s">
        <v>1699</v>
      </c>
      <c r="M126" s="297" t="s">
        <v>5</v>
      </c>
      <c r="N126" s="297" t="s">
        <v>85</v>
      </c>
      <c r="O126" s="299">
        <v>43133</v>
      </c>
      <c r="P126" s="302">
        <v>43132</v>
      </c>
      <c r="Q126" s="301" t="s">
        <v>1708</v>
      </c>
      <c r="R126" s="297" t="s">
        <v>5</v>
      </c>
      <c r="S126" s="297" t="s">
        <v>1114</v>
      </c>
      <c r="T126" s="299">
        <v>44172</v>
      </c>
      <c r="U126" s="300">
        <v>44172</v>
      </c>
      <c r="V126" s="301" t="s">
        <v>9790</v>
      </c>
      <c r="W126" s="297" t="s">
        <v>5</v>
      </c>
      <c r="X126" s="297" t="s">
        <v>79</v>
      </c>
      <c r="Y126" s="299"/>
      <c r="Z126" s="300"/>
      <c r="AA126" s="301"/>
      <c r="AB126" s="297"/>
      <c r="AC126" s="297"/>
      <c r="AD126" s="299"/>
      <c r="AE126" s="300"/>
      <c r="AF126" s="301"/>
      <c r="AG126" s="297"/>
      <c r="AH126" s="297"/>
      <c r="AI126" s="304"/>
      <c r="AJ126" s="300"/>
      <c r="AK126" s="301"/>
      <c r="AL126" s="297"/>
      <c r="AM126" s="297"/>
      <c r="AN126" s="297" t="s">
        <v>1709</v>
      </c>
      <c r="AO126" s="473"/>
      <c r="AP126" s="297"/>
      <c r="AQ126" s="301" t="s">
        <v>1710</v>
      </c>
      <c r="AR126" s="297" t="s">
        <v>66</v>
      </c>
      <c r="AS126" s="299">
        <v>37986</v>
      </c>
      <c r="AT126" s="299">
        <v>40543</v>
      </c>
      <c r="AU126" s="297" t="s">
        <v>1711</v>
      </c>
      <c r="AV126" s="297"/>
      <c r="AW126" s="297" t="s">
        <v>69</v>
      </c>
      <c r="AX126" s="297" t="s">
        <v>1651</v>
      </c>
      <c r="AY126" s="299">
        <v>41732</v>
      </c>
      <c r="AZ126" s="297" t="s">
        <v>612</v>
      </c>
      <c r="BA126" s="299">
        <v>42173</v>
      </c>
      <c r="BB126" s="382">
        <v>42180</v>
      </c>
      <c r="BC126" s="297" t="s">
        <v>95</v>
      </c>
      <c r="BD126" s="297" t="s">
        <v>1792</v>
      </c>
      <c r="BE126" s="297"/>
      <c r="BF126" s="301"/>
      <c r="BG126" s="301" t="s">
        <v>1712</v>
      </c>
      <c r="BH126" s="301" t="s">
        <v>1713</v>
      </c>
      <c r="BI126" s="301"/>
      <c r="BJ126" s="312">
        <v>201236826</v>
      </c>
      <c r="BK126" s="312">
        <v>201236826</v>
      </c>
      <c r="BL126" s="313">
        <v>115367318</v>
      </c>
      <c r="BM126" s="299">
        <v>43214</v>
      </c>
      <c r="BN126" s="314">
        <v>43191</v>
      </c>
      <c r="BO126" s="434" t="s">
        <v>1714</v>
      </c>
      <c r="BP126" s="396"/>
      <c r="BQ126" s="336"/>
      <c r="BR126" s="320"/>
      <c r="BS126" s="308"/>
      <c r="BT126" s="301"/>
      <c r="BU126" s="301"/>
      <c r="BV126" s="301"/>
      <c r="BW126" s="316"/>
      <c r="BX126" s="304"/>
      <c r="BY126" s="299"/>
      <c r="BZ126" s="317"/>
    </row>
    <row r="127" spans="1:78" ht="81" customHeight="1">
      <c r="A127" s="296">
        <v>130</v>
      </c>
      <c r="B127" s="297" t="s">
        <v>1715</v>
      </c>
      <c r="C127" s="298">
        <v>79959545</v>
      </c>
      <c r="D127" s="354" t="s">
        <v>597</v>
      </c>
      <c r="E127" s="299">
        <v>42187</v>
      </c>
      <c r="F127" s="300">
        <v>42186</v>
      </c>
      <c r="G127" s="301" t="s">
        <v>1716</v>
      </c>
      <c r="H127" s="297" t="s">
        <v>63</v>
      </c>
      <c r="I127" s="297" t="s">
        <v>101</v>
      </c>
      <c r="J127" s="299">
        <v>43209</v>
      </c>
      <c r="K127" s="300">
        <v>43191</v>
      </c>
      <c r="L127" s="301" t="s">
        <v>1717</v>
      </c>
      <c r="M127" s="297" t="s">
        <v>63</v>
      </c>
      <c r="N127" s="297" t="s">
        <v>85</v>
      </c>
      <c r="O127" s="299"/>
      <c r="P127" s="302"/>
      <c r="Q127" s="301"/>
      <c r="R127" s="297"/>
      <c r="S127" s="297"/>
      <c r="T127" s="299"/>
      <c r="U127" s="300"/>
      <c r="V127" s="301"/>
      <c r="W127" s="297"/>
      <c r="X127" s="297"/>
      <c r="Y127" s="299"/>
      <c r="Z127" s="300"/>
      <c r="AA127" s="301"/>
      <c r="AB127" s="297"/>
      <c r="AC127" s="297"/>
      <c r="AD127" s="299"/>
      <c r="AE127" s="300"/>
      <c r="AF127" s="301"/>
      <c r="AG127" s="297"/>
      <c r="AH127" s="297"/>
      <c r="AI127" s="304"/>
      <c r="AJ127" s="300"/>
      <c r="AK127" s="301"/>
      <c r="AL127" s="297"/>
      <c r="AM127" s="297"/>
      <c r="AN127" s="297" t="s">
        <v>1718</v>
      </c>
      <c r="AO127" s="473"/>
      <c r="AP127" s="297"/>
      <c r="AQ127" s="301" t="s">
        <v>1719</v>
      </c>
      <c r="AR127" s="297" t="s">
        <v>66</v>
      </c>
      <c r="AS127" s="299">
        <v>38596</v>
      </c>
      <c r="AT127" s="299">
        <v>40862</v>
      </c>
      <c r="AU127" s="297" t="s">
        <v>1720</v>
      </c>
      <c r="AV127" s="297"/>
      <c r="AW127" s="297" t="s">
        <v>69</v>
      </c>
      <c r="AX127" s="297" t="s">
        <v>1721</v>
      </c>
      <c r="AY127" s="299">
        <v>41822</v>
      </c>
      <c r="AZ127" s="297" t="s">
        <v>67</v>
      </c>
      <c r="BA127" s="299" t="s">
        <v>67</v>
      </c>
      <c r="BB127" s="382">
        <v>41841</v>
      </c>
      <c r="BC127" s="297" t="s">
        <v>95</v>
      </c>
      <c r="BD127" s="297" t="s">
        <v>566</v>
      </c>
      <c r="BE127" s="297"/>
      <c r="BF127" s="301"/>
      <c r="BG127" s="301" t="s">
        <v>1722</v>
      </c>
      <c r="BH127" s="301" t="s">
        <v>1723</v>
      </c>
      <c r="BI127" s="301"/>
      <c r="BJ127" s="312">
        <v>210130209</v>
      </c>
      <c r="BK127" s="312">
        <v>210130209</v>
      </c>
      <c r="BL127" s="307">
        <v>121262818</v>
      </c>
      <c r="BM127" s="299">
        <v>43216</v>
      </c>
      <c r="BN127" s="314">
        <v>43191</v>
      </c>
      <c r="BO127" s="434" t="s">
        <v>1724</v>
      </c>
      <c r="BP127" s="397"/>
      <c r="BQ127" s="398"/>
      <c r="BR127" s="320"/>
      <c r="BS127" s="301"/>
      <c r="BT127" s="301"/>
      <c r="BU127" s="301"/>
      <c r="BV127" s="301"/>
      <c r="BW127" s="316"/>
      <c r="BX127" s="304"/>
      <c r="BY127" s="299"/>
      <c r="BZ127" s="317"/>
    </row>
    <row r="128" spans="1:78" ht="105" customHeight="1">
      <c r="A128" s="296">
        <v>131</v>
      </c>
      <c r="B128" s="297" t="s">
        <v>1725</v>
      </c>
      <c r="C128" s="298">
        <v>7378380</v>
      </c>
      <c r="D128" s="354" t="s">
        <v>1567</v>
      </c>
      <c r="E128" s="299">
        <v>42187</v>
      </c>
      <c r="F128" s="300">
        <v>42186</v>
      </c>
      <c r="G128" s="301" t="s">
        <v>1726</v>
      </c>
      <c r="H128" s="297" t="s">
        <v>5</v>
      </c>
      <c r="I128" s="297" t="s">
        <v>101</v>
      </c>
      <c r="J128" s="299">
        <v>42261</v>
      </c>
      <c r="K128" s="300">
        <v>42248</v>
      </c>
      <c r="L128" s="301" t="s">
        <v>1727</v>
      </c>
      <c r="M128" s="297" t="s">
        <v>625</v>
      </c>
      <c r="N128" s="297" t="s">
        <v>183</v>
      </c>
      <c r="O128" s="299">
        <v>42339</v>
      </c>
      <c r="P128" s="302">
        <v>42339</v>
      </c>
      <c r="Q128" s="301" t="s">
        <v>1728</v>
      </c>
      <c r="R128" s="297" t="s">
        <v>5</v>
      </c>
      <c r="S128" s="297" t="s">
        <v>336</v>
      </c>
      <c r="T128" s="299">
        <v>42751</v>
      </c>
      <c r="U128" s="300">
        <v>42736</v>
      </c>
      <c r="V128" s="301" t="s">
        <v>1570</v>
      </c>
      <c r="W128" s="297" t="s">
        <v>5</v>
      </c>
      <c r="X128" s="297" t="s">
        <v>107</v>
      </c>
      <c r="Y128" s="299">
        <v>42790</v>
      </c>
      <c r="Z128" s="300">
        <v>42767</v>
      </c>
      <c r="AA128" s="301" t="s">
        <v>1571</v>
      </c>
      <c r="AB128" s="297" t="s">
        <v>5</v>
      </c>
      <c r="AC128" s="297" t="s">
        <v>1729</v>
      </c>
      <c r="AD128" s="299" t="s">
        <v>1730</v>
      </c>
      <c r="AE128" s="300" t="s">
        <v>1731</v>
      </c>
      <c r="AF128" s="301" t="s">
        <v>1732</v>
      </c>
      <c r="AG128" s="297" t="s">
        <v>364</v>
      </c>
      <c r="AH128" s="297" t="s">
        <v>1733</v>
      </c>
      <c r="AI128" s="299" t="s">
        <v>8954</v>
      </c>
      <c r="AJ128" s="300" t="s">
        <v>8955</v>
      </c>
      <c r="AK128" s="301" t="s">
        <v>8956</v>
      </c>
      <c r="AL128" s="297" t="s">
        <v>8957</v>
      </c>
      <c r="AM128" s="297" t="s">
        <v>8958</v>
      </c>
      <c r="AN128" s="297" t="s">
        <v>1734</v>
      </c>
      <c r="AO128" s="479">
        <v>42339</v>
      </c>
      <c r="AP128" s="297"/>
      <c r="AQ128" s="301" t="s">
        <v>1735</v>
      </c>
      <c r="AR128" s="297" t="s">
        <v>66</v>
      </c>
      <c r="AS128" s="299">
        <v>38108</v>
      </c>
      <c r="AT128" s="299">
        <v>40693</v>
      </c>
      <c r="AU128" s="297" t="s">
        <v>8443</v>
      </c>
      <c r="AV128" s="297"/>
      <c r="AW128" s="297" t="s">
        <v>92</v>
      </c>
      <c r="AX128" s="297" t="s">
        <v>1736</v>
      </c>
      <c r="AY128" s="299">
        <v>41417</v>
      </c>
      <c r="AZ128" s="297" t="s">
        <v>1737</v>
      </c>
      <c r="BA128" s="299">
        <v>42138</v>
      </c>
      <c r="BB128" s="382">
        <v>42152</v>
      </c>
      <c r="BC128" s="297" t="s">
        <v>95</v>
      </c>
      <c r="BD128" s="297" t="s">
        <v>566</v>
      </c>
      <c r="BE128" s="297"/>
      <c r="BF128" s="301" t="s">
        <v>8130</v>
      </c>
      <c r="BG128" s="301" t="s">
        <v>1738</v>
      </c>
      <c r="BH128" s="301" t="s">
        <v>8355</v>
      </c>
      <c r="BI128" s="301"/>
      <c r="BJ128" s="312">
        <v>125840254</v>
      </c>
      <c r="BK128" s="312" t="s">
        <v>8356</v>
      </c>
      <c r="BL128" s="313" t="s">
        <v>8357</v>
      </c>
      <c r="BM128" s="299" t="s">
        <v>8358</v>
      </c>
      <c r="BN128" s="314" t="s">
        <v>8359</v>
      </c>
      <c r="BO128" s="531" t="s">
        <v>8360</v>
      </c>
      <c r="BP128" s="397"/>
      <c r="BQ128" s="398"/>
      <c r="BR128" s="320"/>
      <c r="BS128" s="301" t="s">
        <v>1739</v>
      </c>
      <c r="BT128" s="301"/>
      <c r="BU128" s="301"/>
      <c r="BV128" s="301"/>
      <c r="BW128" s="316"/>
      <c r="BX128" s="361"/>
      <c r="BY128" s="299"/>
      <c r="BZ128" s="317"/>
    </row>
    <row r="129" spans="1:555" ht="66" customHeight="1">
      <c r="A129" s="296">
        <v>132</v>
      </c>
      <c r="B129" s="297" t="s">
        <v>7358</v>
      </c>
      <c r="C129" s="298">
        <v>79249154</v>
      </c>
      <c r="D129" s="354" t="s">
        <v>167</v>
      </c>
      <c r="E129" s="299">
        <v>42187</v>
      </c>
      <c r="F129" s="300">
        <v>42186</v>
      </c>
      <c r="G129" s="301" t="s">
        <v>1740</v>
      </c>
      <c r="H129" s="297" t="s">
        <v>171</v>
      </c>
      <c r="I129" s="297" t="s">
        <v>183</v>
      </c>
      <c r="J129" s="299">
        <v>42360</v>
      </c>
      <c r="K129" s="300">
        <v>42339</v>
      </c>
      <c r="L129" s="301" t="s">
        <v>1741</v>
      </c>
      <c r="M129" s="297" t="s">
        <v>5</v>
      </c>
      <c r="N129" s="297" t="s">
        <v>101</v>
      </c>
      <c r="O129" s="299">
        <v>42977</v>
      </c>
      <c r="P129" s="302">
        <v>42948</v>
      </c>
      <c r="Q129" s="301" t="s">
        <v>1742</v>
      </c>
      <c r="R129" s="297" t="s">
        <v>208</v>
      </c>
      <c r="S129" s="297" t="s">
        <v>131</v>
      </c>
      <c r="T129" s="299">
        <v>43528</v>
      </c>
      <c r="U129" s="300">
        <v>43528</v>
      </c>
      <c r="V129" s="301" t="s">
        <v>8247</v>
      </c>
      <c r="W129" s="297" t="s">
        <v>208</v>
      </c>
      <c r="X129" s="297" t="s">
        <v>8248</v>
      </c>
      <c r="Y129" s="299">
        <v>43570</v>
      </c>
      <c r="Z129" s="300">
        <v>43570</v>
      </c>
      <c r="AA129" s="301" t="s">
        <v>8671</v>
      </c>
      <c r="AB129" s="297" t="s">
        <v>208</v>
      </c>
      <c r="AC129" s="297" t="s">
        <v>85</v>
      </c>
      <c r="AD129" s="299"/>
      <c r="AE129" s="300"/>
      <c r="AF129" s="301"/>
      <c r="AG129" s="297"/>
      <c r="AH129" s="297"/>
      <c r="AI129" s="304"/>
      <c r="AJ129" s="300"/>
      <c r="AK129" s="301"/>
      <c r="AL129" s="297"/>
      <c r="AM129" s="297"/>
      <c r="AN129" s="325" t="s">
        <v>1743</v>
      </c>
      <c r="AO129" s="479">
        <v>42356</v>
      </c>
      <c r="AP129" s="325"/>
      <c r="AQ129" s="315" t="s">
        <v>7522</v>
      </c>
      <c r="AR129" s="297" t="s">
        <v>161</v>
      </c>
      <c r="AS129" s="299">
        <v>39038</v>
      </c>
      <c r="AT129" s="299">
        <v>39575</v>
      </c>
      <c r="AU129" s="297" t="s">
        <v>1745</v>
      </c>
      <c r="AV129" s="297"/>
      <c r="AW129" s="297" t="s">
        <v>92</v>
      </c>
      <c r="AX129" s="297" t="s">
        <v>1746</v>
      </c>
      <c r="AY129" s="299">
        <v>41453</v>
      </c>
      <c r="AZ129" s="297" t="s">
        <v>8217</v>
      </c>
      <c r="BA129" s="299">
        <v>42109</v>
      </c>
      <c r="BB129" s="382">
        <v>42145</v>
      </c>
      <c r="BC129" s="297" t="s">
        <v>95</v>
      </c>
      <c r="BD129" s="297" t="s">
        <v>566</v>
      </c>
      <c r="BE129" s="297"/>
      <c r="BF129" s="301" t="s">
        <v>8273</v>
      </c>
      <c r="BG129" s="301" t="s">
        <v>1747</v>
      </c>
      <c r="BH129" s="301" t="s">
        <v>8466</v>
      </c>
      <c r="BI129" s="301"/>
      <c r="BJ129" s="312">
        <f>'[23]MATRIZ '!$J$59</f>
        <v>260816524.52138755</v>
      </c>
      <c r="BK129" s="312">
        <v>260816525</v>
      </c>
      <c r="BL129" s="313">
        <v>98262219</v>
      </c>
      <c r="BM129" s="299">
        <v>43581</v>
      </c>
      <c r="BN129" s="314">
        <v>43581</v>
      </c>
      <c r="BO129" s="531" t="s">
        <v>8754</v>
      </c>
      <c r="BP129" s="390"/>
      <c r="BQ129" s="297"/>
      <c r="BR129" s="303"/>
      <c r="BS129" s="301"/>
      <c r="BT129" s="301"/>
      <c r="BU129" s="301"/>
      <c r="BV129" s="301"/>
      <c r="BW129" s="316"/>
      <c r="BX129" s="304"/>
      <c r="BY129" s="299"/>
      <c r="BZ129" s="317"/>
    </row>
    <row r="130" spans="1:555" ht="77.25" customHeight="1">
      <c r="A130" s="502">
        <v>133</v>
      </c>
      <c r="B130" s="297" t="s">
        <v>1748</v>
      </c>
      <c r="C130" s="298">
        <v>16678481</v>
      </c>
      <c r="D130" s="354" t="s">
        <v>1749</v>
      </c>
      <c r="E130" s="299">
        <v>42188</v>
      </c>
      <c r="F130" s="300">
        <v>42186</v>
      </c>
      <c r="G130" s="301" t="s">
        <v>1750</v>
      </c>
      <c r="H130" s="297" t="s">
        <v>195</v>
      </c>
      <c r="I130" s="297" t="s">
        <v>101</v>
      </c>
      <c r="J130" s="299">
        <v>43091</v>
      </c>
      <c r="K130" s="300">
        <v>43070</v>
      </c>
      <c r="L130" s="301" t="s">
        <v>1752</v>
      </c>
      <c r="M130" s="297" t="s">
        <v>5</v>
      </c>
      <c r="N130" s="297" t="s">
        <v>1753</v>
      </c>
      <c r="O130" s="299">
        <v>43179</v>
      </c>
      <c r="P130" s="302">
        <v>43160</v>
      </c>
      <c r="Q130" s="301" t="s">
        <v>1754</v>
      </c>
      <c r="R130" s="297" t="s">
        <v>5</v>
      </c>
      <c r="S130" s="297" t="s">
        <v>107</v>
      </c>
      <c r="T130" s="299">
        <v>43486</v>
      </c>
      <c r="U130" s="300">
        <v>43486</v>
      </c>
      <c r="V130" s="301" t="s">
        <v>8026</v>
      </c>
      <c r="W130" s="297" t="s">
        <v>503</v>
      </c>
      <c r="X130" s="297" t="s">
        <v>8027</v>
      </c>
      <c r="Y130" s="299"/>
      <c r="Z130" s="300"/>
      <c r="AA130" s="301"/>
      <c r="AB130" s="297"/>
      <c r="AC130" s="297"/>
      <c r="AD130" s="299"/>
      <c r="AE130" s="300"/>
      <c r="AF130" s="301"/>
      <c r="AG130" s="297"/>
      <c r="AH130" s="297"/>
      <c r="AI130" s="304"/>
      <c r="AJ130" s="300"/>
      <c r="AK130" s="301"/>
      <c r="AL130" s="297"/>
      <c r="AM130" s="297"/>
      <c r="AN130" s="297" t="s">
        <v>1755</v>
      </c>
      <c r="AO130" s="473"/>
      <c r="AP130" s="297"/>
      <c r="AQ130" s="301" t="s">
        <v>1756</v>
      </c>
      <c r="AR130" s="297" t="s">
        <v>66</v>
      </c>
      <c r="AS130" s="299">
        <v>37452</v>
      </c>
      <c r="AT130" s="299">
        <v>40429</v>
      </c>
      <c r="AU130" s="297" t="s">
        <v>1757</v>
      </c>
      <c r="AV130" s="297"/>
      <c r="AW130" s="297" t="s">
        <v>92</v>
      </c>
      <c r="AX130" s="297" t="s">
        <v>1758</v>
      </c>
      <c r="AY130" s="299">
        <v>41486</v>
      </c>
      <c r="AZ130" s="297" t="s">
        <v>67</v>
      </c>
      <c r="BA130" s="299" t="s">
        <v>67</v>
      </c>
      <c r="BB130" s="382">
        <v>41499</v>
      </c>
      <c r="BC130" s="297" t="s">
        <v>95</v>
      </c>
      <c r="BD130" s="297" t="s">
        <v>566</v>
      </c>
      <c r="BE130" s="297"/>
      <c r="BF130" s="301"/>
      <c r="BG130" s="301" t="s">
        <v>1759</v>
      </c>
      <c r="BH130" s="301" t="s">
        <v>1760</v>
      </c>
      <c r="BI130" s="301"/>
      <c r="BJ130" s="312">
        <v>212135936</v>
      </c>
      <c r="BK130" s="312">
        <v>212135936</v>
      </c>
      <c r="BL130" s="307">
        <v>41139218</v>
      </c>
      <c r="BM130" s="299">
        <v>43214</v>
      </c>
      <c r="BN130" s="314">
        <v>43191</v>
      </c>
      <c r="BO130" s="460" t="s">
        <v>1761</v>
      </c>
      <c r="BP130" s="390"/>
      <c r="BQ130" s="297"/>
      <c r="BR130" s="303"/>
      <c r="BS130" s="301" t="s">
        <v>1762</v>
      </c>
      <c r="BT130" s="308"/>
      <c r="BU130" s="308"/>
      <c r="BV130" s="308"/>
      <c r="BW130" s="309"/>
      <c r="BX130" s="310"/>
      <c r="BY130" s="305"/>
      <c r="BZ130" s="311"/>
    </row>
    <row r="131" spans="1:555" ht="93" customHeight="1">
      <c r="A131" s="296">
        <v>134</v>
      </c>
      <c r="B131" s="297" t="s">
        <v>1763</v>
      </c>
      <c r="C131" s="298">
        <v>72001849</v>
      </c>
      <c r="D131" s="354" t="s">
        <v>242</v>
      </c>
      <c r="E131" s="299">
        <v>42191</v>
      </c>
      <c r="F131" s="300">
        <v>42186</v>
      </c>
      <c r="G131" s="301" t="s">
        <v>1764</v>
      </c>
      <c r="H131" s="297" t="s">
        <v>171</v>
      </c>
      <c r="I131" s="297" t="s">
        <v>183</v>
      </c>
      <c r="J131" s="299">
        <v>42263</v>
      </c>
      <c r="K131" s="300">
        <v>42248</v>
      </c>
      <c r="L131" s="301" t="s">
        <v>1765</v>
      </c>
      <c r="M131" s="297" t="s">
        <v>5</v>
      </c>
      <c r="N131" s="297" t="s">
        <v>131</v>
      </c>
      <c r="O131" s="299">
        <v>42241</v>
      </c>
      <c r="P131" s="302">
        <v>42217</v>
      </c>
      <c r="Q131" s="301" t="s">
        <v>1766</v>
      </c>
      <c r="R131" s="297" t="s">
        <v>5</v>
      </c>
      <c r="S131" s="297" t="s">
        <v>101</v>
      </c>
      <c r="T131" s="299"/>
      <c r="U131" s="300"/>
      <c r="V131" s="301"/>
      <c r="W131" s="297"/>
      <c r="X131" s="297"/>
      <c r="Y131" s="299"/>
      <c r="Z131" s="300"/>
      <c r="AA131" s="301"/>
      <c r="AB131" s="297"/>
      <c r="AC131" s="297"/>
      <c r="AD131" s="299"/>
      <c r="AE131" s="300"/>
      <c r="AF131" s="301"/>
      <c r="AG131" s="297"/>
      <c r="AH131" s="297"/>
      <c r="AI131" s="304"/>
      <c r="AJ131" s="300"/>
      <c r="AK131" s="301"/>
      <c r="AL131" s="297"/>
      <c r="AM131" s="297"/>
      <c r="AN131" s="297" t="s">
        <v>1718</v>
      </c>
      <c r="AO131" s="473"/>
      <c r="AP131" s="297"/>
      <c r="AQ131" s="301" t="s">
        <v>1767</v>
      </c>
      <c r="AR131" s="297" t="s">
        <v>66</v>
      </c>
      <c r="AS131" s="299">
        <v>38687</v>
      </c>
      <c r="AT131" s="299">
        <v>40390</v>
      </c>
      <c r="AU131" s="297" t="s">
        <v>1768</v>
      </c>
      <c r="AV131" s="297"/>
      <c r="AW131" s="297" t="s">
        <v>92</v>
      </c>
      <c r="AX131" s="297" t="s">
        <v>522</v>
      </c>
      <c r="AY131" s="299">
        <v>41680</v>
      </c>
      <c r="AZ131" s="297" t="s">
        <v>328</v>
      </c>
      <c r="BA131" s="299">
        <v>41880</v>
      </c>
      <c r="BB131" s="382">
        <v>41912</v>
      </c>
      <c r="BC131" s="297" t="s">
        <v>95</v>
      </c>
      <c r="BD131" s="297" t="s">
        <v>566</v>
      </c>
      <c r="BE131" s="297"/>
      <c r="BF131" s="301"/>
      <c r="BG131" s="301" t="s">
        <v>1769</v>
      </c>
      <c r="BH131" s="301" t="s">
        <v>1770</v>
      </c>
      <c r="BI131" s="301"/>
      <c r="BJ131" s="312" t="s">
        <v>1771</v>
      </c>
      <c r="BK131" s="312">
        <v>27350415</v>
      </c>
      <c r="BL131" s="313">
        <v>163230218</v>
      </c>
      <c r="BM131" s="299">
        <v>43251</v>
      </c>
      <c r="BN131" s="314">
        <v>43221</v>
      </c>
      <c r="BO131" s="434" t="s">
        <v>1772</v>
      </c>
      <c r="BP131" s="397"/>
      <c r="BQ131" s="398"/>
      <c r="BR131" s="320"/>
      <c r="BS131" s="301"/>
      <c r="BT131" s="301"/>
      <c r="BU131" s="301"/>
      <c r="BV131" s="301"/>
      <c r="BW131" s="316"/>
      <c r="BX131" s="304"/>
      <c r="BY131" s="299"/>
      <c r="BZ131" s="317"/>
    </row>
    <row r="132" spans="1:555" ht="85.5" customHeight="1">
      <c r="A132" s="502">
        <v>135</v>
      </c>
      <c r="B132" s="297" t="s">
        <v>1773</v>
      </c>
      <c r="C132" s="298">
        <v>71748268</v>
      </c>
      <c r="D132" s="354" t="s">
        <v>1226</v>
      </c>
      <c r="E132" s="299">
        <v>42193</v>
      </c>
      <c r="F132" s="300">
        <v>42186</v>
      </c>
      <c r="G132" s="301" t="s">
        <v>1774</v>
      </c>
      <c r="H132" s="297" t="s">
        <v>195</v>
      </c>
      <c r="I132" s="297" t="s">
        <v>336</v>
      </c>
      <c r="J132" s="299">
        <v>42243</v>
      </c>
      <c r="K132" s="300">
        <v>42217</v>
      </c>
      <c r="L132" s="301" t="s">
        <v>1775</v>
      </c>
      <c r="M132" s="297" t="s">
        <v>195</v>
      </c>
      <c r="N132" s="297" t="s">
        <v>336</v>
      </c>
      <c r="O132" s="299">
        <v>42566</v>
      </c>
      <c r="P132" s="302">
        <v>42552</v>
      </c>
      <c r="Q132" s="301" t="s">
        <v>1776</v>
      </c>
      <c r="R132" s="297" t="s">
        <v>5</v>
      </c>
      <c r="S132" s="297" t="s">
        <v>131</v>
      </c>
      <c r="T132" s="299"/>
      <c r="U132" s="300"/>
      <c r="V132" s="301"/>
      <c r="W132" s="297"/>
      <c r="X132" s="297"/>
      <c r="Y132" s="299"/>
      <c r="Z132" s="300"/>
      <c r="AA132" s="301"/>
      <c r="AB132" s="297"/>
      <c r="AC132" s="297"/>
      <c r="AD132" s="299"/>
      <c r="AE132" s="300"/>
      <c r="AF132" s="301"/>
      <c r="AG132" s="297"/>
      <c r="AH132" s="297"/>
      <c r="AI132" s="304"/>
      <c r="AJ132" s="300"/>
      <c r="AK132" s="301"/>
      <c r="AL132" s="297"/>
      <c r="AM132" s="297"/>
      <c r="AN132" s="297"/>
      <c r="AO132" s="473"/>
      <c r="AP132" s="297"/>
      <c r="AQ132" s="301" t="s">
        <v>1777</v>
      </c>
      <c r="AR132" s="297" t="s">
        <v>66</v>
      </c>
      <c r="AS132" s="299">
        <v>38293</v>
      </c>
      <c r="AT132" s="299">
        <v>39863</v>
      </c>
      <c r="AU132" s="297" t="s">
        <v>1778</v>
      </c>
      <c r="AV132" s="297"/>
      <c r="AW132" s="297" t="s">
        <v>92</v>
      </c>
      <c r="AX132" s="297" t="s">
        <v>1779</v>
      </c>
      <c r="AY132" s="299">
        <v>41096</v>
      </c>
      <c r="AZ132" s="297" t="s">
        <v>1205</v>
      </c>
      <c r="BA132" s="299">
        <v>41955</v>
      </c>
      <c r="BB132" s="382">
        <v>42034</v>
      </c>
      <c r="BC132" s="297" t="s">
        <v>95</v>
      </c>
      <c r="BD132" s="297" t="s">
        <v>566</v>
      </c>
      <c r="BE132" s="297"/>
      <c r="BF132" s="301"/>
      <c r="BG132" s="301" t="s">
        <v>1780</v>
      </c>
      <c r="BH132" s="301" t="s">
        <v>1781</v>
      </c>
      <c r="BI132" s="301" t="s">
        <v>1782</v>
      </c>
      <c r="BJ132" s="312">
        <v>97846213</v>
      </c>
      <c r="BK132" s="312">
        <v>97846213</v>
      </c>
      <c r="BL132" s="313">
        <v>91230117</v>
      </c>
      <c r="BM132" s="299">
        <v>42842</v>
      </c>
      <c r="BN132" s="314">
        <v>42826</v>
      </c>
      <c r="BO132" s="460"/>
      <c r="BP132" s="390"/>
      <c r="BQ132" s="297"/>
      <c r="BR132" s="303"/>
      <c r="BS132" s="301" t="s">
        <v>1783</v>
      </c>
      <c r="BT132" s="301"/>
      <c r="BU132" s="301"/>
      <c r="BV132" s="301"/>
      <c r="BW132" s="316"/>
      <c r="BX132" s="304"/>
      <c r="BY132" s="299"/>
      <c r="BZ132" s="317"/>
    </row>
    <row r="133" spans="1:555" ht="72.75" customHeight="1">
      <c r="A133" s="296">
        <v>136</v>
      </c>
      <c r="B133" s="297" t="s">
        <v>8450</v>
      </c>
      <c r="C133" s="298">
        <v>98591137</v>
      </c>
      <c r="D133" s="354" t="s">
        <v>1784</v>
      </c>
      <c r="E133" s="299">
        <v>42194</v>
      </c>
      <c r="F133" s="300">
        <v>42186</v>
      </c>
      <c r="G133" s="301" t="s">
        <v>1785</v>
      </c>
      <c r="H133" s="297" t="s">
        <v>5</v>
      </c>
      <c r="I133" s="297" t="s">
        <v>101</v>
      </c>
      <c r="J133" s="305">
        <v>42921</v>
      </c>
      <c r="K133" s="314">
        <v>42917</v>
      </c>
      <c r="L133" s="308" t="s">
        <v>1786</v>
      </c>
      <c r="M133" s="303" t="s">
        <v>5</v>
      </c>
      <c r="N133" s="303" t="s">
        <v>1787</v>
      </c>
      <c r="O133" s="299">
        <v>43182</v>
      </c>
      <c r="P133" s="302">
        <v>43160</v>
      </c>
      <c r="Q133" s="301" t="s">
        <v>1788</v>
      </c>
      <c r="R133" s="297" t="s">
        <v>5</v>
      </c>
      <c r="S133" s="297" t="s">
        <v>107</v>
      </c>
      <c r="T133" s="299">
        <v>43437</v>
      </c>
      <c r="U133" s="300">
        <v>43437</v>
      </c>
      <c r="V133" s="301" t="s">
        <v>7929</v>
      </c>
      <c r="W133" s="297" t="s">
        <v>5</v>
      </c>
      <c r="X133" s="297" t="s">
        <v>107</v>
      </c>
      <c r="Y133" s="305">
        <v>43560</v>
      </c>
      <c r="Z133" s="300">
        <v>43560</v>
      </c>
      <c r="AA133" s="315" t="s">
        <v>8414</v>
      </c>
      <c r="AB133" s="304" t="s">
        <v>5</v>
      </c>
      <c r="AC133" s="299" t="s">
        <v>85</v>
      </c>
      <c r="AD133" s="299">
        <v>43577</v>
      </c>
      <c r="AE133" s="300">
        <v>43577</v>
      </c>
      <c r="AF133" s="301" t="s">
        <v>8477</v>
      </c>
      <c r="AG133" s="297" t="s">
        <v>5</v>
      </c>
      <c r="AH133" s="297" t="s">
        <v>85</v>
      </c>
      <c r="AI133" s="304"/>
      <c r="AJ133" s="300"/>
      <c r="AK133" s="301"/>
      <c r="AL133" s="297"/>
      <c r="AM133" s="297"/>
      <c r="AN133" s="303" t="s">
        <v>1789</v>
      </c>
      <c r="AO133" s="489">
        <v>42921</v>
      </c>
      <c r="AP133" s="303"/>
      <c r="AQ133" s="301" t="s">
        <v>1790</v>
      </c>
      <c r="AR133" s="297" t="s">
        <v>161</v>
      </c>
      <c r="AS133" s="299" t="s">
        <v>67</v>
      </c>
      <c r="AT133" s="299" t="s">
        <v>67</v>
      </c>
      <c r="AU133" s="297" t="s">
        <v>7930</v>
      </c>
      <c r="AV133" s="297"/>
      <c r="AW133" s="297" t="s">
        <v>92</v>
      </c>
      <c r="AX133" s="297" t="s">
        <v>1204</v>
      </c>
      <c r="AY133" s="299">
        <v>41816</v>
      </c>
      <c r="AZ133" s="297" t="s">
        <v>1791</v>
      </c>
      <c r="BA133" s="299">
        <v>42074</v>
      </c>
      <c r="BB133" s="382">
        <v>42088</v>
      </c>
      <c r="BC133" s="303" t="s">
        <v>561</v>
      </c>
      <c r="BD133" s="303" t="s">
        <v>1792</v>
      </c>
      <c r="BE133" s="297" t="s">
        <v>1793</v>
      </c>
      <c r="BF133" s="301" t="s">
        <v>1794</v>
      </c>
      <c r="BG133" s="301" t="s">
        <v>673</v>
      </c>
      <c r="BH133" s="301" t="s">
        <v>8756</v>
      </c>
      <c r="BI133" s="301"/>
      <c r="BJ133" s="306">
        <f>+[24]MATRIZ!$L$33</f>
        <v>473075546.81611425</v>
      </c>
      <c r="BK133" s="306">
        <v>443763138</v>
      </c>
      <c r="BL133" s="307">
        <v>131694319</v>
      </c>
      <c r="BM133" s="299">
        <v>43615</v>
      </c>
      <c r="BN133" s="314">
        <v>43615</v>
      </c>
      <c r="BO133" s="531" t="s">
        <v>8870</v>
      </c>
      <c r="BP133" s="390"/>
      <c r="BQ133" s="297"/>
      <c r="BR133" s="303"/>
      <c r="BS133" s="301"/>
      <c r="BT133" s="301"/>
      <c r="BU133" s="301"/>
      <c r="BV133" s="301"/>
      <c r="BW133" s="316"/>
      <c r="BX133" s="304"/>
      <c r="BY133" s="299"/>
      <c r="BZ133" s="317"/>
    </row>
    <row r="134" spans="1:555" ht="88.5" customHeight="1">
      <c r="A134" s="296">
        <v>138</v>
      </c>
      <c r="B134" s="297" t="s">
        <v>1806</v>
      </c>
      <c r="C134" s="298">
        <v>96551955</v>
      </c>
      <c r="D134" s="354" t="s">
        <v>906</v>
      </c>
      <c r="E134" s="299" t="s">
        <v>8158</v>
      </c>
      <c r="F134" s="300" t="s">
        <v>8159</v>
      </c>
      <c r="G134" s="301" t="s">
        <v>7399</v>
      </c>
      <c r="H134" s="297" t="s">
        <v>8160</v>
      </c>
      <c r="I134" s="297" t="s">
        <v>8161</v>
      </c>
      <c r="J134" s="299">
        <v>42559</v>
      </c>
      <c r="K134" s="300">
        <v>42552</v>
      </c>
      <c r="L134" s="301" t="s">
        <v>1808</v>
      </c>
      <c r="M134" s="297" t="s">
        <v>5</v>
      </c>
      <c r="N134" s="297" t="s">
        <v>101</v>
      </c>
      <c r="O134" s="299">
        <v>43637</v>
      </c>
      <c r="P134" s="302">
        <v>43637</v>
      </c>
      <c r="Q134" s="301" t="s">
        <v>8848</v>
      </c>
      <c r="R134" s="297" t="s">
        <v>5</v>
      </c>
      <c r="S134" s="297" t="s">
        <v>8243</v>
      </c>
      <c r="T134" s="299"/>
      <c r="U134" s="300"/>
      <c r="V134" s="301"/>
      <c r="W134" s="297"/>
      <c r="X134" s="297"/>
      <c r="Y134" s="299"/>
      <c r="Z134" s="300"/>
      <c r="AA134" s="301"/>
      <c r="AB134" s="297"/>
      <c r="AC134" s="297"/>
      <c r="AD134" s="299"/>
      <c r="AE134" s="300"/>
      <c r="AF134" s="301"/>
      <c r="AG134" s="297"/>
      <c r="AH134" s="297"/>
      <c r="AI134" s="304"/>
      <c r="AJ134" s="300"/>
      <c r="AK134" s="301"/>
      <c r="AL134" s="297"/>
      <c r="AM134" s="297"/>
      <c r="AN134" s="297" t="s">
        <v>1809</v>
      </c>
      <c r="AO134" s="479">
        <v>42642</v>
      </c>
      <c r="AP134" s="297"/>
      <c r="AQ134" s="301" t="s">
        <v>1810</v>
      </c>
      <c r="AR134" s="297" t="s">
        <v>161</v>
      </c>
      <c r="AS134" s="299" t="s">
        <v>67</v>
      </c>
      <c r="AT134" s="299" t="s">
        <v>67</v>
      </c>
      <c r="AU134" s="297" t="s">
        <v>1811</v>
      </c>
      <c r="AV134" s="297"/>
      <c r="AW134" s="297" t="s">
        <v>69</v>
      </c>
      <c r="AX134" s="297" t="s">
        <v>1812</v>
      </c>
      <c r="AY134" s="299" t="s">
        <v>9033</v>
      </c>
      <c r="AZ134" s="297" t="s">
        <v>1813</v>
      </c>
      <c r="BA134" s="299">
        <v>42146</v>
      </c>
      <c r="BB134" s="678">
        <v>42153</v>
      </c>
      <c r="BC134" s="303" t="s">
        <v>912</v>
      </c>
      <c r="BD134" s="303" t="s">
        <v>1792</v>
      </c>
      <c r="BE134" s="297"/>
      <c r="BF134" s="301"/>
      <c r="BG134" s="301"/>
      <c r="BH134" s="308" t="s">
        <v>8742</v>
      </c>
      <c r="BI134" s="301"/>
      <c r="BJ134" s="306">
        <f>+[25]MATRIZ!$J$56</f>
        <v>13260965.524554731</v>
      </c>
      <c r="BK134" s="306">
        <v>13260966</v>
      </c>
      <c r="BL134" s="307">
        <v>121678919</v>
      </c>
      <c r="BM134" s="299">
        <v>43606</v>
      </c>
      <c r="BN134" s="314">
        <v>43606</v>
      </c>
      <c r="BO134" s="460"/>
      <c r="BP134" s="390"/>
      <c r="BQ134" s="297"/>
      <c r="BR134" s="303"/>
      <c r="BS134" s="301"/>
      <c r="BT134" s="301"/>
      <c r="BU134" s="301"/>
      <c r="BV134" s="301"/>
      <c r="BW134" s="316"/>
      <c r="BX134" s="304"/>
      <c r="BY134" s="299"/>
      <c r="BZ134" s="317"/>
    </row>
    <row r="135" spans="1:555" s="509" customFormat="1" ht="62.25" customHeight="1">
      <c r="A135" s="502">
        <v>139</v>
      </c>
      <c r="B135" s="297" t="s">
        <v>1814</v>
      </c>
      <c r="C135" s="298">
        <v>91293394</v>
      </c>
      <c r="D135" s="354" t="s">
        <v>382</v>
      </c>
      <c r="E135" s="299">
        <v>42201</v>
      </c>
      <c r="F135" s="300">
        <v>42186</v>
      </c>
      <c r="G135" s="301" t="s">
        <v>1815</v>
      </c>
      <c r="H135" s="297" t="s">
        <v>5</v>
      </c>
      <c r="I135" s="297" t="s">
        <v>101</v>
      </c>
      <c r="J135" s="305">
        <v>43629</v>
      </c>
      <c r="K135" s="300">
        <v>43629</v>
      </c>
      <c r="L135" s="315" t="s">
        <v>8889</v>
      </c>
      <c r="M135" s="304" t="s">
        <v>5</v>
      </c>
      <c r="N135" s="299" t="s">
        <v>8243</v>
      </c>
      <c r="O135" s="299"/>
      <c r="P135" s="302"/>
      <c r="Q135" s="301"/>
      <c r="R135" s="297"/>
      <c r="S135" s="297"/>
      <c r="T135" s="299"/>
      <c r="U135" s="300"/>
      <c r="V135" s="301"/>
      <c r="W135" s="297"/>
      <c r="X135" s="297"/>
      <c r="Y135" s="299"/>
      <c r="Z135" s="300"/>
      <c r="AA135" s="301"/>
      <c r="AB135" s="297"/>
      <c r="AC135" s="297"/>
      <c r="AD135" s="299"/>
      <c r="AE135" s="300"/>
      <c r="AF135" s="301"/>
      <c r="AG135" s="297"/>
      <c r="AH135" s="297"/>
      <c r="AI135" s="304"/>
      <c r="AJ135" s="300"/>
      <c r="AK135" s="301"/>
      <c r="AL135" s="297"/>
      <c r="AM135" s="297"/>
      <c r="AN135" s="303" t="s">
        <v>1734</v>
      </c>
      <c r="AO135" s="474"/>
      <c r="AP135" s="303"/>
      <c r="AQ135" s="301" t="s">
        <v>1816</v>
      </c>
      <c r="AR135" s="297" t="s">
        <v>66</v>
      </c>
      <c r="AS135" s="299">
        <v>38474</v>
      </c>
      <c r="AT135" s="299">
        <v>40862</v>
      </c>
      <c r="AU135" s="297" t="s">
        <v>1817</v>
      </c>
      <c r="AV135" s="297"/>
      <c r="AW135" s="297" t="s">
        <v>69</v>
      </c>
      <c r="AX135" s="297" t="s">
        <v>627</v>
      </c>
      <c r="AY135" s="299">
        <v>41402</v>
      </c>
      <c r="AZ135" s="297" t="s">
        <v>661</v>
      </c>
      <c r="BA135" s="299">
        <v>41921</v>
      </c>
      <c r="BB135" s="382">
        <v>41985</v>
      </c>
      <c r="BC135" s="297" t="s">
        <v>95</v>
      </c>
      <c r="BD135" s="297" t="s">
        <v>1792</v>
      </c>
      <c r="BE135" s="297"/>
      <c r="BF135" s="301"/>
      <c r="BG135" s="301" t="s">
        <v>1818</v>
      </c>
      <c r="BH135" s="308" t="s">
        <v>1819</v>
      </c>
      <c r="BI135" s="301"/>
      <c r="BJ135" s="312">
        <v>215306858</v>
      </c>
      <c r="BK135" s="312">
        <v>215306858</v>
      </c>
      <c r="BL135" s="313">
        <v>2345618</v>
      </c>
      <c r="BM135" s="299">
        <v>43112</v>
      </c>
      <c r="BN135" s="314">
        <v>43101</v>
      </c>
      <c r="BO135" s="460" t="s">
        <v>1820</v>
      </c>
      <c r="BP135" s="390"/>
      <c r="BQ135" s="297"/>
      <c r="BR135" s="303"/>
      <c r="BS135" s="308" t="s">
        <v>1821</v>
      </c>
      <c r="BT135" s="308"/>
      <c r="BU135" s="308"/>
      <c r="BV135" s="308"/>
      <c r="BW135" s="309"/>
      <c r="BX135" s="310"/>
      <c r="BY135" s="305"/>
      <c r="BZ135" s="31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c r="IY135" s="1"/>
      <c r="IZ135" s="1"/>
      <c r="JA135" s="1"/>
      <c r="JB135" s="1"/>
      <c r="JC135" s="1"/>
      <c r="JD135" s="1"/>
      <c r="JE135" s="1"/>
      <c r="JF135" s="1"/>
      <c r="JG135" s="1"/>
      <c r="JH135" s="1"/>
      <c r="JI135" s="1"/>
      <c r="JJ135" s="1"/>
      <c r="JK135" s="1"/>
      <c r="JL135" s="1"/>
      <c r="JM135" s="1"/>
      <c r="JN135" s="1"/>
      <c r="JO135" s="1"/>
      <c r="JP135" s="1"/>
      <c r="JQ135" s="1"/>
      <c r="JR135" s="1"/>
      <c r="JS135" s="1"/>
      <c r="JT135" s="1"/>
      <c r="JU135" s="1"/>
      <c r="JV135" s="1"/>
      <c r="JW135" s="1"/>
      <c r="JX135" s="1"/>
      <c r="JY135" s="1"/>
      <c r="JZ135" s="1"/>
      <c r="KA135" s="1"/>
      <c r="KB135" s="1"/>
      <c r="KC135" s="1"/>
      <c r="KD135" s="1"/>
      <c r="KE135" s="1"/>
      <c r="KF135" s="1"/>
      <c r="KG135" s="1"/>
      <c r="KH135" s="1"/>
      <c r="KI135" s="1"/>
      <c r="KJ135" s="1"/>
      <c r="KK135" s="1"/>
      <c r="KL135" s="1"/>
      <c r="KM135" s="1"/>
      <c r="KN135" s="1"/>
      <c r="KO135" s="1"/>
      <c r="KP135" s="1"/>
      <c r="KQ135" s="1"/>
      <c r="KR135" s="1"/>
      <c r="KS135" s="1"/>
      <c r="KT135" s="1"/>
      <c r="KU135" s="1"/>
      <c r="KV135" s="1"/>
      <c r="KW135" s="1"/>
      <c r="KX135" s="1"/>
      <c r="KY135" s="1"/>
      <c r="KZ135" s="1"/>
      <c r="LA135" s="1"/>
      <c r="LB135" s="1"/>
      <c r="LC135" s="1"/>
      <c r="LD135" s="1"/>
      <c r="LE135" s="1"/>
      <c r="LF135" s="1"/>
      <c r="LG135" s="1"/>
      <c r="LH135" s="1"/>
      <c r="LI135" s="1"/>
      <c r="LJ135" s="1"/>
      <c r="LK135" s="1"/>
      <c r="LL135" s="1"/>
      <c r="LM135" s="1"/>
      <c r="LN135" s="1"/>
      <c r="LO135" s="1"/>
      <c r="LP135" s="1"/>
      <c r="LQ135" s="1"/>
      <c r="LR135" s="1"/>
      <c r="LS135" s="1"/>
      <c r="LT135" s="1"/>
      <c r="LU135" s="1"/>
      <c r="LV135" s="1"/>
      <c r="LW135" s="1"/>
      <c r="LX135" s="1"/>
      <c r="LY135" s="1"/>
      <c r="LZ135" s="1"/>
      <c r="MA135" s="1"/>
      <c r="MB135" s="1"/>
      <c r="MC135" s="1"/>
      <c r="MD135" s="1"/>
      <c r="ME135" s="1"/>
      <c r="MF135" s="1"/>
      <c r="MG135" s="1"/>
      <c r="MH135" s="1"/>
      <c r="MI135" s="1"/>
      <c r="MJ135" s="1"/>
      <c r="MK135" s="1"/>
      <c r="ML135" s="1"/>
      <c r="MM135" s="1"/>
      <c r="MN135" s="1"/>
      <c r="MO135" s="1"/>
      <c r="MP135" s="1"/>
      <c r="MQ135" s="1"/>
      <c r="MR135" s="1"/>
      <c r="MS135" s="1"/>
      <c r="MT135" s="1"/>
      <c r="MU135" s="1"/>
      <c r="MV135" s="1"/>
      <c r="MW135" s="1"/>
      <c r="MX135" s="1"/>
      <c r="MY135" s="1"/>
      <c r="MZ135" s="1"/>
      <c r="NA135" s="1"/>
      <c r="NB135" s="1"/>
      <c r="NC135" s="1"/>
      <c r="ND135" s="1"/>
      <c r="NE135" s="1"/>
      <c r="NF135" s="1"/>
      <c r="NG135" s="1"/>
      <c r="NH135" s="1"/>
      <c r="NI135" s="1"/>
      <c r="NJ135" s="1"/>
      <c r="NK135" s="1"/>
      <c r="NL135" s="1"/>
      <c r="NM135" s="1"/>
      <c r="NN135" s="1"/>
      <c r="NO135" s="1"/>
      <c r="NP135" s="1"/>
      <c r="NQ135" s="1"/>
      <c r="NR135" s="1"/>
      <c r="NS135" s="1"/>
      <c r="NT135" s="1"/>
      <c r="NU135" s="1"/>
      <c r="NV135" s="1"/>
      <c r="NW135" s="1"/>
      <c r="NX135" s="1"/>
      <c r="NY135" s="1"/>
      <c r="NZ135" s="1"/>
      <c r="OA135" s="1"/>
      <c r="OB135" s="1"/>
      <c r="OC135" s="1"/>
      <c r="OD135" s="1"/>
      <c r="OE135" s="1"/>
      <c r="OF135" s="1"/>
      <c r="OG135" s="1"/>
      <c r="OH135" s="1"/>
      <c r="OI135" s="1"/>
      <c r="OJ135" s="1"/>
      <c r="OK135" s="1"/>
      <c r="OL135" s="1"/>
      <c r="OM135" s="1"/>
      <c r="ON135" s="1"/>
      <c r="OO135" s="1"/>
      <c r="OP135" s="1"/>
      <c r="OQ135" s="1"/>
      <c r="OR135" s="1"/>
      <c r="OS135" s="1"/>
      <c r="OT135" s="1"/>
      <c r="OU135" s="1"/>
      <c r="OV135" s="1"/>
      <c r="OW135" s="1"/>
      <c r="OX135" s="1"/>
      <c r="OY135" s="1"/>
      <c r="OZ135" s="1"/>
      <c r="PA135" s="1"/>
      <c r="PB135" s="1"/>
      <c r="PC135" s="1"/>
      <c r="PD135" s="1"/>
      <c r="PE135" s="1"/>
      <c r="PF135" s="1"/>
      <c r="PG135" s="1"/>
      <c r="PH135" s="1"/>
      <c r="PI135" s="1"/>
      <c r="PJ135" s="1"/>
      <c r="PK135" s="1"/>
      <c r="PL135" s="1"/>
      <c r="PM135" s="1"/>
      <c r="PN135" s="1"/>
      <c r="PO135" s="1"/>
      <c r="PP135" s="1"/>
      <c r="PQ135" s="1"/>
      <c r="PR135" s="1"/>
      <c r="PS135" s="1"/>
      <c r="PT135" s="1"/>
      <c r="PU135" s="1"/>
      <c r="PV135" s="1"/>
      <c r="PW135" s="1"/>
      <c r="PX135" s="1"/>
      <c r="PY135" s="1"/>
      <c r="PZ135" s="1"/>
      <c r="QA135" s="1"/>
      <c r="QB135" s="1"/>
      <c r="QC135" s="1"/>
      <c r="QD135" s="1"/>
      <c r="QE135" s="1"/>
      <c r="QF135" s="1"/>
      <c r="QG135" s="1"/>
      <c r="QH135" s="1"/>
      <c r="QI135" s="1"/>
      <c r="QJ135" s="1"/>
      <c r="QK135" s="1"/>
      <c r="QL135" s="1"/>
      <c r="QM135" s="1"/>
      <c r="QN135" s="1"/>
      <c r="QO135" s="1"/>
      <c r="QP135" s="1"/>
      <c r="QQ135" s="1"/>
      <c r="QR135" s="1"/>
      <c r="QS135" s="1"/>
      <c r="QT135" s="1"/>
      <c r="QU135" s="1"/>
      <c r="QV135" s="1"/>
      <c r="QW135" s="1"/>
      <c r="QX135" s="1"/>
      <c r="QY135" s="1"/>
      <c r="QZ135" s="1"/>
      <c r="RA135" s="1"/>
      <c r="RB135" s="1"/>
      <c r="RC135" s="1"/>
      <c r="RD135" s="1"/>
      <c r="RE135" s="1"/>
      <c r="RF135" s="1"/>
      <c r="RG135" s="1"/>
      <c r="RH135" s="1"/>
      <c r="RI135" s="1"/>
      <c r="RJ135" s="1"/>
      <c r="RK135" s="1"/>
      <c r="RL135" s="1"/>
      <c r="RM135" s="1"/>
      <c r="RN135" s="1"/>
      <c r="RO135" s="1"/>
      <c r="RP135" s="1"/>
      <c r="RQ135" s="1"/>
      <c r="RR135" s="1"/>
      <c r="RS135" s="1"/>
      <c r="RT135" s="1"/>
      <c r="RU135" s="1"/>
      <c r="RV135" s="1"/>
      <c r="RW135" s="1"/>
      <c r="RX135" s="1"/>
      <c r="RY135" s="1"/>
      <c r="RZ135" s="1"/>
      <c r="SA135" s="1"/>
      <c r="SB135" s="1"/>
      <c r="SC135" s="1"/>
      <c r="SD135" s="1"/>
      <c r="SE135" s="1"/>
      <c r="SF135" s="1"/>
      <c r="SG135" s="1"/>
      <c r="SH135" s="1"/>
      <c r="SI135" s="1"/>
      <c r="SJ135" s="1"/>
      <c r="SK135" s="1"/>
      <c r="SL135" s="1"/>
      <c r="SM135" s="1"/>
      <c r="SN135" s="1"/>
      <c r="SO135" s="1"/>
      <c r="SP135" s="1"/>
      <c r="SQ135" s="1"/>
      <c r="SR135" s="1"/>
      <c r="SS135" s="1"/>
      <c r="ST135" s="1"/>
      <c r="SU135" s="1"/>
      <c r="SV135" s="1"/>
      <c r="SW135" s="1"/>
      <c r="SX135" s="1"/>
      <c r="SY135" s="1"/>
      <c r="SZ135" s="1"/>
      <c r="TA135" s="1"/>
      <c r="TB135" s="1"/>
      <c r="TC135" s="1"/>
      <c r="TD135" s="1"/>
      <c r="TE135" s="1"/>
      <c r="TF135" s="1"/>
      <c r="TG135" s="1"/>
      <c r="TH135" s="1"/>
      <c r="TI135" s="1"/>
      <c r="TJ135" s="1"/>
      <c r="TK135" s="1"/>
      <c r="TL135" s="1"/>
      <c r="TM135" s="1"/>
      <c r="TN135" s="1"/>
      <c r="TO135" s="1"/>
      <c r="TP135" s="1"/>
      <c r="TQ135" s="1"/>
      <c r="TR135" s="1"/>
      <c r="TS135" s="1"/>
      <c r="TT135" s="1"/>
      <c r="TU135" s="1"/>
      <c r="TV135" s="1"/>
      <c r="TW135" s="1"/>
      <c r="TX135" s="1"/>
      <c r="TY135" s="1"/>
      <c r="TZ135" s="1"/>
      <c r="UA135" s="1"/>
      <c r="UB135" s="1"/>
      <c r="UC135" s="1"/>
      <c r="UD135" s="1"/>
      <c r="UE135" s="1"/>
      <c r="UF135" s="1"/>
      <c r="UG135" s="1"/>
      <c r="UH135" s="1"/>
      <c r="UI135" s="1"/>
    </row>
    <row r="136" spans="1:555" ht="88.5" customHeight="1">
      <c r="A136" s="296">
        <v>140</v>
      </c>
      <c r="B136" s="297" t="s">
        <v>1822</v>
      </c>
      <c r="C136" s="298">
        <v>91510423</v>
      </c>
      <c r="D136" s="354" t="s">
        <v>382</v>
      </c>
      <c r="E136" s="299">
        <v>42201</v>
      </c>
      <c r="F136" s="300">
        <v>42186</v>
      </c>
      <c r="G136" s="301" t="s">
        <v>1823</v>
      </c>
      <c r="H136" s="297" t="s">
        <v>5</v>
      </c>
      <c r="I136" s="297" t="s">
        <v>101</v>
      </c>
      <c r="J136" s="305">
        <v>43629</v>
      </c>
      <c r="K136" s="300">
        <v>43629</v>
      </c>
      <c r="L136" s="315" t="s">
        <v>8889</v>
      </c>
      <c r="M136" s="304" t="s">
        <v>5</v>
      </c>
      <c r="N136" s="299" t="s">
        <v>8243</v>
      </c>
      <c r="O136" s="299"/>
      <c r="P136" s="302"/>
      <c r="Q136" s="301"/>
      <c r="R136" s="297"/>
      <c r="S136" s="297"/>
      <c r="T136" s="299"/>
      <c r="U136" s="300"/>
      <c r="V136" s="301"/>
      <c r="W136" s="297"/>
      <c r="X136" s="297"/>
      <c r="Y136" s="299"/>
      <c r="Z136" s="300"/>
      <c r="AA136" s="301"/>
      <c r="AB136" s="297"/>
      <c r="AC136" s="297"/>
      <c r="AD136" s="299"/>
      <c r="AE136" s="300"/>
      <c r="AF136" s="301"/>
      <c r="AG136" s="297"/>
      <c r="AH136" s="297"/>
      <c r="AI136" s="304"/>
      <c r="AJ136" s="300"/>
      <c r="AK136" s="301"/>
      <c r="AL136" s="297"/>
      <c r="AM136" s="297"/>
      <c r="AN136" s="297" t="s">
        <v>1718</v>
      </c>
      <c r="AO136" s="473"/>
      <c r="AP136" s="297"/>
      <c r="AQ136" s="301" t="s">
        <v>1824</v>
      </c>
      <c r="AR136" s="297" t="s">
        <v>66</v>
      </c>
      <c r="AS136" s="299">
        <v>39448</v>
      </c>
      <c r="AT136" s="299">
        <v>40862</v>
      </c>
      <c r="AU136" s="297" t="s">
        <v>1825</v>
      </c>
      <c r="AV136" s="297"/>
      <c r="AW136" s="297" t="s">
        <v>69</v>
      </c>
      <c r="AX136" s="297" t="s">
        <v>1826</v>
      </c>
      <c r="AY136" s="299">
        <v>41501</v>
      </c>
      <c r="AZ136" s="297" t="s">
        <v>661</v>
      </c>
      <c r="BA136" s="299">
        <v>41956</v>
      </c>
      <c r="BB136" s="382">
        <v>42117</v>
      </c>
      <c r="BC136" s="297" t="s">
        <v>95</v>
      </c>
      <c r="BD136" s="297" t="s">
        <v>1792</v>
      </c>
      <c r="BE136" s="297"/>
      <c r="BF136" s="301"/>
      <c r="BG136" s="301" t="s">
        <v>1827</v>
      </c>
      <c r="BH136" s="301" t="s">
        <v>1828</v>
      </c>
      <c r="BI136" s="301"/>
      <c r="BJ136" s="312">
        <v>124142039</v>
      </c>
      <c r="BK136" s="312">
        <v>124142039</v>
      </c>
      <c r="BL136" s="307" t="s">
        <v>1829</v>
      </c>
      <c r="BM136" s="299">
        <v>43115</v>
      </c>
      <c r="BN136" s="314">
        <v>43101</v>
      </c>
      <c r="BO136" s="460" t="s">
        <v>1830</v>
      </c>
      <c r="BP136" s="390"/>
      <c r="BQ136" s="297"/>
      <c r="BR136" s="303" t="s">
        <v>9807</v>
      </c>
      <c r="BS136" s="308" t="s">
        <v>9806</v>
      </c>
      <c r="BT136" s="308"/>
      <c r="BU136" s="308"/>
      <c r="BV136" s="308"/>
      <c r="BW136" s="309"/>
      <c r="BX136" s="310"/>
      <c r="BY136" s="305"/>
      <c r="BZ136" s="311"/>
    </row>
    <row r="137" spans="1:555" ht="156.75" customHeight="1">
      <c r="A137" s="296">
        <v>141</v>
      </c>
      <c r="B137" s="297" t="s">
        <v>1831</v>
      </c>
      <c r="C137" s="298">
        <v>77192287</v>
      </c>
      <c r="D137" s="354" t="s">
        <v>1647</v>
      </c>
      <c r="E137" s="299">
        <v>42205</v>
      </c>
      <c r="F137" s="300">
        <v>42186</v>
      </c>
      <c r="G137" s="335" t="s">
        <v>1832</v>
      </c>
      <c r="H137" s="297" t="s">
        <v>5</v>
      </c>
      <c r="I137" s="297" t="s">
        <v>101</v>
      </c>
      <c r="J137" s="299">
        <v>42647</v>
      </c>
      <c r="K137" s="300">
        <v>42644</v>
      </c>
      <c r="L137" s="301" t="s">
        <v>1833</v>
      </c>
      <c r="M137" s="297" t="s">
        <v>5</v>
      </c>
      <c r="N137" s="297" t="s">
        <v>336</v>
      </c>
      <c r="O137" s="299">
        <v>43025</v>
      </c>
      <c r="P137" s="302">
        <v>43009</v>
      </c>
      <c r="Q137" s="335" t="s">
        <v>1834</v>
      </c>
      <c r="R137" s="336" t="s">
        <v>171</v>
      </c>
      <c r="S137" s="336" t="s">
        <v>8116</v>
      </c>
      <c r="T137" s="299">
        <v>43284</v>
      </c>
      <c r="U137" s="362">
        <v>43284</v>
      </c>
      <c r="V137" s="335" t="s">
        <v>1836</v>
      </c>
      <c r="W137" s="315" t="s">
        <v>1837</v>
      </c>
      <c r="X137" s="336" t="s">
        <v>1838</v>
      </c>
      <c r="Y137" s="299">
        <v>43307</v>
      </c>
      <c r="Z137" s="363">
        <v>43307</v>
      </c>
      <c r="AA137" s="364" t="s">
        <v>271</v>
      </c>
      <c r="AB137" s="365" t="s">
        <v>1837</v>
      </c>
      <c r="AC137" s="365" t="s">
        <v>1839</v>
      </c>
      <c r="AD137" s="366">
        <v>43307</v>
      </c>
      <c r="AE137" s="363">
        <v>43307</v>
      </c>
      <c r="AF137" s="364" t="s">
        <v>1840</v>
      </c>
      <c r="AG137" s="297" t="s">
        <v>1841</v>
      </c>
      <c r="AH137" s="336" t="s">
        <v>1842</v>
      </c>
      <c r="AI137" s="304"/>
      <c r="AJ137" s="300"/>
      <c r="AK137" s="301"/>
      <c r="AL137" s="297"/>
      <c r="AM137" s="297"/>
      <c r="AN137" s="297"/>
      <c r="AO137" s="479">
        <v>42647</v>
      </c>
      <c r="AP137" s="297"/>
      <c r="AQ137" s="301" t="s">
        <v>1843</v>
      </c>
      <c r="AR137" s="297" t="s">
        <v>66</v>
      </c>
      <c r="AS137" s="299">
        <v>37956</v>
      </c>
      <c r="AT137" s="299">
        <v>40511</v>
      </c>
      <c r="AU137" s="297" t="s">
        <v>1844</v>
      </c>
      <c r="AV137" s="297"/>
      <c r="AW137" s="297" t="s">
        <v>69</v>
      </c>
      <c r="AX137" s="297" t="s">
        <v>1845</v>
      </c>
      <c r="AY137" s="299">
        <v>41604</v>
      </c>
      <c r="AZ137" s="297" t="s">
        <v>1846</v>
      </c>
      <c r="BA137" s="299">
        <v>41837</v>
      </c>
      <c r="BB137" s="382">
        <v>41857</v>
      </c>
      <c r="BC137" s="297" t="s">
        <v>95</v>
      </c>
      <c r="BD137" s="297" t="s">
        <v>566</v>
      </c>
      <c r="BE137" s="297"/>
      <c r="BF137" s="301" t="s">
        <v>8327</v>
      </c>
      <c r="BG137" s="301" t="s">
        <v>1847</v>
      </c>
      <c r="BH137" s="301" t="s">
        <v>8328</v>
      </c>
      <c r="BI137" s="301" t="s">
        <v>517</v>
      </c>
      <c r="BJ137" s="74">
        <f>+[26]Intereses!$J$26</f>
        <v>0</v>
      </c>
      <c r="BK137" s="312" t="s">
        <v>8329</v>
      </c>
      <c r="BL137" s="313" t="s">
        <v>8330</v>
      </c>
      <c r="BM137" s="299" t="s">
        <v>8332</v>
      </c>
      <c r="BN137" s="314" t="s">
        <v>8333</v>
      </c>
      <c r="BO137" s="434" t="s">
        <v>8547</v>
      </c>
      <c r="BP137" s="397"/>
      <c r="BQ137" s="398"/>
      <c r="BR137" s="320"/>
      <c r="BS137" s="301" t="s">
        <v>1848</v>
      </c>
      <c r="BT137" s="301" t="s">
        <v>1849</v>
      </c>
      <c r="BU137" s="301"/>
      <c r="BV137" s="301"/>
      <c r="BW137" s="328">
        <v>23676027</v>
      </c>
      <c r="BX137" s="304">
        <v>2976718</v>
      </c>
      <c r="BY137" s="299">
        <v>43115</v>
      </c>
      <c r="BZ137" s="317">
        <v>43101</v>
      </c>
    </row>
    <row r="138" spans="1:555" ht="192.75" customHeight="1">
      <c r="A138" s="296">
        <v>142</v>
      </c>
      <c r="B138" s="297" t="s">
        <v>1850</v>
      </c>
      <c r="C138" s="298">
        <v>77194902</v>
      </c>
      <c r="D138" s="354" t="s">
        <v>1647</v>
      </c>
      <c r="E138" s="299">
        <v>42205</v>
      </c>
      <c r="F138" s="300">
        <v>42186</v>
      </c>
      <c r="G138" s="301" t="s">
        <v>1851</v>
      </c>
      <c r="H138" s="297" t="s">
        <v>5</v>
      </c>
      <c r="I138" s="297" t="s">
        <v>101</v>
      </c>
      <c r="J138" s="299">
        <v>42647</v>
      </c>
      <c r="K138" s="300">
        <v>42644</v>
      </c>
      <c r="L138" s="301" t="s">
        <v>1833</v>
      </c>
      <c r="M138" s="297" t="s">
        <v>5</v>
      </c>
      <c r="N138" s="297" t="s">
        <v>336</v>
      </c>
      <c r="O138" s="299">
        <v>42824</v>
      </c>
      <c r="P138" s="302">
        <v>42795</v>
      </c>
      <c r="Q138" s="301" t="s">
        <v>1852</v>
      </c>
      <c r="R138" s="297" t="s">
        <v>1853</v>
      </c>
      <c r="S138" s="297" t="s">
        <v>1854</v>
      </c>
      <c r="T138" s="299">
        <v>43025</v>
      </c>
      <c r="U138" s="300">
        <v>43009</v>
      </c>
      <c r="V138" s="335" t="s">
        <v>1834</v>
      </c>
      <c r="W138" s="336" t="s">
        <v>171</v>
      </c>
      <c r="X138" s="336" t="s">
        <v>8116</v>
      </c>
      <c r="Y138" s="299"/>
      <c r="Z138" s="300"/>
      <c r="AA138" s="301"/>
      <c r="AB138" s="297"/>
      <c r="AC138" s="297"/>
      <c r="AD138" s="299"/>
      <c r="AE138" s="300"/>
      <c r="AF138" s="301"/>
      <c r="AG138" s="297"/>
      <c r="AH138" s="297"/>
      <c r="AI138" s="304"/>
      <c r="AJ138" s="300"/>
      <c r="AK138" s="301"/>
      <c r="AL138" s="297"/>
      <c r="AM138" s="297"/>
      <c r="AN138" s="297"/>
      <c r="AO138" s="525">
        <v>42647</v>
      </c>
      <c r="AP138" s="297"/>
      <c r="AQ138" s="301" t="s">
        <v>1855</v>
      </c>
      <c r="AR138" s="297" t="s">
        <v>66</v>
      </c>
      <c r="AS138" s="299">
        <v>39815</v>
      </c>
      <c r="AT138" s="299">
        <v>40633</v>
      </c>
      <c r="AU138" s="297" t="s">
        <v>1856</v>
      </c>
      <c r="AV138" s="297"/>
      <c r="AW138" s="297" t="s">
        <v>92</v>
      </c>
      <c r="AX138" s="297" t="s">
        <v>1845</v>
      </c>
      <c r="AY138" s="299">
        <v>41604</v>
      </c>
      <c r="AZ138" s="297" t="s">
        <v>1846</v>
      </c>
      <c r="BA138" s="299">
        <v>41837</v>
      </c>
      <c r="BB138" s="382">
        <v>41857</v>
      </c>
      <c r="BC138" s="297" t="s">
        <v>95</v>
      </c>
      <c r="BD138" s="297" t="s">
        <v>566</v>
      </c>
      <c r="BE138" s="297"/>
      <c r="BF138" s="301" t="s">
        <v>8317</v>
      </c>
      <c r="BG138" s="301" t="s">
        <v>1857</v>
      </c>
      <c r="BH138" s="301" t="s">
        <v>8340</v>
      </c>
      <c r="BI138" s="301" t="s">
        <v>517</v>
      </c>
      <c r="BJ138" s="312" t="s">
        <v>8342</v>
      </c>
      <c r="BK138" s="312" t="s">
        <v>8341</v>
      </c>
      <c r="BL138" s="313" t="s">
        <v>8343</v>
      </c>
      <c r="BM138" s="299" t="s">
        <v>8331</v>
      </c>
      <c r="BN138" s="314" t="s">
        <v>8333</v>
      </c>
      <c r="BO138" s="434" t="s">
        <v>1706</v>
      </c>
      <c r="BP138" s="397"/>
      <c r="BQ138" s="398"/>
      <c r="BR138" s="320"/>
      <c r="BS138" s="301" t="s">
        <v>1858</v>
      </c>
      <c r="BT138" s="301" t="s">
        <v>1859</v>
      </c>
      <c r="BU138" s="301"/>
      <c r="BV138" s="301"/>
      <c r="BW138" s="328">
        <v>4081643</v>
      </c>
      <c r="BX138" s="304" t="s">
        <v>1860</v>
      </c>
      <c r="BY138" s="299">
        <v>43112</v>
      </c>
      <c r="BZ138" s="317">
        <v>43101</v>
      </c>
    </row>
    <row r="139" spans="1:555" ht="108">
      <c r="A139" s="296">
        <v>143</v>
      </c>
      <c r="B139" s="297" t="s">
        <v>1861</v>
      </c>
      <c r="C139" s="298">
        <v>77090468</v>
      </c>
      <c r="D139" s="354" t="s">
        <v>1647</v>
      </c>
      <c r="E139" s="299">
        <v>42205</v>
      </c>
      <c r="F139" s="300">
        <v>42186</v>
      </c>
      <c r="G139" s="301" t="s">
        <v>1851</v>
      </c>
      <c r="H139" s="297" t="s">
        <v>5</v>
      </c>
      <c r="I139" s="297" t="s">
        <v>101</v>
      </c>
      <c r="J139" s="299">
        <v>42647</v>
      </c>
      <c r="K139" s="300">
        <v>42644</v>
      </c>
      <c r="L139" s="301" t="s">
        <v>1833</v>
      </c>
      <c r="M139" s="297" t="s">
        <v>5</v>
      </c>
      <c r="N139" s="297" t="s">
        <v>336</v>
      </c>
      <c r="O139" s="299">
        <v>42739</v>
      </c>
      <c r="P139" s="302">
        <v>42736</v>
      </c>
      <c r="Q139" s="301" t="s">
        <v>1862</v>
      </c>
      <c r="R139" s="297" t="s">
        <v>171</v>
      </c>
      <c r="S139" s="297"/>
      <c r="T139" s="299">
        <v>42880</v>
      </c>
      <c r="U139" s="300">
        <v>42856</v>
      </c>
      <c r="V139" s="301" t="s">
        <v>1863</v>
      </c>
      <c r="W139" s="297" t="s">
        <v>171</v>
      </c>
      <c r="X139" s="297" t="s">
        <v>1864</v>
      </c>
      <c r="Y139" s="299">
        <v>43025</v>
      </c>
      <c r="Z139" s="300">
        <v>43009</v>
      </c>
      <c r="AA139" s="335" t="s">
        <v>1834</v>
      </c>
      <c r="AB139" s="336" t="s">
        <v>171</v>
      </c>
      <c r="AC139" s="336" t="s">
        <v>1835</v>
      </c>
      <c r="AD139" s="299">
        <v>43083</v>
      </c>
      <c r="AE139" s="300">
        <v>43070</v>
      </c>
      <c r="AF139" s="301" t="s">
        <v>1865</v>
      </c>
      <c r="AG139" s="297" t="s">
        <v>171</v>
      </c>
      <c r="AH139" s="297" t="s">
        <v>1866</v>
      </c>
      <c r="AI139" s="299">
        <v>43579</v>
      </c>
      <c r="AJ139" s="300">
        <v>43579</v>
      </c>
      <c r="AK139" s="301" t="s">
        <v>8591</v>
      </c>
      <c r="AL139" s="297" t="s">
        <v>208</v>
      </c>
      <c r="AM139" s="297" t="s">
        <v>8243</v>
      </c>
      <c r="AN139" s="297"/>
      <c r="AO139" s="525">
        <v>42647</v>
      </c>
      <c r="AP139" s="297"/>
      <c r="AQ139" s="301" t="s">
        <v>1867</v>
      </c>
      <c r="AR139" s="297" t="s">
        <v>66</v>
      </c>
      <c r="AS139" s="299">
        <v>39280</v>
      </c>
      <c r="AT139" s="299">
        <v>40632</v>
      </c>
      <c r="AU139" s="297" t="s">
        <v>1868</v>
      </c>
      <c r="AV139" s="297"/>
      <c r="AW139" s="297" t="s">
        <v>69</v>
      </c>
      <c r="AX139" s="297" t="s">
        <v>1845</v>
      </c>
      <c r="AY139" s="299">
        <v>41604</v>
      </c>
      <c r="AZ139" s="297" t="s">
        <v>1846</v>
      </c>
      <c r="BA139" s="299">
        <v>41837</v>
      </c>
      <c r="BB139" s="382">
        <v>41857</v>
      </c>
      <c r="BC139" s="297" t="s">
        <v>95</v>
      </c>
      <c r="BD139" s="297" t="s">
        <v>566</v>
      </c>
      <c r="BE139" s="297"/>
      <c r="BF139" s="301" t="s">
        <v>8335</v>
      </c>
      <c r="BG139" s="301" t="s">
        <v>1869</v>
      </c>
      <c r="BH139" s="301" t="s">
        <v>8336</v>
      </c>
      <c r="BI139" s="301" t="s">
        <v>8337</v>
      </c>
      <c r="BJ139" s="312">
        <v>76000865</v>
      </c>
      <c r="BK139" s="312" t="s">
        <v>8338</v>
      </c>
      <c r="BL139" s="313" t="s">
        <v>8339</v>
      </c>
      <c r="BM139" s="299" t="s">
        <v>8332</v>
      </c>
      <c r="BN139" s="314" t="s">
        <v>8333</v>
      </c>
      <c r="BO139" s="434" t="s">
        <v>8334</v>
      </c>
      <c r="BP139" s="397"/>
      <c r="BQ139" s="398"/>
      <c r="BR139" s="320"/>
      <c r="BS139" s="301" t="s">
        <v>1870</v>
      </c>
      <c r="BT139" s="301" t="s">
        <v>1871</v>
      </c>
      <c r="BU139" s="301"/>
      <c r="BV139" s="301"/>
      <c r="BW139" s="328">
        <v>9102632</v>
      </c>
      <c r="BX139" s="304" t="s">
        <v>1872</v>
      </c>
      <c r="BY139" s="299">
        <v>43115</v>
      </c>
      <c r="BZ139" s="317">
        <v>43101</v>
      </c>
    </row>
    <row r="140" spans="1:555" ht="182.25" customHeight="1">
      <c r="A140" s="296">
        <v>144</v>
      </c>
      <c r="B140" s="297" t="s">
        <v>1873</v>
      </c>
      <c r="C140" s="298">
        <v>9867152</v>
      </c>
      <c r="D140" s="354" t="s">
        <v>1873</v>
      </c>
      <c r="E140" s="299">
        <v>42212</v>
      </c>
      <c r="F140" s="300">
        <v>42186</v>
      </c>
      <c r="G140" s="301" t="s">
        <v>1874</v>
      </c>
      <c r="H140" s="297" t="s">
        <v>1480</v>
      </c>
      <c r="I140" s="297" t="s">
        <v>101</v>
      </c>
      <c r="J140" s="299">
        <v>42461</v>
      </c>
      <c r="K140" s="300">
        <v>42461</v>
      </c>
      <c r="L140" s="301" t="s">
        <v>1875</v>
      </c>
      <c r="M140" s="297" t="s">
        <v>208</v>
      </c>
      <c r="N140" s="297" t="s">
        <v>336</v>
      </c>
      <c r="O140" s="299">
        <v>42697</v>
      </c>
      <c r="P140" s="302">
        <v>42675</v>
      </c>
      <c r="Q140" s="301" t="s">
        <v>1876</v>
      </c>
      <c r="R140" s="297" t="s">
        <v>195</v>
      </c>
      <c r="S140" s="297" t="s">
        <v>336</v>
      </c>
      <c r="T140" s="299">
        <v>42653</v>
      </c>
      <c r="U140" s="300">
        <v>42644</v>
      </c>
      <c r="V140" s="301" t="s">
        <v>1877</v>
      </c>
      <c r="W140" s="297" t="s">
        <v>208</v>
      </c>
      <c r="X140" s="297" t="s">
        <v>79</v>
      </c>
      <c r="Y140" s="299">
        <v>42733</v>
      </c>
      <c r="Z140" s="300">
        <v>42705</v>
      </c>
      <c r="AA140" s="301" t="s">
        <v>1878</v>
      </c>
      <c r="AB140" s="297" t="s">
        <v>152</v>
      </c>
      <c r="AC140" s="297" t="s">
        <v>1879</v>
      </c>
      <c r="AD140" s="299" t="s">
        <v>1880</v>
      </c>
      <c r="AE140" s="300" t="s">
        <v>1881</v>
      </c>
      <c r="AF140" s="301" t="s">
        <v>1882</v>
      </c>
      <c r="AG140" s="297" t="s">
        <v>1883</v>
      </c>
      <c r="AH140" s="297" t="s">
        <v>1884</v>
      </c>
      <c r="AI140" s="299" t="s">
        <v>8967</v>
      </c>
      <c r="AJ140" s="300" t="s">
        <v>8968</v>
      </c>
      <c r="AK140" s="301" t="s">
        <v>8966</v>
      </c>
      <c r="AL140" s="297" t="s">
        <v>364</v>
      </c>
      <c r="AM140" s="297" t="s">
        <v>8969</v>
      </c>
      <c r="AN140" s="297" t="s">
        <v>600</v>
      </c>
      <c r="AO140" s="479">
        <v>43136</v>
      </c>
      <c r="AP140" s="297"/>
      <c r="AQ140" s="301" t="s">
        <v>1885</v>
      </c>
      <c r="AR140" s="297" t="s">
        <v>161</v>
      </c>
      <c r="AS140" s="299">
        <v>38285</v>
      </c>
      <c r="AT140" s="299">
        <v>40694</v>
      </c>
      <c r="AU140" s="297" t="s">
        <v>1886</v>
      </c>
      <c r="AV140" s="297"/>
      <c r="AW140" s="297" t="s">
        <v>69</v>
      </c>
      <c r="AX140" s="297" t="s">
        <v>1887</v>
      </c>
      <c r="AY140" s="299">
        <v>41967</v>
      </c>
      <c r="AZ140" s="297" t="s">
        <v>67</v>
      </c>
      <c r="BA140" s="299" t="s">
        <v>67</v>
      </c>
      <c r="BB140" s="382">
        <v>41991</v>
      </c>
      <c r="BC140" s="297" t="s">
        <v>95</v>
      </c>
      <c r="BD140" s="297" t="s">
        <v>1792</v>
      </c>
      <c r="BE140" s="297"/>
      <c r="BF140" s="301" t="s">
        <v>1888</v>
      </c>
      <c r="BG140" s="301"/>
      <c r="BH140" s="301" t="s">
        <v>8354</v>
      </c>
      <c r="BI140" s="301"/>
      <c r="BJ140" s="312">
        <f>+[27]MATRIZ!$J$77</f>
        <v>180047689.67097887</v>
      </c>
      <c r="BK140" s="312">
        <v>182824970</v>
      </c>
      <c r="BL140" s="313">
        <v>70221319</v>
      </c>
      <c r="BM140" s="299">
        <v>43558</v>
      </c>
      <c r="BN140" s="314">
        <v>43558</v>
      </c>
      <c r="BO140" s="531" t="s">
        <v>8548</v>
      </c>
      <c r="BP140" s="390"/>
      <c r="BQ140" s="297"/>
      <c r="BR140" s="303"/>
      <c r="BS140" s="301" t="s">
        <v>8232</v>
      </c>
      <c r="BT140" s="301"/>
      <c r="BU140" s="301"/>
      <c r="BV140" s="301"/>
      <c r="BW140" s="316"/>
      <c r="BX140" s="304"/>
      <c r="BY140" s="299"/>
      <c r="BZ140" s="317"/>
    </row>
    <row r="141" spans="1:555" ht="58.5" customHeight="1">
      <c r="A141" s="502">
        <v>146</v>
      </c>
      <c r="B141" s="297" t="s">
        <v>1898</v>
      </c>
      <c r="C141" s="298">
        <v>15920993</v>
      </c>
      <c r="D141" s="354" t="s">
        <v>677</v>
      </c>
      <c r="E141" s="299">
        <v>42118</v>
      </c>
      <c r="F141" s="300">
        <v>42118</v>
      </c>
      <c r="G141" s="301" t="s">
        <v>1899</v>
      </c>
      <c r="H141" s="297" t="s">
        <v>195</v>
      </c>
      <c r="I141" s="297" t="s">
        <v>79</v>
      </c>
      <c r="J141" s="299">
        <v>42012</v>
      </c>
      <c r="K141" s="300">
        <v>42012</v>
      </c>
      <c r="L141" s="301" t="s">
        <v>1900</v>
      </c>
      <c r="M141" s="297" t="s">
        <v>5</v>
      </c>
      <c r="N141" s="297" t="s">
        <v>79</v>
      </c>
      <c r="O141" s="299">
        <v>42247</v>
      </c>
      <c r="P141" s="302">
        <v>42247</v>
      </c>
      <c r="Q141" s="301" t="s">
        <v>1901</v>
      </c>
      <c r="R141" s="297" t="s">
        <v>5</v>
      </c>
      <c r="S141" s="297" t="s">
        <v>79</v>
      </c>
      <c r="T141" s="299">
        <v>42801</v>
      </c>
      <c r="U141" s="300">
        <v>42795</v>
      </c>
      <c r="V141" s="301" t="s">
        <v>1902</v>
      </c>
      <c r="W141" s="297" t="s">
        <v>5</v>
      </c>
      <c r="X141" s="297" t="s">
        <v>107</v>
      </c>
      <c r="Y141" s="299">
        <v>42759</v>
      </c>
      <c r="Z141" s="300">
        <v>42736</v>
      </c>
      <c r="AA141" s="301" t="s">
        <v>1903</v>
      </c>
      <c r="AB141" s="297" t="s">
        <v>5</v>
      </c>
      <c r="AC141" s="297" t="s">
        <v>1904</v>
      </c>
      <c r="AD141" s="299">
        <v>42810</v>
      </c>
      <c r="AE141" s="300">
        <v>42795</v>
      </c>
      <c r="AF141" s="301" t="s">
        <v>683</v>
      </c>
      <c r="AG141" s="297" t="s">
        <v>5</v>
      </c>
      <c r="AH141" s="297" t="s">
        <v>107</v>
      </c>
      <c r="AI141" s="304"/>
      <c r="AJ141" s="300"/>
      <c r="AK141" s="301"/>
      <c r="AL141" s="297"/>
      <c r="AM141" s="297"/>
      <c r="AN141" s="297"/>
      <c r="AO141" s="473"/>
      <c r="AP141" s="297"/>
      <c r="AQ141" s="301" t="s">
        <v>1905</v>
      </c>
      <c r="AR141" s="297" t="s">
        <v>66</v>
      </c>
      <c r="AS141" s="299">
        <v>37929</v>
      </c>
      <c r="AT141" s="299">
        <v>39808</v>
      </c>
      <c r="AU141" s="297" t="s">
        <v>1906</v>
      </c>
      <c r="AV141" s="297"/>
      <c r="AW141" s="297" t="s">
        <v>92</v>
      </c>
      <c r="AX141" s="297" t="s">
        <v>723</v>
      </c>
      <c r="AY141" s="299">
        <v>41627</v>
      </c>
      <c r="AZ141" s="297" t="s">
        <v>693</v>
      </c>
      <c r="BA141" s="299">
        <v>41824</v>
      </c>
      <c r="BB141" s="382">
        <v>41897</v>
      </c>
      <c r="BC141" s="297" t="s">
        <v>95</v>
      </c>
      <c r="BD141" s="297" t="s">
        <v>1792</v>
      </c>
      <c r="BE141" s="297"/>
      <c r="BF141" s="301"/>
      <c r="BG141" s="301" t="s">
        <v>1907</v>
      </c>
      <c r="BH141" s="301" t="s">
        <v>1908</v>
      </c>
      <c r="BI141" s="301" t="s">
        <v>1909</v>
      </c>
      <c r="BJ141" s="312" t="s">
        <v>1910</v>
      </c>
      <c r="BK141" s="312" t="s">
        <v>1911</v>
      </c>
      <c r="BL141" s="313" t="s">
        <v>1912</v>
      </c>
      <c r="BM141" s="299" t="s">
        <v>1913</v>
      </c>
      <c r="BN141" s="314" t="s">
        <v>1914</v>
      </c>
      <c r="BO141" s="460"/>
      <c r="BP141" s="390" t="s">
        <v>7485</v>
      </c>
      <c r="BQ141" s="297" t="s">
        <v>7484</v>
      </c>
      <c r="BR141" s="882" t="s">
        <v>7486</v>
      </c>
      <c r="BS141" s="301" t="s">
        <v>1915</v>
      </c>
      <c r="BT141" s="301" t="s">
        <v>1916</v>
      </c>
      <c r="BU141" s="301" t="s">
        <v>1917</v>
      </c>
      <c r="BV141" s="301"/>
      <c r="BW141" s="316" t="s">
        <v>1918</v>
      </c>
      <c r="BX141" s="304" t="s">
        <v>1919</v>
      </c>
      <c r="BY141" s="299" t="s">
        <v>1920</v>
      </c>
      <c r="BZ141" s="317" t="s">
        <v>1921</v>
      </c>
    </row>
    <row r="142" spans="1:555" ht="79.5" customHeight="1">
      <c r="A142" s="502">
        <v>147</v>
      </c>
      <c r="B142" s="297" t="s">
        <v>1922</v>
      </c>
      <c r="C142" s="298">
        <v>15989881</v>
      </c>
      <c r="D142" s="354" t="s">
        <v>677</v>
      </c>
      <c r="E142" s="299">
        <v>42221</v>
      </c>
      <c r="F142" s="300">
        <v>42217</v>
      </c>
      <c r="G142" s="301" t="s">
        <v>1923</v>
      </c>
      <c r="H142" s="297" t="s">
        <v>5</v>
      </c>
      <c r="I142" s="297" t="s">
        <v>101</v>
      </c>
      <c r="J142" s="299">
        <v>42247</v>
      </c>
      <c r="K142" s="300">
        <v>42217</v>
      </c>
      <c r="L142" s="301" t="s">
        <v>1924</v>
      </c>
      <c r="M142" s="297" t="s">
        <v>5</v>
      </c>
      <c r="N142" s="297" t="s">
        <v>336</v>
      </c>
      <c r="O142" s="299">
        <v>43237</v>
      </c>
      <c r="P142" s="302">
        <v>43221</v>
      </c>
      <c r="Q142" s="301" t="s">
        <v>800</v>
      </c>
      <c r="R142" s="297" t="s">
        <v>5</v>
      </c>
      <c r="S142" s="297" t="s">
        <v>107</v>
      </c>
      <c r="T142" s="299">
        <v>43354</v>
      </c>
      <c r="U142" s="300">
        <v>43354</v>
      </c>
      <c r="V142" s="301" t="s">
        <v>1925</v>
      </c>
      <c r="W142" s="297" t="s">
        <v>171</v>
      </c>
      <c r="X142" s="297" t="s">
        <v>1273</v>
      </c>
      <c r="Y142" s="299">
        <v>43705</v>
      </c>
      <c r="Z142" s="300">
        <v>43705</v>
      </c>
      <c r="AA142" s="301" t="s">
        <v>9215</v>
      </c>
      <c r="AB142" s="297" t="s">
        <v>208</v>
      </c>
      <c r="AC142" s="297" t="s">
        <v>9216</v>
      </c>
      <c r="AD142" s="299">
        <v>44015</v>
      </c>
      <c r="AE142" s="300">
        <v>44015</v>
      </c>
      <c r="AF142" s="301" t="s">
        <v>9545</v>
      </c>
      <c r="AG142" s="297" t="s">
        <v>208</v>
      </c>
      <c r="AH142" s="297" t="s">
        <v>9546</v>
      </c>
      <c r="AI142" s="299">
        <v>44267</v>
      </c>
      <c r="AJ142" s="300">
        <v>44267</v>
      </c>
      <c r="AK142" s="301" t="s">
        <v>10420</v>
      </c>
      <c r="AL142" s="297" t="s">
        <v>208</v>
      </c>
      <c r="AM142" s="297" t="s">
        <v>9546</v>
      </c>
      <c r="AN142" s="297" t="s">
        <v>1734</v>
      </c>
      <c r="AO142" s="473"/>
      <c r="AP142" s="297"/>
      <c r="AQ142" s="301" t="s">
        <v>1926</v>
      </c>
      <c r="AR142" s="297" t="s">
        <v>66</v>
      </c>
      <c r="AS142" s="299">
        <v>38638</v>
      </c>
      <c r="AT142" s="299">
        <v>40539</v>
      </c>
      <c r="AU142" s="297" t="s">
        <v>1927</v>
      </c>
      <c r="AV142" s="297"/>
      <c r="AW142" s="297" t="s">
        <v>92</v>
      </c>
      <c r="AX142" s="297" t="s">
        <v>1928</v>
      </c>
      <c r="AY142" s="299">
        <v>41386</v>
      </c>
      <c r="AZ142" s="297" t="s">
        <v>804</v>
      </c>
      <c r="BA142" s="299">
        <v>42124</v>
      </c>
      <c r="BB142" s="382">
        <v>42136</v>
      </c>
      <c r="BC142" s="297" t="s">
        <v>95</v>
      </c>
      <c r="BD142" s="297" t="s">
        <v>566</v>
      </c>
      <c r="BE142" s="297"/>
      <c r="BF142" s="301"/>
      <c r="BG142" s="301" t="s">
        <v>1929</v>
      </c>
      <c r="BH142" s="301" t="s">
        <v>1930</v>
      </c>
      <c r="BI142" s="301"/>
      <c r="BJ142" s="312">
        <v>220292839</v>
      </c>
      <c r="BK142" s="312">
        <v>220292839</v>
      </c>
      <c r="BL142" s="313" t="s">
        <v>1931</v>
      </c>
      <c r="BM142" s="299">
        <v>43115</v>
      </c>
      <c r="BN142" s="314">
        <v>43101</v>
      </c>
      <c r="BO142" s="434" t="s">
        <v>1932</v>
      </c>
      <c r="BP142" s="397"/>
      <c r="BQ142" s="398"/>
      <c r="BR142" s="320"/>
      <c r="BS142" s="301" t="s">
        <v>1933</v>
      </c>
      <c r="BT142" s="301"/>
      <c r="BU142" s="301"/>
      <c r="BV142" s="301"/>
      <c r="BW142" s="316"/>
      <c r="BX142" s="304"/>
      <c r="BY142" s="299"/>
      <c r="BZ142" s="317"/>
    </row>
    <row r="143" spans="1:555" ht="155.25" customHeight="1">
      <c r="A143" s="296">
        <v>148</v>
      </c>
      <c r="B143" s="297" t="s">
        <v>1934</v>
      </c>
      <c r="C143" s="298">
        <v>88259751</v>
      </c>
      <c r="D143" s="354" t="s">
        <v>994</v>
      </c>
      <c r="E143" s="299">
        <v>42222</v>
      </c>
      <c r="F143" s="300">
        <v>42217</v>
      </c>
      <c r="G143" s="301" t="s">
        <v>1935</v>
      </c>
      <c r="H143" s="297" t="s">
        <v>5</v>
      </c>
      <c r="I143" s="297" t="s">
        <v>101</v>
      </c>
      <c r="J143" s="299">
        <v>42881</v>
      </c>
      <c r="K143" s="300">
        <v>42856</v>
      </c>
      <c r="L143" s="301" t="s">
        <v>1936</v>
      </c>
      <c r="M143" s="297" t="s">
        <v>5</v>
      </c>
      <c r="N143" s="297" t="s">
        <v>107</v>
      </c>
      <c r="O143" s="305">
        <v>43258</v>
      </c>
      <c r="P143" s="302">
        <v>43252</v>
      </c>
      <c r="Q143" s="308" t="s">
        <v>1937</v>
      </c>
      <c r="R143" s="297" t="s">
        <v>208</v>
      </c>
      <c r="S143" s="303" t="s">
        <v>1938</v>
      </c>
      <c r="T143" s="299">
        <v>43083</v>
      </c>
      <c r="U143" s="300">
        <v>43083</v>
      </c>
      <c r="V143" s="301" t="s">
        <v>1477</v>
      </c>
      <c r="W143" s="297" t="s">
        <v>171</v>
      </c>
      <c r="X143" s="297" t="s">
        <v>1939</v>
      </c>
      <c r="Y143" s="299"/>
      <c r="Z143" s="300"/>
      <c r="AA143" s="301"/>
      <c r="AB143" s="297"/>
      <c r="AC143" s="297"/>
      <c r="AD143" s="299"/>
      <c r="AE143" s="300"/>
      <c r="AF143" s="301"/>
      <c r="AG143" s="297"/>
      <c r="AH143" s="297"/>
      <c r="AI143" s="304"/>
      <c r="AJ143" s="300"/>
      <c r="AK143" s="301"/>
      <c r="AL143" s="297"/>
      <c r="AM143" s="297"/>
      <c r="AN143" s="297"/>
      <c r="AO143" s="473"/>
      <c r="AP143" s="297"/>
      <c r="AQ143" s="301" t="s">
        <v>1940</v>
      </c>
      <c r="AR143" s="297" t="s">
        <v>66</v>
      </c>
      <c r="AS143" s="299">
        <v>38779</v>
      </c>
      <c r="AT143" s="299">
        <v>40421</v>
      </c>
      <c r="AU143" s="297" t="s">
        <v>1941</v>
      </c>
      <c r="AV143" s="297"/>
      <c r="AW143" s="297" t="s">
        <v>92</v>
      </c>
      <c r="AX143" s="297" t="s">
        <v>1942</v>
      </c>
      <c r="AY143" s="299">
        <v>42111</v>
      </c>
      <c r="AZ143" s="297" t="s">
        <v>67</v>
      </c>
      <c r="BA143" s="299" t="s">
        <v>67</v>
      </c>
      <c r="BB143" s="382">
        <v>42136</v>
      </c>
      <c r="BC143" s="297" t="s">
        <v>95</v>
      </c>
      <c r="BD143" s="297" t="s">
        <v>566</v>
      </c>
      <c r="BE143" s="297"/>
      <c r="BF143" s="301"/>
      <c r="BG143" s="360" t="s">
        <v>67</v>
      </c>
      <c r="BH143" s="301" t="s">
        <v>1943</v>
      </c>
      <c r="BI143" s="301" t="s">
        <v>1402</v>
      </c>
      <c r="BJ143" s="312">
        <v>142499413</v>
      </c>
      <c r="BK143" s="312" t="s">
        <v>1944</v>
      </c>
      <c r="BL143" s="313" t="s">
        <v>1945</v>
      </c>
      <c r="BM143" s="299" t="s">
        <v>1946</v>
      </c>
      <c r="BN143" s="314">
        <v>42887</v>
      </c>
      <c r="BO143" s="434" t="s">
        <v>1947</v>
      </c>
      <c r="BP143" s="396">
        <v>37731434</v>
      </c>
      <c r="BQ143" s="336" t="s">
        <v>8117</v>
      </c>
      <c r="BR143" s="430" t="s">
        <v>7489</v>
      </c>
      <c r="BS143" s="301" t="s">
        <v>1948</v>
      </c>
      <c r="BT143" s="301" t="s">
        <v>1949</v>
      </c>
      <c r="BU143" s="301"/>
      <c r="BV143" s="301"/>
      <c r="BW143" s="328">
        <v>37731434</v>
      </c>
      <c r="BX143" s="304" t="s">
        <v>1950</v>
      </c>
      <c r="BY143" s="299">
        <v>43112</v>
      </c>
      <c r="BZ143" s="317">
        <v>43101</v>
      </c>
    </row>
    <row r="144" spans="1:555" ht="81">
      <c r="A144" s="296">
        <v>149</v>
      </c>
      <c r="B144" s="297" t="s">
        <v>1951</v>
      </c>
      <c r="C144" s="298">
        <v>15923019</v>
      </c>
      <c r="D144" s="354" t="s">
        <v>677</v>
      </c>
      <c r="E144" s="299">
        <v>42222</v>
      </c>
      <c r="F144" s="300">
        <v>42217</v>
      </c>
      <c r="G144" s="301" t="s">
        <v>1952</v>
      </c>
      <c r="H144" s="297" t="s">
        <v>286</v>
      </c>
      <c r="I144" s="297" t="s">
        <v>101</v>
      </c>
      <c r="J144" s="299">
        <v>42247</v>
      </c>
      <c r="K144" s="300">
        <v>42217</v>
      </c>
      <c r="L144" s="301" t="s">
        <v>1953</v>
      </c>
      <c r="M144" s="297" t="s">
        <v>5</v>
      </c>
      <c r="N144" s="297" t="s">
        <v>336</v>
      </c>
      <c r="O144" s="299">
        <v>43237</v>
      </c>
      <c r="P144" s="302">
        <v>43221</v>
      </c>
      <c r="Q144" s="301" t="s">
        <v>800</v>
      </c>
      <c r="R144" s="297" t="s">
        <v>5</v>
      </c>
      <c r="S144" s="297" t="s">
        <v>107</v>
      </c>
      <c r="T144" s="299"/>
      <c r="U144" s="300"/>
      <c r="V144" s="301"/>
      <c r="W144" s="297"/>
      <c r="X144" s="297"/>
      <c r="Y144" s="299"/>
      <c r="Z144" s="300"/>
      <c r="AA144" s="301"/>
      <c r="AB144" s="297"/>
      <c r="AC144" s="297"/>
      <c r="AD144" s="299"/>
      <c r="AE144" s="300"/>
      <c r="AF144" s="301"/>
      <c r="AG144" s="297"/>
      <c r="AH144" s="297"/>
      <c r="AI144" s="304"/>
      <c r="AJ144" s="300"/>
      <c r="AK144" s="301"/>
      <c r="AL144" s="297"/>
      <c r="AM144" s="297"/>
      <c r="AN144" s="303" t="s">
        <v>1734</v>
      </c>
      <c r="AO144" s="474"/>
      <c r="AP144" s="303"/>
      <c r="AQ144" s="301" t="s">
        <v>1954</v>
      </c>
      <c r="AR144" s="297" t="s">
        <v>66</v>
      </c>
      <c r="AS144" s="299">
        <v>38534</v>
      </c>
      <c r="AT144" s="299">
        <v>39808</v>
      </c>
      <c r="AU144" s="297" t="s">
        <v>1955</v>
      </c>
      <c r="AV144" s="297"/>
      <c r="AW144" s="297" t="s">
        <v>92</v>
      </c>
      <c r="AX144" s="297" t="s">
        <v>692</v>
      </c>
      <c r="AY144" s="299">
        <v>41542</v>
      </c>
      <c r="AZ144" s="297" t="s">
        <v>1956</v>
      </c>
      <c r="BA144" s="299">
        <v>42124</v>
      </c>
      <c r="BB144" s="382">
        <v>42160</v>
      </c>
      <c r="BC144" s="297" t="s">
        <v>95</v>
      </c>
      <c r="BD144" s="297" t="s">
        <v>566</v>
      </c>
      <c r="BE144" s="297"/>
      <c r="BF144" s="301"/>
      <c r="BG144" s="301" t="s">
        <v>1957</v>
      </c>
      <c r="BH144" s="301" t="s">
        <v>1958</v>
      </c>
      <c r="BI144" s="301"/>
      <c r="BJ144" s="312">
        <v>151371743</v>
      </c>
      <c r="BK144" s="312">
        <v>151371743</v>
      </c>
      <c r="BL144" s="313" t="s">
        <v>1959</v>
      </c>
      <c r="BM144" s="299">
        <v>43112</v>
      </c>
      <c r="BN144" s="314">
        <v>43101</v>
      </c>
      <c r="BO144" s="434" t="s">
        <v>1366</v>
      </c>
      <c r="BP144" s="396">
        <v>19705300</v>
      </c>
      <c r="BQ144" s="336" t="s">
        <v>7470</v>
      </c>
      <c r="BR144" s="320"/>
      <c r="BS144" s="301"/>
      <c r="BT144" s="301"/>
      <c r="BU144" s="301"/>
      <c r="BV144" s="301"/>
      <c r="BW144" s="316"/>
      <c r="BX144" s="304"/>
      <c r="BY144" s="299"/>
      <c r="BZ144" s="317"/>
    </row>
    <row r="145" spans="1:555" s="509" customFormat="1" ht="78" customHeight="1">
      <c r="A145" s="296">
        <v>150</v>
      </c>
      <c r="B145" s="297" t="s">
        <v>1960</v>
      </c>
      <c r="C145" s="298">
        <v>76302866</v>
      </c>
      <c r="D145" s="354" t="s">
        <v>772</v>
      </c>
      <c r="E145" s="299">
        <v>42222</v>
      </c>
      <c r="F145" s="300">
        <v>42339</v>
      </c>
      <c r="G145" s="301" t="s">
        <v>1961</v>
      </c>
      <c r="H145" s="297" t="s">
        <v>198</v>
      </c>
      <c r="I145" s="297" t="s">
        <v>336</v>
      </c>
      <c r="J145" s="299">
        <v>42325</v>
      </c>
      <c r="K145" s="300">
        <v>42309</v>
      </c>
      <c r="L145" s="301" t="s">
        <v>1962</v>
      </c>
      <c r="M145" s="297" t="s">
        <v>5</v>
      </c>
      <c r="N145" s="297" t="s">
        <v>101</v>
      </c>
      <c r="O145" s="299">
        <v>42888</v>
      </c>
      <c r="P145" s="302">
        <v>42887</v>
      </c>
      <c r="Q145" s="301" t="s">
        <v>1963</v>
      </c>
      <c r="R145" s="297" t="s">
        <v>5</v>
      </c>
      <c r="S145" s="297" t="s">
        <v>1964</v>
      </c>
      <c r="T145" s="299">
        <v>43144</v>
      </c>
      <c r="U145" s="300">
        <v>43132</v>
      </c>
      <c r="V145" s="301" t="s">
        <v>1965</v>
      </c>
      <c r="W145" s="345" t="s">
        <v>208</v>
      </c>
      <c r="X145" s="297" t="s">
        <v>107</v>
      </c>
      <c r="Y145" s="299"/>
      <c r="Z145" s="300"/>
      <c r="AA145" s="301"/>
      <c r="AB145" s="297"/>
      <c r="AC145" s="297"/>
      <c r="AD145" s="299"/>
      <c r="AE145" s="300"/>
      <c r="AF145" s="301"/>
      <c r="AG145" s="297"/>
      <c r="AH145" s="297"/>
      <c r="AI145" s="304"/>
      <c r="AJ145" s="300"/>
      <c r="AK145" s="301"/>
      <c r="AL145" s="297"/>
      <c r="AM145" s="297"/>
      <c r="AN145" s="297" t="s">
        <v>1734</v>
      </c>
      <c r="AO145" s="473"/>
      <c r="AP145" s="297"/>
      <c r="AQ145" s="301" t="s">
        <v>1966</v>
      </c>
      <c r="AR145" s="297" t="s">
        <v>66</v>
      </c>
      <c r="AS145" s="299">
        <v>37773</v>
      </c>
      <c r="AT145" s="299">
        <v>39813</v>
      </c>
      <c r="AU145" s="297" t="s">
        <v>1967</v>
      </c>
      <c r="AV145" s="297"/>
      <c r="AW145" s="297" t="s">
        <v>92</v>
      </c>
      <c r="AX145" s="297" t="s">
        <v>789</v>
      </c>
      <c r="AY145" s="299">
        <v>42181</v>
      </c>
      <c r="AZ145" s="297" t="s">
        <v>67</v>
      </c>
      <c r="BA145" s="299" t="s">
        <v>67</v>
      </c>
      <c r="BB145" s="382">
        <v>42208</v>
      </c>
      <c r="BC145" s="297" t="s">
        <v>95</v>
      </c>
      <c r="BD145" s="297" t="s">
        <v>566</v>
      </c>
      <c r="BE145" s="297"/>
      <c r="BF145" s="301"/>
      <c r="BG145" s="301" t="s">
        <v>1968</v>
      </c>
      <c r="BH145" s="301" t="s">
        <v>1969</v>
      </c>
      <c r="BI145" s="301"/>
      <c r="BJ145" s="312">
        <v>182436762</v>
      </c>
      <c r="BK145" s="312">
        <v>182436762</v>
      </c>
      <c r="BL145" s="313">
        <v>115240818</v>
      </c>
      <c r="BM145" s="299">
        <v>43214</v>
      </c>
      <c r="BN145" s="314">
        <v>43191</v>
      </c>
      <c r="BO145" s="460" t="s">
        <v>1970</v>
      </c>
      <c r="BP145" s="390"/>
      <c r="BQ145" s="297"/>
      <c r="BR145" s="303"/>
      <c r="BS145" s="301"/>
      <c r="BT145" s="301"/>
      <c r="BU145" s="301"/>
      <c r="BV145" s="301"/>
      <c r="BW145" s="316"/>
      <c r="BX145" s="304"/>
      <c r="BY145" s="299"/>
      <c r="BZ145" s="317"/>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c r="IY145" s="1"/>
      <c r="IZ145" s="1"/>
      <c r="JA145" s="1"/>
      <c r="JB145" s="1"/>
      <c r="JC145" s="1"/>
      <c r="JD145" s="1"/>
      <c r="JE145" s="1"/>
      <c r="JF145" s="1"/>
      <c r="JG145" s="1"/>
      <c r="JH145" s="1"/>
      <c r="JI145" s="1"/>
      <c r="JJ145" s="1"/>
      <c r="JK145" s="1"/>
      <c r="JL145" s="1"/>
      <c r="JM145" s="1"/>
      <c r="JN145" s="1"/>
      <c r="JO145" s="1"/>
      <c r="JP145" s="1"/>
      <c r="JQ145" s="1"/>
      <c r="JR145" s="1"/>
      <c r="JS145" s="1"/>
      <c r="JT145" s="1"/>
      <c r="JU145" s="1"/>
      <c r="JV145" s="1"/>
      <c r="JW145" s="1"/>
      <c r="JX145" s="1"/>
      <c r="JY145" s="1"/>
      <c r="JZ145" s="1"/>
      <c r="KA145" s="1"/>
      <c r="KB145" s="1"/>
      <c r="KC145" s="1"/>
      <c r="KD145" s="1"/>
      <c r="KE145" s="1"/>
      <c r="KF145" s="1"/>
      <c r="KG145" s="1"/>
      <c r="KH145" s="1"/>
      <c r="KI145" s="1"/>
      <c r="KJ145" s="1"/>
      <c r="KK145" s="1"/>
      <c r="KL145" s="1"/>
      <c r="KM145" s="1"/>
      <c r="KN145" s="1"/>
      <c r="KO145" s="1"/>
      <c r="KP145" s="1"/>
      <c r="KQ145" s="1"/>
      <c r="KR145" s="1"/>
      <c r="KS145" s="1"/>
      <c r="KT145" s="1"/>
      <c r="KU145" s="1"/>
      <c r="KV145" s="1"/>
      <c r="KW145" s="1"/>
      <c r="KX145" s="1"/>
      <c r="KY145" s="1"/>
      <c r="KZ145" s="1"/>
      <c r="LA145" s="1"/>
      <c r="LB145" s="1"/>
      <c r="LC145" s="1"/>
      <c r="LD145" s="1"/>
      <c r="LE145" s="1"/>
      <c r="LF145" s="1"/>
      <c r="LG145" s="1"/>
      <c r="LH145" s="1"/>
      <c r="LI145" s="1"/>
      <c r="LJ145" s="1"/>
      <c r="LK145" s="1"/>
      <c r="LL145" s="1"/>
      <c r="LM145" s="1"/>
      <c r="LN145" s="1"/>
      <c r="LO145" s="1"/>
      <c r="LP145" s="1"/>
      <c r="LQ145" s="1"/>
      <c r="LR145" s="1"/>
      <c r="LS145" s="1"/>
      <c r="LT145" s="1"/>
      <c r="LU145" s="1"/>
      <c r="LV145" s="1"/>
      <c r="LW145" s="1"/>
      <c r="LX145" s="1"/>
      <c r="LY145" s="1"/>
      <c r="LZ145" s="1"/>
      <c r="MA145" s="1"/>
      <c r="MB145" s="1"/>
      <c r="MC145" s="1"/>
      <c r="MD145" s="1"/>
      <c r="ME145" s="1"/>
      <c r="MF145" s="1"/>
      <c r="MG145" s="1"/>
      <c r="MH145" s="1"/>
      <c r="MI145" s="1"/>
      <c r="MJ145" s="1"/>
      <c r="MK145" s="1"/>
      <c r="ML145" s="1"/>
      <c r="MM145" s="1"/>
      <c r="MN145" s="1"/>
      <c r="MO145" s="1"/>
      <c r="MP145" s="1"/>
      <c r="MQ145" s="1"/>
      <c r="MR145" s="1"/>
      <c r="MS145" s="1"/>
      <c r="MT145" s="1"/>
      <c r="MU145" s="1"/>
      <c r="MV145" s="1"/>
      <c r="MW145" s="1"/>
      <c r="MX145" s="1"/>
      <c r="MY145" s="1"/>
      <c r="MZ145" s="1"/>
      <c r="NA145" s="1"/>
      <c r="NB145" s="1"/>
      <c r="NC145" s="1"/>
      <c r="ND145" s="1"/>
      <c r="NE145" s="1"/>
      <c r="NF145" s="1"/>
      <c r="NG145" s="1"/>
      <c r="NH145" s="1"/>
      <c r="NI145" s="1"/>
      <c r="NJ145" s="1"/>
      <c r="NK145" s="1"/>
      <c r="NL145" s="1"/>
      <c r="NM145" s="1"/>
      <c r="NN145" s="1"/>
      <c r="NO145" s="1"/>
      <c r="NP145" s="1"/>
      <c r="NQ145" s="1"/>
      <c r="NR145" s="1"/>
      <c r="NS145" s="1"/>
      <c r="NT145" s="1"/>
      <c r="NU145" s="1"/>
      <c r="NV145" s="1"/>
      <c r="NW145" s="1"/>
      <c r="NX145" s="1"/>
      <c r="NY145" s="1"/>
      <c r="NZ145" s="1"/>
      <c r="OA145" s="1"/>
      <c r="OB145" s="1"/>
      <c r="OC145" s="1"/>
      <c r="OD145" s="1"/>
      <c r="OE145" s="1"/>
      <c r="OF145" s="1"/>
      <c r="OG145" s="1"/>
      <c r="OH145" s="1"/>
      <c r="OI145" s="1"/>
      <c r="OJ145" s="1"/>
      <c r="OK145" s="1"/>
      <c r="OL145" s="1"/>
      <c r="OM145" s="1"/>
      <c r="ON145" s="1"/>
      <c r="OO145" s="1"/>
      <c r="OP145" s="1"/>
      <c r="OQ145" s="1"/>
      <c r="OR145" s="1"/>
      <c r="OS145" s="1"/>
      <c r="OT145" s="1"/>
      <c r="OU145" s="1"/>
      <c r="OV145" s="1"/>
      <c r="OW145" s="1"/>
      <c r="OX145" s="1"/>
      <c r="OY145" s="1"/>
      <c r="OZ145" s="1"/>
      <c r="PA145" s="1"/>
      <c r="PB145" s="1"/>
      <c r="PC145" s="1"/>
      <c r="PD145" s="1"/>
      <c r="PE145" s="1"/>
      <c r="PF145" s="1"/>
      <c r="PG145" s="1"/>
      <c r="PH145" s="1"/>
      <c r="PI145" s="1"/>
      <c r="PJ145" s="1"/>
      <c r="PK145" s="1"/>
      <c r="PL145" s="1"/>
      <c r="PM145" s="1"/>
      <c r="PN145" s="1"/>
      <c r="PO145" s="1"/>
      <c r="PP145" s="1"/>
      <c r="PQ145" s="1"/>
      <c r="PR145" s="1"/>
      <c r="PS145" s="1"/>
      <c r="PT145" s="1"/>
      <c r="PU145" s="1"/>
      <c r="PV145" s="1"/>
      <c r="PW145" s="1"/>
      <c r="PX145" s="1"/>
      <c r="PY145" s="1"/>
      <c r="PZ145" s="1"/>
      <c r="QA145" s="1"/>
      <c r="QB145" s="1"/>
      <c r="QC145" s="1"/>
      <c r="QD145" s="1"/>
      <c r="QE145" s="1"/>
      <c r="QF145" s="1"/>
      <c r="QG145" s="1"/>
      <c r="QH145" s="1"/>
      <c r="QI145" s="1"/>
      <c r="QJ145" s="1"/>
      <c r="QK145" s="1"/>
      <c r="QL145" s="1"/>
      <c r="QM145" s="1"/>
      <c r="QN145" s="1"/>
      <c r="QO145" s="1"/>
      <c r="QP145" s="1"/>
      <c r="QQ145" s="1"/>
      <c r="QR145" s="1"/>
      <c r="QS145" s="1"/>
      <c r="QT145" s="1"/>
      <c r="QU145" s="1"/>
      <c r="QV145" s="1"/>
      <c r="QW145" s="1"/>
      <c r="QX145" s="1"/>
      <c r="QY145" s="1"/>
      <c r="QZ145" s="1"/>
      <c r="RA145" s="1"/>
      <c r="RB145" s="1"/>
      <c r="RC145" s="1"/>
      <c r="RD145" s="1"/>
      <c r="RE145" s="1"/>
      <c r="RF145" s="1"/>
      <c r="RG145" s="1"/>
      <c r="RH145" s="1"/>
      <c r="RI145" s="1"/>
      <c r="RJ145" s="1"/>
      <c r="RK145" s="1"/>
      <c r="RL145" s="1"/>
      <c r="RM145" s="1"/>
      <c r="RN145" s="1"/>
      <c r="RO145" s="1"/>
      <c r="RP145" s="1"/>
      <c r="RQ145" s="1"/>
      <c r="RR145" s="1"/>
      <c r="RS145" s="1"/>
      <c r="RT145" s="1"/>
      <c r="RU145" s="1"/>
      <c r="RV145" s="1"/>
      <c r="RW145" s="1"/>
      <c r="RX145" s="1"/>
      <c r="RY145" s="1"/>
      <c r="RZ145" s="1"/>
      <c r="SA145" s="1"/>
      <c r="SB145" s="1"/>
      <c r="SC145" s="1"/>
      <c r="SD145" s="1"/>
      <c r="SE145" s="1"/>
      <c r="SF145" s="1"/>
      <c r="SG145" s="1"/>
      <c r="SH145" s="1"/>
      <c r="SI145" s="1"/>
      <c r="SJ145" s="1"/>
      <c r="SK145" s="1"/>
      <c r="SL145" s="1"/>
      <c r="SM145" s="1"/>
      <c r="SN145" s="1"/>
      <c r="SO145" s="1"/>
      <c r="SP145" s="1"/>
      <c r="SQ145" s="1"/>
      <c r="SR145" s="1"/>
      <c r="SS145" s="1"/>
      <c r="ST145" s="1"/>
      <c r="SU145" s="1"/>
      <c r="SV145" s="1"/>
      <c r="SW145" s="1"/>
      <c r="SX145" s="1"/>
      <c r="SY145" s="1"/>
      <c r="SZ145" s="1"/>
      <c r="TA145" s="1"/>
      <c r="TB145" s="1"/>
      <c r="TC145" s="1"/>
      <c r="TD145" s="1"/>
      <c r="TE145" s="1"/>
      <c r="TF145" s="1"/>
      <c r="TG145" s="1"/>
      <c r="TH145" s="1"/>
      <c r="TI145" s="1"/>
      <c r="TJ145" s="1"/>
      <c r="TK145" s="1"/>
      <c r="TL145" s="1"/>
      <c r="TM145" s="1"/>
      <c r="TN145" s="1"/>
      <c r="TO145" s="1"/>
      <c r="TP145" s="1"/>
      <c r="TQ145" s="1"/>
      <c r="TR145" s="1"/>
      <c r="TS145" s="1"/>
      <c r="TT145" s="1"/>
      <c r="TU145" s="1"/>
      <c r="TV145" s="1"/>
      <c r="TW145" s="1"/>
      <c r="TX145" s="1"/>
      <c r="TY145" s="1"/>
      <c r="TZ145" s="1"/>
      <c r="UA145" s="1"/>
      <c r="UB145" s="1"/>
      <c r="UC145" s="1"/>
      <c r="UD145" s="1"/>
      <c r="UE145" s="1"/>
      <c r="UF145" s="1"/>
      <c r="UG145" s="1"/>
      <c r="UH145" s="1"/>
      <c r="UI145" s="1"/>
    </row>
    <row r="146" spans="1:555" s="509" customFormat="1" ht="94.5">
      <c r="A146" s="296">
        <v>151</v>
      </c>
      <c r="B146" s="297" t="s">
        <v>1971</v>
      </c>
      <c r="C146" s="298">
        <v>91449021</v>
      </c>
      <c r="D146" s="354" t="s">
        <v>1972</v>
      </c>
      <c r="E146" s="299">
        <v>42226</v>
      </c>
      <c r="F146" s="300">
        <v>42217</v>
      </c>
      <c r="G146" s="301" t="s">
        <v>1973</v>
      </c>
      <c r="H146" s="297" t="s">
        <v>1974</v>
      </c>
      <c r="I146" s="297" t="s">
        <v>183</v>
      </c>
      <c r="J146" s="299">
        <v>42492</v>
      </c>
      <c r="K146" s="300">
        <v>42491</v>
      </c>
      <c r="L146" s="301" t="s">
        <v>1975</v>
      </c>
      <c r="M146" s="297" t="s">
        <v>5</v>
      </c>
      <c r="N146" s="297" t="s">
        <v>101</v>
      </c>
      <c r="O146" s="299">
        <v>42611</v>
      </c>
      <c r="P146" s="302">
        <v>42583</v>
      </c>
      <c r="Q146" s="301" t="s">
        <v>1976</v>
      </c>
      <c r="R146" s="297" t="s">
        <v>5</v>
      </c>
      <c r="S146" s="297" t="s">
        <v>336</v>
      </c>
      <c r="T146" s="299">
        <v>42782</v>
      </c>
      <c r="U146" s="300">
        <v>42767</v>
      </c>
      <c r="V146" s="301" t="s">
        <v>1977</v>
      </c>
      <c r="W146" s="297" t="s">
        <v>208</v>
      </c>
      <c r="X146" s="297" t="s">
        <v>131</v>
      </c>
      <c r="Y146" s="299">
        <v>43140</v>
      </c>
      <c r="Z146" s="300">
        <v>43132</v>
      </c>
      <c r="AA146" s="301" t="s">
        <v>1978</v>
      </c>
      <c r="AB146" s="297" t="s">
        <v>5</v>
      </c>
      <c r="AC146" s="297" t="s">
        <v>1979</v>
      </c>
      <c r="AD146" s="299" t="s">
        <v>1980</v>
      </c>
      <c r="AE146" s="300" t="s">
        <v>1981</v>
      </c>
      <c r="AF146" s="301" t="s">
        <v>1982</v>
      </c>
      <c r="AG146" s="297" t="s">
        <v>1501</v>
      </c>
      <c r="AH146" s="297" t="s">
        <v>1983</v>
      </c>
      <c r="AI146" s="304"/>
      <c r="AJ146" s="300"/>
      <c r="AK146" s="301"/>
      <c r="AL146" s="297"/>
      <c r="AM146" s="297"/>
      <c r="AN146" s="297" t="s">
        <v>1734</v>
      </c>
      <c r="AO146" s="479">
        <v>42611</v>
      </c>
      <c r="AP146" s="297"/>
      <c r="AQ146" s="301" t="s">
        <v>1984</v>
      </c>
      <c r="AR146" s="297" t="s">
        <v>161</v>
      </c>
      <c r="AS146" s="299">
        <v>37956</v>
      </c>
      <c r="AT146" s="299">
        <v>39447</v>
      </c>
      <c r="AU146" s="297" t="s">
        <v>1985</v>
      </c>
      <c r="AV146" s="297"/>
      <c r="AW146" s="297" t="s">
        <v>92</v>
      </c>
      <c r="AX146" s="297" t="s">
        <v>1350</v>
      </c>
      <c r="AY146" s="299">
        <v>41480</v>
      </c>
      <c r="AZ146" s="297" t="s">
        <v>576</v>
      </c>
      <c r="BA146" s="299">
        <v>42114</v>
      </c>
      <c r="BB146" s="382">
        <v>42191</v>
      </c>
      <c r="BC146" s="297" t="s">
        <v>95</v>
      </c>
      <c r="BD146" s="297" t="s">
        <v>566</v>
      </c>
      <c r="BE146" s="297"/>
      <c r="BF146" s="301" t="s">
        <v>8505</v>
      </c>
      <c r="BG146" s="301" t="s">
        <v>1986</v>
      </c>
      <c r="BH146" s="301" t="s">
        <v>8868</v>
      </c>
      <c r="BI146" s="301"/>
      <c r="BJ146" s="312">
        <f>+[28]MATRIZ!$J$65</f>
        <v>140882305.11355957</v>
      </c>
      <c r="BK146" s="312">
        <v>140882305</v>
      </c>
      <c r="BL146" s="313">
        <v>170667319</v>
      </c>
      <c r="BM146" s="299">
        <v>43650</v>
      </c>
      <c r="BN146" s="314">
        <v>43650</v>
      </c>
      <c r="BO146" s="460"/>
      <c r="BP146" s="390"/>
      <c r="BQ146" s="297"/>
      <c r="BR146" s="303"/>
      <c r="BS146" s="301"/>
      <c r="BT146" s="301"/>
      <c r="BU146" s="301"/>
      <c r="BV146" s="301"/>
      <c r="BW146" s="316"/>
      <c r="BX146" s="304"/>
      <c r="BY146" s="299"/>
      <c r="BZ146" s="317"/>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c r="IY146" s="1"/>
      <c r="IZ146" s="1"/>
      <c r="JA146" s="1"/>
      <c r="JB146" s="1"/>
      <c r="JC146" s="1"/>
      <c r="JD146" s="1"/>
      <c r="JE146" s="1"/>
      <c r="JF146" s="1"/>
      <c r="JG146" s="1"/>
      <c r="JH146" s="1"/>
      <c r="JI146" s="1"/>
      <c r="JJ146" s="1"/>
      <c r="JK146" s="1"/>
      <c r="JL146" s="1"/>
      <c r="JM146" s="1"/>
      <c r="JN146" s="1"/>
      <c r="JO146" s="1"/>
      <c r="JP146" s="1"/>
      <c r="JQ146" s="1"/>
      <c r="JR146" s="1"/>
      <c r="JS146" s="1"/>
      <c r="JT146" s="1"/>
      <c r="JU146" s="1"/>
      <c r="JV146" s="1"/>
      <c r="JW146" s="1"/>
      <c r="JX146" s="1"/>
      <c r="JY146" s="1"/>
      <c r="JZ146" s="1"/>
      <c r="KA146" s="1"/>
      <c r="KB146" s="1"/>
      <c r="KC146" s="1"/>
      <c r="KD146" s="1"/>
      <c r="KE146" s="1"/>
      <c r="KF146" s="1"/>
      <c r="KG146" s="1"/>
      <c r="KH146" s="1"/>
      <c r="KI146" s="1"/>
      <c r="KJ146" s="1"/>
      <c r="KK146" s="1"/>
      <c r="KL146" s="1"/>
      <c r="KM146" s="1"/>
      <c r="KN146" s="1"/>
      <c r="KO146" s="1"/>
      <c r="KP146" s="1"/>
      <c r="KQ146" s="1"/>
      <c r="KR146" s="1"/>
      <c r="KS146" s="1"/>
      <c r="KT146" s="1"/>
      <c r="KU146" s="1"/>
      <c r="KV146" s="1"/>
      <c r="KW146" s="1"/>
      <c r="KX146" s="1"/>
      <c r="KY146" s="1"/>
      <c r="KZ146" s="1"/>
      <c r="LA146" s="1"/>
      <c r="LB146" s="1"/>
      <c r="LC146" s="1"/>
      <c r="LD146" s="1"/>
      <c r="LE146" s="1"/>
      <c r="LF146" s="1"/>
      <c r="LG146" s="1"/>
      <c r="LH146" s="1"/>
      <c r="LI146" s="1"/>
      <c r="LJ146" s="1"/>
      <c r="LK146" s="1"/>
      <c r="LL146" s="1"/>
      <c r="LM146" s="1"/>
      <c r="LN146" s="1"/>
      <c r="LO146" s="1"/>
      <c r="LP146" s="1"/>
      <c r="LQ146" s="1"/>
      <c r="LR146" s="1"/>
      <c r="LS146" s="1"/>
      <c r="LT146" s="1"/>
      <c r="LU146" s="1"/>
      <c r="LV146" s="1"/>
      <c r="LW146" s="1"/>
      <c r="LX146" s="1"/>
      <c r="LY146" s="1"/>
      <c r="LZ146" s="1"/>
      <c r="MA146" s="1"/>
      <c r="MB146" s="1"/>
      <c r="MC146" s="1"/>
      <c r="MD146" s="1"/>
      <c r="ME146" s="1"/>
      <c r="MF146" s="1"/>
      <c r="MG146" s="1"/>
      <c r="MH146" s="1"/>
      <c r="MI146" s="1"/>
      <c r="MJ146" s="1"/>
      <c r="MK146" s="1"/>
      <c r="ML146" s="1"/>
      <c r="MM146" s="1"/>
      <c r="MN146" s="1"/>
      <c r="MO146" s="1"/>
      <c r="MP146" s="1"/>
      <c r="MQ146" s="1"/>
      <c r="MR146" s="1"/>
      <c r="MS146" s="1"/>
      <c r="MT146" s="1"/>
      <c r="MU146" s="1"/>
      <c r="MV146" s="1"/>
      <c r="MW146" s="1"/>
      <c r="MX146" s="1"/>
      <c r="MY146" s="1"/>
      <c r="MZ146" s="1"/>
      <c r="NA146" s="1"/>
      <c r="NB146" s="1"/>
      <c r="NC146" s="1"/>
      <c r="ND146" s="1"/>
      <c r="NE146" s="1"/>
      <c r="NF146" s="1"/>
      <c r="NG146" s="1"/>
      <c r="NH146" s="1"/>
      <c r="NI146" s="1"/>
      <c r="NJ146" s="1"/>
      <c r="NK146" s="1"/>
      <c r="NL146" s="1"/>
      <c r="NM146" s="1"/>
      <c r="NN146" s="1"/>
      <c r="NO146" s="1"/>
      <c r="NP146" s="1"/>
      <c r="NQ146" s="1"/>
      <c r="NR146" s="1"/>
      <c r="NS146" s="1"/>
      <c r="NT146" s="1"/>
      <c r="NU146" s="1"/>
      <c r="NV146" s="1"/>
      <c r="NW146" s="1"/>
      <c r="NX146" s="1"/>
      <c r="NY146" s="1"/>
      <c r="NZ146" s="1"/>
      <c r="OA146" s="1"/>
      <c r="OB146" s="1"/>
      <c r="OC146" s="1"/>
      <c r="OD146" s="1"/>
      <c r="OE146" s="1"/>
      <c r="OF146" s="1"/>
      <c r="OG146" s="1"/>
      <c r="OH146" s="1"/>
      <c r="OI146" s="1"/>
      <c r="OJ146" s="1"/>
      <c r="OK146" s="1"/>
      <c r="OL146" s="1"/>
      <c r="OM146" s="1"/>
      <c r="ON146" s="1"/>
      <c r="OO146" s="1"/>
      <c r="OP146" s="1"/>
      <c r="OQ146" s="1"/>
      <c r="OR146" s="1"/>
      <c r="OS146" s="1"/>
      <c r="OT146" s="1"/>
      <c r="OU146" s="1"/>
      <c r="OV146" s="1"/>
      <c r="OW146" s="1"/>
      <c r="OX146" s="1"/>
      <c r="OY146" s="1"/>
      <c r="OZ146" s="1"/>
      <c r="PA146" s="1"/>
      <c r="PB146" s="1"/>
      <c r="PC146" s="1"/>
      <c r="PD146" s="1"/>
      <c r="PE146" s="1"/>
      <c r="PF146" s="1"/>
      <c r="PG146" s="1"/>
      <c r="PH146" s="1"/>
      <c r="PI146" s="1"/>
      <c r="PJ146" s="1"/>
      <c r="PK146" s="1"/>
      <c r="PL146" s="1"/>
      <c r="PM146" s="1"/>
      <c r="PN146" s="1"/>
      <c r="PO146" s="1"/>
      <c r="PP146" s="1"/>
      <c r="PQ146" s="1"/>
      <c r="PR146" s="1"/>
      <c r="PS146" s="1"/>
      <c r="PT146" s="1"/>
      <c r="PU146" s="1"/>
      <c r="PV146" s="1"/>
      <c r="PW146" s="1"/>
      <c r="PX146" s="1"/>
      <c r="PY146" s="1"/>
      <c r="PZ146" s="1"/>
      <c r="QA146" s="1"/>
      <c r="QB146" s="1"/>
      <c r="QC146" s="1"/>
      <c r="QD146" s="1"/>
      <c r="QE146" s="1"/>
      <c r="QF146" s="1"/>
      <c r="QG146" s="1"/>
      <c r="QH146" s="1"/>
      <c r="QI146" s="1"/>
      <c r="QJ146" s="1"/>
      <c r="QK146" s="1"/>
      <c r="QL146" s="1"/>
      <c r="QM146" s="1"/>
      <c r="QN146" s="1"/>
      <c r="QO146" s="1"/>
      <c r="QP146" s="1"/>
      <c r="QQ146" s="1"/>
      <c r="QR146" s="1"/>
      <c r="QS146" s="1"/>
      <c r="QT146" s="1"/>
      <c r="QU146" s="1"/>
      <c r="QV146" s="1"/>
      <c r="QW146" s="1"/>
      <c r="QX146" s="1"/>
      <c r="QY146" s="1"/>
      <c r="QZ146" s="1"/>
      <c r="RA146" s="1"/>
      <c r="RB146" s="1"/>
      <c r="RC146" s="1"/>
      <c r="RD146" s="1"/>
      <c r="RE146" s="1"/>
      <c r="RF146" s="1"/>
      <c r="RG146" s="1"/>
      <c r="RH146" s="1"/>
      <c r="RI146" s="1"/>
      <c r="RJ146" s="1"/>
      <c r="RK146" s="1"/>
      <c r="RL146" s="1"/>
      <c r="RM146" s="1"/>
      <c r="RN146" s="1"/>
      <c r="RO146" s="1"/>
      <c r="RP146" s="1"/>
      <c r="RQ146" s="1"/>
      <c r="RR146" s="1"/>
      <c r="RS146" s="1"/>
      <c r="RT146" s="1"/>
      <c r="RU146" s="1"/>
      <c r="RV146" s="1"/>
      <c r="RW146" s="1"/>
      <c r="RX146" s="1"/>
      <c r="RY146" s="1"/>
      <c r="RZ146" s="1"/>
      <c r="SA146" s="1"/>
      <c r="SB146" s="1"/>
      <c r="SC146" s="1"/>
      <c r="SD146" s="1"/>
      <c r="SE146" s="1"/>
      <c r="SF146" s="1"/>
      <c r="SG146" s="1"/>
      <c r="SH146" s="1"/>
      <c r="SI146" s="1"/>
      <c r="SJ146" s="1"/>
      <c r="SK146" s="1"/>
      <c r="SL146" s="1"/>
      <c r="SM146" s="1"/>
      <c r="SN146" s="1"/>
      <c r="SO146" s="1"/>
      <c r="SP146" s="1"/>
      <c r="SQ146" s="1"/>
      <c r="SR146" s="1"/>
      <c r="SS146" s="1"/>
      <c r="ST146" s="1"/>
      <c r="SU146" s="1"/>
      <c r="SV146" s="1"/>
      <c r="SW146" s="1"/>
      <c r="SX146" s="1"/>
      <c r="SY146" s="1"/>
      <c r="SZ146" s="1"/>
      <c r="TA146" s="1"/>
      <c r="TB146" s="1"/>
      <c r="TC146" s="1"/>
      <c r="TD146" s="1"/>
      <c r="TE146" s="1"/>
      <c r="TF146" s="1"/>
      <c r="TG146" s="1"/>
      <c r="TH146" s="1"/>
      <c r="TI146" s="1"/>
      <c r="TJ146" s="1"/>
      <c r="TK146" s="1"/>
      <c r="TL146" s="1"/>
      <c r="TM146" s="1"/>
      <c r="TN146" s="1"/>
      <c r="TO146" s="1"/>
      <c r="TP146" s="1"/>
      <c r="TQ146" s="1"/>
      <c r="TR146" s="1"/>
      <c r="TS146" s="1"/>
      <c r="TT146" s="1"/>
      <c r="TU146" s="1"/>
      <c r="TV146" s="1"/>
      <c r="TW146" s="1"/>
      <c r="TX146" s="1"/>
      <c r="TY146" s="1"/>
      <c r="TZ146" s="1"/>
      <c r="UA146" s="1"/>
      <c r="UB146" s="1"/>
      <c r="UC146" s="1"/>
      <c r="UD146" s="1"/>
      <c r="UE146" s="1"/>
      <c r="UF146" s="1"/>
      <c r="UG146" s="1"/>
      <c r="UH146" s="1"/>
      <c r="UI146" s="1"/>
    </row>
    <row r="147" spans="1:555" ht="81">
      <c r="A147" s="296">
        <v>152</v>
      </c>
      <c r="B147" s="297" t="s">
        <v>1987</v>
      </c>
      <c r="C147" s="298">
        <v>98629867</v>
      </c>
      <c r="D147" s="354" t="s">
        <v>333</v>
      </c>
      <c r="E147" s="299">
        <v>42235</v>
      </c>
      <c r="F147" s="300">
        <v>42217</v>
      </c>
      <c r="G147" s="301" t="s">
        <v>1988</v>
      </c>
      <c r="H147" s="297" t="s">
        <v>5</v>
      </c>
      <c r="I147" s="297" t="s">
        <v>101</v>
      </c>
      <c r="J147" s="299">
        <v>42640</v>
      </c>
      <c r="K147" s="300">
        <v>42614</v>
      </c>
      <c r="L147" s="301" t="s">
        <v>1989</v>
      </c>
      <c r="M147" s="297" t="s">
        <v>503</v>
      </c>
      <c r="N147" s="297" t="s">
        <v>1082</v>
      </c>
      <c r="O147" s="299"/>
      <c r="P147" s="302"/>
      <c r="Q147" s="301"/>
      <c r="R147" s="297"/>
      <c r="S147" s="297"/>
      <c r="T147" s="299"/>
      <c r="U147" s="300"/>
      <c r="V147" s="301"/>
      <c r="W147" s="297"/>
      <c r="X147" s="297"/>
      <c r="Y147" s="299"/>
      <c r="Z147" s="300"/>
      <c r="AA147" s="301"/>
      <c r="AB147" s="297"/>
      <c r="AC147" s="297"/>
      <c r="AD147" s="299"/>
      <c r="AE147" s="300"/>
      <c r="AF147" s="301"/>
      <c r="AG147" s="297"/>
      <c r="AH147" s="297"/>
      <c r="AI147" s="304"/>
      <c r="AJ147" s="300"/>
      <c r="AK147" s="301"/>
      <c r="AL147" s="297"/>
      <c r="AM147" s="297"/>
      <c r="AN147" s="297" t="s">
        <v>1718</v>
      </c>
      <c r="AO147" s="479">
        <v>42235</v>
      </c>
      <c r="AP147" s="297"/>
      <c r="AQ147" s="301" t="s">
        <v>1990</v>
      </c>
      <c r="AR147" s="297" t="s">
        <v>161</v>
      </c>
      <c r="AS147" s="299">
        <v>38708</v>
      </c>
      <c r="AT147" s="299">
        <v>39825</v>
      </c>
      <c r="AU147" s="297" t="s">
        <v>1991</v>
      </c>
      <c r="AV147" s="297"/>
      <c r="AW147" s="297" t="s">
        <v>92</v>
      </c>
      <c r="AX147" s="297" t="s">
        <v>443</v>
      </c>
      <c r="AY147" s="299">
        <v>41697</v>
      </c>
      <c r="AZ147" s="297" t="s">
        <v>409</v>
      </c>
      <c r="BA147" s="299">
        <v>42144</v>
      </c>
      <c r="BB147" s="382">
        <v>42160</v>
      </c>
      <c r="BC147" s="297" t="s">
        <v>95</v>
      </c>
      <c r="BD147" s="297" t="s">
        <v>566</v>
      </c>
      <c r="BE147" s="297"/>
      <c r="BF147" s="301" t="s">
        <v>8228</v>
      </c>
      <c r="BG147" s="301" t="s">
        <v>1992</v>
      </c>
      <c r="BH147" s="301" t="s">
        <v>8866</v>
      </c>
      <c r="BI147" s="301"/>
      <c r="BJ147" s="312">
        <f>+[29]MATRIZ!$J$59</f>
        <v>128622079.52737452</v>
      </c>
      <c r="BK147" s="312">
        <v>128622080</v>
      </c>
      <c r="BL147" s="313">
        <v>155072419</v>
      </c>
      <c r="BM147" s="299">
        <v>43636</v>
      </c>
      <c r="BN147" s="314">
        <v>43636</v>
      </c>
      <c r="BO147" s="460"/>
      <c r="BP147" s="390"/>
      <c r="BQ147" s="297"/>
      <c r="BR147" s="303"/>
      <c r="BS147" s="301"/>
      <c r="BT147" s="301"/>
      <c r="BU147" s="301"/>
      <c r="BV147" s="301"/>
      <c r="BW147" s="316"/>
      <c r="BX147" s="304"/>
      <c r="BY147" s="299"/>
      <c r="BZ147" s="317"/>
    </row>
    <row r="148" spans="1:555" s="509" customFormat="1" ht="91.5" customHeight="1">
      <c r="A148" s="296">
        <v>153</v>
      </c>
      <c r="B148" s="297" t="s">
        <v>1993</v>
      </c>
      <c r="C148" s="298">
        <v>76316718</v>
      </c>
      <c r="D148" s="354" t="s">
        <v>1994</v>
      </c>
      <c r="E148" s="299">
        <v>42236</v>
      </c>
      <c r="F148" s="300">
        <v>42217</v>
      </c>
      <c r="G148" s="301" t="s">
        <v>1995</v>
      </c>
      <c r="H148" s="297" t="s">
        <v>625</v>
      </c>
      <c r="I148" s="297" t="s">
        <v>183</v>
      </c>
      <c r="J148" s="299">
        <v>42263</v>
      </c>
      <c r="K148" s="300">
        <v>42248</v>
      </c>
      <c r="L148" s="301" t="s">
        <v>1996</v>
      </c>
      <c r="M148" s="297" t="s">
        <v>1997</v>
      </c>
      <c r="N148" s="297" t="s">
        <v>1544</v>
      </c>
      <c r="O148" s="299">
        <v>42298</v>
      </c>
      <c r="P148" s="302">
        <v>42278</v>
      </c>
      <c r="Q148" s="301" t="s">
        <v>1998</v>
      </c>
      <c r="R148" s="297" t="s">
        <v>171</v>
      </c>
      <c r="S148" s="297" t="s">
        <v>183</v>
      </c>
      <c r="T148" s="299">
        <v>42326</v>
      </c>
      <c r="U148" s="300">
        <v>42309</v>
      </c>
      <c r="V148" s="301" t="s">
        <v>1999</v>
      </c>
      <c r="W148" s="297" t="s">
        <v>5</v>
      </c>
      <c r="X148" s="297" t="s">
        <v>101</v>
      </c>
      <c r="Y148" s="299">
        <v>42643</v>
      </c>
      <c r="Z148" s="300">
        <v>42614</v>
      </c>
      <c r="AA148" s="301" t="s">
        <v>2000</v>
      </c>
      <c r="AB148" s="297" t="s">
        <v>5</v>
      </c>
      <c r="AC148" s="297" t="s">
        <v>336</v>
      </c>
      <c r="AD148" s="299" t="s">
        <v>2001</v>
      </c>
      <c r="AE148" s="300" t="s">
        <v>2002</v>
      </c>
      <c r="AF148" s="301" t="s">
        <v>2003</v>
      </c>
      <c r="AG148" s="297" t="s">
        <v>2004</v>
      </c>
      <c r="AH148" s="297" t="s">
        <v>2005</v>
      </c>
      <c r="AI148" s="299" t="s">
        <v>9379</v>
      </c>
      <c r="AJ148" s="300" t="s">
        <v>9380</v>
      </c>
      <c r="AK148" s="315" t="s">
        <v>9378</v>
      </c>
      <c r="AL148" s="297" t="s">
        <v>9381</v>
      </c>
      <c r="AM148" s="297" t="s">
        <v>9382</v>
      </c>
      <c r="AN148" s="297" t="s">
        <v>1734</v>
      </c>
      <c r="AO148" s="540">
        <v>42643</v>
      </c>
      <c r="AP148" s="297"/>
      <c r="AQ148" s="301" t="s">
        <v>2006</v>
      </c>
      <c r="AR148" s="297" t="s">
        <v>161</v>
      </c>
      <c r="AS148" s="299">
        <v>38621</v>
      </c>
      <c r="AT148" s="299">
        <v>40390</v>
      </c>
      <c r="AU148" s="297" t="s">
        <v>9408</v>
      </c>
      <c r="AV148" s="297"/>
      <c r="AW148" s="297" t="s">
        <v>69</v>
      </c>
      <c r="AX148" s="297" t="s">
        <v>2007</v>
      </c>
      <c r="AY148" s="299">
        <v>42079</v>
      </c>
      <c r="AZ148" s="297" t="s">
        <v>2008</v>
      </c>
      <c r="BA148" s="299">
        <v>42230</v>
      </c>
      <c r="BB148" s="382">
        <v>42241</v>
      </c>
      <c r="BC148" s="297" t="s">
        <v>95</v>
      </c>
      <c r="BD148" s="297" t="s">
        <v>2009</v>
      </c>
      <c r="BE148" s="297"/>
      <c r="BF148" s="301" t="s">
        <v>8227</v>
      </c>
      <c r="BG148" s="301" t="s">
        <v>2011</v>
      </c>
      <c r="BH148" s="301" t="s">
        <v>9430</v>
      </c>
      <c r="BI148" s="301"/>
      <c r="BJ148" s="312">
        <f>+[30]MATRIZ!$J$70</f>
        <v>184163031.5020974</v>
      </c>
      <c r="BK148" s="312" t="s">
        <v>9403</v>
      </c>
      <c r="BL148" s="313" t="s">
        <v>9431</v>
      </c>
      <c r="BM148" s="299" t="s">
        <v>9404</v>
      </c>
      <c r="BN148" s="314" t="s">
        <v>9405</v>
      </c>
      <c r="BO148" s="460" t="s">
        <v>9340</v>
      </c>
      <c r="BP148" s="390">
        <v>9867521</v>
      </c>
      <c r="BQ148" s="297" t="s">
        <v>9332</v>
      </c>
      <c r="BR148" s="303"/>
      <c r="BS148" s="301" t="s">
        <v>9406</v>
      </c>
      <c r="BT148" s="301"/>
      <c r="BU148" s="301"/>
      <c r="BV148" s="301"/>
      <c r="BW148" s="316"/>
      <c r="BX148" s="304"/>
      <c r="BY148" s="299"/>
      <c r="BZ148" s="317"/>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c r="IY148" s="1"/>
      <c r="IZ148" s="1"/>
      <c r="JA148" s="1"/>
      <c r="JB148" s="1"/>
      <c r="JC148" s="1"/>
      <c r="JD148" s="1"/>
      <c r="JE148" s="1"/>
      <c r="JF148" s="1"/>
      <c r="JG148" s="1"/>
      <c r="JH148" s="1"/>
      <c r="JI148" s="1"/>
      <c r="JJ148" s="1"/>
      <c r="JK148" s="1"/>
      <c r="JL148" s="1"/>
      <c r="JM148" s="1"/>
      <c r="JN148" s="1"/>
      <c r="JO148" s="1"/>
      <c r="JP148" s="1"/>
      <c r="JQ148" s="1"/>
      <c r="JR148" s="1"/>
      <c r="JS148" s="1"/>
      <c r="JT148" s="1"/>
      <c r="JU148" s="1"/>
      <c r="JV148" s="1"/>
      <c r="JW148" s="1"/>
      <c r="JX148" s="1"/>
      <c r="JY148" s="1"/>
      <c r="JZ148" s="1"/>
      <c r="KA148" s="1"/>
      <c r="KB148" s="1"/>
      <c r="KC148" s="1"/>
      <c r="KD148" s="1"/>
      <c r="KE148" s="1"/>
      <c r="KF148" s="1"/>
      <c r="KG148" s="1"/>
      <c r="KH148" s="1"/>
      <c r="KI148" s="1"/>
      <c r="KJ148" s="1"/>
      <c r="KK148" s="1"/>
      <c r="KL148" s="1"/>
      <c r="KM148" s="1"/>
      <c r="KN148" s="1"/>
      <c r="KO148" s="1"/>
      <c r="KP148" s="1"/>
      <c r="KQ148" s="1"/>
      <c r="KR148" s="1"/>
      <c r="KS148" s="1"/>
      <c r="KT148" s="1"/>
      <c r="KU148" s="1"/>
      <c r="KV148" s="1"/>
      <c r="KW148" s="1"/>
      <c r="KX148" s="1"/>
      <c r="KY148" s="1"/>
      <c r="KZ148" s="1"/>
      <c r="LA148" s="1"/>
      <c r="LB148" s="1"/>
      <c r="LC148" s="1"/>
      <c r="LD148" s="1"/>
      <c r="LE148" s="1"/>
      <c r="LF148" s="1"/>
      <c r="LG148" s="1"/>
      <c r="LH148" s="1"/>
      <c r="LI148" s="1"/>
      <c r="LJ148" s="1"/>
      <c r="LK148" s="1"/>
      <c r="LL148" s="1"/>
      <c r="LM148" s="1"/>
      <c r="LN148" s="1"/>
      <c r="LO148" s="1"/>
      <c r="LP148" s="1"/>
      <c r="LQ148" s="1"/>
      <c r="LR148" s="1"/>
      <c r="LS148" s="1"/>
      <c r="LT148" s="1"/>
      <c r="LU148" s="1"/>
      <c r="LV148" s="1"/>
      <c r="LW148" s="1"/>
      <c r="LX148" s="1"/>
      <c r="LY148" s="1"/>
      <c r="LZ148" s="1"/>
      <c r="MA148" s="1"/>
      <c r="MB148" s="1"/>
      <c r="MC148" s="1"/>
      <c r="MD148" s="1"/>
      <c r="ME148" s="1"/>
      <c r="MF148" s="1"/>
      <c r="MG148" s="1"/>
      <c r="MH148" s="1"/>
      <c r="MI148" s="1"/>
      <c r="MJ148" s="1"/>
      <c r="MK148" s="1"/>
      <c r="ML148" s="1"/>
      <c r="MM148" s="1"/>
      <c r="MN148" s="1"/>
      <c r="MO148" s="1"/>
      <c r="MP148" s="1"/>
      <c r="MQ148" s="1"/>
      <c r="MR148" s="1"/>
      <c r="MS148" s="1"/>
      <c r="MT148" s="1"/>
      <c r="MU148" s="1"/>
      <c r="MV148" s="1"/>
      <c r="MW148" s="1"/>
      <c r="MX148" s="1"/>
      <c r="MY148" s="1"/>
      <c r="MZ148" s="1"/>
      <c r="NA148" s="1"/>
      <c r="NB148" s="1"/>
      <c r="NC148" s="1"/>
      <c r="ND148" s="1"/>
      <c r="NE148" s="1"/>
      <c r="NF148" s="1"/>
      <c r="NG148" s="1"/>
      <c r="NH148" s="1"/>
      <c r="NI148" s="1"/>
      <c r="NJ148" s="1"/>
      <c r="NK148" s="1"/>
      <c r="NL148" s="1"/>
      <c r="NM148" s="1"/>
      <c r="NN148" s="1"/>
      <c r="NO148" s="1"/>
      <c r="NP148" s="1"/>
      <c r="NQ148" s="1"/>
      <c r="NR148" s="1"/>
      <c r="NS148" s="1"/>
      <c r="NT148" s="1"/>
      <c r="NU148" s="1"/>
      <c r="NV148" s="1"/>
      <c r="NW148" s="1"/>
      <c r="NX148" s="1"/>
      <c r="NY148" s="1"/>
      <c r="NZ148" s="1"/>
      <c r="OA148" s="1"/>
      <c r="OB148" s="1"/>
      <c r="OC148" s="1"/>
      <c r="OD148" s="1"/>
      <c r="OE148" s="1"/>
      <c r="OF148" s="1"/>
      <c r="OG148" s="1"/>
      <c r="OH148" s="1"/>
      <c r="OI148" s="1"/>
      <c r="OJ148" s="1"/>
      <c r="OK148" s="1"/>
      <c r="OL148" s="1"/>
      <c r="OM148" s="1"/>
      <c r="ON148" s="1"/>
      <c r="OO148" s="1"/>
      <c r="OP148" s="1"/>
      <c r="OQ148" s="1"/>
      <c r="OR148" s="1"/>
      <c r="OS148" s="1"/>
      <c r="OT148" s="1"/>
      <c r="OU148" s="1"/>
      <c r="OV148" s="1"/>
      <c r="OW148" s="1"/>
      <c r="OX148" s="1"/>
      <c r="OY148" s="1"/>
      <c r="OZ148" s="1"/>
      <c r="PA148" s="1"/>
      <c r="PB148" s="1"/>
      <c r="PC148" s="1"/>
      <c r="PD148" s="1"/>
      <c r="PE148" s="1"/>
      <c r="PF148" s="1"/>
      <c r="PG148" s="1"/>
      <c r="PH148" s="1"/>
      <c r="PI148" s="1"/>
      <c r="PJ148" s="1"/>
      <c r="PK148" s="1"/>
      <c r="PL148" s="1"/>
      <c r="PM148" s="1"/>
      <c r="PN148" s="1"/>
      <c r="PO148" s="1"/>
      <c r="PP148" s="1"/>
      <c r="PQ148" s="1"/>
      <c r="PR148" s="1"/>
      <c r="PS148" s="1"/>
      <c r="PT148" s="1"/>
      <c r="PU148" s="1"/>
      <c r="PV148" s="1"/>
      <c r="PW148" s="1"/>
      <c r="PX148" s="1"/>
      <c r="PY148" s="1"/>
      <c r="PZ148" s="1"/>
      <c r="QA148" s="1"/>
      <c r="QB148" s="1"/>
      <c r="QC148" s="1"/>
      <c r="QD148" s="1"/>
      <c r="QE148" s="1"/>
      <c r="QF148" s="1"/>
      <c r="QG148" s="1"/>
      <c r="QH148" s="1"/>
      <c r="QI148" s="1"/>
      <c r="QJ148" s="1"/>
      <c r="QK148" s="1"/>
      <c r="QL148" s="1"/>
      <c r="QM148" s="1"/>
      <c r="QN148" s="1"/>
      <c r="QO148" s="1"/>
      <c r="QP148" s="1"/>
      <c r="QQ148" s="1"/>
      <c r="QR148" s="1"/>
      <c r="QS148" s="1"/>
      <c r="QT148" s="1"/>
      <c r="QU148" s="1"/>
      <c r="QV148" s="1"/>
      <c r="QW148" s="1"/>
      <c r="QX148" s="1"/>
      <c r="QY148" s="1"/>
      <c r="QZ148" s="1"/>
      <c r="RA148" s="1"/>
      <c r="RB148" s="1"/>
      <c r="RC148" s="1"/>
      <c r="RD148" s="1"/>
      <c r="RE148" s="1"/>
      <c r="RF148" s="1"/>
      <c r="RG148" s="1"/>
      <c r="RH148" s="1"/>
      <c r="RI148" s="1"/>
      <c r="RJ148" s="1"/>
      <c r="RK148" s="1"/>
      <c r="RL148" s="1"/>
      <c r="RM148" s="1"/>
      <c r="RN148" s="1"/>
      <c r="RO148" s="1"/>
      <c r="RP148" s="1"/>
      <c r="RQ148" s="1"/>
      <c r="RR148" s="1"/>
      <c r="RS148" s="1"/>
      <c r="RT148" s="1"/>
      <c r="RU148" s="1"/>
      <c r="RV148" s="1"/>
      <c r="RW148" s="1"/>
      <c r="RX148" s="1"/>
      <c r="RY148" s="1"/>
      <c r="RZ148" s="1"/>
      <c r="SA148" s="1"/>
      <c r="SB148" s="1"/>
      <c r="SC148" s="1"/>
      <c r="SD148" s="1"/>
      <c r="SE148" s="1"/>
      <c r="SF148" s="1"/>
      <c r="SG148" s="1"/>
      <c r="SH148" s="1"/>
      <c r="SI148" s="1"/>
      <c r="SJ148" s="1"/>
      <c r="SK148" s="1"/>
      <c r="SL148" s="1"/>
      <c r="SM148" s="1"/>
      <c r="SN148" s="1"/>
      <c r="SO148" s="1"/>
      <c r="SP148" s="1"/>
      <c r="SQ148" s="1"/>
      <c r="SR148" s="1"/>
      <c r="SS148" s="1"/>
      <c r="ST148" s="1"/>
      <c r="SU148" s="1"/>
      <c r="SV148" s="1"/>
      <c r="SW148" s="1"/>
      <c r="SX148" s="1"/>
      <c r="SY148" s="1"/>
      <c r="SZ148" s="1"/>
      <c r="TA148" s="1"/>
      <c r="TB148" s="1"/>
      <c r="TC148" s="1"/>
      <c r="TD148" s="1"/>
      <c r="TE148" s="1"/>
      <c r="TF148" s="1"/>
      <c r="TG148" s="1"/>
      <c r="TH148" s="1"/>
      <c r="TI148" s="1"/>
      <c r="TJ148" s="1"/>
      <c r="TK148" s="1"/>
      <c r="TL148" s="1"/>
      <c r="TM148" s="1"/>
      <c r="TN148" s="1"/>
      <c r="TO148" s="1"/>
      <c r="TP148" s="1"/>
      <c r="TQ148" s="1"/>
      <c r="TR148" s="1"/>
      <c r="TS148" s="1"/>
      <c r="TT148" s="1"/>
      <c r="TU148" s="1"/>
      <c r="TV148" s="1"/>
      <c r="TW148" s="1"/>
      <c r="TX148" s="1"/>
      <c r="TY148" s="1"/>
      <c r="TZ148" s="1"/>
      <c r="UA148" s="1"/>
      <c r="UB148" s="1"/>
      <c r="UC148" s="1"/>
      <c r="UD148" s="1"/>
      <c r="UE148" s="1"/>
      <c r="UF148" s="1"/>
      <c r="UG148" s="1"/>
      <c r="UH148" s="1"/>
      <c r="UI148" s="1"/>
    </row>
    <row r="149" spans="1:555" ht="94.5">
      <c r="A149" s="296">
        <v>154</v>
      </c>
      <c r="B149" s="297" t="s">
        <v>2012</v>
      </c>
      <c r="C149" s="298">
        <v>71270922</v>
      </c>
      <c r="D149" s="354" t="s">
        <v>333</v>
      </c>
      <c r="E149" s="299">
        <v>42236</v>
      </c>
      <c r="F149" s="300">
        <v>42217</v>
      </c>
      <c r="G149" s="301" t="s">
        <v>2013</v>
      </c>
      <c r="H149" s="297" t="s">
        <v>5</v>
      </c>
      <c r="I149" s="297" t="s">
        <v>101</v>
      </c>
      <c r="J149" s="299">
        <v>42274</v>
      </c>
      <c r="K149" s="300">
        <v>42248</v>
      </c>
      <c r="L149" s="301" t="s">
        <v>1989</v>
      </c>
      <c r="M149" s="297" t="s">
        <v>2014</v>
      </c>
      <c r="N149" s="297" t="s">
        <v>1082</v>
      </c>
      <c r="O149" s="299"/>
      <c r="P149" s="302"/>
      <c r="Q149" s="301"/>
      <c r="R149" s="297"/>
      <c r="S149" s="297"/>
      <c r="T149" s="299"/>
      <c r="U149" s="300"/>
      <c r="V149" s="301"/>
      <c r="W149" s="297"/>
      <c r="X149" s="297"/>
      <c r="Y149" s="299"/>
      <c r="Z149" s="300"/>
      <c r="AA149" s="301"/>
      <c r="AB149" s="297"/>
      <c r="AC149" s="297"/>
      <c r="AD149" s="299"/>
      <c r="AE149" s="300"/>
      <c r="AF149" s="301"/>
      <c r="AG149" s="297"/>
      <c r="AH149" s="297"/>
      <c r="AI149" s="304"/>
      <c r="AJ149" s="300"/>
      <c r="AK149" s="301"/>
      <c r="AL149" s="297"/>
      <c r="AM149" s="297"/>
      <c r="AN149" s="297" t="s">
        <v>1718</v>
      </c>
      <c r="AO149" s="479">
        <v>42236</v>
      </c>
      <c r="AP149" s="297"/>
      <c r="AQ149" s="301" t="s">
        <v>8519</v>
      </c>
      <c r="AR149" s="297" t="s">
        <v>161</v>
      </c>
      <c r="AS149" s="299">
        <v>38108</v>
      </c>
      <c r="AT149" s="299">
        <v>39263</v>
      </c>
      <c r="AU149" s="297" t="s">
        <v>8947</v>
      </c>
      <c r="AV149" s="297"/>
      <c r="AW149" s="297" t="s">
        <v>92</v>
      </c>
      <c r="AX149" s="297" t="s">
        <v>443</v>
      </c>
      <c r="AY149" s="299">
        <v>41992</v>
      </c>
      <c r="AZ149" s="297" t="s">
        <v>2015</v>
      </c>
      <c r="BA149" s="299">
        <v>42151</v>
      </c>
      <c r="BB149" s="382">
        <v>42177</v>
      </c>
      <c r="BC149" s="297" t="s">
        <v>95</v>
      </c>
      <c r="BD149" s="297" t="s">
        <v>2009</v>
      </c>
      <c r="BE149" s="297"/>
      <c r="BF149" s="301"/>
      <c r="BG149" s="301" t="s">
        <v>2016</v>
      </c>
      <c r="BH149" s="301" t="s">
        <v>8747</v>
      </c>
      <c r="BI149" s="301"/>
      <c r="BJ149" s="312">
        <f>+[31]MATRIZ!$J$51</f>
        <v>29137019.752681408</v>
      </c>
      <c r="BK149" s="312">
        <v>29137020</v>
      </c>
      <c r="BL149" s="313">
        <v>121739319</v>
      </c>
      <c r="BM149" s="299">
        <v>43608</v>
      </c>
      <c r="BN149" s="314">
        <v>43608</v>
      </c>
      <c r="BO149" s="531" t="s">
        <v>8837</v>
      </c>
      <c r="BP149" s="390"/>
      <c r="BQ149" s="297"/>
      <c r="BR149" s="303"/>
      <c r="BS149" s="301"/>
      <c r="BT149" s="301"/>
      <c r="BU149" s="301"/>
      <c r="BV149" s="301"/>
      <c r="BW149" s="316"/>
      <c r="BX149" s="304"/>
      <c r="BY149" s="299"/>
      <c r="BZ149" s="317"/>
    </row>
    <row r="150" spans="1:555" ht="108">
      <c r="A150" s="296">
        <v>155</v>
      </c>
      <c r="B150" s="297" t="s">
        <v>2017</v>
      </c>
      <c r="C150" s="298">
        <v>14605302</v>
      </c>
      <c r="D150" s="354" t="s">
        <v>747</v>
      </c>
      <c r="E150" s="299">
        <v>42236</v>
      </c>
      <c r="F150" s="300">
        <v>42217</v>
      </c>
      <c r="G150" s="301" t="s">
        <v>2018</v>
      </c>
      <c r="H150" s="297" t="s">
        <v>171</v>
      </c>
      <c r="I150" s="297" t="s">
        <v>1544</v>
      </c>
      <c r="J150" s="299">
        <v>42299</v>
      </c>
      <c r="K150" s="300">
        <v>42278</v>
      </c>
      <c r="L150" s="301" t="s">
        <v>2019</v>
      </c>
      <c r="M150" s="297" t="s">
        <v>5</v>
      </c>
      <c r="N150" s="297" t="s">
        <v>101</v>
      </c>
      <c r="O150" s="299">
        <v>42326</v>
      </c>
      <c r="P150" s="302">
        <v>42309</v>
      </c>
      <c r="Q150" s="301" t="s">
        <v>2020</v>
      </c>
      <c r="R150" s="297" t="s">
        <v>5</v>
      </c>
      <c r="S150" s="297" t="s">
        <v>131</v>
      </c>
      <c r="T150" s="299">
        <v>42461</v>
      </c>
      <c r="U150" s="300" t="s">
        <v>750</v>
      </c>
      <c r="V150" s="301" t="s">
        <v>5</v>
      </c>
      <c r="W150" s="297" t="s">
        <v>336</v>
      </c>
      <c r="X150" s="297"/>
      <c r="Y150" s="299"/>
      <c r="Z150" s="300"/>
      <c r="AA150" s="301"/>
      <c r="AB150" s="297"/>
      <c r="AC150" s="297"/>
      <c r="AD150" s="299"/>
      <c r="AE150" s="300"/>
      <c r="AF150" s="301"/>
      <c r="AG150" s="297"/>
      <c r="AH150" s="297"/>
      <c r="AI150" s="304"/>
      <c r="AJ150" s="300"/>
      <c r="AK150" s="301"/>
      <c r="AL150" s="297"/>
      <c r="AM150" s="297"/>
      <c r="AN150" s="297" t="s">
        <v>1718</v>
      </c>
      <c r="AO150" s="473"/>
      <c r="AP150" s="297"/>
      <c r="AQ150" s="301" t="s">
        <v>2021</v>
      </c>
      <c r="AR150" s="297" t="s">
        <v>66</v>
      </c>
      <c r="AS150" s="299">
        <v>37773</v>
      </c>
      <c r="AT150" s="299">
        <v>40663</v>
      </c>
      <c r="AU150" s="297" t="s">
        <v>2022</v>
      </c>
      <c r="AV150" s="297"/>
      <c r="AW150" s="297" t="s">
        <v>69</v>
      </c>
      <c r="AX150" s="297" t="s">
        <v>2023</v>
      </c>
      <c r="AY150" s="299">
        <v>41414</v>
      </c>
      <c r="AZ150" s="297" t="s">
        <v>1418</v>
      </c>
      <c r="BA150" s="299">
        <v>42171</v>
      </c>
      <c r="BB150" s="382">
        <v>42216</v>
      </c>
      <c r="BC150" s="297" t="s">
        <v>95</v>
      </c>
      <c r="BD150" s="297" t="s">
        <v>1792</v>
      </c>
      <c r="BE150" s="297"/>
      <c r="BF150" s="301" t="s">
        <v>988</v>
      </c>
      <c r="BG150" s="301" t="s">
        <v>2024</v>
      </c>
      <c r="BH150" s="301" t="s">
        <v>2025</v>
      </c>
      <c r="BI150" s="301"/>
      <c r="BJ150" s="312">
        <v>218970258</v>
      </c>
      <c r="BK150" s="312">
        <v>218970258</v>
      </c>
      <c r="BL150" s="313" t="s">
        <v>2026</v>
      </c>
      <c r="BM150" s="299">
        <v>43115</v>
      </c>
      <c r="BN150" s="314">
        <v>43101</v>
      </c>
      <c r="BO150" s="434" t="s">
        <v>2027</v>
      </c>
      <c r="BP150" s="397"/>
      <c r="BQ150" s="398"/>
      <c r="BR150" s="883"/>
      <c r="BS150" s="301"/>
      <c r="BT150" s="301"/>
      <c r="BU150" s="301"/>
      <c r="BV150" s="301"/>
      <c r="BW150" s="316"/>
      <c r="BX150" s="304"/>
      <c r="BY150" s="299"/>
      <c r="BZ150" s="317"/>
    </row>
    <row r="151" spans="1:555" ht="67.5">
      <c r="A151" s="296">
        <v>156</v>
      </c>
      <c r="B151" s="297" t="s">
        <v>2028</v>
      </c>
      <c r="C151" s="298">
        <v>23545840</v>
      </c>
      <c r="D151" s="354" t="s">
        <v>2029</v>
      </c>
      <c r="E151" s="299">
        <v>42240</v>
      </c>
      <c r="F151" s="300">
        <v>42217</v>
      </c>
      <c r="G151" s="301" t="s">
        <v>2030</v>
      </c>
      <c r="H151" s="297" t="s">
        <v>63</v>
      </c>
      <c r="I151" s="297" t="s">
        <v>79</v>
      </c>
      <c r="J151" s="299"/>
      <c r="K151" s="300"/>
      <c r="L151" s="301"/>
      <c r="M151" s="297"/>
      <c r="N151" s="297"/>
      <c r="O151" s="299"/>
      <c r="P151" s="337"/>
      <c r="Q151" s="301"/>
      <c r="R151" s="297"/>
      <c r="S151" s="297"/>
      <c r="T151" s="299"/>
      <c r="U151" s="300"/>
      <c r="V151" s="301"/>
      <c r="W151" s="297"/>
      <c r="X151" s="297"/>
      <c r="Y151" s="299"/>
      <c r="Z151" s="300"/>
      <c r="AA151" s="301"/>
      <c r="AB151" s="297"/>
      <c r="AC151" s="297"/>
      <c r="AD151" s="299"/>
      <c r="AE151" s="300"/>
      <c r="AF151" s="301"/>
      <c r="AG151" s="297"/>
      <c r="AH151" s="297"/>
      <c r="AI151" s="304"/>
      <c r="AJ151" s="300"/>
      <c r="AK151" s="301"/>
      <c r="AL151" s="297"/>
      <c r="AM151" s="297"/>
      <c r="AN151" s="297"/>
      <c r="AO151" s="473"/>
      <c r="AP151" s="297"/>
      <c r="AQ151" s="301" t="s">
        <v>2031</v>
      </c>
      <c r="AR151" s="297" t="s">
        <v>66</v>
      </c>
      <c r="AS151" s="299" t="s">
        <v>67</v>
      </c>
      <c r="AT151" s="299" t="s">
        <v>67</v>
      </c>
      <c r="AU151" s="297" t="s">
        <v>186</v>
      </c>
      <c r="AV151" s="297"/>
      <c r="AW151" s="297" t="s">
        <v>92</v>
      </c>
      <c r="AX151" s="297" t="s">
        <v>2032</v>
      </c>
      <c r="AY151" s="299">
        <v>40995</v>
      </c>
      <c r="AZ151" s="297" t="s">
        <v>2033</v>
      </c>
      <c r="BA151" s="299">
        <v>42075</v>
      </c>
      <c r="BB151" s="382">
        <v>42103</v>
      </c>
      <c r="BC151" s="303" t="s">
        <v>561</v>
      </c>
      <c r="BD151" s="303" t="s">
        <v>566</v>
      </c>
      <c r="BE151" s="297" t="s">
        <v>2034</v>
      </c>
      <c r="BF151" s="301"/>
      <c r="BG151" s="301" t="s">
        <v>67</v>
      </c>
      <c r="BH151" s="301" t="s">
        <v>2035</v>
      </c>
      <c r="BI151" s="301" t="s">
        <v>190</v>
      </c>
      <c r="BJ151" s="312">
        <v>265345043</v>
      </c>
      <c r="BK151" s="312">
        <v>265345043</v>
      </c>
      <c r="BL151" s="313" t="s">
        <v>2036</v>
      </c>
      <c r="BM151" s="299">
        <v>42667</v>
      </c>
      <c r="BN151" s="314">
        <v>42644</v>
      </c>
      <c r="BO151" s="460"/>
      <c r="BP151" s="390"/>
      <c r="BQ151" s="297"/>
      <c r="BR151" s="303"/>
      <c r="BS151" s="301"/>
      <c r="BT151" s="301"/>
      <c r="BU151" s="301"/>
      <c r="BV151" s="301"/>
      <c r="BW151" s="316"/>
      <c r="BX151" s="304"/>
      <c r="BY151" s="299"/>
      <c r="BZ151" s="317"/>
    </row>
    <row r="152" spans="1:555" ht="162">
      <c r="A152" s="296">
        <v>157</v>
      </c>
      <c r="B152" s="297" t="s">
        <v>2037</v>
      </c>
      <c r="C152" s="538">
        <v>12991692</v>
      </c>
      <c r="D152" s="354" t="s">
        <v>2038</v>
      </c>
      <c r="E152" s="299">
        <v>42240</v>
      </c>
      <c r="F152" s="300">
        <v>42217</v>
      </c>
      <c r="G152" s="301" t="s">
        <v>2039</v>
      </c>
      <c r="H152" s="297" t="s">
        <v>63</v>
      </c>
      <c r="I152" s="297" t="s">
        <v>101</v>
      </c>
      <c r="J152" s="299">
        <v>42258</v>
      </c>
      <c r="K152" s="300">
        <v>42248</v>
      </c>
      <c r="L152" s="301" t="s">
        <v>2040</v>
      </c>
      <c r="M152" s="297" t="s">
        <v>63</v>
      </c>
      <c r="N152" s="297" t="s">
        <v>336</v>
      </c>
      <c r="O152" s="299">
        <v>42395</v>
      </c>
      <c r="P152" s="302">
        <v>42370</v>
      </c>
      <c r="Q152" s="301" t="s">
        <v>2041</v>
      </c>
      <c r="R152" s="297" t="s">
        <v>63</v>
      </c>
      <c r="S152" s="297" t="s">
        <v>336</v>
      </c>
      <c r="T152" s="299">
        <v>42846</v>
      </c>
      <c r="U152" s="300">
        <v>42846</v>
      </c>
      <c r="V152" s="301" t="s">
        <v>2042</v>
      </c>
      <c r="W152" s="297" t="s">
        <v>63</v>
      </c>
      <c r="X152" s="297" t="s">
        <v>79</v>
      </c>
      <c r="Y152" s="299">
        <v>42808</v>
      </c>
      <c r="Z152" s="300">
        <v>42795</v>
      </c>
      <c r="AA152" s="301" t="s">
        <v>2043</v>
      </c>
      <c r="AB152" s="297" t="s">
        <v>63</v>
      </c>
      <c r="AC152" s="297" t="s">
        <v>2044</v>
      </c>
      <c r="AD152" s="299" t="s">
        <v>2045</v>
      </c>
      <c r="AE152" s="300" t="s">
        <v>2046</v>
      </c>
      <c r="AF152" s="301" t="s">
        <v>2047</v>
      </c>
      <c r="AG152" s="297" t="s">
        <v>2048</v>
      </c>
      <c r="AH152" s="297" t="s">
        <v>2049</v>
      </c>
      <c r="AI152" s="299">
        <v>43349</v>
      </c>
      <c r="AJ152" s="300">
        <v>43349</v>
      </c>
      <c r="AK152" s="315" t="s">
        <v>2050</v>
      </c>
      <c r="AL152" s="297" t="s">
        <v>503</v>
      </c>
      <c r="AM152" s="297" t="s">
        <v>107</v>
      </c>
      <c r="AN152" s="297" t="s">
        <v>2051</v>
      </c>
      <c r="AO152" s="479">
        <v>42240</v>
      </c>
      <c r="AP152" s="297"/>
      <c r="AQ152" s="301" t="s">
        <v>2052</v>
      </c>
      <c r="AR152" s="297" t="s">
        <v>161</v>
      </c>
      <c r="AS152" s="299">
        <v>37771</v>
      </c>
      <c r="AT152" s="299">
        <v>40724</v>
      </c>
      <c r="AU152" s="297" t="s">
        <v>2053</v>
      </c>
      <c r="AV152" s="297"/>
      <c r="AW152" s="297" t="s">
        <v>69</v>
      </c>
      <c r="AX152" s="297" t="s">
        <v>2054</v>
      </c>
      <c r="AY152" s="299">
        <v>41838</v>
      </c>
      <c r="AZ152" s="297" t="s">
        <v>67</v>
      </c>
      <c r="BA152" s="299" t="s">
        <v>67</v>
      </c>
      <c r="BB152" s="382">
        <v>42041</v>
      </c>
      <c r="BC152" s="297" t="s">
        <v>95</v>
      </c>
      <c r="BD152" s="297" t="s">
        <v>1792</v>
      </c>
      <c r="BE152" s="297"/>
      <c r="BF152" s="301" t="s">
        <v>2055</v>
      </c>
      <c r="BG152" s="301" t="s">
        <v>2056</v>
      </c>
      <c r="BH152" s="301" t="s">
        <v>8469</v>
      </c>
      <c r="BI152" s="301"/>
      <c r="BJ152" s="312">
        <f>+[32]MATRIZ!$J$85</f>
        <v>353432002.19251931</v>
      </c>
      <c r="BK152" s="312">
        <v>333527753</v>
      </c>
      <c r="BL152" s="313">
        <v>98597019</v>
      </c>
      <c r="BM152" s="299">
        <v>43581</v>
      </c>
      <c r="BN152" s="314">
        <v>43581</v>
      </c>
      <c r="BO152" s="460"/>
      <c r="BP152" s="390"/>
      <c r="BQ152" s="297"/>
      <c r="BR152" s="881"/>
      <c r="BS152" s="301"/>
      <c r="BT152" s="301"/>
      <c r="BU152" s="301"/>
      <c r="BV152" s="301"/>
      <c r="BW152" s="316"/>
      <c r="BX152" s="304"/>
      <c r="BY152" s="299"/>
      <c r="BZ152" s="317"/>
    </row>
    <row r="153" spans="1:555" ht="94.5">
      <c r="A153" s="296">
        <v>160</v>
      </c>
      <c r="B153" s="297" t="s">
        <v>2077</v>
      </c>
      <c r="C153" s="298">
        <v>1979882</v>
      </c>
      <c r="D153" s="354" t="s">
        <v>193</v>
      </c>
      <c r="E153" s="299">
        <v>42243</v>
      </c>
      <c r="F153" s="300">
        <v>42217</v>
      </c>
      <c r="G153" s="301" t="s">
        <v>2078</v>
      </c>
      <c r="H153" s="297" t="s">
        <v>63</v>
      </c>
      <c r="I153" s="297" t="s">
        <v>101</v>
      </c>
      <c r="J153" s="299">
        <v>42940</v>
      </c>
      <c r="K153" s="300">
        <v>42917</v>
      </c>
      <c r="L153" s="301" t="s">
        <v>2079</v>
      </c>
      <c r="M153" s="297" t="s">
        <v>63</v>
      </c>
      <c r="N153" s="297" t="s">
        <v>2080</v>
      </c>
      <c r="O153" s="299">
        <v>43166</v>
      </c>
      <c r="P153" s="337">
        <v>43160</v>
      </c>
      <c r="Q153" s="301" t="s">
        <v>2081</v>
      </c>
      <c r="R153" s="297" t="s">
        <v>63</v>
      </c>
      <c r="S153" s="297" t="s">
        <v>1114</v>
      </c>
      <c r="T153" s="299">
        <v>43227</v>
      </c>
      <c r="U153" s="300">
        <v>43221</v>
      </c>
      <c r="V153" s="301" t="s">
        <v>2082</v>
      </c>
      <c r="W153" s="297" t="s">
        <v>63</v>
      </c>
      <c r="X153" s="297" t="s">
        <v>1114</v>
      </c>
      <c r="Y153" s="299">
        <v>43227</v>
      </c>
      <c r="Z153" s="300">
        <v>43221</v>
      </c>
      <c r="AA153" s="301" t="s">
        <v>2083</v>
      </c>
      <c r="AB153" s="297" t="s">
        <v>63</v>
      </c>
      <c r="AC153" s="297" t="s">
        <v>1114</v>
      </c>
      <c r="AD153" s="299"/>
      <c r="AE153" s="300"/>
      <c r="AF153" s="301"/>
      <c r="AG153" s="297"/>
      <c r="AH153" s="297"/>
      <c r="AI153" s="304"/>
      <c r="AJ153" s="300"/>
      <c r="AK153" s="301"/>
      <c r="AL153" s="297"/>
      <c r="AM153" s="297"/>
      <c r="AN153" s="297" t="s">
        <v>1734</v>
      </c>
      <c r="AO153" s="473"/>
      <c r="AP153" s="297"/>
      <c r="AQ153" s="301" t="s">
        <v>2084</v>
      </c>
      <c r="AR153" s="297" t="s">
        <v>66</v>
      </c>
      <c r="AS153" s="299">
        <v>39399</v>
      </c>
      <c r="AT153" s="299">
        <v>39994</v>
      </c>
      <c r="AU153" s="297" t="s">
        <v>2085</v>
      </c>
      <c r="AV153" s="297"/>
      <c r="AW153" s="297" t="s">
        <v>92</v>
      </c>
      <c r="AX153" s="297" t="s">
        <v>2086</v>
      </c>
      <c r="AY153" s="299">
        <v>41423</v>
      </c>
      <c r="AZ153" s="297" t="s">
        <v>2075</v>
      </c>
      <c r="BA153" s="299">
        <v>41789</v>
      </c>
      <c r="BB153" s="382">
        <v>41955</v>
      </c>
      <c r="BC153" s="297" t="s">
        <v>95</v>
      </c>
      <c r="BD153" s="297" t="s">
        <v>566</v>
      </c>
      <c r="BE153" s="297"/>
      <c r="BF153" s="301"/>
      <c r="BG153" s="301" t="s">
        <v>2087</v>
      </c>
      <c r="BH153" s="301" t="s">
        <v>2088</v>
      </c>
      <c r="BI153" s="301"/>
      <c r="BJ153" s="312">
        <v>61569019</v>
      </c>
      <c r="BK153" s="312">
        <v>61569019</v>
      </c>
      <c r="BL153" s="313">
        <v>115500018</v>
      </c>
      <c r="BM153" s="299">
        <v>43214</v>
      </c>
      <c r="BN153" s="314">
        <v>43191</v>
      </c>
      <c r="BO153" s="434" t="s">
        <v>2089</v>
      </c>
      <c r="BP153" s="397"/>
      <c r="BQ153" s="398"/>
      <c r="BR153" s="320"/>
      <c r="BS153" s="301"/>
      <c r="BT153" s="301"/>
      <c r="BU153" s="301"/>
      <c r="BV153" s="301"/>
      <c r="BW153" s="316"/>
      <c r="BX153" s="304"/>
      <c r="BY153" s="299"/>
      <c r="BZ153" s="317"/>
    </row>
    <row r="154" spans="1:555" ht="108">
      <c r="A154" s="296">
        <v>163</v>
      </c>
      <c r="B154" s="297" t="s">
        <v>2103</v>
      </c>
      <c r="C154" s="298">
        <v>91437785</v>
      </c>
      <c r="D154" s="354" t="s">
        <v>167</v>
      </c>
      <c r="E154" s="299">
        <v>42251</v>
      </c>
      <c r="F154" s="300">
        <v>42248</v>
      </c>
      <c r="G154" s="301" t="s">
        <v>2104</v>
      </c>
      <c r="H154" s="297" t="s">
        <v>5</v>
      </c>
      <c r="I154" s="297" t="s">
        <v>101</v>
      </c>
      <c r="J154" s="299" t="s">
        <v>8809</v>
      </c>
      <c r="K154" s="300" t="s">
        <v>8809</v>
      </c>
      <c r="L154" s="301" t="s">
        <v>8808</v>
      </c>
      <c r="M154" s="297" t="s">
        <v>208</v>
      </c>
      <c r="N154" s="297" t="s">
        <v>8810</v>
      </c>
      <c r="O154" s="299"/>
      <c r="P154" s="302"/>
      <c r="Q154" s="301"/>
      <c r="R154" s="297"/>
      <c r="S154" s="297"/>
      <c r="T154" s="299"/>
      <c r="U154" s="300"/>
      <c r="V154" s="301"/>
      <c r="W154" s="297"/>
      <c r="X154" s="297"/>
      <c r="Y154" s="299"/>
      <c r="Z154" s="300"/>
      <c r="AA154" s="301"/>
      <c r="AB154" s="297"/>
      <c r="AC154" s="297"/>
      <c r="AD154" s="299"/>
      <c r="AE154" s="300"/>
      <c r="AF154" s="301"/>
      <c r="AG154" s="297"/>
      <c r="AH154" s="297"/>
      <c r="AI154" s="304"/>
      <c r="AJ154" s="300"/>
      <c r="AK154" s="301"/>
      <c r="AL154" s="297"/>
      <c r="AM154" s="297"/>
      <c r="AN154" s="297" t="s">
        <v>2105</v>
      </c>
      <c r="AO154" s="479">
        <v>42251</v>
      </c>
      <c r="AP154" s="297"/>
      <c r="AQ154" s="301" t="s">
        <v>2106</v>
      </c>
      <c r="AR154" s="297" t="s">
        <v>161</v>
      </c>
      <c r="AS154" s="299">
        <v>37372</v>
      </c>
      <c r="AT154" s="299">
        <v>40633</v>
      </c>
      <c r="AU154" s="297" t="s">
        <v>8811</v>
      </c>
      <c r="AV154" s="297"/>
      <c r="AW154" s="297" t="s">
        <v>92</v>
      </c>
      <c r="AX154" s="297" t="s">
        <v>2107</v>
      </c>
      <c r="AY154" s="299">
        <v>41759</v>
      </c>
      <c r="AZ154" s="297" t="s">
        <v>2108</v>
      </c>
      <c r="BA154" s="299">
        <v>41988</v>
      </c>
      <c r="BB154" s="382">
        <v>42025</v>
      </c>
      <c r="BC154" s="297" t="s">
        <v>95</v>
      </c>
      <c r="BD154" s="297" t="s">
        <v>566</v>
      </c>
      <c r="BE154" s="297"/>
      <c r="BF154" s="301" t="s">
        <v>2109</v>
      </c>
      <c r="BG154" s="301" t="s">
        <v>2110</v>
      </c>
      <c r="BH154" s="301" t="s">
        <v>8507</v>
      </c>
      <c r="BI154" s="301"/>
      <c r="BJ154" s="312">
        <f>+'[33]MATRIZ '!$J$85</f>
        <v>363376016.29210895</v>
      </c>
      <c r="BK154" s="312">
        <v>363376016</v>
      </c>
      <c r="BL154" s="313">
        <v>75991919</v>
      </c>
      <c r="BM154" s="299">
        <v>43559</v>
      </c>
      <c r="BN154" s="314">
        <v>43556</v>
      </c>
      <c r="BO154" s="460"/>
      <c r="BP154" s="390"/>
      <c r="BQ154" s="297"/>
      <c r="BR154" s="303"/>
      <c r="BS154" s="308"/>
      <c r="BT154" s="308"/>
      <c r="BU154" s="308"/>
      <c r="BV154" s="308"/>
      <c r="BW154" s="309"/>
      <c r="BX154" s="310"/>
      <c r="BY154" s="305"/>
      <c r="BZ154" s="311"/>
    </row>
    <row r="155" spans="1:555" ht="81">
      <c r="A155" s="296">
        <v>164</v>
      </c>
      <c r="B155" s="297" t="s">
        <v>2111</v>
      </c>
      <c r="C155" s="298">
        <v>79923893</v>
      </c>
      <c r="D155" s="354" t="s">
        <v>167</v>
      </c>
      <c r="E155" s="299">
        <v>42251</v>
      </c>
      <c r="F155" s="300">
        <v>42248</v>
      </c>
      <c r="G155" s="301" t="s">
        <v>2112</v>
      </c>
      <c r="H155" s="297" t="s">
        <v>5</v>
      </c>
      <c r="I155" s="297" t="s">
        <v>101</v>
      </c>
      <c r="J155" s="299"/>
      <c r="K155" s="300"/>
      <c r="L155" s="301"/>
      <c r="M155" s="297"/>
      <c r="N155" s="297"/>
      <c r="O155" s="299"/>
      <c r="P155" s="302"/>
      <c r="Q155" s="301"/>
      <c r="R155" s="297"/>
      <c r="S155" s="297"/>
      <c r="T155" s="299"/>
      <c r="U155" s="300"/>
      <c r="V155" s="301"/>
      <c r="W155" s="297"/>
      <c r="X155" s="297"/>
      <c r="Y155" s="299"/>
      <c r="Z155" s="300"/>
      <c r="AA155" s="301"/>
      <c r="AB155" s="297"/>
      <c r="AC155" s="297"/>
      <c r="AD155" s="299"/>
      <c r="AE155" s="300"/>
      <c r="AF155" s="301"/>
      <c r="AG155" s="297"/>
      <c r="AH155" s="297"/>
      <c r="AI155" s="304"/>
      <c r="AJ155" s="300"/>
      <c r="AK155" s="301"/>
      <c r="AL155" s="297"/>
      <c r="AM155" s="297"/>
      <c r="AN155" s="297" t="s">
        <v>1734</v>
      </c>
      <c r="AO155" s="473"/>
      <c r="AP155" s="297"/>
      <c r="AQ155" s="301" t="s">
        <v>2113</v>
      </c>
      <c r="AR155" s="297" t="s">
        <v>66</v>
      </c>
      <c r="AS155" s="299">
        <v>38108</v>
      </c>
      <c r="AT155" s="299">
        <v>39263</v>
      </c>
      <c r="AU155" s="297" t="s">
        <v>2114</v>
      </c>
      <c r="AV155" s="297"/>
      <c r="AW155" s="297" t="s">
        <v>69</v>
      </c>
      <c r="AX155" s="297" t="s">
        <v>2115</v>
      </c>
      <c r="AY155" s="299">
        <v>41621</v>
      </c>
      <c r="AZ155" s="297" t="s">
        <v>2116</v>
      </c>
      <c r="BA155" s="299">
        <v>41833</v>
      </c>
      <c r="BB155" s="382">
        <v>41906</v>
      </c>
      <c r="BC155" s="297" t="s">
        <v>95</v>
      </c>
      <c r="BD155" s="297" t="s">
        <v>566</v>
      </c>
      <c r="BE155" s="297"/>
      <c r="BF155" s="301"/>
      <c r="BG155" s="301" t="s">
        <v>2117</v>
      </c>
      <c r="BH155" s="301" t="s">
        <v>2118</v>
      </c>
      <c r="BI155" s="301"/>
      <c r="BJ155" s="312">
        <v>227578597</v>
      </c>
      <c r="BK155" s="312">
        <v>227578597</v>
      </c>
      <c r="BL155" s="313" t="s">
        <v>2119</v>
      </c>
      <c r="BM155" s="299">
        <v>43118</v>
      </c>
      <c r="BN155" s="314">
        <v>43101</v>
      </c>
      <c r="BO155" s="434" t="s">
        <v>2120</v>
      </c>
      <c r="BP155" s="397"/>
      <c r="BQ155" s="398"/>
      <c r="BR155" s="320"/>
      <c r="BS155" s="301"/>
      <c r="BT155" s="308"/>
      <c r="BU155" s="308"/>
      <c r="BV155" s="308"/>
      <c r="BW155" s="309"/>
      <c r="BX155" s="310"/>
      <c r="BY155" s="305"/>
      <c r="BZ155" s="311"/>
    </row>
    <row r="156" spans="1:555" ht="81">
      <c r="A156" s="296">
        <v>165</v>
      </c>
      <c r="B156" s="297" t="s">
        <v>2121</v>
      </c>
      <c r="C156" s="298">
        <v>91280580</v>
      </c>
      <c r="D156" s="354" t="s">
        <v>167</v>
      </c>
      <c r="E156" s="299">
        <v>42251</v>
      </c>
      <c r="F156" s="300">
        <v>42248</v>
      </c>
      <c r="G156" s="301" t="s">
        <v>2122</v>
      </c>
      <c r="H156" s="297" t="s">
        <v>5</v>
      </c>
      <c r="I156" s="297" t="s">
        <v>101</v>
      </c>
      <c r="J156" s="299"/>
      <c r="K156" s="300"/>
      <c r="L156" s="301"/>
      <c r="M156" s="297"/>
      <c r="N156" s="297"/>
      <c r="O156" s="299"/>
      <c r="P156" s="302"/>
      <c r="Q156" s="301"/>
      <c r="R156" s="297"/>
      <c r="S156" s="297"/>
      <c r="T156" s="299"/>
      <c r="U156" s="300"/>
      <c r="V156" s="301"/>
      <c r="W156" s="297"/>
      <c r="X156" s="297"/>
      <c r="Y156" s="299"/>
      <c r="Z156" s="300"/>
      <c r="AA156" s="301"/>
      <c r="AB156" s="297"/>
      <c r="AC156" s="297"/>
      <c r="AD156" s="299"/>
      <c r="AE156" s="300"/>
      <c r="AF156" s="301"/>
      <c r="AG156" s="297"/>
      <c r="AH156" s="297"/>
      <c r="AI156" s="304"/>
      <c r="AJ156" s="300"/>
      <c r="AK156" s="301"/>
      <c r="AL156" s="297"/>
      <c r="AM156" s="297"/>
      <c r="AN156" s="297" t="s">
        <v>1734</v>
      </c>
      <c r="AO156" s="473"/>
      <c r="AP156" s="297"/>
      <c r="AQ156" s="301" t="s">
        <v>2123</v>
      </c>
      <c r="AR156" s="297" t="s">
        <v>66</v>
      </c>
      <c r="AS156" s="299">
        <v>38777</v>
      </c>
      <c r="AT156" s="299">
        <v>39794</v>
      </c>
      <c r="AU156" s="297" t="s">
        <v>2124</v>
      </c>
      <c r="AV156" s="297"/>
      <c r="AW156" s="297" t="s">
        <v>92</v>
      </c>
      <c r="AX156" s="297" t="s">
        <v>2125</v>
      </c>
      <c r="AY156" s="299">
        <v>41956</v>
      </c>
      <c r="AZ156" s="297" t="s">
        <v>67</v>
      </c>
      <c r="BA156" s="299" t="s">
        <v>67</v>
      </c>
      <c r="BB156" s="382">
        <v>41971</v>
      </c>
      <c r="BC156" s="297" t="s">
        <v>95</v>
      </c>
      <c r="BD156" s="297" t="s">
        <v>566</v>
      </c>
      <c r="BE156" s="297"/>
      <c r="BF156" s="301"/>
      <c r="BG156" s="301" t="s">
        <v>2126</v>
      </c>
      <c r="BH156" s="301" t="s">
        <v>2127</v>
      </c>
      <c r="BI156" s="301"/>
      <c r="BJ156" s="312">
        <v>110058865</v>
      </c>
      <c r="BK156" s="312">
        <v>110058865</v>
      </c>
      <c r="BL156" s="313">
        <v>121202018</v>
      </c>
      <c r="BM156" s="299">
        <v>43216</v>
      </c>
      <c r="BN156" s="300">
        <v>43191</v>
      </c>
      <c r="BO156" s="465" t="s">
        <v>923</v>
      </c>
      <c r="BP156" s="390"/>
      <c r="BQ156" s="297"/>
      <c r="BR156" s="297"/>
      <c r="BS156" s="301"/>
      <c r="BT156" s="301"/>
      <c r="BU156" s="301"/>
      <c r="BV156" s="301"/>
      <c r="BW156" s="316"/>
      <c r="BX156" s="304"/>
      <c r="BY156" s="299"/>
      <c r="BZ156" s="317"/>
    </row>
    <row r="157" spans="1:555" ht="108" customHeight="1">
      <c r="A157" s="296">
        <v>166</v>
      </c>
      <c r="B157" s="297" t="s">
        <v>2128</v>
      </c>
      <c r="C157" s="298">
        <v>71723337</v>
      </c>
      <c r="D157" s="354" t="s">
        <v>167</v>
      </c>
      <c r="E157" s="299">
        <v>42251</v>
      </c>
      <c r="F157" s="300">
        <v>42248</v>
      </c>
      <c r="G157" s="301" t="s">
        <v>2129</v>
      </c>
      <c r="H157" s="297" t="s">
        <v>5</v>
      </c>
      <c r="I157" s="297" t="s">
        <v>101</v>
      </c>
      <c r="J157" s="299">
        <v>42977</v>
      </c>
      <c r="K157" s="300">
        <v>42948</v>
      </c>
      <c r="L157" s="301" t="s">
        <v>2130</v>
      </c>
      <c r="M157" s="297" t="s">
        <v>5</v>
      </c>
      <c r="N157" s="297" t="s">
        <v>2131</v>
      </c>
      <c r="O157" s="299">
        <v>43147</v>
      </c>
      <c r="P157" s="302">
        <v>43132</v>
      </c>
      <c r="Q157" s="301" t="s">
        <v>2132</v>
      </c>
      <c r="R157" s="297" t="s">
        <v>5</v>
      </c>
      <c r="S157" s="297" t="s">
        <v>85</v>
      </c>
      <c r="T157" s="299">
        <v>43166</v>
      </c>
      <c r="U157" s="300">
        <v>43160</v>
      </c>
      <c r="V157" s="301" t="s">
        <v>2133</v>
      </c>
      <c r="W157" s="297" t="s">
        <v>208</v>
      </c>
      <c r="X157" s="297" t="s">
        <v>1114</v>
      </c>
      <c r="Y157" s="299">
        <v>43172</v>
      </c>
      <c r="Z157" s="300">
        <v>43160</v>
      </c>
      <c r="AA157" s="301" t="s">
        <v>2134</v>
      </c>
      <c r="AB157" s="297" t="s">
        <v>208</v>
      </c>
      <c r="AC157" s="297" t="s">
        <v>1114</v>
      </c>
      <c r="AD157" s="299"/>
      <c r="AE157" s="300"/>
      <c r="AF157" s="301"/>
      <c r="AG157" s="297"/>
      <c r="AH157" s="297"/>
      <c r="AI157" s="304"/>
      <c r="AJ157" s="300"/>
      <c r="AK157" s="301"/>
      <c r="AL157" s="297"/>
      <c r="AM157" s="297"/>
      <c r="AN157" s="297" t="s">
        <v>2135</v>
      </c>
      <c r="AO157" s="473"/>
      <c r="AP157" s="297"/>
      <c r="AQ157" s="301" t="s">
        <v>2136</v>
      </c>
      <c r="AR157" s="297" t="s">
        <v>66</v>
      </c>
      <c r="AS157" s="299">
        <v>38275</v>
      </c>
      <c r="AT157" s="299">
        <v>39994</v>
      </c>
      <c r="AU157" s="297" t="s">
        <v>8025</v>
      </c>
      <c r="AV157" s="297"/>
      <c r="AW157" s="297" t="s">
        <v>92</v>
      </c>
      <c r="AX157" s="297" t="s">
        <v>2137</v>
      </c>
      <c r="AY157" s="299">
        <v>41120</v>
      </c>
      <c r="AZ157" s="297" t="s">
        <v>1014</v>
      </c>
      <c r="BA157" s="299">
        <v>41725</v>
      </c>
      <c r="BB157" s="382">
        <v>41738</v>
      </c>
      <c r="BC157" s="297" t="s">
        <v>95</v>
      </c>
      <c r="BD157" s="297" t="s">
        <v>566</v>
      </c>
      <c r="BE157" s="297"/>
      <c r="BF157" s="301"/>
      <c r="BG157" s="301"/>
      <c r="BH157" s="301" t="s">
        <v>2138</v>
      </c>
      <c r="BI157" s="301"/>
      <c r="BJ157" s="312">
        <v>161455863</v>
      </c>
      <c r="BK157" s="312">
        <v>161455863</v>
      </c>
      <c r="BL157" s="313">
        <v>115497418</v>
      </c>
      <c r="BM157" s="299">
        <v>43214</v>
      </c>
      <c r="BN157" s="314">
        <v>43191</v>
      </c>
      <c r="BO157" s="434" t="s">
        <v>2139</v>
      </c>
      <c r="BP157" s="396"/>
      <c r="BQ157" s="336"/>
      <c r="BR157" s="331"/>
      <c r="BS157" s="301"/>
      <c r="BT157" s="301"/>
      <c r="BU157" s="301"/>
      <c r="BV157" s="301"/>
      <c r="BW157" s="316"/>
      <c r="BX157" s="304"/>
      <c r="BY157" s="299"/>
      <c r="BZ157" s="317"/>
    </row>
    <row r="158" spans="1:555" ht="69" customHeight="1">
      <c r="A158" s="296">
        <v>167</v>
      </c>
      <c r="B158" s="297" t="s">
        <v>2140</v>
      </c>
      <c r="C158" s="298">
        <v>5594190</v>
      </c>
      <c r="D158" s="354" t="s">
        <v>167</v>
      </c>
      <c r="E158" s="299">
        <v>42251</v>
      </c>
      <c r="F158" s="300">
        <v>42248</v>
      </c>
      <c r="G158" s="301" t="s">
        <v>2141</v>
      </c>
      <c r="H158" s="297" t="s">
        <v>5</v>
      </c>
      <c r="I158" s="297" t="s">
        <v>101</v>
      </c>
      <c r="J158" s="305">
        <v>43276</v>
      </c>
      <c r="K158" s="300">
        <v>43252</v>
      </c>
      <c r="L158" s="308" t="s">
        <v>1021</v>
      </c>
      <c r="M158" s="297" t="s">
        <v>5</v>
      </c>
      <c r="N158" s="303" t="s">
        <v>1022</v>
      </c>
      <c r="O158" s="299"/>
      <c r="P158" s="302"/>
      <c r="Q158" s="301"/>
      <c r="R158" s="297"/>
      <c r="S158" s="297"/>
      <c r="T158" s="299"/>
      <c r="U158" s="300"/>
      <c r="V158" s="301"/>
      <c r="W158" s="297"/>
      <c r="X158" s="297"/>
      <c r="Y158" s="299"/>
      <c r="Z158" s="300"/>
      <c r="AA158" s="301"/>
      <c r="AB158" s="297"/>
      <c r="AC158" s="297"/>
      <c r="AD158" s="299"/>
      <c r="AE158" s="300"/>
      <c r="AF158" s="301"/>
      <c r="AG158" s="297"/>
      <c r="AH158" s="297"/>
      <c r="AI158" s="304"/>
      <c r="AJ158" s="300"/>
      <c r="AK158" s="301"/>
      <c r="AL158" s="297"/>
      <c r="AM158" s="297"/>
      <c r="AN158" s="297" t="s">
        <v>2142</v>
      </c>
      <c r="AO158" s="473"/>
      <c r="AP158" s="297"/>
      <c r="AQ158" s="301" t="s">
        <v>2143</v>
      </c>
      <c r="AR158" s="297" t="s">
        <v>66</v>
      </c>
      <c r="AS158" s="299">
        <v>39264</v>
      </c>
      <c r="AT158" s="299">
        <v>40633</v>
      </c>
      <c r="AU158" s="297" t="s">
        <v>2144</v>
      </c>
      <c r="AV158" s="297"/>
      <c r="AW158" s="297" t="s">
        <v>92</v>
      </c>
      <c r="AX158" s="297" t="s">
        <v>2145</v>
      </c>
      <c r="AY158" s="299">
        <v>41592</v>
      </c>
      <c r="AZ158" s="297" t="s">
        <v>1014</v>
      </c>
      <c r="BA158" s="299">
        <v>41942</v>
      </c>
      <c r="BB158" s="382">
        <v>42054</v>
      </c>
      <c r="BC158" s="297" t="s">
        <v>95</v>
      </c>
      <c r="BD158" s="297" t="s">
        <v>566</v>
      </c>
      <c r="BE158" s="297"/>
      <c r="BF158" s="301"/>
      <c r="BG158" s="301" t="s">
        <v>2146</v>
      </c>
      <c r="BH158" s="301" t="s">
        <v>2147</v>
      </c>
      <c r="BI158" s="301"/>
      <c r="BJ158" s="312">
        <v>153505831</v>
      </c>
      <c r="BK158" s="312">
        <v>153505831</v>
      </c>
      <c r="BL158" s="313">
        <v>160758618</v>
      </c>
      <c r="BM158" s="299">
        <v>43248</v>
      </c>
      <c r="BN158" s="314">
        <v>43221</v>
      </c>
      <c r="BO158" s="460" t="s">
        <v>2148</v>
      </c>
      <c r="BP158" s="390"/>
      <c r="BQ158" s="297"/>
      <c r="BR158" s="303"/>
      <c r="BS158" s="301"/>
      <c r="BT158" s="301"/>
      <c r="BU158" s="301"/>
      <c r="BV158" s="301"/>
      <c r="BW158" s="316"/>
      <c r="BX158" s="304"/>
      <c r="BY158" s="299"/>
      <c r="BZ158" s="317"/>
    </row>
    <row r="159" spans="1:555" ht="81">
      <c r="A159" s="296">
        <v>168</v>
      </c>
      <c r="B159" s="297" t="s">
        <v>2149</v>
      </c>
      <c r="C159" s="298">
        <v>79633284</v>
      </c>
      <c r="D159" s="354" t="s">
        <v>167</v>
      </c>
      <c r="E159" s="299">
        <v>42251</v>
      </c>
      <c r="F159" s="300">
        <v>42248</v>
      </c>
      <c r="G159" s="301" t="s">
        <v>2150</v>
      </c>
      <c r="H159" s="297" t="s">
        <v>5</v>
      </c>
      <c r="I159" s="297" t="s">
        <v>101</v>
      </c>
      <c r="J159" s="299"/>
      <c r="K159" s="300"/>
      <c r="L159" s="301"/>
      <c r="M159" s="297"/>
      <c r="N159" s="297"/>
      <c r="O159" s="299"/>
      <c r="P159" s="302"/>
      <c r="Q159" s="301"/>
      <c r="R159" s="297"/>
      <c r="S159" s="297"/>
      <c r="T159" s="299"/>
      <c r="U159" s="300"/>
      <c r="V159" s="301"/>
      <c r="W159" s="297"/>
      <c r="X159" s="297"/>
      <c r="Y159" s="299"/>
      <c r="Z159" s="300"/>
      <c r="AA159" s="301"/>
      <c r="AB159" s="297"/>
      <c r="AC159" s="297"/>
      <c r="AD159" s="299"/>
      <c r="AE159" s="300"/>
      <c r="AF159" s="301"/>
      <c r="AG159" s="297"/>
      <c r="AH159" s="297"/>
      <c r="AI159" s="304"/>
      <c r="AJ159" s="300"/>
      <c r="AK159" s="301"/>
      <c r="AL159" s="297"/>
      <c r="AM159" s="297"/>
      <c r="AN159" s="297" t="s">
        <v>2151</v>
      </c>
      <c r="AO159" s="473"/>
      <c r="AP159" s="297"/>
      <c r="AQ159" s="301" t="s">
        <v>2152</v>
      </c>
      <c r="AR159" s="297" t="s">
        <v>66</v>
      </c>
      <c r="AS159" s="299">
        <v>37987</v>
      </c>
      <c r="AT159" s="299">
        <v>39869</v>
      </c>
      <c r="AU159" s="297" t="s">
        <v>2153</v>
      </c>
      <c r="AV159" s="297"/>
      <c r="AW159" s="297" t="s">
        <v>92</v>
      </c>
      <c r="AX159" s="297" t="s">
        <v>187</v>
      </c>
      <c r="AY159" s="299">
        <v>41394</v>
      </c>
      <c r="AZ159" s="297" t="s">
        <v>2154</v>
      </c>
      <c r="BA159" s="299">
        <v>41873</v>
      </c>
      <c r="BB159" s="382">
        <v>41899</v>
      </c>
      <c r="BC159" s="297" t="s">
        <v>95</v>
      </c>
      <c r="BD159" s="297" t="s">
        <v>1792</v>
      </c>
      <c r="BE159" s="297"/>
      <c r="BF159" s="301"/>
      <c r="BG159" s="301"/>
      <c r="BH159" s="301" t="s">
        <v>2155</v>
      </c>
      <c r="BI159" s="301"/>
      <c r="BJ159" s="312">
        <v>211319390</v>
      </c>
      <c r="BK159" s="312">
        <v>211319390</v>
      </c>
      <c r="BL159" s="313" t="s">
        <v>2156</v>
      </c>
      <c r="BM159" s="299">
        <v>43118</v>
      </c>
      <c r="BN159" s="300">
        <v>43101</v>
      </c>
      <c r="BO159" s="434" t="s">
        <v>2157</v>
      </c>
      <c r="BP159" s="397"/>
      <c r="BQ159" s="398"/>
      <c r="BR159" s="320"/>
      <c r="BS159" s="301"/>
      <c r="BT159" s="308"/>
      <c r="BU159" s="308"/>
      <c r="BV159" s="308"/>
      <c r="BW159" s="309"/>
      <c r="BX159" s="310"/>
      <c r="BY159" s="305"/>
      <c r="BZ159" s="311"/>
    </row>
    <row r="160" spans="1:555" ht="81">
      <c r="A160" s="296">
        <v>169</v>
      </c>
      <c r="B160" s="297" t="s">
        <v>2158</v>
      </c>
      <c r="C160" s="298">
        <v>1023860370</v>
      </c>
      <c r="D160" s="354" t="s">
        <v>167</v>
      </c>
      <c r="E160" s="299">
        <v>42251</v>
      </c>
      <c r="F160" s="300">
        <v>42248</v>
      </c>
      <c r="G160" s="301" t="s">
        <v>2159</v>
      </c>
      <c r="H160" s="297" t="s">
        <v>5</v>
      </c>
      <c r="I160" s="297" t="s">
        <v>101</v>
      </c>
      <c r="J160" s="299">
        <v>42207</v>
      </c>
      <c r="K160" s="300">
        <v>42186</v>
      </c>
      <c r="L160" s="301" t="s">
        <v>78</v>
      </c>
      <c r="M160" s="297" t="s">
        <v>5</v>
      </c>
      <c r="N160" s="297" t="s">
        <v>336</v>
      </c>
      <c r="O160" s="299">
        <v>43369</v>
      </c>
      <c r="P160" s="302">
        <v>43369</v>
      </c>
      <c r="Q160" s="301" t="s">
        <v>2160</v>
      </c>
      <c r="R160" s="297" t="s">
        <v>208</v>
      </c>
      <c r="S160" s="304" t="s">
        <v>2161</v>
      </c>
      <c r="T160" s="299"/>
      <c r="U160" s="300"/>
      <c r="V160" s="301"/>
      <c r="W160" s="297"/>
      <c r="X160" s="297"/>
      <c r="Y160" s="299"/>
      <c r="Z160" s="300"/>
      <c r="AA160" s="301"/>
      <c r="AB160" s="297"/>
      <c r="AC160" s="297"/>
      <c r="AD160" s="299"/>
      <c r="AE160" s="300"/>
      <c r="AF160" s="301"/>
      <c r="AG160" s="297"/>
      <c r="AH160" s="297"/>
      <c r="AI160" s="304"/>
      <c r="AJ160" s="300"/>
      <c r="AK160" s="301"/>
      <c r="AL160" s="297"/>
      <c r="AM160" s="297"/>
      <c r="AN160" s="297" t="s">
        <v>1734</v>
      </c>
      <c r="AO160" s="479">
        <v>42251</v>
      </c>
      <c r="AP160" s="297"/>
      <c r="AQ160" s="301" t="s">
        <v>2162</v>
      </c>
      <c r="AR160" s="297" t="s">
        <v>161</v>
      </c>
      <c r="AS160" s="299">
        <v>39210</v>
      </c>
      <c r="AT160" s="299">
        <v>40862</v>
      </c>
      <c r="AU160" s="297" t="s">
        <v>2163</v>
      </c>
      <c r="AV160" s="297"/>
      <c r="AW160" s="297" t="s">
        <v>69</v>
      </c>
      <c r="AX160" s="297" t="s">
        <v>627</v>
      </c>
      <c r="AY160" s="299">
        <v>41578</v>
      </c>
      <c r="AZ160" s="297" t="s">
        <v>576</v>
      </c>
      <c r="BA160" s="299">
        <v>41900</v>
      </c>
      <c r="BB160" s="382">
        <v>42073</v>
      </c>
      <c r="BC160" s="297" t="s">
        <v>95</v>
      </c>
      <c r="BD160" s="297" t="s">
        <v>566</v>
      </c>
      <c r="BE160" s="297"/>
      <c r="BF160" s="301" t="s">
        <v>8275</v>
      </c>
      <c r="BG160" s="301" t="s">
        <v>2164</v>
      </c>
      <c r="BH160" s="301" t="s">
        <v>8452</v>
      </c>
      <c r="BI160" s="301"/>
      <c r="BJ160" s="312">
        <f>+[34]MATRIZ!$J$72</f>
        <v>156844948.55776522</v>
      </c>
      <c r="BK160" s="312">
        <v>156844949</v>
      </c>
      <c r="BL160" s="313">
        <v>98530119</v>
      </c>
      <c r="BM160" s="299">
        <v>43581</v>
      </c>
      <c r="BN160" s="314">
        <v>43581</v>
      </c>
      <c r="BO160" s="531" t="s">
        <v>8575</v>
      </c>
      <c r="BP160" s="390"/>
      <c r="BQ160" s="297"/>
      <c r="BR160" s="303"/>
      <c r="BS160" s="301"/>
      <c r="BT160" s="308"/>
      <c r="BU160" s="308"/>
      <c r="BV160" s="308"/>
      <c r="BW160" s="309"/>
      <c r="BX160" s="310"/>
      <c r="BY160" s="305"/>
      <c r="BZ160" s="311"/>
    </row>
    <row r="161" spans="1:555" ht="67.5">
      <c r="A161" s="296">
        <v>171</v>
      </c>
      <c r="B161" s="297" t="s">
        <v>2172</v>
      </c>
      <c r="C161" s="298">
        <v>6246903</v>
      </c>
      <c r="D161" s="354" t="s">
        <v>2173</v>
      </c>
      <c r="E161" s="299">
        <v>42255</v>
      </c>
      <c r="F161" s="300">
        <v>42248</v>
      </c>
      <c r="G161" s="301" t="s">
        <v>2174</v>
      </c>
      <c r="H161" s="297" t="s">
        <v>1493</v>
      </c>
      <c r="I161" s="297" t="s">
        <v>183</v>
      </c>
      <c r="J161" s="299">
        <v>42998</v>
      </c>
      <c r="K161" s="300">
        <v>42979</v>
      </c>
      <c r="L161" s="301" t="s">
        <v>2175</v>
      </c>
      <c r="M161" s="297" t="s">
        <v>5</v>
      </c>
      <c r="N161" s="297" t="s">
        <v>79</v>
      </c>
      <c r="O161" s="299">
        <v>43615</v>
      </c>
      <c r="P161" s="300">
        <v>43615</v>
      </c>
      <c r="Q161" s="301" t="s">
        <v>8914</v>
      </c>
      <c r="R161" s="297" t="s">
        <v>208</v>
      </c>
      <c r="S161" s="297" t="s">
        <v>1114</v>
      </c>
      <c r="T161" s="299">
        <v>43955</v>
      </c>
      <c r="U161" s="300">
        <v>43955</v>
      </c>
      <c r="V161" s="301" t="s">
        <v>9502</v>
      </c>
      <c r="W161" s="297" t="s">
        <v>208</v>
      </c>
      <c r="X161" s="297" t="s">
        <v>9207</v>
      </c>
      <c r="Y161" s="299"/>
      <c r="Z161" s="300"/>
      <c r="AA161" s="301"/>
      <c r="AB161" s="297"/>
      <c r="AC161" s="297"/>
      <c r="AD161" s="299"/>
      <c r="AE161" s="300"/>
      <c r="AF161" s="301"/>
      <c r="AG161" s="297"/>
      <c r="AH161" s="297"/>
      <c r="AI161" s="304"/>
      <c r="AJ161" s="300"/>
      <c r="AK161" s="301"/>
      <c r="AL161" s="297"/>
      <c r="AM161" s="297"/>
      <c r="AN161" s="297" t="s">
        <v>908</v>
      </c>
      <c r="AO161" s="554"/>
      <c r="AP161" s="297"/>
      <c r="AQ161" s="301" t="s">
        <v>2176</v>
      </c>
      <c r="AR161" s="297" t="s">
        <v>161</v>
      </c>
      <c r="AS161" s="299">
        <v>34358</v>
      </c>
      <c r="AT161" s="299">
        <v>40908</v>
      </c>
      <c r="AU161" s="297" t="s">
        <v>2177</v>
      </c>
      <c r="AV161" s="297"/>
      <c r="AW161" s="297" t="s">
        <v>69</v>
      </c>
      <c r="AX161" s="297" t="s">
        <v>595</v>
      </c>
      <c r="AY161" s="299">
        <v>41895</v>
      </c>
      <c r="AZ161" s="297" t="s">
        <v>1896</v>
      </c>
      <c r="BA161" s="299">
        <v>42249</v>
      </c>
      <c r="BB161" s="678">
        <v>42255</v>
      </c>
      <c r="BC161" s="303" t="s">
        <v>912</v>
      </c>
      <c r="BD161" s="303" t="s">
        <v>566</v>
      </c>
      <c r="BE161" s="297"/>
      <c r="BF161" s="301"/>
      <c r="BG161" s="301"/>
      <c r="BH161" s="301" t="s">
        <v>9439</v>
      </c>
      <c r="BI161" s="301"/>
      <c r="BJ161" s="306">
        <f>+[35]MATRIZ!$J$54</f>
        <v>7498309.7937856857</v>
      </c>
      <c r="BK161" s="306">
        <v>7498310</v>
      </c>
      <c r="BL161" s="313">
        <v>73380520</v>
      </c>
      <c r="BM161" s="299">
        <v>43921</v>
      </c>
      <c r="BN161" s="314">
        <v>43921</v>
      </c>
      <c r="BO161" s="460"/>
      <c r="BP161" s="390" t="s">
        <v>9411</v>
      </c>
      <c r="BQ161" s="297" t="s">
        <v>9410</v>
      </c>
      <c r="BR161" s="303"/>
      <c r="BS161" s="301"/>
      <c r="BT161" s="308"/>
      <c r="BU161" s="308"/>
      <c r="BV161" s="308"/>
      <c r="BW161" s="309"/>
      <c r="BX161" s="310"/>
      <c r="BY161" s="305"/>
      <c r="BZ161" s="311"/>
      <c r="CA161" s="509"/>
      <c r="CB161" s="509"/>
      <c r="CC161" s="509"/>
      <c r="CD161" s="509"/>
      <c r="CE161" s="509"/>
      <c r="CF161" s="509"/>
      <c r="CG161" s="509"/>
      <c r="CH161" s="509"/>
      <c r="CI161" s="509"/>
      <c r="CJ161" s="509"/>
      <c r="CK161" s="509"/>
      <c r="CL161" s="509"/>
      <c r="CM161" s="509"/>
      <c r="CN161" s="509"/>
      <c r="CO161" s="509"/>
      <c r="CP161" s="509"/>
      <c r="CQ161" s="509"/>
      <c r="CR161" s="509"/>
      <c r="CS161" s="509"/>
      <c r="CT161" s="509"/>
      <c r="CU161" s="509"/>
      <c r="CV161" s="509"/>
      <c r="CW161" s="509"/>
      <c r="CX161" s="509"/>
      <c r="CY161" s="509"/>
      <c r="CZ161" s="509"/>
      <c r="DA161" s="509"/>
      <c r="DB161" s="509"/>
      <c r="DC161" s="509"/>
      <c r="DD161" s="509"/>
      <c r="DE161" s="509"/>
      <c r="DF161" s="509"/>
      <c r="DG161" s="509"/>
      <c r="DH161" s="509"/>
      <c r="DI161" s="509"/>
      <c r="DJ161" s="509"/>
      <c r="DK161" s="509"/>
      <c r="DL161" s="509"/>
      <c r="DM161" s="509"/>
      <c r="DN161" s="509"/>
      <c r="DO161" s="509"/>
      <c r="DP161" s="509"/>
      <c r="DQ161" s="509"/>
      <c r="DR161" s="509"/>
      <c r="DS161" s="509"/>
      <c r="DT161" s="509"/>
      <c r="DU161" s="509"/>
      <c r="DV161" s="509"/>
      <c r="DW161" s="509"/>
      <c r="DX161" s="509"/>
      <c r="DY161" s="509"/>
      <c r="DZ161" s="509"/>
      <c r="EA161" s="509"/>
      <c r="EB161" s="509"/>
      <c r="EC161" s="509"/>
      <c r="ED161" s="509"/>
      <c r="EE161" s="509"/>
      <c r="EF161" s="509"/>
      <c r="EG161" s="509"/>
      <c r="EH161" s="509"/>
      <c r="EI161" s="509"/>
      <c r="EJ161" s="509"/>
      <c r="EK161" s="509"/>
      <c r="EL161" s="509"/>
      <c r="EM161" s="509"/>
      <c r="EN161" s="509"/>
      <c r="EO161" s="509"/>
      <c r="EP161" s="509"/>
      <c r="EQ161" s="509"/>
      <c r="ER161" s="509"/>
      <c r="ES161" s="509"/>
      <c r="ET161" s="509"/>
      <c r="EU161" s="509"/>
      <c r="EV161" s="509"/>
      <c r="EW161" s="509"/>
      <c r="EX161" s="509"/>
      <c r="EY161" s="509"/>
      <c r="EZ161" s="509"/>
      <c r="FA161" s="509"/>
      <c r="FB161" s="509"/>
      <c r="FC161" s="509"/>
      <c r="FD161" s="509"/>
      <c r="FE161" s="509"/>
      <c r="FF161" s="509"/>
      <c r="FG161" s="509"/>
      <c r="FH161" s="509"/>
      <c r="FI161" s="509"/>
      <c r="FJ161" s="509"/>
      <c r="FK161" s="509"/>
      <c r="FL161" s="509"/>
      <c r="FM161" s="509"/>
      <c r="FN161" s="509"/>
      <c r="FO161" s="509"/>
      <c r="FP161" s="509"/>
      <c r="FQ161" s="509"/>
      <c r="FR161" s="509"/>
      <c r="FS161" s="509"/>
      <c r="FT161" s="509"/>
      <c r="FU161" s="509"/>
      <c r="FV161" s="509"/>
      <c r="FW161" s="509"/>
      <c r="FX161" s="509"/>
      <c r="FY161" s="509"/>
      <c r="FZ161" s="509"/>
      <c r="GA161" s="509"/>
      <c r="GB161" s="509"/>
      <c r="GC161" s="509"/>
      <c r="GD161" s="509"/>
      <c r="GE161" s="509"/>
      <c r="GF161" s="509"/>
      <c r="GG161" s="509"/>
      <c r="GH161" s="509"/>
      <c r="GI161" s="509"/>
      <c r="GJ161" s="509"/>
      <c r="GK161" s="509"/>
      <c r="GL161" s="509"/>
      <c r="GM161" s="509"/>
      <c r="GN161" s="509"/>
      <c r="GO161" s="509"/>
      <c r="GP161" s="509"/>
      <c r="GQ161" s="509"/>
      <c r="GR161" s="509"/>
      <c r="GS161" s="509"/>
      <c r="GT161" s="509"/>
      <c r="GU161" s="509"/>
      <c r="GV161" s="509"/>
      <c r="GW161" s="509"/>
      <c r="GX161" s="509"/>
      <c r="GY161" s="509"/>
      <c r="GZ161" s="509"/>
      <c r="HA161" s="509"/>
      <c r="HB161" s="509"/>
      <c r="HC161" s="509"/>
      <c r="HD161" s="509"/>
      <c r="HE161" s="509"/>
      <c r="HF161" s="509"/>
      <c r="HG161" s="509"/>
      <c r="HH161" s="509"/>
      <c r="HI161" s="509"/>
      <c r="HJ161" s="509"/>
      <c r="HK161" s="509"/>
      <c r="HL161" s="509"/>
      <c r="HM161" s="509"/>
      <c r="HN161" s="509"/>
      <c r="HO161" s="509"/>
      <c r="HP161" s="509"/>
      <c r="HQ161" s="509"/>
      <c r="HR161" s="509"/>
      <c r="HS161" s="509"/>
      <c r="HT161" s="509"/>
      <c r="HU161" s="509"/>
      <c r="HV161" s="509"/>
      <c r="HW161" s="509"/>
      <c r="HX161" s="509"/>
      <c r="HY161" s="509"/>
      <c r="HZ161" s="509"/>
      <c r="IA161" s="509"/>
      <c r="IB161" s="509"/>
      <c r="IC161" s="509"/>
      <c r="ID161" s="509"/>
      <c r="IE161" s="509"/>
      <c r="IF161" s="509"/>
      <c r="IG161" s="509"/>
      <c r="IH161" s="509"/>
      <c r="II161" s="509"/>
      <c r="IJ161" s="509"/>
      <c r="IK161" s="509"/>
      <c r="IL161" s="509"/>
      <c r="IM161" s="509"/>
      <c r="IN161" s="509"/>
      <c r="IO161" s="509"/>
      <c r="IP161" s="509"/>
      <c r="IQ161" s="509"/>
      <c r="IR161" s="509"/>
      <c r="IS161" s="509"/>
      <c r="IT161" s="509"/>
      <c r="IU161" s="509"/>
      <c r="IV161" s="509"/>
      <c r="IW161" s="509"/>
      <c r="IX161" s="509"/>
      <c r="IY161" s="509"/>
      <c r="IZ161" s="509"/>
      <c r="JA161" s="509"/>
      <c r="JB161" s="509"/>
      <c r="JC161" s="509"/>
      <c r="JD161" s="509"/>
      <c r="JE161" s="509"/>
      <c r="JF161" s="509"/>
      <c r="JG161" s="509"/>
      <c r="JH161" s="509"/>
      <c r="JI161" s="509"/>
      <c r="JJ161" s="509"/>
      <c r="JK161" s="509"/>
      <c r="JL161" s="509"/>
      <c r="JM161" s="509"/>
      <c r="JN161" s="509"/>
      <c r="JO161" s="509"/>
      <c r="JP161" s="509"/>
      <c r="JQ161" s="509"/>
      <c r="JR161" s="509"/>
      <c r="JS161" s="509"/>
      <c r="JT161" s="509"/>
      <c r="JU161" s="509"/>
      <c r="JV161" s="509"/>
      <c r="JW161" s="509"/>
      <c r="JX161" s="509"/>
      <c r="JY161" s="509"/>
      <c r="JZ161" s="509"/>
      <c r="KA161" s="509"/>
      <c r="KB161" s="509"/>
      <c r="KC161" s="509"/>
      <c r="KD161" s="509"/>
      <c r="KE161" s="509"/>
      <c r="KF161" s="509"/>
      <c r="KG161" s="509"/>
      <c r="KH161" s="509"/>
      <c r="KI161" s="509"/>
      <c r="KJ161" s="509"/>
      <c r="KK161" s="509"/>
      <c r="KL161" s="509"/>
      <c r="KM161" s="509"/>
      <c r="KN161" s="509"/>
      <c r="KO161" s="509"/>
      <c r="KP161" s="509"/>
      <c r="KQ161" s="509"/>
      <c r="KR161" s="509"/>
      <c r="KS161" s="509"/>
      <c r="KT161" s="509"/>
      <c r="KU161" s="509"/>
      <c r="KV161" s="509"/>
      <c r="KW161" s="509"/>
      <c r="KX161" s="509"/>
      <c r="KY161" s="509"/>
      <c r="KZ161" s="509"/>
      <c r="LA161" s="509"/>
      <c r="LB161" s="509"/>
      <c r="LC161" s="509"/>
      <c r="LD161" s="509"/>
      <c r="LE161" s="509"/>
      <c r="LF161" s="509"/>
      <c r="LG161" s="509"/>
      <c r="LH161" s="509"/>
      <c r="LI161" s="509"/>
      <c r="LJ161" s="509"/>
      <c r="LK161" s="509"/>
      <c r="LL161" s="509"/>
      <c r="LM161" s="509"/>
      <c r="LN161" s="509"/>
      <c r="LO161" s="509"/>
      <c r="LP161" s="509"/>
      <c r="LQ161" s="509"/>
      <c r="LR161" s="509"/>
      <c r="LS161" s="509"/>
      <c r="LT161" s="509"/>
      <c r="LU161" s="509"/>
      <c r="LV161" s="509"/>
      <c r="LW161" s="509"/>
      <c r="LX161" s="509"/>
      <c r="LY161" s="509"/>
      <c r="LZ161" s="509"/>
      <c r="MA161" s="509"/>
      <c r="MB161" s="509"/>
      <c r="MC161" s="509"/>
      <c r="MD161" s="509"/>
      <c r="ME161" s="509"/>
      <c r="MF161" s="509"/>
      <c r="MG161" s="509"/>
      <c r="MH161" s="509"/>
      <c r="MI161" s="509"/>
      <c r="MJ161" s="509"/>
      <c r="MK161" s="509"/>
      <c r="ML161" s="509"/>
      <c r="MM161" s="509"/>
      <c r="MN161" s="509"/>
      <c r="MO161" s="509"/>
      <c r="MP161" s="509"/>
      <c r="MQ161" s="509"/>
      <c r="MR161" s="509"/>
      <c r="MS161" s="509"/>
      <c r="MT161" s="509"/>
      <c r="MU161" s="509"/>
      <c r="MV161" s="509"/>
      <c r="MW161" s="509"/>
      <c r="MX161" s="509"/>
      <c r="MY161" s="509"/>
      <c r="MZ161" s="509"/>
      <c r="NA161" s="509"/>
      <c r="NB161" s="509"/>
      <c r="NC161" s="509"/>
      <c r="ND161" s="509"/>
      <c r="NE161" s="509"/>
      <c r="NF161" s="509"/>
      <c r="NG161" s="509"/>
      <c r="NH161" s="509"/>
      <c r="NI161" s="509"/>
      <c r="NJ161" s="509"/>
      <c r="NK161" s="509"/>
      <c r="NL161" s="509"/>
      <c r="NM161" s="509"/>
      <c r="NN161" s="509"/>
      <c r="NO161" s="509"/>
      <c r="NP161" s="509"/>
      <c r="NQ161" s="509"/>
      <c r="NR161" s="509"/>
      <c r="NS161" s="509"/>
      <c r="NT161" s="509"/>
      <c r="NU161" s="509"/>
      <c r="NV161" s="509"/>
      <c r="NW161" s="509"/>
      <c r="NX161" s="509"/>
      <c r="NY161" s="509"/>
      <c r="NZ161" s="509"/>
      <c r="OA161" s="509"/>
      <c r="OB161" s="509"/>
      <c r="OC161" s="509"/>
      <c r="OD161" s="509"/>
      <c r="OE161" s="509"/>
      <c r="OF161" s="509"/>
      <c r="OG161" s="509"/>
      <c r="OH161" s="509"/>
      <c r="OI161" s="509"/>
      <c r="OJ161" s="509"/>
      <c r="OK161" s="509"/>
      <c r="OL161" s="509"/>
      <c r="OM161" s="509"/>
      <c r="ON161" s="509"/>
      <c r="OO161" s="509"/>
      <c r="OP161" s="509"/>
      <c r="OQ161" s="509"/>
      <c r="OR161" s="509"/>
      <c r="OS161" s="509"/>
      <c r="OT161" s="509"/>
      <c r="OU161" s="509"/>
      <c r="OV161" s="509"/>
      <c r="OW161" s="509"/>
      <c r="OX161" s="509"/>
      <c r="OY161" s="509"/>
      <c r="OZ161" s="509"/>
      <c r="PA161" s="509"/>
      <c r="PB161" s="509"/>
      <c r="PC161" s="509"/>
      <c r="PD161" s="509"/>
      <c r="PE161" s="509"/>
      <c r="PF161" s="509"/>
      <c r="PG161" s="509"/>
      <c r="PH161" s="509"/>
      <c r="PI161" s="509"/>
      <c r="PJ161" s="509"/>
      <c r="PK161" s="509"/>
      <c r="PL161" s="509"/>
      <c r="PM161" s="509"/>
      <c r="PN161" s="509"/>
      <c r="PO161" s="509"/>
      <c r="PP161" s="509"/>
      <c r="PQ161" s="509"/>
      <c r="PR161" s="509"/>
      <c r="PS161" s="509"/>
      <c r="PT161" s="509"/>
      <c r="PU161" s="509"/>
      <c r="PV161" s="509"/>
      <c r="PW161" s="509"/>
      <c r="PX161" s="509"/>
      <c r="PY161" s="509"/>
      <c r="PZ161" s="509"/>
      <c r="QA161" s="509"/>
      <c r="QB161" s="509"/>
      <c r="QC161" s="509"/>
      <c r="QD161" s="509"/>
      <c r="QE161" s="509"/>
      <c r="QF161" s="509"/>
      <c r="QG161" s="509"/>
      <c r="QH161" s="509"/>
      <c r="QI161" s="509"/>
      <c r="QJ161" s="509"/>
      <c r="QK161" s="509"/>
      <c r="QL161" s="509"/>
      <c r="QM161" s="509"/>
      <c r="QN161" s="509"/>
      <c r="QO161" s="509"/>
      <c r="QP161" s="509"/>
      <c r="QQ161" s="509"/>
      <c r="QR161" s="509"/>
      <c r="QS161" s="509"/>
      <c r="QT161" s="509"/>
      <c r="QU161" s="509"/>
      <c r="QV161" s="509"/>
      <c r="QW161" s="509"/>
      <c r="QX161" s="509"/>
      <c r="QY161" s="509"/>
      <c r="QZ161" s="509"/>
      <c r="RA161" s="509"/>
      <c r="RB161" s="509"/>
      <c r="RC161" s="509"/>
      <c r="RD161" s="509"/>
      <c r="RE161" s="509"/>
      <c r="RF161" s="509"/>
      <c r="RG161" s="509"/>
      <c r="RH161" s="509"/>
      <c r="RI161" s="509"/>
      <c r="RJ161" s="509"/>
      <c r="RK161" s="509"/>
      <c r="RL161" s="509"/>
      <c r="RM161" s="509"/>
      <c r="RN161" s="509"/>
      <c r="RO161" s="509"/>
      <c r="RP161" s="509"/>
      <c r="RQ161" s="509"/>
      <c r="RR161" s="509"/>
      <c r="RS161" s="509"/>
      <c r="RT161" s="509"/>
      <c r="RU161" s="509"/>
      <c r="RV161" s="509"/>
      <c r="RW161" s="509"/>
      <c r="RX161" s="509"/>
      <c r="RY161" s="509"/>
      <c r="RZ161" s="509"/>
      <c r="SA161" s="509"/>
      <c r="SB161" s="509"/>
      <c r="SC161" s="509"/>
      <c r="SD161" s="509"/>
      <c r="SE161" s="509"/>
      <c r="SF161" s="509"/>
      <c r="SG161" s="509"/>
      <c r="SH161" s="509"/>
      <c r="SI161" s="509"/>
      <c r="SJ161" s="509"/>
      <c r="SK161" s="509"/>
      <c r="SL161" s="509"/>
      <c r="SM161" s="509"/>
      <c r="SN161" s="509"/>
      <c r="SO161" s="509"/>
      <c r="SP161" s="509"/>
      <c r="SQ161" s="509"/>
      <c r="SR161" s="509"/>
      <c r="SS161" s="509"/>
      <c r="ST161" s="509"/>
      <c r="SU161" s="509"/>
      <c r="SV161" s="509"/>
      <c r="SW161" s="509"/>
      <c r="SX161" s="509"/>
      <c r="SY161" s="509"/>
      <c r="SZ161" s="509"/>
      <c r="TA161" s="509"/>
      <c r="TB161" s="509"/>
      <c r="TC161" s="509"/>
      <c r="TD161" s="509"/>
      <c r="TE161" s="509"/>
      <c r="TF161" s="509"/>
      <c r="TG161" s="509"/>
      <c r="TH161" s="509"/>
      <c r="TI161" s="509"/>
      <c r="TJ161" s="509"/>
      <c r="TK161" s="509"/>
      <c r="TL161" s="509"/>
      <c r="TM161" s="509"/>
      <c r="TN161" s="509"/>
      <c r="TO161" s="509"/>
      <c r="TP161" s="509"/>
      <c r="TQ161" s="509"/>
      <c r="TR161" s="509"/>
      <c r="TS161" s="509"/>
      <c r="TT161" s="509"/>
      <c r="TU161" s="509"/>
      <c r="TV161" s="509"/>
      <c r="TW161" s="509"/>
      <c r="TX161" s="509"/>
      <c r="TY161" s="509"/>
      <c r="TZ161" s="509"/>
      <c r="UA161" s="509"/>
      <c r="UB161" s="509"/>
      <c r="UC161" s="509"/>
      <c r="UD161" s="509"/>
      <c r="UE161" s="509"/>
      <c r="UF161" s="509"/>
      <c r="UG161" s="509"/>
      <c r="UH161" s="509"/>
      <c r="UI161" s="509"/>
    </row>
    <row r="162" spans="1:555" ht="78" customHeight="1">
      <c r="A162" s="296">
        <v>172</v>
      </c>
      <c r="B162" s="297" t="s">
        <v>2178</v>
      </c>
      <c r="C162" s="298">
        <v>71375199</v>
      </c>
      <c r="D162" s="354" t="s">
        <v>333</v>
      </c>
      <c r="E162" s="299">
        <v>42255</v>
      </c>
      <c r="F162" s="300">
        <v>42248</v>
      </c>
      <c r="G162" s="301" t="s">
        <v>2179</v>
      </c>
      <c r="H162" s="297" t="s">
        <v>625</v>
      </c>
      <c r="I162" s="297" t="s">
        <v>183</v>
      </c>
      <c r="J162" s="299">
        <v>42339</v>
      </c>
      <c r="K162" s="300">
        <v>42339</v>
      </c>
      <c r="L162" s="301" t="s">
        <v>2180</v>
      </c>
      <c r="M162" s="297" t="s">
        <v>625</v>
      </c>
      <c r="N162" s="297" t="s">
        <v>79</v>
      </c>
      <c r="O162" s="299">
        <v>42515</v>
      </c>
      <c r="P162" s="302">
        <v>42491</v>
      </c>
      <c r="Q162" s="301" t="s">
        <v>2181</v>
      </c>
      <c r="R162" s="297" t="s">
        <v>198</v>
      </c>
      <c r="S162" s="297" t="s">
        <v>336</v>
      </c>
      <c r="T162" s="299"/>
      <c r="U162" s="300"/>
      <c r="V162" s="301"/>
      <c r="W162" s="297"/>
      <c r="X162" s="297"/>
      <c r="Y162" s="299"/>
      <c r="Z162" s="300"/>
      <c r="AA162" s="301"/>
      <c r="AB162" s="297"/>
      <c r="AC162" s="297"/>
      <c r="AD162" s="299"/>
      <c r="AE162" s="300"/>
      <c r="AF162" s="301"/>
      <c r="AG162" s="297"/>
      <c r="AH162" s="297"/>
      <c r="AI162" s="304"/>
      <c r="AJ162" s="300"/>
      <c r="AK162" s="301"/>
      <c r="AL162" s="297"/>
      <c r="AM162" s="297"/>
      <c r="AN162" s="297" t="s">
        <v>2182</v>
      </c>
      <c r="AO162" s="540">
        <v>42515</v>
      </c>
      <c r="AP162" s="297"/>
      <c r="AQ162" s="301" t="s">
        <v>2183</v>
      </c>
      <c r="AR162" s="297" t="s">
        <v>161</v>
      </c>
      <c r="AS162" s="299">
        <v>38777</v>
      </c>
      <c r="AT162" s="299">
        <v>39051</v>
      </c>
      <c r="AU162" s="297" t="s">
        <v>2184</v>
      </c>
      <c r="AV162" s="297"/>
      <c r="AW162" s="297" t="s">
        <v>69</v>
      </c>
      <c r="AX162" s="297" t="s">
        <v>1895</v>
      </c>
      <c r="AY162" s="299">
        <v>42066</v>
      </c>
      <c r="AZ162" s="297" t="s">
        <v>1896</v>
      </c>
      <c r="BA162" s="299">
        <v>42249</v>
      </c>
      <c r="BB162" s="382">
        <v>42255</v>
      </c>
      <c r="BC162" s="297" t="s">
        <v>95</v>
      </c>
      <c r="BD162" s="297" t="s">
        <v>566</v>
      </c>
      <c r="BE162" s="297"/>
      <c r="BF162" s="301"/>
      <c r="BG162" s="301" t="s">
        <v>2185</v>
      </c>
      <c r="BH162" s="301" t="s">
        <v>9429</v>
      </c>
      <c r="BI162" s="301"/>
      <c r="BJ162" s="312">
        <f>+[36]MATRIZ!$J$50</f>
        <v>31945819.965546872</v>
      </c>
      <c r="BK162" s="312">
        <v>31945820</v>
      </c>
      <c r="BL162" s="313">
        <v>72100720</v>
      </c>
      <c r="BM162" s="299">
        <v>43921</v>
      </c>
      <c r="BN162" s="314">
        <v>43921</v>
      </c>
      <c r="BO162" s="460"/>
      <c r="BP162" s="390">
        <v>4543987</v>
      </c>
      <c r="BQ162" s="297" t="s">
        <v>9409</v>
      </c>
      <c r="BR162" s="303"/>
      <c r="BS162" s="308"/>
      <c r="BT162" s="308"/>
      <c r="BU162" s="308"/>
      <c r="BV162" s="308"/>
      <c r="BW162" s="309"/>
      <c r="BX162" s="310"/>
      <c r="BY162" s="305"/>
      <c r="BZ162" s="311"/>
      <c r="CA162" s="509"/>
      <c r="CB162" s="509"/>
      <c r="CC162" s="509"/>
      <c r="CD162" s="509"/>
      <c r="CE162" s="509"/>
      <c r="CF162" s="509"/>
      <c r="CG162" s="509"/>
      <c r="CH162" s="509"/>
      <c r="CI162" s="509"/>
      <c r="CJ162" s="509"/>
      <c r="CK162" s="509"/>
      <c r="CL162" s="509"/>
      <c r="CM162" s="509"/>
      <c r="CN162" s="509"/>
      <c r="CO162" s="509"/>
      <c r="CP162" s="509"/>
      <c r="CQ162" s="509"/>
      <c r="CR162" s="509"/>
      <c r="CS162" s="509"/>
      <c r="CT162" s="509"/>
      <c r="CU162" s="509"/>
      <c r="CV162" s="509"/>
      <c r="CW162" s="509"/>
      <c r="CX162" s="509"/>
      <c r="CY162" s="509"/>
      <c r="CZ162" s="509"/>
      <c r="DA162" s="509"/>
      <c r="DB162" s="509"/>
      <c r="DC162" s="509"/>
      <c r="DD162" s="509"/>
      <c r="DE162" s="509"/>
      <c r="DF162" s="509"/>
      <c r="DG162" s="509"/>
      <c r="DH162" s="509"/>
      <c r="DI162" s="509"/>
      <c r="DJ162" s="509"/>
      <c r="DK162" s="509"/>
      <c r="DL162" s="509"/>
      <c r="DM162" s="509"/>
      <c r="DN162" s="509"/>
      <c r="DO162" s="509"/>
      <c r="DP162" s="509"/>
      <c r="DQ162" s="509"/>
      <c r="DR162" s="509"/>
      <c r="DS162" s="509"/>
      <c r="DT162" s="509"/>
      <c r="DU162" s="509"/>
      <c r="DV162" s="509"/>
      <c r="DW162" s="509"/>
      <c r="DX162" s="509"/>
      <c r="DY162" s="509"/>
      <c r="DZ162" s="509"/>
      <c r="EA162" s="509"/>
      <c r="EB162" s="509"/>
      <c r="EC162" s="509"/>
      <c r="ED162" s="509"/>
      <c r="EE162" s="509"/>
      <c r="EF162" s="509"/>
      <c r="EG162" s="509"/>
      <c r="EH162" s="509"/>
      <c r="EI162" s="509"/>
      <c r="EJ162" s="509"/>
      <c r="EK162" s="509"/>
      <c r="EL162" s="509"/>
      <c r="EM162" s="509"/>
      <c r="EN162" s="509"/>
      <c r="EO162" s="509"/>
      <c r="EP162" s="509"/>
      <c r="EQ162" s="509"/>
      <c r="ER162" s="509"/>
      <c r="ES162" s="509"/>
      <c r="ET162" s="509"/>
      <c r="EU162" s="509"/>
      <c r="EV162" s="509"/>
      <c r="EW162" s="509"/>
      <c r="EX162" s="509"/>
      <c r="EY162" s="509"/>
      <c r="EZ162" s="509"/>
      <c r="FA162" s="509"/>
      <c r="FB162" s="509"/>
      <c r="FC162" s="509"/>
      <c r="FD162" s="509"/>
      <c r="FE162" s="509"/>
      <c r="FF162" s="509"/>
      <c r="FG162" s="509"/>
      <c r="FH162" s="509"/>
      <c r="FI162" s="509"/>
      <c r="FJ162" s="509"/>
      <c r="FK162" s="509"/>
      <c r="FL162" s="509"/>
      <c r="FM162" s="509"/>
      <c r="FN162" s="509"/>
      <c r="FO162" s="509"/>
      <c r="FP162" s="509"/>
      <c r="FQ162" s="509"/>
      <c r="FR162" s="509"/>
      <c r="FS162" s="509"/>
      <c r="FT162" s="509"/>
      <c r="FU162" s="509"/>
      <c r="FV162" s="509"/>
      <c r="FW162" s="509"/>
      <c r="FX162" s="509"/>
      <c r="FY162" s="509"/>
      <c r="FZ162" s="509"/>
      <c r="GA162" s="509"/>
      <c r="GB162" s="509"/>
      <c r="GC162" s="509"/>
      <c r="GD162" s="509"/>
      <c r="GE162" s="509"/>
      <c r="GF162" s="509"/>
      <c r="GG162" s="509"/>
      <c r="GH162" s="509"/>
      <c r="GI162" s="509"/>
      <c r="GJ162" s="509"/>
      <c r="GK162" s="509"/>
      <c r="GL162" s="509"/>
      <c r="GM162" s="509"/>
      <c r="GN162" s="509"/>
      <c r="GO162" s="509"/>
      <c r="GP162" s="509"/>
      <c r="GQ162" s="509"/>
      <c r="GR162" s="509"/>
      <c r="GS162" s="509"/>
      <c r="GT162" s="509"/>
      <c r="GU162" s="509"/>
      <c r="GV162" s="509"/>
      <c r="GW162" s="509"/>
      <c r="GX162" s="509"/>
      <c r="GY162" s="509"/>
      <c r="GZ162" s="509"/>
      <c r="HA162" s="509"/>
      <c r="HB162" s="509"/>
      <c r="HC162" s="509"/>
      <c r="HD162" s="509"/>
      <c r="HE162" s="509"/>
      <c r="HF162" s="509"/>
      <c r="HG162" s="509"/>
      <c r="HH162" s="509"/>
      <c r="HI162" s="509"/>
      <c r="HJ162" s="509"/>
      <c r="HK162" s="509"/>
      <c r="HL162" s="509"/>
      <c r="HM162" s="509"/>
      <c r="HN162" s="509"/>
      <c r="HO162" s="509"/>
      <c r="HP162" s="509"/>
      <c r="HQ162" s="509"/>
      <c r="HR162" s="509"/>
      <c r="HS162" s="509"/>
      <c r="HT162" s="509"/>
      <c r="HU162" s="509"/>
      <c r="HV162" s="509"/>
      <c r="HW162" s="509"/>
      <c r="HX162" s="509"/>
      <c r="HY162" s="509"/>
      <c r="HZ162" s="509"/>
      <c r="IA162" s="509"/>
      <c r="IB162" s="509"/>
      <c r="IC162" s="509"/>
      <c r="ID162" s="509"/>
      <c r="IE162" s="509"/>
      <c r="IF162" s="509"/>
      <c r="IG162" s="509"/>
      <c r="IH162" s="509"/>
      <c r="II162" s="509"/>
      <c r="IJ162" s="509"/>
      <c r="IK162" s="509"/>
      <c r="IL162" s="509"/>
      <c r="IM162" s="509"/>
      <c r="IN162" s="509"/>
      <c r="IO162" s="509"/>
      <c r="IP162" s="509"/>
      <c r="IQ162" s="509"/>
      <c r="IR162" s="509"/>
      <c r="IS162" s="509"/>
      <c r="IT162" s="509"/>
      <c r="IU162" s="509"/>
      <c r="IV162" s="509"/>
      <c r="IW162" s="509"/>
      <c r="IX162" s="509"/>
      <c r="IY162" s="509"/>
      <c r="IZ162" s="509"/>
      <c r="JA162" s="509"/>
      <c r="JB162" s="509"/>
      <c r="JC162" s="509"/>
      <c r="JD162" s="509"/>
      <c r="JE162" s="509"/>
      <c r="JF162" s="509"/>
      <c r="JG162" s="509"/>
      <c r="JH162" s="509"/>
      <c r="JI162" s="509"/>
      <c r="JJ162" s="509"/>
      <c r="JK162" s="509"/>
      <c r="JL162" s="509"/>
      <c r="JM162" s="509"/>
      <c r="JN162" s="509"/>
      <c r="JO162" s="509"/>
      <c r="JP162" s="509"/>
      <c r="JQ162" s="509"/>
      <c r="JR162" s="509"/>
      <c r="JS162" s="509"/>
      <c r="JT162" s="509"/>
      <c r="JU162" s="509"/>
      <c r="JV162" s="509"/>
      <c r="JW162" s="509"/>
      <c r="JX162" s="509"/>
      <c r="JY162" s="509"/>
      <c r="JZ162" s="509"/>
      <c r="KA162" s="509"/>
      <c r="KB162" s="509"/>
      <c r="KC162" s="509"/>
      <c r="KD162" s="509"/>
      <c r="KE162" s="509"/>
      <c r="KF162" s="509"/>
      <c r="KG162" s="509"/>
      <c r="KH162" s="509"/>
      <c r="KI162" s="509"/>
      <c r="KJ162" s="509"/>
      <c r="KK162" s="509"/>
      <c r="KL162" s="509"/>
      <c r="KM162" s="509"/>
      <c r="KN162" s="509"/>
      <c r="KO162" s="509"/>
      <c r="KP162" s="509"/>
      <c r="KQ162" s="509"/>
      <c r="KR162" s="509"/>
      <c r="KS162" s="509"/>
      <c r="KT162" s="509"/>
      <c r="KU162" s="509"/>
      <c r="KV162" s="509"/>
      <c r="KW162" s="509"/>
      <c r="KX162" s="509"/>
      <c r="KY162" s="509"/>
      <c r="KZ162" s="509"/>
      <c r="LA162" s="509"/>
      <c r="LB162" s="509"/>
      <c r="LC162" s="509"/>
      <c r="LD162" s="509"/>
      <c r="LE162" s="509"/>
      <c r="LF162" s="509"/>
      <c r="LG162" s="509"/>
      <c r="LH162" s="509"/>
      <c r="LI162" s="509"/>
      <c r="LJ162" s="509"/>
      <c r="LK162" s="509"/>
      <c r="LL162" s="509"/>
      <c r="LM162" s="509"/>
      <c r="LN162" s="509"/>
      <c r="LO162" s="509"/>
      <c r="LP162" s="509"/>
      <c r="LQ162" s="509"/>
      <c r="LR162" s="509"/>
      <c r="LS162" s="509"/>
      <c r="LT162" s="509"/>
      <c r="LU162" s="509"/>
      <c r="LV162" s="509"/>
      <c r="LW162" s="509"/>
      <c r="LX162" s="509"/>
      <c r="LY162" s="509"/>
      <c r="LZ162" s="509"/>
      <c r="MA162" s="509"/>
      <c r="MB162" s="509"/>
      <c r="MC162" s="509"/>
      <c r="MD162" s="509"/>
      <c r="ME162" s="509"/>
      <c r="MF162" s="509"/>
      <c r="MG162" s="509"/>
      <c r="MH162" s="509"/>
      <c r="MI162" s="509"/>
      <c r="MJ162" s="509"/>
      <c r="MK162" s="509"/>
      <c r="ML162" s="509"/>
      <c r="MM162" s="509"/>
      <c r="MN162" s="509"/>
      <c r="MO162" s="509"/>
      <c r="MP162" s="509"/>
      <c r="MQ162" s="509"/>
      <c r="MR162" s="509"/>
      <c r="MS162" s="509"/>
      <c r="MT162" s="509"/>
      <c r="MU162" s="509"/>
      <c r="MV162" s="509"/>
      <c r="MW162" s="509"/>
      <c r="MX162" s="509"/>
      <c r="MY162" s="509"/>
      <c r="MZ162" s="509"/>
      <c r="NA162" s="509"/>
      <c r="NB162" s="509"/>
      <c r="NC162" s="509"/>
      <c r="ND162" s="509"/>
      <c r="NE162" s="509"/>
      <c r="NF162" s="509"/>
      <c r="NG162" s="509"/>
      <c r="NH162" s="509"/>
      <c r="NI162" s="509"/>
      <c r="NJ162" s="509"/>
      <c r="NK162" s="509"/>
      <c r="NL162" s="509"/>
      <c r="NM162" s="509"/>
      <c r="NN162" s="509"/>
      <c r="NO162" s="509"/>
      <c r="NP162" s="509"/>
      <c r="NQ162" s="509"/>
      <c r="NR162" s="509"/>
      <c r="NS162" s="509"/>
      <c r="NT162" s="509"/>
      <c r="NU162" s="509"/>
      <c r="NV162" s="509"/>
      <c r="NW162" s="509"/>
      <c r="NX162" s="509"/>
      <c r="NY162" s="509"/>
      <c r="NZ162" s="509"/>
      <c r="OA162" s="509"/>
      <c r="OB162" s="509"/>
      <c r="OC162" s="509"/>
      <c r="OD162" s="509"/>
      <c r="OE162" s="509"/>
      <c r="OF162" s="509"/>
      <c r="OG162" s="509"/>
      <c r="OH162" s="509"/>
      <c r="OI162" s="509"/>
      <c r="OJ162" s="509"/>
      <c r="OK162" s="509"/>
      <c r="OL162" s="509"/>
      <c r="OM162" s="509"/>
      <c r="ON162" s="509"/>
      <c r="OO162" s="509"/>
      <c r="OP162" s="509"/>
      <c r="OQ162" s="509"/>
      <c r="OR162" s="509"/>
      <c r="OS162" s="509"/>
      <c r="OT162" s="509"/>
      <c r="OU162" s="509"/>
      <c r="OV162" s="509"/>
      <c r="OW162" s="509"/>
      <c r="OX162" s="509"/>
      <c r="OY162" s="509"/>
      <c r="OZ162" s="509"/>
      <c r="PA162" s="509"/>
      <c r="PB162" s="509"/>
      <c r="PC162" s="509"/>
      <c r="PD162" s="509"/>
      <c r="PE162" s="509"/>
      <c r="PF162" s="509"/>
      <c r="PG162" s="509"/>
      <c r="PH162" s="509"/>
      <c r="PI162" s="509"/>
      <c r="PJ162" s="509"/>
      <c r="PK162" s="509"/>
      <c r="PL162" s="509"/>
      <c r="PM162" s="509"/>
      <c r="PN162" s="509"/>
      <c r="PO162" s="509"/>
      <c r="PP162" s="509"/>
      <c r="PQ162" s="509"/>
      <c r="PR162" s="509"/>
      <c r="PS162" s="509"/>
      <c r="PT162" s="509"/>
      <c r="PU162" s="509"/>
      <c r="PV162" s="509"/>
      <c r="PW162" s="509"/>
      <c r="PX162" s="509"/>
      <c r="PY162" s="509"/>
      <c r="PZ162" s="509"/>
      <c r="QA162" s="509"/>
      <c r="QB162" s="509"/>
      <c r="QC162" s="509"/>
      <c r="QD162" s="509"/>
      <c r="QE162" s="509"/>
      <c r="QF162" s="509"/>
      <c r="QG162" s="509"/>
      <c r="QH162" s="509"/>
      <c r="QI162" s="509"/>
      <c r="QJ162" s="509"/>
      <c r="QK162" s="509"/>
      <c r="QL162" s="509"/>
      <c r="QM162" s="509"/>
      <c r="QN162" s="509"/>
      <c r="QO162" s="509"/>
      <c r="QP162" s="509"/>
      <c r="QQ162" s="509"/>
      <c r="QR162" s="509"/>
      <c r="QS162" s="509"/>
      <c r="QT162" s="509"/>
      <c r="QU162" s="509"/>
      <c r="QV162" s="509"/>
      <c r="QW162" s="509"/>
      <c r="QX162" s="509"/>
      <c r="QY162" s="509"/>
      <c r="QZ162" s="509"/>
      <c r="RA162" s="509"/>
      <c r="RB162" s="509"/>
      <c r="RC162" s="509"/>
      <c r="RD162" s="509"/>
      <c r="RE162" s="509"/>
      <c r="RF162" s="509"/>
      <c r="RG162" s="509"/>
      <c r="RH162" s="509"/>
      <c r="RI162" s="509"/>
      <c r="RJ162" s="509"/>
      <c r="RK162" s="509"/>
      <c r="RL162" s="509"/>
      <c r="RM162" s="509"/>
      <c r="RN162" s="509"/>
      <c r="RO162" s="509"/>
      <c r="RP162" s="509"/>
      <c r="RQ162" s="509"/>
      <c r="RR162" s="509"/>
      <c r="RS162" s="509"/>
      <c r="RT162" s="509"/>
      <c r="RU162" s="509"/>
      <c r="RV162" s="509"/>
      <c r="RW162" s="509"/>
      <c r="RX162" s="509"/>
      <c r="RY162" s="509"/>
      <c r="RZ162" s="509"/>
      <c r="SA162" s="509"/>
      <c r="SB162" s="509"/>
      <c r="SC162" s="509"/>
      <c r="SD162" s="509"/>
      <c r="SE162" s="509"/>
      <c r="SF162" s="509"/>
      <c r="SG162" s="509"/>
      <c r="SH162" s="509"/>
      <c r="SI162" s="509"/>
      <c r="SJ162" s="509"/>
      <c r="SK162" s="509"/>
      <c r="SL162" s="509"/>
      <c r="SM162" s="509"/>
      <c r="SN162" s="509"/>
      <c r="SO162" s="509"/>
      <c r="SP162" s="509"/>
      <c r="SQ162" s="509"/>
      <c r="SR162" s="509"/>
      <c r="SS162" s="509"/>
      <c r="ST162" s="509"/>
      <c r="SU162" s="509"/>
      <c r="SV162" s="509"/>
      <c r="SW162" s="509"/>
      <c r="SX162" s="509"/>
      <c r="SY162" s="509"/>
      <c r="SZ162" s="509"/>
      <c r="TA162" s="509"/>
      <c r="TB162" s="509"/>
      <c r="TC162" s="509"/>
      <c r="TD162" s="509"/>
      <c r="TE162" s="509"/>
      <c r="TF162" s="509"/>
      <c r="TG162" s="509"/>
      <c r="TH162" s="509"/>
      <c r="TI162" s="509"/>
      <c r="TJ162" s="509"/>
      <c r="TK162" s="509"/>
      <c r="TL162" s="509"/>
      <c r="TM162" s="509"/>
      <c r="TN162" s="509"/>
      <c r="TO162" s="509"/>
      <c r="TP162" s="509"/>
      <c r="TQ162" s="509"/>
      <c r="TR162" s="509"/>
      <c r="TS162" s="509"/>
      <c r="TT162" s="509"/>
      <c r="TU162" s="509"/>
      <c r="TV162" s="509"/>
      <c r="TW162" s="509"/>
      <c r="TX162" s="509"/>
      <c r="TY162" s="509"/>
      <c r="TZ162" s="509"/>
      <c r="UA162" s="509"/>
      <c r="UB162" s="509"/>
      <c r="UC162" s="509"/>
      <c r="UD162" s="509"/>
      <c r="UE162" s="509"/>
      <c r="UF162" s="509"/>
      <c r="UG162" s="509"/>
      <c r="UH162" s="509"/>
      <c r="UI162" s="509"/>
    </row>
    <row r="163" spans="1:555" ht="89.25" customHeight="1">
      <c r="A163" s="296">
        <v>173</v>
      </c>
      <c r="B163" s="297" t="s">
        <v>2186</v>
      </c>
      <c r="C163" s="298">
        <v>79047558</v>
      </c>
      <c r="D163" s="354" t="s">
        <v>906</v>
      </c>
      <c r="E163" s="299">
        <v>42255</v>
      </c>
      <c r="F163" s="300">
        <v>42248</v>
      </c>
      <c r="G163" s="301" t="s">
        <v>2187</v>
      </c>
      <c r="H163" s="297" t="s">
        <v>625</v>
      </c>
      <c r="I163" s="297" t="s">
        <v>183</v>
      </c>
      <c r="J163" s="299">
        <v>42479</v>
      </c>
      <c r="K163" s="300">
        <v>42461</v>
      </c>
      <c r="L163" s="301" t="s">
        <v>2188</v>
      </c>
      <c r="M163" s="297" t="s">
        <v>171</v>
      </c>
      <c r="N163" s="297" t="s">
        <v>2189</v>
      </c>
      <c r="O163" s="299">
        <v>42620</v>
      </c>
      <c r="P163" s="302">
        <v>42614</v>
      </c>
      <c r="Q163" s="301" t="s">
        <v>2190</v>
      </c>
      <c r="R163" s="297" t="s">
        <v>5</v>
      </c>
      <c r="S163" s="297" t="s">
        <v>101</v>
      </c>
      <c r="T163" s="299"/>
      <c r="U163" s="300"/>
      <c r="V163" s="301"/>
      <c r="W163" s="297"/>
      <c r="X163" s="297"/>
      <c r="Y163" s="299"/>
      <c r="Z163" s="300"/>
      <c r="AA163" s="301"/>
      <c r="AB163" s="297"/>
      <c r="AC163" s="297"/>
      <c r="AD163" s="299"/>
      <c r="AE163" s="300"/>
      <c r="AF163" s="301"/>
      <c r="AG163" s="297"/>
      <c r="AH163" s="297"/>
      <c r="AI163" s="304"/>
      <c r="AJ163" s="300"/>
      <c r="AK163" s="301"/>
      <c r="AL163" s="297"/>
      <c r="AM163" s="297"/>
      <c r="AN163" s="297" t="s">
        <v>1809</v>
      </c>
      <c r="AO163" s="473"/>
      <c r="AP163" s="297"/>
      <c r="AQ163" s="301" t="s">
        <v>2191</v>
      </c>
      <c r="AR163" s="297" t="s">
        <v>66</v>
      </c>
      <c r="AS163" s="299" t="s">
        <v>67</v>
      </c>
      <c r="AT163" s="299" t="s">
        <v>67</v>
      </c>
      <c r="AU163" s="297" t="s">
        <v>2192</v>
      </c>
      <c r="AV163" s="297"/>
      <c r="AW163" s="297" t="s">
        <v>69</v>
      </c>
      <c r="AX163" s="297" t="s">
        <v>2193</v>
      </c>
      <c r="AY163" s="299">
        <v>41978</v>
      </c>
      <c r="AZ163" s="297" t="s">
        <v>1896</v>
      </c>
      <c r="BA163" s="299">
        <v>42249</v>
      </c>
      <c r="BB163" s="678">
        <v>42257</v>
      </c>
      <c r="BC163" s="303" t="s">
        <v>912</v>
      </c>
      <c r="BD163" s="303" t="s">
        <v>566</v>
      </c>
      <c r="BE163" s="297"/>
      <c r="BF163" s="301"/>
      <c r="BG163" s="301"/>
      <c r="BH163" s="301" t="s">
        <v>2194</v>
      </c>
      <c r="BI163" s="301"/>
      <c r="BJ163" s="306">
        <v>18539433</v>
      </c>
      <c r="BK163" s="306">
        <v>18539433</v>
      </c>
      <c r="BL163" s="313">
        <v>121322518</v>
      </c>
      <c r="BM163" s="299">
        <v>43216</v>
      </c>
      <c r="BN163" s="314">
        <v>43191</v>
      </c>
      <c r="BO163" s="434" t="s">
        <v>2195</v>
      </c>
      <c r="BP163" s="397"/>
      <c r="BQ163" s="398"/>
      <c r="BR163" s="320"/>
      <c r="BS163" s="301"/>
      <c r="BT163" s="301"/>
      <c r="BU163" s="301"/>
      <c r="BV163" s="301"/>
      <c r="BW163" s="316"/>
      <c r="BX163" s="304"/>
      <c r="BY163" s="299"/>
      <c r="BZ163" s="317"/>
    </row>
    <row r="164" spans="1:555" ht="256.5">
      <c r="A164" s="296">
        <v>174</v>
      </c>
      <c r="B164" s="297" t="s">
        <v>7386</v>
      </c>
      <c r="C164" s="298">
        <v>75077346</v>
      </c>
      <c r="D164" s="354" t="s">
        <v>677</v>
      </c>
      <c r="E164" s="299">
        <v>42261</v>
      </c>
      <c r="F164" s="300">
        <v>42248</v>
      </c>
      <c r="G164" s="301" t="s">
        <v>2196</v>
      </c>
      <c r="H164" s="297" t="s">
        <v>1493</v>
      </c>
      <c r="I164" s="297" t="s">
        <v>336</v>
      </c>
      <c r="J164" s="299">
        <v>42270</v>
      </c>
      <c r="K164" s="300">
        <v>42248</v>
      </c>
      <c r="L164" s="301" t="s">
        <v>2206</v>
      </c>
      <c r="M164" s="297" t="s">
        <v>5</v>
      </c>
      <c r="N164" s="297" t="s">
        <v>101</v>
      </c>
      <c r="O164" s="299">
        <v>43048</v>
      </c>
      <c r="P164" s="302">
        <v>43040</v>
      </c>
      <c r="Q164" s="301" t="s">
        <v>2197</v>
      </c>
      <c r="R164" s="297" t="s">
        <v>5</v>
      </c>
      <c r="S164" s="297" t="s">
        <v>85</v>
      </c>
      <c r="T164" s="299">
        <v>43237</v>
      </c>
      <c r="U164" s="300">
        <v>43221</v>
      </c>
      <c r="V164" s="301" t="s">
        <v>800</v>
      </c>
      <c r="W164" s="297" t="s">
        <v>5</v>
      </c>
      <c r="X164" s="297" t="s">
        <v>107</v>
      </c>
      <c r="Y164" s="299">
        <v>43376</v>
      </c>
      <c r="Z164" s="300">
        <v>43376</v>
      </c>
      <c r="AA164" s="301" t="s">
        <v>7270</v>
      </c>
      <c r="AB164" s="297" t="s">
        <v>5</v>
      </c>
      <c r="AC164" s="297" t="s">
        <v>85</v>
      </c>
      <c r="AD164" s="299">
        <v>43376</v>
      </c>
      <c r="AE164" s="300">
        <v>43376</v>
      </c>
      <c r="AF164" s="301" t="s">
        <v>7271</v>
      </c>
      <c r="AG164" s="297" t="s">
        <v>5</v>
      </c>
      <c r="AH164" s="297" t="s">
        <v>85</v>
      </c>
      <c r="AI164" s="299" t="s">
        <v>9104</v>
      </c>
      <c r="AJ164" s="300" t="s">
        <v>9105</v>
      </c>
      <c r="AK164" s="301" t="s">
        <v>9102</v>
      </c>
      <c r="AL164" s="297" t="s">
        <v>2004</v>
      </c>
      <c r="AM164" s="297" t="s">
        <v>9103</v>
      </c>
      <c r="AN164" s="297" t="s">
        <v>2182</v>
      </c>
      <c r="AO164" s="479">
        <v>42412</v>
      </c>
      <c r="AP164" s="297"/>
      <c r="AQ164" s="301" t="s">
        <v>2198</v>
      </c>
      <c r="AR164" s="297" t="s">
        <v>161</v>
      </c>
      <c r="AS164" s="299">
        <v>38352</v>
      </c>
      <c r="AT164" s="299">
        <v>40164</v>
      </c>
      <c r="AU164" s="297" t="s">
        <v>7387</v>
      </c>
      <c r="AV164" s="297"/>
      <c r="AW164" s="297" t="s">
        <v>92</v>
      </c>
      <c r="AX164" s="297" t="s">
        <v>692</v>
      </c>
      <c r="AY164" s="299">
        <v>41542</v>
      </c>
      <c r="AZ164" s="297" t="s">
        <v>736</v>
      </c>
      <c r="BA164" s="299">
        <v>41970</v>
      </c>
      <c r="BB164" s="678">
        <v>42213</v>
      </c>
      <c r="BC164" s="297" t="s">
        <v>95</v>
      </c>
      <c r="BD164" s="297" t="s">
        <v>566</v>
      </c>
      <c r="BE164" s="297"/>
      <c r="BF164" s="301" t="s">
        <v>8570</v>
      </c>
      <c r="BG164" s="301" t="s">
        <v>2199</v>
      </c>
      <c r="BH164" s="301" t="s">
        <v>8865</v>
      </c>
      <c r="BI164" s="301"/>
      <c r="BJ164" s="312">
        <f>+[37]MATRIZ!$J$71</f>
        <v>248814999.81698108</v>
      </c>
      <c r="BK164" s="312">
        <v>248815000</v>
      </c>
      <c r="BL164" s="307">
        <v>153901119</v>
      </c>
      <c r="BM164" s="299">
        <v>43636</v>
      </c>
      <c r="BN164" s="314">
        <v>43636</v>
      </c>
      <c r="BO164" s="460"/>
      <c r="BP164" s="390"/>
      <c r="BQ164" s="297"/>
      <c r="BR164" s="303"/>
      <c r="BS164" s="301"/>
      <c r="BT164" s="301"/>
      <c r="BU164" s="301"/>
      <c r="BV164" s="301"/>
      <c r="BW164" s="316"/>
      <c r="BX164" s="304"/>
      <c r="BY164" s="299"/>
      <c r="BZ164" s="317"/>
    </row>
    <row r="165" spans="1:555" ht="93.75" customHeight="1">
      <c r="A165" s="296">
        <v>175</v>
      </c>
      <c r="B165" s="297" t="s">
        <v>2200</v>
      </c>
      <c r="C165" s="298">
        <v>91299290</v>
      </c>
      <c r="D165" s="354" t="s">
        <v>167</v>
      </c>
      <c r="E165" s="299">
        <v>42262</v>
      </c>
      <c r="F165" s="300">
        <v>42248</v>
      </c>
      <c r="G165" s="301" t="s">
        <v>2201</v>
      </c>
      <c r="H165" s="297" t="s">
        <v>195</v>
      </c>
      <c r="I165" s="297" t="s">
        <v>1751</v>
      </c>
      <c r="J165" s="299"/>
      <c r="K165" s="300"/>
      <c r="L165" s="301"/>
      <c r="M165" s="297"/>
      <c r="N165" s="297"/>
      <c r="O165" s="299"/>
      <c r="P165" s="302"/>
      <c r="Q165" s="301"/>
      <c r="R165" s="297"/>
      <c r="S165" s="297"/>
      <c r="T165" s="299"/>
      <c r="U165" s="300"/>
      <c r="V165" s="301"/>
      <c r="W165" s="297"/>
      <c r="X165" s="297"/>
      <c r="Y165" s="299"/>
      <c r="Z165" s="300"/>
      <c r="AA165" s="301"/>
      <c r="AB165" s="297"/>
      <c r="AC165" s="297"/>
      <c r="AD165" s="299"/>
      <c r="AE165" s="300"/>
      <c r="AF165" s="301"/>
      <c r="AG165" s="297"/>
      <c r="AH165" s="297"/>
      <c r="AI165" s="304"/>
      <c r="AJ165" s="300"/>
      <c r="AK165" s="301"/>
      <c r="AL165" s="297"/>
      <c r="AM165" s="297"/>
      <c r="AN165" s="297" t="s">
        <v>366</v>
      </c>
      <c r="AO165" s="473"/>
      <c r="AP165" s="297"/>
      <c r="AQ165" s="301" t="s">
        <v>2202</v>
      </c>
      <c r="AR165" s="297" t="s">
        <v>66</v>
      </c>
      <c r="AS165" s="299">
        <v>37956</v>
      </c>
      <c r="AT165" s="299">
        <v>39813</v>
      </c>
      <c r="AU165" s="297" t="s">
        <v>2203</v>
      </c>
      <c r="AV165" s="297"/>
      <c r="AW165" s="297" t="s">
        <v>92</v>
      </c>
      <c r="AX165" s="297" t="s">
        <v>2204</v>
      </c>
      <c r="AY165" s="299">
        <v>41956</v>
      </c>
      <c r="AZ165" s="297" t="s">
        <v>67</v>
      </c>
      <c r="BA165" s="299" t="s">
        <v>67</v>
      </c>
      <c r="BB165" s="382">
        <v>41982</v>
      </c>
      <c r="BC165" s="297" t="s">
        <v>95</v>
      </c>
      <c r="BD165" s="297" t="s">
        <v>566</v>
      </c>
      <c r="BE165" s="297"/>
      <c r="BF165" s="301"/>
      <c r="BG165" s="301"/>
      <c r="BH165" s="301" t="s">
        <v>2205</v>
      </c>
      <c r="BI165" s="301"/>
      <c r="BJ165" s="312">
        <v>170478433</v>
      </c>
      <c r="BK165" s="312">
        <v>170478433</v>
      </c>
      <c r="BL165" s="313">
        <v>121243318</v>
      </c>
      <c r="BM165" s="299">
        <v>43216</v>
      </c>
      <c r="BN165" s="314">
        <v>43191</v>
      </c>
      <c r="BO165" s="434" t="s">
        <v>923</v>
      </c>
      <c r="BP165" s="396"/>
      <c r="BQ165" s="336"/>
      <c r="BR165" s="331"/>
      <c r="BS165" s="308"/>
      <c r="BT165" s="301"/>
      <c r="BU165" s="301"/>
      <c r="BV165" s="301"/>
      <c r="BW165" s="316"/>
      <c r="BX165" s="304"/>
      <c r="BY165" s="299"/>
      <c r="BZ165" s="317"/>
    </row>
    <row r="166" spans="1:555" ht="83.25" customHeight="1">
      <c r="A166" s="296">
        <v>176</v>
      </c>
      <c r="B166" s="297" t="s">
        <v>8568</v>
      </c>
      <c r="C166" s="298">
        <v>75080693</v>
      </c>
      <c r="D166" s="354" t="s">
        <v>677</v>
      </c>
      <c r="E166" s="299">
        <v>42270</v>
      </c>
      <c r="F166" s="300">
        <v>42248</v>
      </c>
      <c r="G166" s="301" t="s">
        <v>2206</v>
      </c>
      <c r="H166" s="297" t="s">
        <v>5</v>
      </c>
      <c r="I166" s="297" t="s">
        <v>101</v>
      </c>
      <c r="J166" s="299">
        <v>42433</v>
      </c>
      <c r="K166" s="300">
        <v>42430</v>
      </c>
      <c r="L166" s="301" t="s">
        <v>2207</v>
      </c>
      <c r="M166" s="297" t="s">
        <v>5</v>
      </c>
      <c r="N166" s="297" t="s">
        <v>336</v>
      </c>
      <c r="O166" s="299">
        <v>42977</v>
      </c>
      <c r="P166" s="302">
        <v>42948</v>
      </c>
      <c r="Q166" s="301" t="s">
        <v>2208</v>
      </c>
      <c r="R166" s="297" t="s">
        <v>171</v>
      </c>
      <c r="S166" s="297" t="s">
        <v>1213</v>
      </c>
      <c r="T166" s="299">
        <v>43201</v>
      </c>
      <c r="U166" s="300">
        <v>43191</v>
      </c>
      <c r="V166" s="301" t="s">
        <v>2209</v>
      </c>
      <c r="W166" s="297" t="s">
        <v>208</v>
      </c>
      <c r="X166" s="297" t="s">
        <v>107</v>
      </c>
      <c r="Y166" s="299">
        <v>43230</v>
      </c>
      <c r="Z166" s="300">
        <v>43221</v>
      </c>
      <c r="AA166" s="301" t="s">
        <v>2210</v>
      </c>
      <c r="AB166" s="297" t="s">
        <v>195</v>
      </c>
      <c r="AC166" s="297" t="s">
        <v>2211</v>
      </c>
      <c r="AD166" s="299" t="s">
        <v>2212</v>
      </c>
      <c r="AE166" s="300" t="s">
        <v>2213</v>
      </c>
      <c r="AF166" s="301" t="s">
        <v>2214</v>
      </c>
      <c r="AG166" s="297" t="s">
        <v>2215</v>
      </c>
      <c r="AH166" s="297" t="s">
        <v>2216</v>
      </c>
      <c r="AI166" s="305" t="s">
        <v>8709</v>
      </c>
      <c r="AJ166" s="300" t="s">
        <v>8710</v>
      </c>
      <c r="AK166" s="308" t="s">
        <v>8708</v>
      </c>
      <c r="AL166" s="297" t="s">
        <v>8711</v>
      </c>
      <c r="AM166" s="303" t="s">
        <v>8712</v>
      </c>
      <c r="AN166" s="297" t="s">
        <v>2217</v>
      </c>
      <c r="AO166" s="479">
        <v>42433</v>
      </c>
      <c r="AP166" s="297"/>
      <c r="AQ166" s="301" t="s">
        <v>2218</v>
      </c>
      <c r="AR166" s="297" t="s">
        <v>161</v>
      </c>
      <c r="AS166" s="299">
        <v>38352</v>
      </c>
      <c r="AT166" s="299">
        <v>40133</v>
      </c>
      <c r="AU166" s="297" t="s">
        <v>2219</v>
      </c>
      <c r="AV166" s="297"/>
      <c r="AW166" s="297" t="s">
        <v>92</v>
      </c>
      <c r="AX166" s="297" t="s">
        <v>2220</v>
      </c>
      <c r="AY166" s="299">
        <v>41607</v>
      </c>
      <c r="AZ166" s="297" t="s">
        <v>736</v>
      </c>
      <c r="BA166" s="299">
        <v>41970</v>
      </c>
      <c r="BB166" s="382">
        <v>42167</v>
      </c>
      <c r="BC166" s="297" t="s">
        <v>95</v>
      </c>
      <c r="BD166" s="297" t="s">
        <v>566</v>
      </c>
      <c r="BE166" s="297"/>
      <c r="BF166" s="301" t="s">
        <v>8569</v>
      </c>
      <c r="BG166" s="301"/>
      <c r="BH166" s="301" t="s">
        <v>8832</v>
      </c>
      <c r="BI166" s="301"/>
      <c r="BJ166" s="312">
        <f>+[38]MATRIZ!$J$68</f>
        <v>180603885.52666748</v>
      </c>
      <c r="BK166" s="312">
        <v>180603886</v>
      </c>
      <c r="BL166" s="313">
        <v>151339019</v>
      </c>
      <c r="BM166" s="299">
        <v>43630</v>
      </c>
      <c r="BN166" s="314">
        <v>43630</v>
      </c>
      <c r="BO166" s="460" t="s">
        <v>8836</v>
      </c>
      <c r="BP166" s="390">
        <v>37210596</v>
      </c>
      <c r="BQ166" s="297" t="s">
        <v>9133</v>
      </c>
      <c r="BR166" s="303"/>
      <c r="BS166" s="301"/>
      <c r="BT166" s="301"/>
      <c r="BU166" s="301"/>
      <c r="BV166" s="301"/>
      <c r="BW166" s="316"/>
      <c r="BX166" s="304"/>
      <c r="BY166" s="299"/>
      <c r="BZ166" s="317"/>
    </row>
    <row r="167" spans="1:555" ht="216">
      <c r="A167" s="296">
        <v>178</v>
      </c>
      <c r="B167" s="297" t="s">
        <v>2228</v>
      </c>
      <c r="C167" s="298">
        <v>13850388</v>
      </c>
      <c r="D167" s="354" t="s">
        <v>667</v>
      </c>
      <c r="E167" s="299">
        <v>42557</v>
      </c>
      <c r="F167" s="300">
        <v>42552</v>
      </c>
      <c r="G167" s="301" t="s">
        <v>2229</v>
      </c>
      <c r="H167" s="297" t="s">
        <v>1480</v>
      </c>
      <c r="I167" s="297" t="s">
        <v>2230</v>
      </c>
      <c r="J167" s="299">
        <v>42275</v>
      </c>
      <c r="K167" s="300">
        <v>42248</v>
      </c>
      <c r="L167" s="301" t="s">
        <v>2231</v>
      </c>
      <c r="M167" s="297" t="s">
        <v>63</v>
      </c>
      <c r="N167" s="297" t="s">
        <v>101</v>
      </c>
      <c r="O167" s="299">
        <v>42395</v>
      </c>
      <c r="P167" s="302">
        <v>42370</v>
      </c>
      <c r="Q167" s="301" t="s">
        <v>2232</v>
      </c>
      <c r="R167" s="297" t="s">
        <v>208</v>
      </c>
      <c r="S167" s="297" t="s">
        <v>2233</v>
      </c>
      <c r="T167" s="299">
        <v>42761</v>
      </c>
      <c r="U167" s="300">
        <v>42736</v>
      </c>
      <c r="V167" s="301" t="s">
        <v>2234</v>
      </c>
      <c r="W167" s="297" t="s">
        <v>208</v>
      </c>
      <c r="X167" s="297" t="s">
        <v>107</v>
      </c>
      <c r="Y167" s="299">
        <v>43087</v>
      </c>
      <c r="Z167" s="300">
        <v>43070</v>
      </c>
      <c r="AA167" s="301" t="s">
        <v>2235</v>
      </c>
      <c r="AB167" s="297" t="s">
        <v>208</v>
      </c>
      <c r="AC167" s="297" t="s">
        <v>107</v>
      </c>
      <c r="AD167" s="299" t="s">
        <v>2236</v>
      </c>
      <c r="AE167" s="300" t="s">
        <v>2237</v>
      </c>
      <c r="AF167" s="301" t="s">
        <v>2238</v>
      </c>
      <c r="AG167" s="297" t="s">
        <v>2239</v>
      </c>
      <c r="AH167" s="297" t="s">
        <v>2240</v>
      </c>
      <c r="AI167" s="299" t="s">
        <v>8082</v>
      </c>
      <c r="AJ167" s="300" t="s">
        <v>8083</v>
      </c>
      <c r="AK167" s="301" t="s">
        <v>8081</v>
      </c>
      <c r="AL167" s="297" t="s">
        <v>3574</v>
      </c>
      <c r="AM167" s="297" t="s">
        <v>1219</v>
      </c>
      <c r="AN167" s="297" t="s">
        <v>2241</v>
      </c>
      <c r="AO167" s="479">
        <v>42557</v>
      </c>
      <c r="AP167" s="297"/>
      <c r="AQ167" s="301" t="s">
        <v>2242</v>
      </c>
      <c r="AR167" s="297" t="s">
        <v>161</v>
      </c>
      <c r="AS167" s="299">
        <v>39264</v>
      </c>
      <c r="AT167" s="299">
        <v>40908</v>
      </c>
      <c r="AU167" s="297" t="s">
        <v>8084</v>
      </c>
      <c r="AV167" s="297"/>
      <c r="AW167" s="297" t="s">
        <v>92</v>
      </c>
      <c r="AX167" s="297" t="s">
        <v>2243</v>
      </c>
      <c r="AY167" s="299">
        <v>41978</v>
      </c>
      <c r="AZ167" s="297" t="s">
        <v>67</v>
      </c>
      <c r="BA167" s="299" t="s">
        <v>67</v>
      </c>
      <c r="BB167" s="382">
        <v>42027</v>
      </c>
      <c r="BC167" s="297" t="s">
        <v>95</v>
      </c>
      <c r="BD167" s="297" t="s">
        <v>1792</v>
      </c>
      <c r="BE167" s="297"/>
      <c r="BF167" s="301" t="s">
        <v>2244</v>
      </c>
      <c r="BG167" s="301"/>
      <c r="BH167" s="301" t="s">
        <v>8513</v>
      </c>
      <c r="BI167" s="301"/>
      <c r="BJ167" s="312">
        <f>+[39]MATRIZ!$J$73</f>
        <v>226164711.72569871</v>
      </c>
      <c r="BK167" s="312">
        <v>226164712</v>
      </c>
      <c r="BL167" s="313">
        <v>76012519</v>
      </c>
      <c r="BM167" s="299">
        <v>43563</v>
      </c>
      <c r="BN167" s="314">
        <v>43556</v>
      </c>
      <c r="BO167" s="460"/>
      <c r="BP167" s="390"/>
      <c r="BQ167" s="297"/>
      <c r="BR167" s="303"/>
      <c r="BS167" s="301"/>
      <c r="BT167" s="301"/>
      <c r="BU167" s="301"/>
      <c r="BV167" s="301"/>
      <c r="BW167" s="316"/>
      <c r="BX167" s="304"/>
      <c r="BY167" s="299"/>
      <c r="BZ167" s="317"/>
    </row>
    <row r="168" spans="1:555" ht="81">
      <c r="A168" s="296">
        <v>179</v>
      </c>
      <c r="B168" s="297" t="s">
        <v>2245</v>
      </c>
      <c r="C168" s="298">
        <v>76311682</v>
      </c>
      <c r="D168" s="354" t="s">
        <v>667</v>
      </c>
      <c r="E168" s="299">
        <v>42275</v>
      </c>
      <c r="F168" s="300">
        <v>42248</v>
      </c>
      <c r="G168" s="301" t="s">
        <v>2246</v>
      </c>
      <c r="H168" s="297" t="s">
        <v>63</v>
      </c>
      <c r="I168" s="297" t="s">
        <v>101</v>
      </c>
      <c r="J168" s="299"/>
      <c r="K168" s="300"/>
      <c r="L168" s="301"/>
      <c r="M168" s="297"/>
      <c r="N168" s="297"/>
      <c r="O168" s="299"/>
      <c r="P168" s="302"/>
      <c r="Q168" s="301"/>
      <c r="R168" s="297"/>
      <c r="S168" s="297"/>
      <c r="T168" s="299"/>
      <c r="U168" s="300"/>
      <c r="V168" s="301"/>
      <c r="W168" s="297"/>
      <c r="X168" s="297"/>
      <c r="Y168" s="299"/>
      <c r="Z168" s="300"/>
      <c r="AA168" s="301"/>
      <c r="AB168" s="297"/>
      <c r="AC168" s="297"/>
      <c r="AD168" s="299"/>
      <c r="AE168" s="300"/>
      <c r="AF168" s="301"/>
      <c r="AG168" s="297"/>
      <c r="AH168" s="297"/>
      <c r="AI168" s="304"/>
      <c r="AJ168" s="300"/>
      <c r="AK168" s="301"/>
      <c r="AL168" s="297"/>
      <c r="AM168" s="297"/>
      <c r="AN168" s="297" t="s">
        <v>1734</v>
      </c>
      <c r="AO168" s="473"/>
      <c r="AP168" s="297"/>
      <c r="AQ168" s="301" t="s">
        <v>2247</v>
      </c>
      <c r="AR168" s="297" t="s">
        <v>66</v>
      </c>
      <c r="AS168" s="299">
        <v>39264</v>
      </c>
      <c r="AT168" s="299">
        <v>40211</v>
      </c>
      <c r="AU168" s="297" t="s">
        <v>2248</v>
      </c>
      <c r="AV168" s="297"/>
      <c r="AW168" s="297" t="s">
        <v>92</v>
      </c>
      <c r="AX168" s="297" t="s">
        <v>2249</v>
      </c>
      <c r="AY168" s="299">
        <v>41759</v>
      </c>
      <c r="AZ168" s="297" t="s">
        <v>2250</v>
      </c>
      <c r="BA168" s="299">
        <v>42180</v>
      </c>
      <c r="BB168" s="382">
        <v>42194</v>
      </c>
      <c r="BC168" s="297" t="s">
        <v>95</v>
      </c>
      <c r="BD168" s="297" t="s">
        <v>566</v>
      </c>
      <c r="BE168" s="297"/>
      <c r="BF168" s="301"/>
      <c r="BG168" s="301" t="s">
        <v>2251</v>
      </c>
      <c r="BH168" s="301" t="s">
        <v>2252</v>
      </c>
      <c r="BI168" s="301"/>
      <c r="BJ168" s="312">
        <v>79276216</v>
      </c>
      <c r="BK168" s="312">
        <v>79276216</v>
      </c>
      <c r="BL168" s="313" t="s">
        <v>2253</v>
      </c>
      <c r="BM168" s="299">
        <v>43115</v>
      </c>
      <c r="BN168" s="314">
        <v>43101</v>
      </c>
      <c r="BO168" s="434" t="s">
        <v>2254</v>
      </c>
      <c r="BP168" s="397"/>
      <c r="BQ168" s="398"/>
      <c r="BR168" s="320"/>
      <c r="BS168" s="301"/>
      <c r="BT168" s="301"/>
      <c r="BU168" s="301"/>
      <c r="BV168" s="301"/>
      <c r="BW168" s="316"/>
      <c r="BX168" s="304"/>
      <c r="BY168" s="299"/>
      <c r="BZ168" s="317"/>
    </row>
    <row r="169" spans="1:555" ht="148.5">
      <c r="A169" s="296">
        <v>180</v>
      </c>
      <c r="B169" s="297" t="s">
        <v>2255</v>
      </c>
      <c r="C169" s="298">
        <v>72267610</v>
      </c>
      <c r="D169" s="354" t="s">
        <v>667</v>
      </c>
      <c r="E169" s="299">
        <v>42275</v>
      </c>
      <c r="F169" s="300">
        <v>42248</v>
      </c>
      <c r="G169" s="301" t="s">
        <v>2256</v>
      </c>
      <c r="H169" s="297" t="s">
        <v>63</v>
      </c>
      <c r="I169" s="297" t="s">
        <v>101</v>
      </c>
      <c r="J169" s="299">
        <v>42557</v>
      </c>
      <c r="K169" s="300">
        <v>42552</v>
      </c>
      <c r="L169" s="301" t="s">
        <v>2257</v>
      </c>
      <c r="M169" s="297" t="s">
        <v>63</v>
      </c>
      <c r="N169" s="297" t="s">
        <v>336</v>
      </c>
      <c r="O169" s="299" t="s">
        <v>2258</v>
      </c>
      <c r="P169" s="302">
        <v>43132</v>
      </c>
      <c r="Q169" s="301" t="s">
        <v>1142</v>
      </c>
      <c r="R169" s="297" t="s">
        <v>63</v>
      </c>
      <c r="S169" s="297" t="s">
        <v>107</v>
      </c>
      <c r="T169" s="299">
        <v>43160</v>
      </c>
      <c r="U169" s="300">
        <v>43160</v>
      </c>
      <c r="V169" s="301" t="s">
        <v>2259</v>
      </c>
      <c r="W169" s="297" t="s">
        <v>5</v>
      </c>
      <c r="X169" s="297" t="s">
        <v>107</v>
      </c>
      <c r="Y169" s="299">
        <v>43236</v>
      </c>
      <c r="Z169" s="300">
        <v>43221</v>
      </c>
      <c r="AA169" s="301" t="s">
        <v>2261</v>
      </c>
      <c r="AB169" s="297" t="s">
        <v>208</v>
      </c>
      <c r="AC169" s="299"/>
      <c r="AD169" s="299">
        <v>43564</v>
      </c>
      <c r="AE169" s="300">
        <v>43564</v>
      </c>
      <c r="AF169" s="300" t="s">
        <v>8446</v>
      </c>
      <c r="AG169" s="297" t="s">
        <v>208</v>
      </c>
      <c r="AH169" s="297" t="s">
        <v>8447</v>
      </c>
      <c r="AI169" s="299" t="s">
        <v>9157</v>
      </c>
      <c r="AJ169" s="300" t="s">
        <v>9158</v>
      </c>
      <c r="AK169" s="301" t="s">
        <v>9156</v>
      </c>
      <c r="AL169" s="297" t="s">
        <v>9159</v>
      </c>
      <c r="AM169" s="297" t="s">
        <v>9160</v>
      </c>
      <c r="AN169" s="297" t="s">
        <v>2262</v>
      </c>
      <c r="AO169" s="479">
        <v>42557</v>
      </c>
      <c r="AP169" s="297"/>
      <c r="AQ169" s="301" t="s">
        <v>2263</v>
      </c>
      <c r="AR169" s="297" t="s">
        <v>161</v>
      </c>
      <c r="AS169" s="299" t="s">
        <v>579</v>
      </c>
      <c r="AT169" s="299" t="s">
        <v>579</v>
      </c>
      <c r="AU169" s="297" t="s">
        <v>8444</v>
      </c>
      <c r="AV169" s="297"/>
      <c r="AW169" s="297" t="s">
        <v>92</v>
      </c>
      <c r="AX169" s="297" t="s">
        <v>522</v>
      </c>
      <c r="AY169" s="299">
        <v>42051</v>
      </c>
      <c r="AZ169" s="297" t="s">
        <v>67</v>
      </c>
      <c r="BA169" s="299" t="s">
        <v>67</v>
      </c>
      <c r="BB169" s="382">
        <v>42074</v>
      </c>
      <c r="BC169" s="297" t="s">
        <v>95</v>
      </c>
      <c r="BD169" s="297" t="s">
        <v>1792</v>
      </c>
      <c r="BE169" s="297"/>
      <c r="BF169" s="301"/>
      <c r="BG169" s="301"/>
      <c r="BH169" s="301" t="s">
        <v>8451</v>
      </c>
      <c r="BI169" s="301"/>
      <c r="BJ169" s="312">
        <f>[40]MATRIZ!$J$69</f>
        <v>229881205.1177066</v>
      </c>
      <c r="BK169" s="312">
        <v>229881205</v>
      </c>
      <c r="BL169" s="313">
        <v>98865219</v>
      </c>
      <c r="BM169" s="299">
        <v>43585</v>
      </c>
      <c r="BN169" s="314">
        <v>43585</v>
      </c>
      <c r="BO169" s="460"/>
      <c r="BP169" s="390"/>
      <c r="BQ169" s="297"/>
      <c r="BR169" s="303"/>
      <c r="BS169" s="301"/>
      <c r="BT169" s="301"/>
      <c r="BU169" s="301"/>
      <c r="BV169" s="301"/>
      <c r="BW169" s="316"/>
      <c r="BX169" s="304"/>
      <c r="BY169" s="299"/>
      <c r="BZ169" s="317"/>
    </row>
    <row r="170" spans="1:555" ht="168.75" customHeight="1">
      <c r="A170" s="296">
        <v>181</v>
      </c>
      <c r="B170" s="297" t="s">
        <v>2264</v>
      </c>
      <c r="C170" s="298">
        <v>8704477</v>
      </c>
      <c r="D170" s="354" t="s">
        <v>667</v>
      </c>
      <c r="E170" s="299">
        <v>42275</v>
      </c>
      <c r="F170" s="300">
        <v>42248</v>
      </c>
      <c r="G170" s="301" t="s">
        <v>2265</v>
      </c>
      <c r="H170" s="297" t="s">
        <v>63</v>
      </c>
      <c r="I170" s="297" t="s">
        <v>101</v>
      </c>
      <c r="J170" s="299">
        <v>42558</v>
      </c>
      <c r="K170" s="300">
        <v>42552</v>
      </c>
      <c r="L170" s="301" t="s">
        <v>2266</v>
      </c>
      <c r="M170" s="297" t="s">
        <v>63</v>
      </c>
      <c r="N170" s="297" t="s">
        <v>336</v>
      </c>
      <c r="O170" s="299">
        <v>43150</v>
      </c>
      <c r="P170" s="302">
        <v>43132</v>
      </c>
      <c r="Q170" s="301" t="s">
        <v>1142</v>
      </c>
      <c r="R170" s="297" t="s">
        <v>63</v>
      </c>
      <c r="S170" s="297" t="s">
        <v>107</v>
      </c>
      <c r="T170" s="299">
        <v>43160</v>
      </c>
      <c r="U170" s="300">
        <v>43160</v>
      </c>
      <c r="V170" s="301" t="s">
        <v>2259</v>
      </c>
      <c r="W170" s="297" t="s">
        <v>5</v>
      </c>
      <c r="X170" s="297" t="s">
        <v>107</v>
      </c>
      <c r="Y170" s="299"/>
      <c r="Z170" s="300"/>
      <c r="AA170" s="301"/>
      <c r="AB170" s="297"/>
      <c r="AC170" s="297"/>
      <c r="AD170" s="299"/>
      <c r="AE170" s="300"/>
      <c r="AF170" s="301"/>
      <c r="AG170" s="297"/>
      <c r="AH170" s="297"/>
      <c r="AI170" s="304"/>
      <c r="AJ170" s="300"/>
      <c r="AK170" s="301"/>
      <c r="AL170" s="297"/>
      <c r="AM170" s="297"/>
      <c r="AN170" s="297" t="s">
        <v>2241</v>
      </c>
      <c r="AO170" s="479">
        <v>42557</v>
      </c>
      <c r="AP170" s="297"/>
      <c r="AQ170" s="301" t="s">
        <v>2267</v>
      </c>
      <c r="AR170" s="297" t="s">
        <v>161</v>
      </c>
      <c r="AS170" s="299">
        <v>39052</v>
      </c>
      <c r="AT170" s="299">
        <v>40724</v>
      </c>
      <c r="AU170" s="297" t="s">
        <v>2268</v>
      </c>
      <c r="AV170" s="297"/>
      <c r="AW170" s="297" t="s">
        <v>92</v>
      </c>
      <c r="AX170" s="297" t="s">
        <v>522</v>
      </c>
      <c r="AY170" s="299">
        <v>41977</v>
      </c>
      <c r="AZ170" s="297" t="s">
        <v>67</v>
      </c>
      <c r="BA170" s="299" t="s">
        <v>67</v>
      </c>
      <c r="BB170" s="382">
        <v>42027</v>
      </c>
      <c r="BC170" s="297" t="s">
        <v>95</v>
      </c>
      <c r="BD170" s="297" t="s">
        <v>1792</v>
      </c>
      <c r="BE170" s="297"/>
      <c r="BF170" s="301" t="s">
        <v>8264</v>
      </c>
      <c r="BG170" s="301"/>
      <c r="BH170" s="301" t="s">
        <v>8344</v>
      </c>
      <c r="BI170" s="301"/>
      <c r="BJ170" s="312">
        <f>+[41]MATRIZ!$J$67</f>
        <v>162867996.18878928</v>
      </c>
      <c r="BK170" s="312">
        <v>162867996</v>
      </c>
      <c r="BL170" s="313">
        <v>66744019</v>
      </c>
      <c r="BM170" s="299">
        <v>43553</v>
      </c>
      <c r="BN170" s="314">
        <v>43553</v>
      </c>
      <c r="BO170" s="460"/>
      <c r="BP170" s="390"/>
      <c r="BQ170" s="297"/>
      <c r="BR170" s="303"/>
      <c r="BS170" s="301"/>
      <c r="BT170" s="301"/>
      <c r="BU170" s="301"/>
      <c r="BV170" s="301"/>
      <c r="BW170" s="316"/>
      <c r="BX170" s="304"/>
      <c r="BY170" s="299"/>
      <c r="BZ170" s="317"/>
    </row>
    <row r="171" spans="1:555" ht="94.5">
      <c r="A171" s="296">
        <v>182</v>
      </c>
      <c r="B171" s="297" t="s">
        <v>2269</v>
      </c>
      <c r="C171" s="298">
        <v>14320650</v>
      </c>
      <c r="D171" s="354" t="s">
        <v>2270</v>
      </c>
      <c r="E171" s="299">
        <v>42282</v>
      </c>
      <c r="F171" s="300">
        <v>42278</v>
      </c>
      <c r="G171" s="301" t="s">
        <v>2271</v>
      </c>
      <c r="H171" s="297" t="s">
        <v>5</v>
      </c>
      <c r="I171" s="297" t="s">
        <v>101</v>
      </c>
      <c r="J171" s="299">
        <v>43480</v>
      </c>
      <c r="K171" s="300">
        <v>43480</v>
      </c>
      <c r="L171" s="301" t="s">
        <v>8020</v>
      </c>
      <c r="M171" s="297" t="s">
        <v>171</v>
      </c>
      <c r="N171" s="297" t="s">
        <v>174</v>
      </c>
      <c r="O171" s="299">
        <v>43532</v>
      </c>
      <c r="P171" s="302">
        <v>43532</v>
      </c>
      <c r="Q171" s="301" t="s">
        <v>8261</v>
      </c>
      <c r="R171" s="297"/>
      <c r="S171" s="297"/>
      <c r="T171" s="299"/>
      <c r="U171" s="300"/>
      <c r="V171" s="301"/>
      <c r="W171" s="297"/>
      <c r="X171" s="297"/>
      <c r="Y171" s="299"/>
      <c r="Z171" s="300"/>
      <c r="AA171" s="301"/>
      <c r="AB171" s="297"/>
      <c r="AC171" s="297"/>
      <c r="AD171" s="299"/>
      <c r="AE171" s="300"/>
      <c r="AF171" s="301"/>
      <c r="AG171" s="297"/>
      <c r="AH171" s="297"/>
      <c r="AI171" s="304"/>
      <c r="AJ171" s="300"/>
      <c r="AK171" s="301"/>
      <c r="AL171" s="297"/>
      <c r="AM171" s="297"/>
      <c r="AN171" s="297" t="s">
        <v>2151</v>
      </c>
      <c r="AO171" s="473"/>
      <c r="AP171" s="297"/>
      <c r="AQ171" s="301" t="s">
        <v>2272</v>
      </c>
      <c r="AR171" s="297" t="s">
        <v>66</v>
      </c>
      <c r="AS171" s="299">
        <v>38601</v>
      </c>
      <c r="AT171" s="299">
        <v>39823</v>
      </c>
      <c r="AU171" s="297" t="s">
        <v>2273</v>
      </c>
      <c r="AV171" s="297"/>
      <c r="AW171" s="297" t="s">
        <v>92</v>
      </c>
      <c r="AX171" s="297" t="s">
        <v>2274</v>
      </c>
      <c r="AY171" s="299">
        <v>41789</v>
      </c>
      <c r="AZ171" s="297" t="s">
        <v>652</v>
      </c>
      <c r="BA171" s="299">
        <v>42178</v>
      </c>
      <c r="BB171" s="382">
        <v>42192</v>
      </c>
      <c r="BC171" s="297" t="s">
        <v>95</v>
      </c>
      <c r="BD171" s="297" t="s">
        <v>566</v>
      </c>
      <c r="BE171" s="297"/>
      <c r="BF171" s="301" t="s">
        <v>8262</v>
      </c>
      <c r="BG171" s="301"/>
      <c r="BH171" s="301" t="s">
        <v>2275</v>
      </c>
      <c r="BI171" s="301"/>
      <c r="BJ171" s="312">
        <v>73785806</v>
      </c>
      <c r="BK171" s="312">
        <v>73785806</v>
      </c>
      <c r="BL171" s="313">
        <v>2978418</v>
      </c>
      <c r="BM171" s="299">
        <v>43115</v>
      </c>
      <c r="BN171" s="314">
        <v>43101</v>
      </c>
      <c r="BO171" s="434" t="s">
        <v>2276</v>
      </c>
      <c r="BP171" s="397"/>
      <c r="BQ171" s="398"/>
      <c r="BR171" s="320"/>
      <c r="BS171" s="301"/>
      <c r="BT171" s="301"/>
      <c r="BU171" s="301"/>
      <c r="BV171" s="301"/>
      <c r="BW171" s="316"/>
      <c r="BX171" s="304"/>
      <c r="BY171" s="299"/>
      <c r="BZ171" s="317"/>
    </row>
    <row r="172" spans="1:555" ht="148.5">
      <c r="A172" s="296">
        <v>183</v>
      </c>
      <c r="B172" s="297" t="s">
        <v>2277</v>
      </c>
      <c r="C172" s="298">
        <v>91515174</v>
      </c>
      <c r="D172" s="354" t="s">
        <v>167</v>
      </c>
      <c r="E172" s="299">
        <v>42284</v>
      </c>
      <c r="F172" s="300">
        <v>42278</v>
      </c>
      <c r="G172" s="301" t="s">
        <v>2278</v>
      </c>
      <c r="H172" s="297" t="s">
        <v>5</v>
      </c>
      <c r="I172" s="297" t="s">
        <v>101</v>
      </c>
      <c r="J172" s="299">
        <v>42893</v>
      </c>
      <c r="K172" s="300">
        <v>42887</v>
      </c>
      <c r="L172" s="301" t="s">
        <v>2279</v>
      </c>
      <c r="M172" s="297" t="s">
        <v>208</v>
      </c>
      <c r="N172" s="297" t="s">
        <v>107</v>
      </c>
      <c r="O172" s="299">
        <v>43592</v>
      </c>
      <c r="P172" s="302">
        <v>43592</v>
      </c>
      <c r="Q172" s="301" t="s">
        <v>8686</v>
      </c>
      <c r="R172" s="297" t="s">
        <v>208</v>
      </c>
      <c r="S172" s="297" t="s">
        <v>8447</v>
      </c>
      <c r="T172" s="299"/>
      <c r="U172" s="300"/>
      <c r="V172" s="301"/>
      <c r="W172" s="297"/>
      <c r="X172" s="297"/>
      <c r="Y172" s="299"/>
      <c r="Z172" s="300"/>
      <c r="AA172" s="301"/>
      <c r="AB172" s="297"/>
      <c r="AC172" s="297"/>
      <c r="AD172" s="299"/>
      <c r="AE172" s="300"/>
      <c r="AF172" s="301"/>
      <c r="AG172" s="297"/>
      <c r="AH172" s="297"/>
      <c r="AI172" s="304"/>
      <c r="AJ172" s="300"/>
      <c r="AK172" s="301"/>
      <c r="AL172" s="297"/>
      <c r="AM172" s="297"/>
      <c r="AN172" s="297" t="s">
        <v>2241</v>
      </c>
      <c r="AO172" s="479">
        <v>42284</v>
      </c>
      <c r="AP172" s="297"/>
      <c r="AQ172" s="301" t="s">
        <v>2280</v>
      </c>
      <c r="AR172" s="297" t="s">
        <v>161</v>
      </c>
      <c r="AS172" s="299">
        <v>39808</v>
      </c>
      <c r="AT172" s="299">
        <v>40663</v>
      </c>
      <c r="AU172" s="297" t="s">
        <v>2281</v>
      </c>
      <c r="AV172" s="297"/>
      <c r="AW172" s="297" t="s">
        <v>92</v>
      </c>
      <c r="AX172" s="297" t="s">
        <v>2282</v>
      </c>
      <c r="AY172" s="299">
        <v>41759</v>
      </c>
      <c r="AZ172" s="297" t="s">
        <v>2283</v>
      </c>
      <c r="BA172" s="299">
        <v>42201</v>
      </c>
      <c r="BB172" s="382">
        <v>42215</v>
      </c>
      <c r="BC172" s="297" t="s">
        <v>95</v>
      </c>
      <c r="BD172" s="297" t="s">
        <v>566</v>
      </c>
      <c r="BE172" s="297"/>
      <c r="BF172" s="301" t="s">
        <v>8277</v>
      </c>
      <c r="BG172" s="301"/>
      <c r="BH172" s="301" t="s">
        <v>8869</v>
      </c>
      <c r="BI172" s="301"/>
      <c r="BJ172" s="312">
        <f>+[42]MATRIZ!$J$66</f>
        <v>154881691.81996134</v>
      </c>
      <c r="BK172" s="312">
        <v>154881692</v>
      </c>
      <c r="BL172" s="313">
        <v>170665919</v>
      </c>
      <c r="BM172" s="299">
        <v>43648</v>
      </c>
      <c r="BN172" s="314">
        <v>43648</v>
      </c>
      <c r="BO172" s="460"/>
      <c r="BP172" s="390"/>
      <c r="BQ172" s="297"/>
      <c r="BR172" s="303"/>
      <c r="BS172" s="301"/>
      <c r="BT172" s="301"/>
      <c r="BU172" s="301"/>
      <c r="BV172" s="301"/>
      <c r="BW172" s="316"/>
      <c r="BX172" s="304"/>
      <c r="BY172" s="299"/>
      <c r="BZ172" s="317"/>
    </row>
    <row r="173" spans="1:555" ht="108">
      <c r="A173" s="296">
        <v>184</v>
      </c>
      <c r="B173" s="297" t="s">
        <v>2284</v>
      </c>
      <c r="C173" s="298">
        <v>91155233</v>
      </c>
      <c r="D173" s="354" t="s">
        <v>167</v>
      </c>
      <c r="E173" s="299">
        <v>42284</v>
      </c>
      <c r="F173" s="300">
        <v>42278</v>
      </c>
      <c r="G173" s="301" t="s">
        <v>2285</v>
      </c>
      <c r="H173" s="297" t="s">
        <v>5</v>
      </c>
      <c r="I173" s="297" t="s">
        <v>101</v>
      </c>
      <c r="J173" s="299"/>
      <c r="K173" s="300"/>
      <c r="L173" s="301"/>
      <c r="M173" s="297"/>
      <c r="N173" s="297"/>
      <c r="O173" s="299"/>
      <c r="P173" s="302"/>
      <c r="Q173" s="301"/>
      <c r="R173" s="297"/>
      <c r="S173" s="297"/>
      <c r="T173" s="299"/>
      <c r="U173" s="300"/>
      <c r="V173" s="301"/>
      <c r="W173" s="297"/>
      <c r="X173" s="297"/>
      <c r="Y173" s="299"/>
      <c r="Z173" s="300"/>
      <c r="AA173" s="301"/>
      <c r="AB173" s="297"/>
      <c r="AC173" s="297"/>
      <c r="AD173" s="299"/>
      <c r="AE173" s="300"/>
      <c r="AF173" s="301"/>
      <c r="AG173" s="297"/>
      <c r="AH173" s="297"/>
      <c r="AI173" s="304"/>
      <c r="AJ173" s="300"/>
      <c r="AK173" s="301"/>
      <c r="AL173" s="297"/>
      <c r="AM173" s="297"/>
      <c r="AN173" s="297" t="s">
        <v>2286</v>
      </c>
      <c r="AO173" s="479">
        <v>42284</v>
      </c>
      <c r="AP173" s="297"/>
      <c r="AQ173" s="301" t="s">
        <v>2287</v>
      </c>
      <c r="AR173" s="297" t="s">
        <v>161</v>
      </c>
      <c r="AS173" s="299">
        <v>38534</v>
      </c>
      <c r="AT173" s="299">
        <v>39795</v>
      </c>
      <c r="AU173" s="297" t="s">
        <v>2288</v>
      </c>
      <c r="AV173" s="297"/>
      <c r="AW173" s="297" t="s">
        <v>92</v>
      </c>
      <c r="AX173" s="297" t="s">
        <v>627</v>
      </c>
      <c r="AY173" s="299">
        <v>42138</v>
      </c>
      <c r="AZ173" s="297" t="s">
        <v>67</v>
      </c>
      <c r="BA173" s="299" t="s">
        <v>67</v>
      </c>
      <c r="BB173" s="382">
        <v>42152</v>
      </c>
      <c r="BC173" s="297" t="s">
        <v>95</v>
      </c>
      <c r="BD173" s="297" t="s">
        <v>566</v>
      </c>
      <c r="BE173" s="297"/>
      <c r="BF173" s="301" t="s">
        <v>8276</v>
      </c>
      <c r="BG173" s="301"/>
      <c r="BH173" s="301" t="s">
        <v>8746</v>
      </c>
      <c r="BI173" s="301"/>
      <c r="BJ173" s="312">
        <f>+[43]MATRIZ!$J$56</f>
        <v>150490633.75561067</v>
      </c>
      <c r="BK173" s="312">
        <v>150490634</v>
      </c>
      <c r="BL173" s="313">
        <v>121674419</v>
      </c>
      <c r="BM173" s="299">
        <v>43606</v>
      </c>
      <c r="BN173" s="314">
        <v>43606</v>
      </c>
      <c r="BO173" s="460"/>
      <c r="BP173" s="390"/>
      <c r="BQ173" s="297"/>
      <c r="BR173" s="303"/>
      <c r="BS173" s="301"/>
      <c r="BT173" s="301"/>
      <c r="BU173" s="301"/>
      <c r="BV173" s="301"/>
      <c r="BW173" s="316"/>
      <c r="BX173" s="304"/>
      <c r="BY173" s="299"/>
      <c r="BZ173" s="317"/>
    </row>
    <row r="174" spans="1:555" ht="71.25" customHeight="1">
      <c r="A174" s="296">
        <v>185</v>
      </c>
      <c r="B174" s="297" t="s">
        <v>2289</v>
      </c>
      <c r="C174" s="298">
        <v>91446921</v>
      </c>
      <c r="D174" s="354" t="s">
        <v>167</v>
      </c>
      <c r="E174" s="299">
        <v>42284</v>
      </c>
      <c r="F174" s="300">
        <v>42278</v>
      </c>
      <c r="G174" s="301" t="s">
        <v>2290</v>
      </c>
      <c r="H174" s="297" t="s">
        <v>5</v>
      </c>
      <c r="I174" s="297" t="s">
        <v>101</v>
      </c>
      <c r="J174" s="299"/>
      <c r="K174" s="300"/>
      <c r="L174" s="301"/>
      <c r="M174" s="297"/>
      <c r="N174" s="297"/>
      <c r="O174" s="299"/>
      <c r="P174" s="302"/>
      <c r="Q174" s="301"/>
      <c r="R174" s="297"/>
      <c r="S174" s="297"/>
      <c r="T174" s="299"/>
      <c r="U174" s="300"/>
      <c r="V174" s="301"/>
      <c r="W174" s="297"/>
      <c r="X174" s="297"/>
      <c r="Y174" s="299"/>
      <c r="Z174" s="300"/>
      <c r="AA174" s="301"/>
      <c r="AB174" s="297"/>
      <c r="AC174" s="297"/>
      <c r="AD174" s="299"/>
      <c r="AE174" s="300"/>
      <c r="AF174" s="301"/>
      <c r="AG174" s="297"/>
      <c r="AH174" s="297"/>
      <c r="AI174" s="304"/>
      <c r="AJ174" s="300"/>
      <c r="AK174" s="301"/>
      <c r="AL174" s="297"/>
      <c r="AM174" s="297"/>
      <c r="AN174" s="297" t="s">
        <v>2241</v>
      </c>
      <c r="AO174" s="479">
        <v>42284</v>
      </c>
      <c r="AP174" s="297"/>
      <c r="AQ174" s="301" t="s">
        <v>2291</v>
      </c>
      <c r="AR174" s="297" t="s">
        <v>161</v>
      </c>
      <c r="AS174" s="299">
        <v>38860</v>
      </c>
      <c r="AT174" s="299">
        <v>39794</v>
      </c>
      <c r="AU174" s="297" t="s">
        <v>2292</v>
      </c>
      <c r="AV174" s="297"/>
      <c r="AW174" s="297" t="s">
        <v>69</v>
      </c>
      <c r="AX174" s="297" t="s">
        <v>887</v>
      </c>
      <c r="AY174" s="299">
        <v>42153</v>
      </c>
      <c r="AZ174" s="297" t="s">
        <v>67</v>
      </c>
      <c r="BA174" s="299" t="s">
        <v>67</v>
      </c>
      <c r="BB174" s="382">
        <v>42177</v>
      </c>
      <c r="BC174" s="297" t="s">
        <v>95</v>
      </c>
      <c r="BD174" s="297" t="s">
        <v>566</v>
      </c>
      <c r="BE174" s="297"/>
      <c r="BF174" s="301" t="s">
        <v>8504</v>
      </c>
      <c r="BG174" s="301" t="s">
        <v>2293</v>
      </c>
      <c r="BH174" s="301" t="s">
        <v>8820</v>
      </c>
      <c r="BI174" s="301"/>
      <c r="BJ174" s="312">
        <f>+[44]MATRIZ!$J$57</f>
        <v>77591758.937287897</v>
      </c>
      <c r="BK174" s="312">
        <v>77591759</v>
      </c>
      <c r="BL174" s="313">
        <v>138470719</v>
      </c>
      <c r="BM174" s="299">
        <v>43621</v>
      </c>
      <c r="BN174" s="314">
        <v>43621</v>
      </c>
      <c r="BO174" s="531" t="s">
        <v>8821</v>
      </c>
      <c r="BP174" s="390">
        <v>9227278</v>
      </c>
      <c r="BQ174" s="297" t="s">
        <v>9130</v>
      </c>
      <c r="BR174" s="303"/>
      <c r="BS174" s="301"/>
      <c r="BT174" s="301"/>
      <c r="BU174" s="301"/>
      <c r="BV174" s="301"/>
      <c r="BW174" s="316"/>
      <c r="BX174" s="304"/>
      <c r="BY174" s="299"/>
      <c r="BZ174" s="317"/>
    </row>
    <row r="175" spans="1:555" s="509" customFormat="1" ht="81">
      <c r="A175" s="296">
        <v>186</v>
      </c>
      <c r="B175" s="297" t="s">
        <v>2294</v>
      </c>
      <c r="C175" s="298">
        <v>91237788</v>
      </c>
      <c r="D175" s="354" t="s">
        <v>167</v>
      </c>
      <c r="E175" s="299">
        <v>42284</v>
      </c>
      <c r="F175" s="300">
        <v>42278</v>
      </c>
      <c r="G175" s="301" t="s">
        <v>2295</v>
      </c>
      <c r="H175" s="297" t="s">
        <v>5</v>
      </c>
      <c r="I175" s="297" t="s">
        <v>101</v>
      </c>
      <c r="J175" s="299">
        <v>43830</v>
      </c>
      <c r="K175" s="300">
        <v>43830</v>
      </c>
      <c r="L175" s="301" t="s">
        <v>9306</v>
      </c>
      <c r="M175" s="297" t="s">
        <v>5</v>
      </c>
      <c r="N175" s="297" t="s">
        <v>121</v>
      </c>
      <c r="O175" s="299">
        <v>43864</v>
      </c>
      <c r="P175" s="302">
        <v>43864</v>
      </c>
      <c r="Q175" s="301" t="s">
        <v>9452</v>
      </c>
      <c r="R175" s="297" t="s">
        <v>5</v>
      </c>
      <c r="S175" s="297" t="s">
        <v>81</v>
      </c>
      <c r="T175" s="299">
        <v>43885</v>
      </c>
      <c r="U175" s="300">
        <v>43885</v>
      </c>
      <c r="V175" s="301" t="s">
        <v>9474</v>
      </c>
      <c r="W175" s="297" t="s">
        <v>5</v>
      </c>
      <c r="X175" s="297" t="s">
        <v>85</v>
      </c>
      <c r="Y175" s="299"/>
      <c r="Z175" s="300"/>
      <c r="AA175" s="301"/>
      <c r="AB175" s="297"/>
      <c r="AC175" s="297"/>
      <c r="AD175" s="299"/>
      <c r="AE175" s="300"/>
      <c r="AF175" s="301"/>
      <c r="AG175" s="297"/>
      <c r="AH175" s="297"/>
      <c r="AI175" s="304"/>
      <c r="AJ175" s="300"/>
      <c r="AK175" s="301"/>
      <c r="AL175" s="297"/>
      <c r="AM175" s="297"/>
      <c r="AN175" s="303" t="s">
        <v>2151</v>
      </c>
      <c r="AO175" s="474"/>
      <c r="AP175" s="303"/>
      <c r="AQ175" s="301" t="s">
        <v>2296</v>
      </c>
      <c r="AR175" s="297" t="s">
        <v>66</v>
      </c>
      <c r="AS175" s="299">
        <v>39052</v>
      </c>
      <c r="AT175" s="299">
        <v>40060</v>
      </c>
      <c r="AU175" s="297" t="s">
        <v>2297</v>
      </c>
      <c r="AV175" s="297"/>
      <c r="AW175" s="297" t="s">
        <v>92</v>
      </c>
      <c r="AX175" s="297" t="s">
        <v>176</v>
      </c>
      <c r="AY175" s="299">
        <v>41029</v>
      </c>
      <c r="AZ175" s="297" t="s">
        <v>1014</v>
      </c>
      <c r="BA175" s="299">
        <v>42138</v>
      </c>
      <c r="BB175" s="382">
        <v>42226</v>
      </c>
      <c r="BC175" s="297" t="s">
        <v>95</v>
      </c>
      <c r="BD175" s="297" t="s">
        <v>566</v>
      </c>
      <c r="BE175" s="297"/>
      <c r="BF175" s="301"/>
      <c r="BG175" s="301" t="s">
        <v>2298</v>
      </c>
      <c r="BH175" s="301" t="s">
        <v>9425</v>
      </c>
      <c r="BI175" s="301"/>
      <c r="BJ175" s="312">
        <v>77938362</v>
      </c>
      <c r="BK175" s="312" t="s">
        <v>9426</v>
      </c>
      <c r="BL175" s="313" t="s">
        <v>9459</v>
      </c>
      <c r="BM175" s="299" t="s">
        <v>9427</v>
      </c>
      <c r="BN175" s="314" t="s">
        <v>9428</v>
      </c>
      <c r="BO175" s="434" t="s">
        <v>2157</v>
      </c>
      <c r="BP175" s="397"/>
      <c r="BQ175" s="398"/>
      <c r="BR175" s="320"/>
      <c r="BS175" s="301"/>
      <c r="BT175" s="301"/>
      <c r="BU175" s="301"/>
      <c r="BV175" s="301"/>
      <c r="BW175" s="316"/>
      <c r="BX175" s="304"/>
      <c r="BY175" s="299"/>
      <c r="BZ175" s="317"/>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c r="IY175" s="1"/>
      <c r="IZ175" s="1"/>
      <c r="JA175" s="1"/>
      <c r="JB175" s="1"/>
      <c r="JC175" s="1"/>
      <c r="JD175" s="1"/>
      <c r="JE175" s="1"/>
      <c r="JF175" s="1"/>
      <c r="JG175" s="1"/>
      <c r="JH175" s="1"/>
      <c r="JI175" s="1"/>
      <c r="JJ175" s="1"/>
      <c r="JK175" s="1"/>
      <c r="JL175" s="1"/>
      <c r="JM175" s="1"/>
      <c r="JN175" s="1"/>
      <c r="JO175" s="1"/>
      <c r="JP175" s="1"/>
      <c r="JQ175" s="1"/>
      <c r="JR175" s="1"/>
      <c r="JS175" s="1"/>
      <c r="JT175" s="1"/>
      <c r="JU175" s="1"/>
      <c r="JV175" s="1"/>
      <c r="JW175" s="1"/>
      <c r="JX175" s="1"/>
      <c r="JY175" s="1"/>
      <c r="JZ175" s="1"/>
      <c r="KA175" s="1"/>
      <c r="KB175" s="1"/>
      <c r="KC175" s="1"/>
      <c r="KD175" s="1"/>
      <c r="KE175" s="1"/>
      <c r="KF175" s="1"/>
      <c r="KG175" s="1"/>
      <c r="KH175" s="1"/>
      <c r="KI175" s="1"/>
      <c r="KJ175" s="1"/>
      <c r="KK175" s="1"/>
      <c r="KL175" s="1"/>
      <c r="KM175" s="1"/>
      <c r="KN175" s="1"/>
      <c r="KO175" s="1"/>
      <c r="KP175" s="1"/>
      <c r="KQ175" s="1"/>
      <c r="KR175" s="1"/>
      <c r="KS175" s="1"/>
      <c r="KT175" s="1"/>
      <c r="KU175" s="1"/>
      <c r="KV175" s="1"/>
      <c r="KW175" s="1"/>
      <c r="KX175" s="1"/>
      <c r="KY175" s="1"/>
      <c r="KZ175" s="1"/>
      <c r="LA175" s="1"/>
      <c r="LB175" s="1"/>
      <c r="LC175" s="1"/>
      <c r="LD175" s="1"/>
      <c r="LE175" s="1"/>
      <c r="LF175" s="1"/>
      <c r="LG175" s="1"/>
      <c r="LH175" s="1"/>
      <c r="LI175" s="1"/>
      <c r="LJ175" s="1"/>
      <c r="LK175" s="1"/>
      <c r="LL175" s="1"/>
      <c r="LM175" s="1"/>
      <c r="LN175" s="1"/>
      <c r="LO175" s="1"/>
      <c r="LP175" s="1"/>
      <c r="LQ175" s="1"/>
      <c r="LR175" s="1"/>
      <c r="LS175" s="1"/>
      <c r="LT175" s="1"/>
      <c r="LU175" s="1"/>
      <c r="LV175" s="1"/>
      <c r="LW175" s="1"/>
      <c r="LX175" s="1"/>
      <c r="LY175" s="1"/>
      <c r="LZ175" s="1"/>
      <c r="MA175" s="1"/>
      <c r="MB175" s="1"/>
      <c r="MC175" s="1"/>
      <c r="MD175" s="1"/>
      <c r="ME175" s="1"/>
      <c r="MF175" s="1"/>
      <c r="MG175" s="1"/>
      <c r="MH175" s="1"/>
      <c r="MI175" s="1"/>
      <c r="MJ175" s="1"/>
      <c r="MK175" s="1"/>
      <c r="ML175" s="1"/>
      <c r="MM175" s="1"/>
      <c r="MN175" s="1"/>
      <c r="MO175" s="1"/>
      <c r="MP175" s="1"/>
      <c r="MQ175" s="1"/>
      <c r="MR175" s="1"/>
      <c r="MS175" s="1"/>
      <c r="MT175" s="1"/>
      <c r="MU175" s="1"/>
      <c r="MV175" s="1"/>
      <c r="MW175" s="1"/>
      <c r="MX175" s="1"/>
      <c r="MY175" s="1"/>
      <c r="MZ175" s="1"/>
      <c r="NA175" s="1"/>
      <c r="NB175" s="1"/>
      <c r="NC175" s="1"/>
      <c r="ND175" s="1"/>
      <c r="NE175" s="1"/>
      <c r="NF175" s="1"/>
      <c r="NG175" s="1"/>
      <c r="NH175" s="1"/>
      <c r="NI175" s="1"/>
      <c r="NJ175" s="1"/>
      <c r="NK175" s="1"/>
      <c r="NL175" s="1"/>
      <c r="NM175" s="1"/>
      <c r="NN175" s="1"/>
      <c r="NO175" s="1"/>
      <c r="NP175" s="1"/>
      <c r="NQ175" s="1"/>
      <c r="NR175" s="1"/>
      <c r="NS175" s="1"/>
      <c r="NT175" s="1"/>
      <c r="NU175" s="1"/>
      <c r="NV175" s="1"/>
      <c r="NW175" s="1"/>
      <c r="NX175" s="1"/>
      <c r="NY175" s="1"/>
      <c r="NZ175" s="1"/>
      <c r="OA175" s="1"/>
      <c r="OB175" s="1"/>
      <c r="OC175" s="1"/>
      <c r="OD175" s="1"/>
      <c r="OE175" s="1"/>
      <c r="OF175" s="1"/>
      <c r="OG175" s="1"/>
      <c r="OH175" s="1"/>
      <c r="OI175" s="1"/>
      <c r="OJ175" s="1"/>
      <c r="OK175" s="1"/>
      <c r="OL175" s="1"/>
      <c r="OM175" s="1"/>
      <c r="ON175" s="1"/>
      <c r="OO175" s="1"/>
      <c r="OP175" s="1"/>
      <c r="OQ175" s="1"/>
      <c r="OR175" s="1"/>
      <c r="OS175" s="1"/>
      <c r="OT175" s="1"/>
      <c r="OU175" s="1"/>
      <c r="OV175" s="1"/>
      <c r="OW175" s="1"/>
      <c r="OX175" s="1"/>
      <c r="OY175" s="1"/>
      <c r="OZ175" s="1"/>
      <c r="PA175" s="1"/>
      <c r="PB175" s="1"/>
      <c r="PC175" s="1"/>
      <c r="PD175" s="1"/>
      <c r="PE175" s="1"/>
      <c r="PF175" s="1"/>
      <c r="PG175" s="1"/>
      <c r="PH175" s="1"/>
      <c r="PI175" s="1"/>
      <c r="PJ175" s="1"/>
      <c r="PK175" s="1"/>
      <c r="PL175" s="1"/>
      <c r="PM175" s="1"/>
      <c r="PN175" s="1"/>
      <c r="PO175" s="1"/>
      <c r="PP175" s="1"/>
      <c r="PQ175" s="1"/>
      <c r="PR175" s="1"/>
      <c r="PS175" s="1"/>
      <c r="PT175" s="1"/>
      <c r="PU175" s="1"/>
      <c r="PV175" s="1"/>
      <c r="PW175" s="1"/>
      <c r="PX175" s="1"/>
      <c r="PY175" s="1"/>
      <c r="PZ175" s="1"/>
      <c r="QA175" s="1"/>
      <c r="QB175" s="1"/>
      <c r="QC175" s="1"/>
      <c r="QD175" s="1"/>
      <c r="QE175" s="1"/>
      <c r="QF175" s="1"/>
      <c r="QG175" s="1"/>
      <c r="QH175" s="1"/>
      <c r="QI175" s="1"/>
      <c r="QJ175" s="1"/>
      <c r="QK175" s="1"/>
      <c r="QL175" s="1"/>
      <c r="QM175" s="1"/>
      <c r="QN175" s="1"/>
      <c r="QO175" s="1"/>
      <c r="QP175" s="1"/>
      <c r="QQ175" s="1"/>
      <c r="QR175" s="1"/>
      <c r="QS175" s="1"/>
      <c r="QT175" s="1"/>
      <c r="QU175" s="1"/>
      <c r="QV175" s="1"/>
      <c r="QW175" s="1"/>
      <c r="QX175" s="1"/>
      <c r="QY175" s="1"/>
      <c r="QZ175" s="1"/>
      <c r="RA175" s="1"/>
      <c r="RB175" s="1"/>
      <c r="RC175" s="1"/>
      <c r="RD175" s="1"/>
      <c r="RE175" s="1"/>
      <c r="RF175" s="1"/>
      <c r="RG175" s="1"/>
      <c r="RH175" s="1"/>
      <c r="RI175" s="1"/>
      <c r="RJ175" s="1"/>
      <c r="RK175" s="1"/>
      <c r="RL175" s="1"/>
      <c r="RM175" s="1"/>
      <c r="RN175" s="1"/>
      <c r="RO175" s="1"/>
      <c r="RP175" s="1"/>
      <c r="RQ175" s="1"/>
      <c r="RR175" s="1"/>
      <c r="RS175" s="1"/>
      <c r="RT175" s="1"/>
      <c r="RU175" s="1"/>
      <c r="RV175" s="1"/>
      <c r="RW175" s="1"/>
      <c r="RX175" s="1"/>
      <c r="RY175" s="1"/>
      <c r="RZ175" s="1"/>
      <c r="SA175" s="1"/>
      <c r="SB175" s="1"/>
      <c r="SC175" s="1"/>
      <c r="SD175" s="1"/>
      <c r="SE175" s="1"/>
      <c r="SF175" s="1"/>
      <c r="SG175" s="1"/>
      <c r="SH175" s="1"/>
      <c r="SI175" s="1"/>
      <c r="SJ175" s="1"/>
      <c r="SK175" s="1"/>
      <c r="SL175" s="1"/>
      <c r="SM175" s="1"/>
      <c r="SN175" s="1"/>
      <c r="SO175" s="1"/>
      <c r="SP175" s="1"/>
      <c r="SQ175" s="1"/>
      <c r="SR175" s="1"/>
      <c r="SS175" s="1"/>
      <c r="ST175" s="1"/>
      <c r="SU175" s="1"/>
      <c r="SV175" s="1"/>
      <c r="SW175" s="1"/>
      <c r="SX175" s="1"/>
      <c r="SY175" s="1"/>
      <c r="SZ175" s="1"/>
      <c r="TA175" s="1"/>
      <c r="TB175" s="1"/>
      <c r="TC175" s="1"/>
      <c r="TD175" s="1"/>
      <c r="TE175" s="1"/>
      <c r="TF175" s="1"/>
      <c r="TG175" s="1"/>
      <c r="TH175" s="1"/>
      <c r="TI175" s="1"/>
      <c r="TJ175" s="1"/>
      <c r="TK175" s="1"/>
      <c r="TL175" s="1"/>
      <c r="TM175" s="1"/>
      <c r="TN175" s="1"/>
      <c r="TO175" s="1"/>
      <c r="TP175" s="1"/>
      <c r="TQ175" s="1"/>
      <c r="TR175" s="1"/>
      <c r="TS175" s="1"/>
      <c r="TT175" s="1"/>
      <c r="TU175" s="1"/>
      <c r="TV175" s="1"/>
      <c r="TW175" s="1"/>
      <c r="TX175" s="1"/>
      <c r="TY175" s="1"/>
      <c r="TZ175" s="1"/>
      <c r="UA175" s="1"/>
      <c r="UB175" s="1"/>
      <c r="UC175" s="1"/>
      <c r="UD175" s="1"/>
      <c r="UE175" s="1"/>
      <c r="UF175" s="1"/>
      <c r="UG175" s="1"/>
      <c r="UH175" s="1"/>
      <c r="UI175" s="1"/>
    </row>
    <row r="176" spans="1:555" s="509" customFormat="1" ht="81">
      <c r="A176" s="296">
        <v>187</v>
      </c>
      <c r="B176" s="297" t="s">
        <v>2299</v>
      </c>
      <c r="C176" s="298">
        <v>76311327</v>
      </c>
      <c r="D176" s="354" t="s">
        <v>1749</v>
      </c>
      <c r="E176" s="299">
        <v>42291</v>
      </c>
      <c r="F176" s="300">
        <v>42278</v>
      </c>
      <c r="G176" s="301" t="s">
        <v>2300</v>
      </c>
      <c r="H176" s="297" t="s">
        <v>5</v>
      </c>
      <c r="I176" s="297" t="s">
        <v>101</v>
      </c>
      <c r="J176" s="299">
        <v>43116</v>
      </c>
      <c r="K176" s="300">
        <v>43101</v>
      </c>
      <c r="L176" s="301" t="s">
        <v>2301</v>
      </c>
      <c r="M176" s="297" t="s">
        <v>286</v>
      </c>
      <c r="N176" s="297" t="s">
        <v>131</v>
      </c>
      <c r="O176" s="299">
        <v>43179</v>
      </c>
      <c r="P176" s="302">
        <v>43160</v>
      </c>
      <c r="Q176" s="301" t="s">
        <v>1754</v>
      </c>
      <c r="R176" s="297" t="s">
        <v>5</v>
      </c>
      <c r="S176" s="297" t="s">
        <v>107</v>
      </c>
      <c r="T176" s="299"/>
      <c r="U176" s="300"/>
      <c r="V176" s="301"/>
      <c r="W176" s="297"/>
      <c r="X176" s="297"/>
      <c r="Y176" s="299"/>
      <c r="Z176" s="300"/>
      <c r="AA176" s="301"/>
      <c r="AB176" s="297"/>
      <c r="AC176" s="297"/>
      <c r="AD176" s="299"/>
      <c r="AE176" s="300"/>
      <c r="AF176" s="301"/>
      <c r="AG176" s="297"/>
      <c r="AH176" s="297"/>
      <c r="AI176" s="304"/>
      <c r="AJ176" s="300"/>
      <c r="AK176" s="301"/>
      <c r="AL176" s="297"/>
      <c r="AM176" s="297"/>
      <c r="AN176" s="303" t="s">
        <v>477</v>
      </c>
      <c r="AO176" s="474"/>
      <c r="AP176" s="303"/>
      <c r="AQ176" s="301" t="s">
        <v>2302</v>
      </c>
      <c r="AR176" s="297" t="s">
        <v>66</v>
      </c>
      <c r="AS176" s="299">
        <v>37742</v>
      </c>
      <c r="AT176" s="299">
        <v>40425</v>
      </c>
      <c r="AU176" s="297" t="s">
        <v>2303</v>
      </c>
      <c r="AV176" s="297"/>
      <c r="AW176" s="297" t="s">
        <v>92</v>
      </c>
      <c r="AX176" s="297" t="s">
        <v>1265</v>
      </c>
      <c r="AY176" s="299">
        <v>41729</v>
      </c>
      <c r="AZ176" s="297" t="s">
        <v>5631</v>
      </c>
      <c r="BA176" s="299">
        <v>42208</v>
      </c>
      <c r="BB176" s="382">
        <v>42221</v>
      </c>
      <c r="BC176" s="297" t="s">
        <v>95</v>
      </c>
      <c r="BD176" s="297" t="s">
        <v>566</v>
      </c>
      <c r="BE176" s="297"/>
      <c r="BF176" s="301"/>
      <c r="BG176" s="301"/>
      <c r="BH176" s="301" t="s">
        <v>2304</v>
      </c>
      <c r="BI176" s="301"/>
      <c r="BJ176" s="312">
        <v>254803226</v>
      </c>
      <c r="BK176" s="312">
        <v>254803226</v>
      </c>
      <c r="BL176" s="313" t="s">
        <v>2305</v>
      </c>
      <c r="BM176" s="299">
        <v>43122</v>
      </c>
      <c r="BN176" s="314">
        <v>43101</v>
      </c>
      <c r="BO176" s="434" t="s">
        <v>2306</v>
      </c>
      <c r="BP176" s="397"/>
      <c r="BQ176" s="398"/>
      <c r="BR176" s="320"/>
      <c r="BS176" s="301"/>
      <c r="BT176" s="301"/>
      <c r="BU176" s="301"/>
      <c r="BV176" s="301"/>
      <c r="BW176" s="316"/>
      <c r="BX176" s="304"/>
      <c r="BY176" s="299"/>
      <c r="BZ176" s="317"/>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c r="IY176" s="1"/>
      <c r="IZ176" s="1"/>
      <c r="JA176" s="1"/>
      <c r="JB176" s="1"/>
      <c r="JC176" s="1"/>
      <c r="JD176" s="1"/>
      <c r="JE176" s="1"/>
      <c r="JF176" s="1"/>
      <c r="JG176" s="1"/>
      <c r="JH176" s="1"/>
      <c r="JI176" s="1"/>
      <c r="JJ176" s="1"/>
      <c r="JK176" s="1"/>
      <c r="JL176" s="1"/>
      <c r="JM176" s="1"/>
      <c r="JN176" s="1"/>
      <c r="JO176" s="1"/>
      <c r="JP176" s="1"/>
      <c r="JQ176" s="1"/>
      <c r="JR176" s="1"/>
      <c r="JS176" s="1"/>
      <c r="JT176" s="1"/>
      <c r="JU176" s="1"/>
      <c r="JV176" s="1"/>
      <c r="JW176" s="1"/>
      <c r="JX176" s="1"/>
      <c r="JY176" s="1"/>
      <c r="JZ176" s="1"/>
      <c r="KA176" s="1"/>
      <c r="KB176" s="1"/>
      <c r="KC176" s="1"/>
      <c r="KD176" s="1"/>
      <c r="KE176" s="1"/>
      <c r="KF176" s="1"/>
      <c r="KG176" s="1"/>
      <c r="KH176" s="1"/>
      <c r="KI176" s="1"/>
      <c r="KJ176" s="1"/>
      <c r="KK176" s="1"/>
      <c r="KL176" s="1"/>
      <c r="KM176" s="1"/>
      <c r="KN176" s="1"/>
      <c r="KO176" s="1"/>
      <c r="KP176" s="1"/>
      <c r="KQ176" s="1"/>
      <c r="KR176" s="1"/>
      <c r="KS176" s="1"/>
      <c r="KT176" s="1"/>
      <c r="KU176" s="1"/>
      <c r="KV176" s="1"/>
      <c r="KW176" s="1"/>
      <c r="KX176" s="1"/>
      <c r="KY176" s="1"/>
      <c r="KZ176" s="1"/>
      <c r="LA176" s="1"/>
      <c r="LB176" s="1"/>
      <c r="LC176" s="1"/>
      <c r="LD176" s="1"/>
      <c r="LE176" s="1"/>
      <c r="LF176" s="1"/>
      <c r="LG176" s="1"/>
      <c r="LH176" s="1"/>
      <c r="LI176" s="1"/>
      <c r="LJ176" s="1"/>
      <c r="LK176" s="1"/>
      <c r="LL176" s="1"/>
      <c r="LM176" s="1"/>
      <c r="LN176" s="1"/>
      <c r="LO176" s="1"/>
      <c r="LP176" s="1"/>
      <c r="LQ176" s="1"/>
      <c r="LR176" s="1"/>
      <c r="LS176" s="1"/>
      <c r="LT176" s="1"/>
      <c r="LU176" s="1"/>
      <c r="LV176" s="1"/>
      <c r="LW176" s="1"/>
      <c r="LX176" s="1"/>
      <c r="LY176" s="1"/>
      <c r="LZ176" s="1"/>
      <c r="MA176" s="1"/>
      <c r="MB176" s="1"/>
      <c r="MC176" s="1"/>
      <c r="MD176" s="1"/>
      <c r="ME176" s="1"/>
      <c r="MF176" s="1"/>
      <c r="MG176" s="1"/>
      <c r="MH176" s="1"/>
      <c r="MI176" s="1"/>
      <c r="MJ176" s="1"/>
      <c r="MK176" s="1"/>
      <c r="ML176" s="1"/>
      <c r="MM176" s="1"/>
      <c r="MN176" s="1"/>
      <c r="MO176" s="1"/>
      <c r="MP176" s="1"/>
      <c r="MQ176" s="1"/>
      <c r="MR176" s="1"/>
      <c r="MS176" s="1"/>
      <c r="MT176" s="1"/>
      <c r="MU176" s="1"/>
      <c r="MV176" s="1"/>
      <c r="MW176" s="1"/>
      <c r="MX176" s="1"/>
      <c r="MY176" s="1"/>
      <c r="MZ176" s="1"/>
      <c r="NA176" s="1"/>
      <c r="NB176" s="1"/>
      <c r="NC176" s="1"/>
      <c r="ND176" s="1"/>
      <c r="NE176" s="1"/>
      <c r="NF176" s="1"/>
      <c r="NG176" s="1"/>
      <c r="NH176" s="1"/>
      <c r="NI176" s="1"/>
      <c r="NJ176" s="1"/>
      <c r="NK176" s="1"/>
      <c r="NL176" s="1"/>
      <c r="NM176" s="1"/>
      <c r="NN176" s="1"/>
      <c r="NO176" s="1"/>
      <c r="NP176" s="1"/>
      <c r="NQ176" s="1"/>
      <c r="NR176" s="1"/>
      <c r="NS176" s="1"/>
      <c r="NT176" s="1"/>
      <c r="NU176" s="1"/>
      <c r="NV176" s="1"/>
      <c r="NW176" s="1"/>
      <c r="NX176" s="1"/>
      <c r="NY176" s="1"/>
      <c r="NZ176" s="1"/>
      <c r="OA176" s="1"/>
      <c r="OB176" s="1"/>
      <c r="OC176" s="1"/>
      <c r="OD176" s="1"/>
      <c r="OE176" s="1"/>
      <c r="OF176" s="1"/>
      <c r="OG176" s="1"/>
      <c r="OH176" s="1"/>
      <c r="OI176" s="1"/>
      <c r="OJ176" s="1"/>
      <c r="OK176" s="1"/>
      <c r="OL176" s="1"/>
      <c r="OM176" s="1"/>
      <c r="ON176" s="1"/>
      <c r="OO176" s="1"/>
      <c r="OP176" s="1"/>
      <c r="OQ176" s="1"/>
      <c r="OR176" s="1"/>
      <c r="OS176" s="1"/>
      <c r="OT176" s="1"/>
      <c r="OU176" s="1"/>
      <c r="OV176" s="1"/>
      <c r="OW176" s="1"/>
      <c r="OX176" s="1"/>
      <c r="OY176" s="1"/>
      <c r="OZ176" s="1"/>
      <c r="PA176" s="1"/>
      <c r="PB176" s="1"/>
      <c r="PC176" s="1"/>
      <c r="PD176" s="1"/>
      <c r="PE176" s="1"/>
      <c r="PF176" s="1"/>
      <c r="PG176" s="1"/>
      <c r="PH176" s="1"/>
      <c r="PI176" s="1"/>
      <c r="PJ176" s="1"/>
      <c r="PK176" s="1"/>
      <c r="PL176" s="1"/>
      <c r="PM176" s="1"/>
      <c r="PN176" s="1"/>
      <c r="PO176" s="1"/>
      <c r="PP176" s="1"/>
      <c r="PQ176" s="1"/>
      <c r="PR176" s="1"/>
      <c r="PS176" s="1"/>
      <c r="PT176" s="1"/>
      <c r="PU176" s="1"/>
      <c r="PV176" s="1"/>
      <c r="PW176" s="1"/>
      <c r="PX176" s="1"/>
      <c r="PY176" s="1"/>
      <c r="PZ176" s="1"/>
      <c r="QA176" s="1"/>
      <c r="QB176" s="1"/>
      <c r="QC176" s="1"/>
      <c r="QD176" s="1"/>
      <c r="QE176" s="1"/>
      <c r="QF176" s="1"/>
      <c r="QG176" s="1"/>
      <c r="QH176" s="1"/>
      <c r="QI176" s="1"/>
      <c r="QJ176" s="1"/>
      <c r="QK176" s="1"/>
      <c r="QL176" s="1"/>
      <c r="QM176" s="1"/>
      <c r="QN176" s="1"/>
      <c r="QO176" s="1"/>
      <c r="QP176" s="1"/>
      <c r="QQ176" s="1"/>
      <c r="QR176" s="1"/>
      <c r="QS176" s="1"/>
      <c r="QT176" s="1"/>
      <c r="QU176" s="1"/>
      <c r="QV176" s="1"/>
      <c r="QW176" s="1"/>
      <c r="QX176" s="1"/>
      <c r="QY176" s="1"/>
      <c r="QZ176" s="1"/>
      <c r="RA176" s="1"/>
      <c r="RB176" s="1"/>
      <c r="RC176" s="1"/>
      <c r="RD176" s="1"/>
      <c r="RE176" s="1"/>
      <c r="RF176" s="1"/>
      <c r="RG176" s="1"/>
      <c r="RH176" s="1"/>
      <c r="RI176" s="1"/>
      <c r="RJ176" s="1"/>
      <c r="RK176" s="1"/>
      <c r="RL176" s="1"/>
      <c r="RM176" s="1"/>
      <c r="RN176" s="1"/>
      <c r="RO176" s="1"/>
      <c r="RP176" s="1"/>
      <c r="RQ176" s="1"/>
      <c r="RR176" s="1"/>
      <c r="RS176" s="1"/>
      <c r="RT176" s="1"/>
      <c r="RU176" s="1"/>
      <c r="RV176" s="1"/>
      <c r="RW176" s="1"/>
      <c r="RX176" s="1"/>
      <c r="RY176" s="1"/>
      <c r="RZ176" s="1"/>
      <c r="SA176" s="1"/>
      <c r="SB176" s="1"/>
      <c r="SC176" s="1"/>
      <c r="SD176" s="1"/>
      <c r="SE176" s="1"/>
      <c r="SF176" s="1"/>
      <c r="SG176" s="1"/>
      <c r="SH176" s="1"/>
      <c r="SI176" s="1"/>
      <c r="SJ176" s="1"/>
      <c r="SK176" s="1"/>
      <c r="SL176" s="1"/>
      <c r="SM176" s="1"/>
      <c r="SN176" s="1"/>
      <c r="SO176" s="1"/>
      <c r="SP176" s="1"/>
      <c r="SQ176" s="1"/>
      <c r="SR176" s="1"/>
      <c r="SS176" s="1"/>
      <c r="ST176" s="1"/>
      <c r="SU176" s="1"/>
      <c r="SV176" s="1"/>
      <c r="SW176" s="1"/>
      <c r="SX176" s="1"/>
      <c r="SY176" s="1"/>
      <c r="SZ176" s="1"/>
      <c r="TA176" s="1"/>
      <c r="TB176" s="1"/>
      <c r="TC176" s="1"/>
      <c r="TD176" s="1"/>
      <c r="TE176" s="1"/>
      <c r="TF176" s="1"/>
      <c r="TG176" s="1"/>
      <c r="TH176" s="1"/>
      <c r="TI176" s="1"/>
      <c r="TJ176" s="1"/>
      <c r="TK176" s="1"/>
      <c r="TL176" s="1"/>
      <c r="TM176" s="1"/>
      <c r="TN176" s="1"/>
      <c r="TO176" s="1"/>
      <c r="TP176" s="1"/>
      <c r="TQ176" s="1"/>
      <c r="TR176" s="1"/>
      <c r="TS176" s="1"/>
      <c r="TT176" s="1"/>
      <c r="TU176" s="1"/>
      <c r="TV176" s="1"/>
      <c r="TW176" s="1"/>
      <c r="TX176" s="1"/>
      <c r="TY176" s="1"/>
      <c r="TZ176" s="1"/>
      <c r="UA176" s="1"/>
      <c r="UB176" s="1"/>
      <c r="UC176" s="1"/>
      <c r="UD176" s="1"/>
      <c r="UE176" s="1"/>
      <c r="UF176" s="1"/>
      <c r="UG176" s="1"/>
      <c r="UH176" s="1"/>
      <c r="UI176" s="1"/>
    </row>
    <row r="177" spans="1:555" ht="81">
      <c r="A177" s="296">
        <v>188</v>
      </c>
      <c r="B177" s="297" t="s">
        <v>2307</v>
      </c>
      <c r="C177" s="298">
        <v>8437066</v>
      </c>
      <c r="D177" s="354" t="s">
        <v>333</v>
      </c>
      <c r="E177" s="299">
        <v>42296</v>
      </c>
      <c r="F177" s="300">
        <v>42278</v>
      </c>
      <c r="G177" s="301" t="s">
        <v>2308</v>
      </c>
      <c r="H177" s="297" t="s">
        <v>195</v>
      </c>
      <c r="I177" s="297" t="s">
        <v>183</v>
      </c>
      <c r="J177" s="299">
        <v>42328</v>
      </c>
      <c r="K177" s="300">
        <v>42309</v>
      </c>
      <c r="L177" s="301" t="s">
        <v>2309</v>
      </c>
      <c r="M177" s="297" t="s">
        <v>5</v>
      </c>
      <c r="N177" s="297" t="s">
        <v>101</v>
      </c>
      <c r="O177" s="299"/>
      <c r="P177" s="302"/>
      <c r="Q177" s="301"/>
      <c r="R177" s="297"/>
      <c r="S177" s="297"/>
      <c r="T177" s="299"/>
      <c r="U177" s="300"/>
      <c r="V177" s="301"/>
      <c r="W177" s="297"/>
      <c r="X177" s="297"/>
      <c r="Y177" s="299"/>
      <c r="Z177" s="300"/>
      <c r="AA177" s="301"/>
      <c r="AB177" s="297"/>
      <c r="AC177" s="297"/>
      <c r="AD177" s="299"/>
      <c r="AE177" s="300"/>
      <c r="AF177" s="301"/>
      <c r="AG177" s="297"/>
      <c r="AH177" s="297"/>
      <c r="AI177" s="304"/>
      <c r="AJ177" s="300"/>
      <c r="AK177" s="301"/>
      <c r="AL177" s="297"/>
      <c r="AM177" s="297"/>
      <c r="AN177" s="297" t="s">
        <v>1734</v>
      </c>
      <c r="AO177" s="479">
        <v>42328</v>
      </c>
      <c r="AP177" s="297"/>
      <c r="AQ177" s="301" t="s">
        <v>2310</v>
      </c>
      <c r="AR177" s="297" t="s">
        <v>161</v>
      </c>
      <c r="AS177" s="299">
        <v>38783</v>
      </c>
      <c r="AT177" s="299">
        <v>39825</v>
      </c>
      <c r="AU177" s="297" t="s">
        <v>2311</v>
      </c>
      <c r="AV177" s="297"/>
      <c r="AW177" s="297" t="s">
        <v>92</v>
      </c>
      <c r="AX177" s="297" t="s">
        <v>2312</v>
      </c>
      <c r="AY177" s="299">
        <v>41113</v>
      </c>
      <c r="AZ177" s="297" t="s">
        <v>8520</v>
      </c>
      <c r="BA177" s="299">
        <v>42081</v>
      </c>
      <c r="BB177" s="382">
        <v>42118</v>
      </c>
      <c r="BC177" s="297" t="s">
        <v>95</v>
      </c>
      <c r="BD177" s="297" t="s">
        <v>566</v>
      </c>
      <c r="BE177" s="297"/>
      <c r="BF177" s="301" t="s">
        <v>8229</v>
      </c>
      <c r="BG177" s="301" t="s">
        <v>2313</v>
      </c>
      <c r="BH177" s="301" t="s">
        <v>8461</v>
      </c>
      <c r="BI177" s="301"/>
      <c r="BJ177" s="312">
        <f>+[45]MATRIZ!$J$54</f>
        <v>70325840.109218687</v>
      </c>
      <c r="BK177" s="312">
        <v>70325840</v>
      </c>
      <c r="BL177" s="313">
        <v>98470219</v>
      </c>
      <c r="BM177" s="299">
        <v>43581</v>
      </c>
      <c r="BN177" s="314">
        <v>43581</v>
      </c>
      <c r="BO177" s="460"/>
      <c r="BP177" s="390"/>
      <c r="BQ177" s="297"/>
      <c r="BR177" s="303"/>
      <c r="BS177" s="301"/>
      <c r="BT177" s="301"/>
      <c r="BU177" s="301"/>
      <c r="BV177" s="301"/>
      <c r="BW177" s="316"/>
      <c r="BX177" s="304"/>
      <c r="BY177" s="299"/>
      <c r="BZ177" s="317"/>
    </row>
    <row r="178" spans="1:555" ht="73.5" customHeight="1">
      <c r="A178" s="296">
        <v>189</v>
      </c>
      <c r="B178" s="297" t="s">
        <v>2314</v>
      </c>
      <c r="C178" s="298">
        <v>79708946</v>
      </c>
      <c r="D178" s="354" t="s">
        <v>2315</v>
      </c>
      <c r="E178" s="299">
        <v>42296</v>
      </c>
      <c r="F178" s="300">
        <v>42278</v>
      </c>
      <c r="G178" s="301" t="s">
        <v>2316</v>
      </c>
      <c r="H178" s="297" t="s">
        <v>195</v>
      </c>
      <c r="I178" s="297" t="s">
        <v>101</v>
      </c>
      <c r="J178" s="299">
        <v>42569</v>
      </c>
      <c r="K178" s="300">
        <v>42552</v>
      </c>
      <c r="L178" s="301" t="s">
        <v>2317</v>
      </c>
      <c r="M178" s="297" t="s">
        <v>5</v>
      </c>
      <c r="N178" s="297" t="s">
        <v>336</v>
      </c>
      <c r="O178" s="299">
        <v>42886</v>
      </c>
      <c r="P178" s="302">
        <v>42856</v>
      </c>
      <c r="Q178" s="301" t="s">
        <v>2318</v>
      </c>
      <c r="R178" s="297" t="s">
        <v>208</v>
      </c>
      <c r="S178" s="297" t="s">
        <v>1200</v>
      </c>
      <c r="T178" s="299">
        <v>42934</v>
      </c>
      <c r="U178" s="300">
        <v>42917</v>
      </c>
      <c r="V178" s="301" t="s">
        <v>2319</v>
      </c>
      <c r="W178" s="297" t="s">
        <v>5</v>
      </c>
      <c r="X178" s="297" t="s">
        <v>2320</v>
      </c>
      <c r="Y178" s="299">
        <v>43138</v>
      </c>
      <c r="Z178" s="300">
        <v>43132</v>
      </c>
      <c r="AA178" s="301" t="s">
        <v>2321</v>
      </c>
      <c r="AB178" s="297" t="s">
        <v>5</v>
      </c>
      <c r="AC178" s="297" t="s">
        <v>2322</v>
      </c>
      <c r="AD178" s="305">
        <v>43256</v>
      </c>
      <c r="AE178" s="300">
        <v>43252</v>
      </c>
      <c r="AF178" s="308" t="s">
        <v>2323</v>
      </c>
      <c r="AG178" s="297" t="s">
        <v>5</v>
      </c>
      <c r="AH178" s="303" t="s">
        <v>1938</v>
      </c>
      <c r="AI178" s="305" t="s">
        <v>10482</v>
      </c>
      <c r="AJ178" s="300" t="s">
        <v>10483</v>
      </c>
      <c r="AK178" s="308" t="s">
        <v>10481</v>
      </c>
      <c r="AL178" s="297" t="s">
        <v>3574</v>
      </c>
      <c r="AM178" s="303" t="s">
        <v>10484</v>
      </c>
      <c r="AN178" s="297" t="s">
        <v>2324</v>
      </c>
      <c r="AO178" s="473"/>
      <c r="AP178" s="297"/>
      <c r="AQ178" s="301" t="s">
        <v>2325</v>
      </c>
      <c r="AR178" s="297" t="s">
        <v>66</v>
      </c>
      <c r="AS178" s="299">
        <v>39565</v>
      </c>
      <c r="AT178" s="299">
        <v>40144</v>
      </c>
      <c r="AU178" s="297" t="s">
        <v>2326</v>
      </c>
      <c r="AV178" s="297"/>
      <c r="AW178" s="297" t="s">
        <v>92</v>
      </c>
      <c r="AX178" s="297" t="s">
        <v>2327</v>
      </c>
      <c r="AY178" s="299">
        <v>41928</v>
      </c>
      <c r="AZ178" s="297" t="s">
        <v>67</v>
      </c>
      <c r="BA178" s="299" t="s">
        <v>67</v>
      </c>
      <c r="BB178" s="382">
        <v>42020</v>
      </c>
      <c r="BC178" s="297" t="s">
        <v>95</v>
      </c>
      <c r="BD178" s="297" t="s">
        <v>566</v>
      </c>
      <c r="BE178" s="297"/>
      <c r="BF178" s="301"/>
      <c r="BG178" s="301"/>
      <c r="BH178" s="301" t="s">
        <v>2328</v>
      </c>
      <c r="BI178" s="301"/>
      <c r="BJ178" s="312">
        <v>44828848</v>
      </c>
      <c r="BK178" s="312">
        <v>44828848</v>
      </c>
      <c r="BL178" s="313">
        <v>160757218</v>
      </c>
      <c r="BM178" s="299">
        <v>43250</v>
      </c>
      <c r="BN178" s="314">
        <v>43221</v>
      </c>
      <c r="BO178" s="434" t="s">
        <v>2329</v>
      </c>
      <c r="BP178" s="397"/>
      <c r="BQ178" s="398"/>
      <c r="BR178" s="320"/>
      <c r="BS178" s="301"/>
      <c r="BT178" s="301"/>
      <c r="BU178" s="301"/>
      <c r="BV178" s="301"/>
      <c r="BW178" s="316"/>
      <c r="BX178" s="304"/>
      <c r="BY178" s="299"/>
      <c r="BZ178" s="317"/>
    </row>
    <row r="179" spans="1:555" ht="216">
      <c r="A179" s="296">
        <v>190</v>
      </c>
      <c r="B179" s="297" t="s">
        <v>2330</v>
      </c>
      <c r="C179" s="298">
        <v>17330672</v>
      </c>
      <c r="D179" s="354" t="s">
        <v>1525</v>
      </c>
      <c r="E179" s="299">
        <v>42298</v>
      </c>
      <c r="F179" s="300">
        <v>42278</v>
      </c>
      <c r="G179" s="301" t="s">
        <v>2331</v>
      </c>
      <c r="H179" s="297" t="s">
        <v>5</v>
      </c>
      <c r="I179" s="297" t="s">
        <v>101</v>
      </c>
      <c r="J179" s="299">
        <v>42495</v>
      </c>
      <c r="K179" s="300">
        <v>42491</v>
      </c>
      <c r="L179" s="301" t="s">
        <v>2332</v>
      </c>
      <c r="M179" s="297" t="s">
        <v>286</v>
      </c>
      <c r="N179" s="297" t="s">
        <v>336</v>
      </c>
      <c r="O179" s="299">
        <v>42821</v>
      </c>
      <c r="P179" s="302">
        <v>42795</v>
      </c>
      <c r="Q179" s="301" t="s">
        <v>2333</v>
      </c>
      <c r="R179" s="297" t="s">
        <v>5</v>
      </c>
      <c r="S179" s="297" t="s">
        <v>336</v>
      </c>
      <c r="T179" s="299">
        <v>43164</v>
      </c>
      <c r="U179" s="300">
        <v>43160</v>
      </c>
      <c r="V179" s="301" t="s">
        <v>2334</v>
      </c>
      <c r="W179" s="297" t="s">
        <v>208</v>
      </c>
      <c r="X179" s="297" t="s">
        <v>107</v>
      </c>
      <c r="Y179" s="305">
        <v>43306</v>
      </c>
      <c r="Z179" s="300">
        <v>43306</v>
      </c>
      <c r="AA179" s="315" t="s">
        <v>1537</v>
      </c>
      <c r="AB179" s="297" t="s">
        <v>286</v>
      </c>
      <c r="AC179" s="297" t="s">
        <v>107</v>
      </c>
      <c r="AD179" s="299">
        <v>43364</v>
      </c>
      <c r="AE179" s="300">
        <v>43364</v>
      </c>
      <c r="AF179" s="537" t="s">
        <v>2335</v>
      </c>
      <c r="AG179" s="297" t="s">
        <v>208</v>
      </c>
      <c r="AH179" s="537" t="s">
        <v>2336</v>
      </c>
      <c r="AI179" s="299" t="s">
        <v>8676</v>
      </c>
      <c r="AJ179" s="300" t="s">
        <v>8677</v>
      </c>
      <c r="AK179" s="301" t="s">
        <v>8678</v>
      </c>
      <c r="AL179" s="297" t="s">
        <v>8679</v>
      </c>
      <c r="AM179" s="297" t="s">
        <v>8680</v>
      </c>
      <c r="AN179" s="297" t="s">
        <v>1734</v>
      </c>
      <c r="AO179" s="479">
        <v>42495</v>
      </c>
      <c r="AP179" s="297"/>
      <c r="AQ179" s="301" t="s">
        <v>2337</v>
      </c>
      <c r="AR179" s="297" t="s">
        <v>161</v>
      </c>
      <c r="AS179" s="299">
        <v>37050</v>
      </c>
      <c r="AT179" s="299">
        <v>39813</v>
      </c>
      <c r="AU179" s="297" t="s">
        <v>8124</v>
      </c>
      <c r="AV179" s="297"/>
      <c r="AW179" s="297" t="s">
        <v>92</v>
      </c>
      <c r="AX179" s="297" t="s">
        <v>2338</v>
      </c>
      <c r="AY179" s="299">
        <v>42066</v>
      </c>
      <c r="AZ179" s="297" t="s">
        <v>67</v>
      </c>
      <c r="BA179" s="299" t="s">
        <v>67</v>
      </c>
      <c r="BB179" s="382">
        <v>42103</v>
      </c>
      <c r="BC179" s="297" t="s">
        <v>95</v>
      </c>
      <c r="BD179" s="297" t="s">
        <v>566</v>
      </c>
      <c r="BE179" s="297"/>
      <c r="BF179" s="301"/>
      <c r="BG179" s="301" t="s">
        <v>2339</v>
      </c>
      <c r="BH179" s="301" t="s">
        <v>8464</v>
      </c>
      <c r="BI179" s="301"/>
      <c r="BJ179" s="312">
        <f>+[46]MATRIZ!$J$68</f>
        <v>230555742.69000617</v>
      </c>
      <c r="BK179" s="312">
        <v>229313134</v>
      </c>
      <c r="BL179" s="313">
        <v>98482719</v>
      </c>
      <c r="BM179" s="299">
        <v>43581</v>
      </c>
      <c r="BN179" s="314">
        <v>43581</v>
      </c>
      <c r="BO179" s="531" t="s">
        <v>8572</v>
      </c>
      <c r="BP179" s="390"/>
      <c r="BQ179" s="297"/>
      <c r="BR179" s="303"/>
      <c r="BS179" s="301"/>
      <c r="BT179" s="301"/>
      <c r="BU179" s="301"/>
      <c r="BV179" s="301"/>
      <c r="BW179" s="316"/>
      <c r="BX179" s="304"/>
      <c r="BY179" s="299"/>
      <c r="BZ179" s="317"/>
    </row>
    <row r="180" spans="1:555" ht="145.5" customHeight="1">
      <c r="A180" s="296">
        <v>191</v>
      </c>
      <c r="B180" s="297" t="s">
        <v>2340</v>
      </c>
      <c r="C180" s="298" t="s">
        <v>2341</v>
      </c>
      <c r="D180" s="354" t="s">
        <v>2342</v>
      </c>
      <c r="E180" s="299">
        <v>42303</v>
      </c>
      <c r="F180" s="300">
        <v>42278</v>
      </c>
      <c r="G180" s="301" t="s">
        <v>2343</v>
      </c>
      <c r="H180" s="297" t="s">
        <v>5</v>
      </c>
      <c r="I180" s="297" t="s">
        <v>1114</v>
      </c>
      <c r="J180" s="299">
        <v>42485</v>
      </c>
      <c r="K180" s="300">
        <v>42461</v>
      </c>
      <c r="L180" s="301" t="s">
        <v>2344</v>
      </c>
      <c r="M180" s="297" t="s">
        <v>171</v>
      </c>
      <c r="N180" s="297" t="s">
        <v>1807</v>
      </c>
      <c r="O180" s="299">
        <v>42620</v>
      </c>
      <c r="P180" s="302">
        <v>42614</v>
      </c>
      <c r="Q180" s="301" t="s">
        <v>2345</v>
      </c>
      <c r="R180" s="297" t="s">
        <v>2346</v>
      </c>
      <c r="S180" s="297" t="s">
        <v>2347</v>
      </c>
      <c r="T180" s="299">
        <v>42760</v>
      </c>
      <c r="U180" s="300">
        <v>42736</v>
      </c>
      <c r="V180" s="301" t="s">
        <v>2348</v>
      </c>
      <c r="W180" s="297" t="s">
        <v>2346</v>
      </c>
      <c r="X180" s="297" t="s">
        <v>2349</v>
      </c>
      <c r="Y180" s="299">
        <v>42795</v>
      </c>
      <c r="Z180" s="300">
        <v>42795</v>
      </c>
      <c r="AA180" s="301" t="s">
        <v>2350</v>
      </c>
      <c r="AB180" s="297" t="s">
        <v>2351</v>
      </c>
      <c r="AC180" s="297" t="s">
        <v>2352</v>
      </c>
      <c r="AD180" s="299" t="s">
        <v>2353</v>
      </c>
      <c r="AE180" s="300" t="s">
        <v>2354</v>
      </c>
      <c r="AF180" s="301" t="s">
        <v>2355</v>
      </c>
      <c r="AG180" s="297" t="s">
        <v>2356</v>
      </c>
      <c r="AH180" s="297" t="s">
        <v>2357</v>
      </c>
      <c r="AI180" s="304"/>
      <c r="AJ180" s="300"/>
      <c r="AK180" s="301"/>
      <c r="AL180" s="297"/>
      <c r="AM180" s="297"/>
      <c r="AN180" s="297"/>
      <c r="AO180" s="473"/>
      <c r="AP180" s="297"/>
      <c r="AQ180" s="301" t="s">
        <v>2358</v>
      </c>
      <c r="AR180" s="297" t="s">
        <v>66</v>
      </c>
      <c r="AS180" s="299" t="s">
        <v>67</v>
      </c>
      <c r="AT180" s="299" t="s">
        <v>67</v>
      </c>
      <c r="AU180" s="297" t="s">
        <v>2359</v>
      </c>
      <c r="AV180" s="297"/>
      <c r="AW180" s="297" t="s">
        <v>92</v>
      </c>
      <c r="AX180" s="297" t="s">
        <v>2360</v>
      </c>
      <c r="AY180" s="299">
        <v>41954</v>
      </c>
      <c r="AZ180" s="297" t="s">
        <v>736</v>
      </c>
      <c r="BA180" s="299">
        <v>42270</v>
      </c>
      <c r="BB180" s="382">
        <v>42277</v>
      </c>
      <c r="BC180" s="303" t="s">
        <v>561</v>
      </c>
      <c r="BD180" s="303" t="s">
        <v>566</v>
      </c>
      <c r="BE180" s="297" t="s">
        <v>2361</v>
      </c>
      <c r="BF180" s="301"/>
      <c r="BG180" s="301"/>
      <c r="BH180" s="301" t="s">
        <v>2362</v>
      </c>
      <c r="BI180" s="301"/>
      <c r="BJ180" s="312" t="s">
        <v>2363</v>
      </c>
      <c r="BK180" s="312" t="s">
        <v>2364</v>
      </c>
      <c r="BL180" s="313" t="s">
        <v>2365</v>
      </c>
      <c r="BM180" s="299" t="s">
        <v>2366</v>
      </c>
      <c r="BN180" s="314">
        <v>43101</v>
      </c>
      <c r="BO180" s="434" t="s">
        <v>2367</v>
      </c>
      <c r="BP180" s="397"/>
      <c r="BQ180" s="398"/>
      <c r="BR180" s="320"/>
      <c r="BS180" s="301"/>
      <c r="BT180" s="301"/>
      <c r="BU180" s="301"/>
      <c r="BV180" s="301"/>
      <c r="BW180" s="316"/>
      <c r="BX180" s="304"/>
      <c r="BY180" s="299"/>
      <c r="BZ180" s="317"/>
    </row>
    <row r="181" spans="1:555" ht="111.75" customHeight="1">
      <c r="A181" s="296">
        <v>192</v>
      </c>
      <c r="B181" s="297" t="s">
        <v>2368</v>
      </c>
      <c r="C181" s="298">
        <v>77171054</v>
      </c>
      <c r="D181" s="354" t="s">
        <v>1647</v>
      </c>
      <c r="E181" s="299">
        <v>42304</v>
      </c>
      <c r="F181" s="300">
        <v>42278</v>
      </c>
      <c r="G181" s="301" t="s">
        <v>2369</v>
      </c>
      <c r="H181" s="297" t="s">
        <v>5</v>
      </c>
      <c r="I181" s="297" t="s">
        <v>101</v>
      </c>
      <c r="J181" s="299">
        <v>42647</v>
      </c>
      <c r="K181" s="300">
        <v>42644</v>
      </c>
      <c r="L181" s="301" t="s">
        <v>1699</v>
      </c>
      <c r="M181" s="297" t="s">
        <v>5</v>
      </c>
      <c r="N181" s="297" t="s">
        <v>85</v>
      </c>
      <c r="O181" s="299">
        <v>44172</v>
      </c>
      <c r="P181" s="300">
        <v>44172</v>
      </c>
      <c r="Q181" s="301" t="s">
        <v>9790</v>
      </c>
      <c r="R181" s="297" t="s">
        <v>5</v>
      </c>
      <c r="S181" s="297" t="s">
        <v>79</v>
      </c>
      <c r="T181" s="299"/>
      <c r="U181" s="300"/>
      <c r="V181" s="301"/>
      <c r="W181" s="297"/>
      <c r="X181" s="297"/>
      <c r="Y181" s="299"/>
      <c r="Z181" s="300"/>
      <c r="AA181" s="301"/>
      <c r="AB181" s="297"/>
      <c r="AC181" s="297"/>
      <c r="AD181" s="299"/>
      <c r="AE181" s="300"/>
      <c r="AF181" s="301"/>
      <c r="AG181" s="297"/>
      <c r="AH181" s="297"/>
      <c r="AI181" s="304"/>
      <c r="AJ181" s="300"/>
      <c r="AK181" s="301"/>
      <c r="AL181" s="297"/>
      <c r="AM181" s="297"/>
      <c r="AN181" s="297" t="s">
        <v>2370</v>
      </c>
      <c r="AO181" s="473"/>
      <c r="AP181" s="297"/>
      <c r="AQ181" s="301" t="s">
        <v>2371</v>
      </c>
      <c r="AR181" s="297" t="s">
        <v>66</v>
      </c>
      <c r="AS181" s="299">
        <v>38601</v>
      </c>
      <c r="AT181" s="299">
        <v>40633</v>
      </c>
      <c r="AU181" s="297" t="s">
        <v>2372</v>
      </c>
      <c r="AV181" s="297"/>
      <c r="AW181" s="297" t="s">
        <v>69</v>
      </c>
      <c r="AX181" s="297" t="s">
        <v>1703</v>
      </c>
      <c r="AY181" s="299">
        <v>41732</v>
      </c>
      <c r="AZ181" s="297" t="s">
        <v>612</v>
      </c>
      <c r="BA181" s="299">
        <v>42173</v>
      </c>
      <c r="BB181" s="382">
        <v>42180</v>
      </c>
      <c r="BC181" s="297" t="s">
        <v>95</v>
      </c>
      <c r="BD181" s="297" t="s">
        <v>566</v>
      </c>
      <c r="BE181" s="297"/>
      <c r="BF181" s="301"/>
      <c r="BG181" s="301"/>
      <c r="BH181" s="301" t="s">
        <v>2373</v>
      </c>
      <c r="BI181" s="301"/>
      <c r="BJ181" s="312">
        <v>184426196</v>
      </c>
      <c r="BK181" s="312">
        <v>184426196</v>
      </c>
      <c r="BL181" s="313" t="s">
        <v>2374</v>
      </c>
      <c r="BM181" s="299">
        <v>43118</v>
      </c>
      <c r="BN181" s="314">
        <v>43101</v>
      </c>
      <c r="BO181" s="434" t="s">
        <v>1706</v>
      </c>
      <c r="BP181" s="396">
        <v>28421900</v>
      </c>
      <c r="BQ181" s="336" t="s">
        <v>7477</v>
      </c>
      <c r="BR181" s="320"/>
      <c r="BS181" s="308"/>
      <c r="BT181" s="301"/>
      <c r="BU181" s="301"/>
      <c r="BV181" s="301"/>
      <c r="BW181" s="316"/>
      <c r="BX181" s="304"/>
      <c r="BY181" s="299"/>
      <c r="BZ181" s="317"/>
    </row>
    <row r="182" spans="1:555" ht="141" customHeight="1">
      <c r="A182" s="296">
        <v>198</v>
      </c>
      <c r="B182" s="303" t="s">
        <v>2419</v>
      </c>
      <c r="C182" s="298">
        <v>16940554</v>
      </c>
      <c r="D182" s="354" t="s">
        <v>747</v>
      </c>
      <c r="E182" s="299">
        <v>42326</v>
      </c>
      <c r="F182" s="300">
        <v>42339</v>
      </c>
      <c r="G182" s="308" t="s">
        <v>2020</v>
      </c>
      <c r="H182" s="303" t="s">
        <v>5</v>
      </c>
      <c r="I182" s="303" t="s">
        <v>131</v>
      </c>
      <c r="J182" s="299">
        <v>43173</v>
      </c>
      <c r="K182" s="300">
        <v>43160</v>
      </c>
      <c r="L182" s="301" t="s">
        <v>2420</v>
      </c>
      <c r="M182" s="297" t="s">
        <v>5</v>
      </c>
      <c r="N182" s="297" t="s">
        <v>287</v>
      </c>
      <c r="O182" s="299"/>
      <c r="P182" s="302"/>
      <c r="Q182" s="308"/>
      <c r="R182" s="303"/>
      <c r="S182" s="303"/>
      <c r="T182" s="299"/>
      <c r="U182" s="314"/>
      <c r="V182" s="308"/>
      <c r="W182" s="303"/>
      <c r="X182" s="303"/>
      <c r="Y182" s="299"/>
      <c r="Z182" s="314"/>
      <c r="AA182" s="308"/>
      <c r="AB182" s="303"/>
      <c r="AC182" s="303"/>
      <c r="AD182" s="305"/>
      <c r="AE182" s="314"/>
      <c r="AF182" s="308"/>
      <c r="AG182" s="297"/>
      <c r="AH182" s="297"/>
      <c r="AI182" s="304"/>
      <c r="AJ182" s="300"/>
      <c r="AK182" s="301"/>
      <c r="AL182" s="297"/>
      <c r="AM182" s="297"/>
      <c r="AN182" s="297"/>
      <c r="AO182" s="473"/>
      <c r="AP182" s="297"/>
      <c r="AQ182" s="308" t="s">
        <v>7573</v>
      </c>
      <c r="AR182" s="297" t="s">
        <v>66</v>
      </c>
      <c r="AS182" s="299">
        <v>39264</v>
      </c>
      <c r="AT182" s="299">
        <v>39366</v>
      </c>
      <c r="AU182" s="303" t="s">
        <v>2421</v>
      </c>
      <c r="AV182" s="303"/>
      <c r="AW182" s="297" t="s">
        <v>92</v>
      </c>
      <c r="AX182" s="297" t="s">
        <v>2422</v>
      </c>
      <c r="AY182" s="299">
        <v>40500</v>
      </c>
      <c r="AZ182" s="297" t="s">
        <v>2423</v>
      </c>
      <c r="BA182" s="299">
        <v>41676</v>
      </c>
      <c r="BB182" s="382">
        <v>41690</v>
      </c>
      <c r="BC182" s="297" t="s">
        <v>95</v>
      </c>
      <c r="BD182" s="297" t="s">
        <v>566</v>
      </c>
      <c r="BE182" s="297"/>
      <c r="BF182" s="301" t="s">
        <v>988</v>
      </c>
      <c r="BG182" s="301" t="s">
        <v>67</v>
      </c>
      <c r="BH182" s="301" t="s">
        <v>2424</v>
      </c>
      <c r="BI182" s="301"/>
      <c r="BJ182" s="312">
        <v>17786669</v>
      </c>
      <c r="BK182" s="312">
        <v>17786669</v>
      </c>
      <c r="BL182" s="313" t="s">
        <v>2425</v>
      </c>
      <c r="BM182" s="299">
        <v>43112</v>
      </c>
      <c r="BN182" s="314">
        <v>43101</v>
      </c>
      <c r="BO182" s="434" t="s">
        <v>2426</v>
      </c>
      <c r="BP182" s="397"/>
      <c r="BQ182" s="398"/>
      <c r="BR182" s="320"/>
      <c r="BS182" s="301"/>
      <c r="BT182" s="301"/>
      <c r="BU182" s="301"/>
      <c r="BV182" s="301"/>
      <c r="BW182" s="316"/>
      <c r="BX182" s="304"/>
      <c r="BY182" s="299"/>
      <c r="BZ182" s="317"/>
    </row>
    <row r="183" spans="1:555" ht="135">
      <c r="A183" s="296">
        <v>201</v>
      </c>
      <c r="B183" s="297" t="s">
        <v>2434</v>
      </c>
      <c r="C183" s="298">
        <v>70951681</v>
      </c>
      <c r="D183" s="354" t="s">
        <v>906</v>
      </c>
      <c r="E183" s="299">
        <v>42333</v>
      </c>
      <c r="F183" s="300">
        <v>42309</v>
      </c>
      <c r="G183" s="301" t="s">
        <v>2435</v>
      </c>
      <c r="H183" s="297" t="s">
        <v>625</v>
      </c>
      <c r="I183" s="297" t="s">
        <v>183</v>
      </c>
      <c r="J183" s="299">
        <v>42466</v>
      </c>
      <c r="K183" s="300">
        <v>42461</v>
      </c>
      <c r="L183" s="301" t="s">
        <v>2436</v>
      </c>
      <c r="M183" s="297" t="s">
        <v>171</v>
      </c>
      <c r="N183" s="297" t="s">
        <v>183</v>
      </c>
      <c r="O183" s="299">
        <v>42726</v>
      </c>
      <c r="P183" s="302">
        <v>42705</v>
      </c>
      <c r="Q183" s="301" t="s">
        <v>2437</v>
      </c>
      <c r="R183" s="297" t="s">
        <v>5</v>
      </c>
      <c r="S183" s="297" t="s">
        <v>101</v>
      </c>
      <c r="T183" s="299">
        <v>43181</v>
      </c>
      <c r="U183" s="300" t="s">
        <v>2438</v>
      </c>
      <c r="V183" s="301" t="s">
        <v>2439</v>
      </c>
      <c r="W183" s="297" t="s">
        <v>208</v>
      </c>
      <c r="X183" s="297" t="s">
        <v>1189</v>
      </c>
      <c r="Y183" s="299">
        <v>44084</v>
      </c>
      <c r="Z183" s="300">
        <v>44084</v>
      </c>
      <c r="AA183" s="301" t="s">
        <v>9701</v>
      </c>
      <c r="AB183" s="297" t="s">
        <v>5</v>
      </c>
      <c r="AC183" s="297" t="s">
        <v>1114</v>
      </c>
      <c r="AD183" s="299"/>
      <c r="AE183" s="300"/>
      <c r="AF183" s="301"/>
      <c r="AG183" s="297"/>
      <c r="AH183" s="297"/>
      <c r="AI183" s="304"/>
      <c r="AJ183" s="300"/>
      <c r="AK183" s="301"/>
      <c r="AL183" s="297"/>
      <c r="AM183" s="297"/>
      <c r="AN183" s="297" t="s">
        <v>2440</v>
      </c>
      <c r="AO183" s="554"/>
      <c r="AP183" s="297"/>
      <c r="AQ183" s="301" t="s">
        <v>2441</v>
      </c>
      <c r="AR183" s="297" t="s">
        <v>161</v>
      </c>
      <c r="AS183" s="299" t="s">
        <v>67</v>
      </c>
      <c r="AT183" s="299" t="s">
        <v>67</v>
      </c>
      <c r="AU183" s="297" t="s">
        <v>2442</v>
      </c>
      <c r="AV183" s="297"/>
      <c r="AW183" s="297" t="s">
        <v>69</v>
      </c>
      <c r="AX183" s="297" t="s">
        <v>2443</v>
      </c>
      <c r="AY183" s="299">
        <v>42033</v>
      </c>
      <c r="AZ183" s="297" t="s">
        <v>2444</v>
      </c>
      <c r="BA183" s="299">
        <v>42327</v>
      </c>
      <c r="BB183" s="382">
        <v>42333</v>
      </c>
      <c r="BC183" s="303" t="s">
        <v>912</v>
      </c>
      <c r="BD183" s="303" t="s">
        <v>566</v>
      </c>
      <c r="BE183" s="297"/>
      <c r="BF183" s="301"/>
      <c r="BG183" s="301"/>
      <c r="BH183" s="301" t="s">
        <v>9811</v>
      </c>
      <c r="BI183" s="301"/>
      <c r="BJ183" s="312">
        <f>+[47]MATRIZ!$J$59</f>
        <v>17679258.953870885</v>
      </c>
      <c r="BK183" s="312">
        <f>+[47]MATRIZ!$J$59</f>
        <v>17679258.953870885</v>
      </c>
      <c r="BL183" s="313"/>
      <c r="BM183" s="299"/>
      <c r="BN183" s="314"/>
      <c r="BO183" s="460"/>
      <c r="BP183" s="390"/>
      <c r="BQ183" s="297"/>
      <c r="BR183" s="303"/>
      <c r="BS183" s="301"/>
      <c r="BT183" s="301"/>
      <c r="BU183" s="301"/>
      <c r="BV183" s="301"/>
      <c r="BW183" s="316"/>
      <c r="BX183" s="304"/>
      <c r="BY183" s="299"/>
      <c r="BZ183" s="317"/>
      <c r="CA183" s="509"/>
      <c r="CB183" s="509"/>
      <c r="CC183" s="509"/>
      <c r="CD183" s="509"/>
      <c r="CE183" s="509"/>
      <c r="CF183" s="509"/>
      <c r="CG183" s="509"/>
      <c r="CH183" s="509"/>
      <c r="CI183" s="509"/>
      <c r="CJ183" s="509"/>
      <c r="CK183" s="509"/>
      <c r="CL183" s="509"/>
      <c r="CM183" s="509"/>
      <c r="CN183" s="509"/>
      <c r="CO183" s="509"/>
      <c r="CP183" s="509"/>
      <c r="CQ183" s="509"/>
      <c r="CR183" s="509"/>
      <c r="CS183" s="509"/>
      <c r="CT183" s="509"/>
      <c r="CU183" s="509"/>
      <c r="CV183" s="509"/>
      <c r="CW183" s="509"/>
      <c r="CX183" s="509"/>
      <c r="CY183" s="509"/>
      <c r="CZ183" s="509"/>
      <c r="DA183" s="509"/>
      <c r="DB183" s="509"/>
      <c r="DC183" s="509"/>
      <c r="DD183" s="509"/>
      <c r="DE183" s="509"/>
      <c r="DF183" s="509"/>
      <c r="DG183" s="509"/>
      <c r="DH183" s="509"/>
      <c r="DI183" s="509"/>
      <c r="DJ183" s="509"/>
      <c r="DK183" s="509"/>
      <c r="DL183" s="509"/>
      <c r="DM183" s="509"/>
      <c r="DN183" s="509"/>
      <c r="DO183" s="509"/>
      <c r="DP183" s="509"/>
      <c r="DQ183" s="509"/>
      <c r="DR183" s="509"/>
      <c r="DS183" s="509"/>
      <c r="DT183" s="509"/>
      <c r="DU183" s="509"/>
      <c r="DV183" s="509"/>
      <c r="DW183" s="509"/>
      <c r="DX183" s="509"/>
      <c r="DY183" s="509"/>
      <c r="DZ183" s="509"/>
      <c r="EA183" s="509"/>
      <c r="EB183" s="509"/>
      <c r="EC183" s="509"/>
      <c r="ED183" s="509"/>
      <c r="EE183" s="509"/>
      <c r="EF183" s="509"/>
      <c r="EG183" s="509"/>
      <c r="EH183" s="509"/>
      <c r="EI183" s="509"/>
      <c r="EJ183" s="509"/>
      <c r="EK183" s="509"/>
      <c r="EL183" s="509"/>
      <c r="EM183" s="509"/>
      <c r="EN183" s="509"/>
      <c r="EO183" s="509"/>
      <c r="EP183" s="509"/>
      <c r="EQ183" s="509"/>
      <c r="ER183" s="509"/>
      <c r="ES183" s="509"/>
      <c r="ET183" s="509"/>
      <c r="EU183" s="509"/>
      <c r="EV183" s="509"/>
      <c r="EW183" s="509"/>
      <c r="EX183" s="509"/>
      <c r="EY183" s="509"/>
      <c r="EZ183" s="509"/>
      <c r="FA183" s="509"/>
      <c r="FB183" s="509"/>
      <c r="FC183" s="509"/>
      <c r="FD183" s="509"/>
      <c r="FE183" s="509"/>
      <c r="FF183" s="509"/>
      <c r="FG183" s="509"/>
      <c r="FH183" s="509"/>
      <c r="FI183" s="509"/>
      <c r="FJ183" s="509"/>
      <c r="FK183" s="509"/>
      <c r="FL183" s="509"/>
      <c r="FM183" s="509"/>
      <c r="FN183" s="509"/>
      <c r="FO183" s="509"/>
      <c r="FP183" s="509"/>
      <c r="FQ183" s="509"/>
      <c r="FR183" s="509"/>
      <c r="FS183" s="509"/>
      <c r="FT183" s="509"/>
      <c r="FU183" s="509"/>
      <c r="FV183" s="509"/>
      <c r="FW183" s="509"/>
      <c r="FX183" s="509"/>
      <c r="FY183" s="509"/>
      <c r="FZ183" s="509"/>
      <c r="GA183" s="509"/>
      <c r="GB183" s="509"/>
      <c r="GC183" s="509"/>
      <c r="GD183" s="509"/>
      <c r="GE183" s="509"/>
      <c r="GF183" s="509"/>
      <c r="GG183" s="509"/>
      <c r="GH183" s="509"/>
      <c r="GI183" s="509"/>
      <c r="GJ183" s="509"/>
      <c r="GK183" s="509"/>
      <c r="GL183" s="509"/>
      <c r="GM183" s="509"/>
      <c r="GN183" s="509"/>
      <c r="GO183" s="509"/>
      <c r="GP183" s="509"/>
      <c r="GQ183" s="509"/>
      <c r="GR183" s="509"/>
      <c r="GS183" s="509"/>
      <c r="GT183" s="509"/>
      <c r="GU183" s="509"/>
      <c r="GV183" s="509"/>
      <c r="GW183" s="509"/>
      <c r="GX183" s="509"/>
      <c r="GY183" s="509"/>
      <c r="GZ183" s="509"/>
      <c r="HA183" s="509"/>
      <c r="HB183" s="509"/>
      <c r="HC183" s="509"/>
      <c r="HD183" s="509"/>
      <c r="HE183" s="509"/>
      <c r="HF183" s="509"/>
      <c r="HG183" s="509"/>
      <c r="HH183" s="509"/>
      <c r="HI183" s="509"/>
      <c r="HJ183" s="509"/>
      <c r="HK183" s="509"/>
      <c r="HL183" s="509"/>
      <c r="HM183" s="509"/>
      <c r="HN183" s="509"/>
      <c r="HO183" s="509"/>
      <c r="HP183" s="509"/>
      <c r="HQ183" s="509"/>
      <c r="HR183" s="509"/>
      <c r="HS183" s="509"/>
      <c r="HT183" s="509"/>
      <c r="HU183" s="509"/>
      <c r="HV183" s="509"/>
      <c r="HW183" s="509"/>
      <c r="HX183" s="509"/>
      <c r="HY183" s="509"/>
      <c r="HZ183" s="509"/>
      <c r="IA183" s="509"/>
      <c r="IB183" s="509"/>
      <c r="IC183" s="509"/>
      <c r="ID183" s="509"/>
      <c r="IE183" s="509"/>
      <c r="IF183" s="509"/>
      <c r="IG183" s="509"/>
      <c r="IH183" s="509"/>
      <c r="II183" s="509"/>
      <c r="IJ183" s="509"/>
      <c r="IK183" s="509"/>
      <c r="IL183" s="509"/>
      <c r="IM183" s="509"/>
      <c r="IN183" s="509"/>
      <c r="IO183" s="509"/>
      <c r="IP183" s="509"/>
      <c r="IQ183" s="509"/>
      <c r="IR183" s="509"/>
      <c r="IS183" s="509"/>
      <c r="IT183" s="509"/>
      <c r="IU183" s="509"/>
      <c r="IV183" s="509"/>
      <c r="IW183" s="509"/>
      <c r="IX183" s="509"/>
      <c r="IY183" s="509"/>
      <c r="IZ183" s="509"/>
      <c r="JA183" s="509"/>
      <c r="JB183" s="509"/>
      <c r="JC183" s="509"/>
      <c r="JD183" s="509"/>
      <c r="JE183" s="509"/>
      <c r="JF183" s="509"/>
      <c r="JG183" s="509"/>
      <c r="JH183" s="509"/>
      <c r="JI183" s="509"/>
      <c r="JJ183" s="509"/>
      <c r="JK183" s="509"/>
      <c r="JL183" s="509"/>
      <c r="JM183" s="509"/>
      <c r="JN183" s="509"/>
      <c r="JO183" s="509"/>
      <c r="JP183" s="509"/>
      <c r="JQ183" s="509"/>
      <c r="JR183" s="509"/>
      <c r="JS183" s="509"/>
      <c r="JT183" s="509"/>
      <c r="JU183" s="509"/>
      <c r="JV183" s="509"/>
      <c r="JW183" s="509"/>
      <c r="JX183" s="509"/>
      <c r="JY183" s="509"/>
      <c r="JZ183" s="509"/>
      <c r="KA183" s="509"/>
      <c r="KB183" s="509"/>
      <c r="KC183" s="509"/>
      <c r="KD183" s="509"/>
      <c r="KE183" s="509"/>
      <c r="KF183" s="509"/>
      <c r="KG183" s="509"/>
      <c r="KH183" s="509"/>
      <c r="KI183" s="509"/>
      <c r="KJ183" s="509"/>
      <c r="KK183" s="509"/>
      <c r="KL183" s="509"/>
      <c r="KM183" s="509"/>
      <c r="KN183" s="509"/>
      <c r="KO183" s="509"/>
      <c r="KP183" s="509"/>
      <c r="KQ183" s="509"/>
      <c r="KR183" s="509"/>
      <c r="KS183" s="509"/>
      <c r="KT183" s="509"/>
      <c r="KU183" s="509"/>
      <c r="KV183" s="509"/>
      <c r="KW183" s="509"/>
      <c r="KX183" s="509"/>
      <c r="KY183" s="509"/>
      <c r="KZ183" s="509"/>
      <c r="LA183" s="509"/>
      <c r="LB183" s="509"/>
      <c r="LC183" s="509"/>
      <c r="LD183" s="509"/>
      <c r="LE183" s="509"/>
      <c r="LF183" s="509"/>
      <c r="LG183" s="509"/>
      <c r="LH183" s="509"/>
      <c r="LI183" s="509"/>
      <c r="LJ183" s="509"/>
      <c r="LK183" s="509"/>
      <c r="LL183" s="509"/>
      <c r="LM183" s="509"/>
      <c r="LN183" s="509"/>
      <c r="LO183" s="509"/>
      <c r="LP183" s="509"/>
      <c r="LQ183" s="509"/>
      <c r="LR183" s="509"/>
      <c r="LS183" s="509"/>
      <c r="LT183" s="509"/>
      <c r="LU183" s="509"/>
      <c r="LV183" s="509"/>
      <c r="LW183" s="509"/>
      <c r="LX183" s="509"/>
      <c r="LY183" s="509"/>
      <c r="LZ183" s="509"/>
      <c r="MA183" s="509"/>
      <c r="MB183" s="509"/>
      <c r="MC183" s="509"/>
      <c r="MD183" s="509"/>
      <c r="ME183" s="509"/>
      <c r="MF183" s="509"/>
      <c r="MG183" s="509"/>
      <c r="MH183" s="509"/>
      <c r="MI183" s="509"/>
      <c r="MJ183" s="509"/>
      <c r="MK183" s="509"/>
      <c r="ML183" s="509"/>
      <c r="MM183" s="509"/>
      <c r="MN183" s="509"/>
      <c r="MO183" s="509"/>
      <c r="MP183" s="509"/>
      <c r="MQ183" s="509"/>
      <c r="MR183" s="509"/>
      <c r="MS183" s="509"/>
      <c r="MT183" s="509"/>
      <c r="MU183" s="509"/>
      <c r="MV183" s="509"/>
      <c r="MW183" s="509"/>
      <c r="MX183" s="509"/>
      <c r="MY183" s="509"/>
      <c r="MZ183" s="509"/>
      <c r="NA183" s="509"/>
      <c r="NB183" s="509"/>
      <c r="NC183" s="509"/>
      <c r="ND183" s="509"/>
      <c r="NE183" s="509"/>
      <c r="NF183" s="509"/>
      <c r="NG183" s="509"/>
      <c r="NH183" s="509"/>
      <c r="NI183" s="509"/>
      <c r="NJ183" s="509"/>
      <c r="NK183" s="509"/>
      <c r="NL183" s="509"/>
      <c r="NM183" s="509"/>
      <c r="NN183" s="509"/>
      <c r="NO183" s="509"/>
      <c r="NP183" s="509"/>
      <c r="NQ183" s="509"/>
      <c r="NR183" s="509"/>
      <c r="NS183" s="509"/>
      <c r="NT183" s="509"/>
      <c r="NU183" s="509"/>
      <c r="NV183" s="509"/>
      <c r="NW183" s="509"/>
      <c r="NX183" s="509"/>
      <c r="NY183" s="509"/>
      <c r="NZ183" s="509"/>
      <c r="OA183" s="509"/>
      <c r="OB183" s="509"/>
      <c r="OC183" s="509"/>
      <c r="OD183" s="509"/>
      <c r="OE183" s="509"/>
      <c r="OF183" s="509"/>
      <c r="OG183" s="509"/>
      <c r="OH183" s="509"/>
      <c r="OI183" s="509"/>
      <c r="OJ183" s="509"/>
      <c r="OK183" s="509"/>
      <c r="OL183" s="509"/>
      <c r="OM183" s="509"/>
      <c r="ON183" s="509"/>
      <c r="OO183" s="509"/>
      <c r="OP183" s="509"/>
      <c r="OQ183" s="509"/>
      <c r="OR183" s="509"/>
      <c r="OS183" s="509"/>
      <c r="OT183" s="509"/>
      <c r="OU183" s="509"/>
      <c r="OV183" s="509"/>
      <c r="OW183" s="509"/>
      <c r="OX183" s="509"/>
      <c r="OY183" s="509"/>
      <c r="OZ183" s="509"/>
      <c r="PA183" s="509"/>
      <c r="PB183" s="509"/>
      <c r="PC183" s="509"/>
      <c r="PD183" s="509"/>
      <c r="PE183" s="509"/>
      <c r="PF183" s="509"/>
      <c r="PG183" s="509"/>
      <c r="PH183" s="509"/>
      <c r="PI183" s="509"/>
      <c r="PJ183" s="509"/>
      <c r="PK183" s="509"/>
      <c r="PL183" s="509"/>
      <c r="PM183" s="509"/>
      <c r="PN183" s="509"/>
      <c r="PO183" s="509"/>
      <c r="PP183" s="509"/>
      <c r="PQ183" s="509"/>
      <c r="PR183" s="509"/>
      <c r="PS183" s="509"/>
      <c r="PT183" s="509"/>
      <c r="PU183" s="509"/>
      <c r="PV183" s="509"/>
      <c r="PW183" s="509"/>
      <c r="PX183" s="509"/>
      <c r="PY183" s="509"/>
      <c r="PZ183" s="509"/>
      <c r="QA183" s="509"/>
      <c r="QB183" s="509"/>
      <c r="QC183" s="509"/>
      <c r="QD183" s="509"/>
      <c r="QE183" s="509"/>
      <c r="QF183" s="509"/>
      <c r="QG183" s="509"/>
      <c r="QH183" s="509"/>
      <c r="QI183" s="509"/>
      <c r="QJ183" s="509"/>
      <c r="QK183" s="509"/>
      <c r="QL183" s="509"/>
      <c r="QM183" s="509"/>
      <c r="QN183" s="509"/>
      <c r="QO183" s="509"/>
      <c r="QP183" s="509"/>
      <c r="QQ183" s="509"/>
      <c r="QR183" s="509"/>
      <c r="QS183" s="509"/>
      <c r="QT183" s="509"/>
      <c r="QU183" s="509"/>
      <c r="QV183" s="509"/>
      <c r="QW183" s="509"/>
      <c r="QX183" s="509"/>
      <c r="QY183" s="509"/>
      <c r="QZ183" s="509"/>
      <c r="RA183" s="509"/>
      <c r="RB183" s="509"/>
      <c r="RC183" s="509"/>
      <c r="RD183" s="509"/>
      <c r="RE183" s="509"/>
      <c r="RF183" s="509"/>
      <c r="RG183" s="509"/>
      <c r="RH183" s="509"/>
      <c r="RI183" s="509"/>
      <c r="RJ183" s="509"/>
      <c r="RK183" s="509"/>
      <c r="RL183" s="509"/>
      <c r="RM183" s="509"/>
      <c r="RN183" s="509"/>
      <c r="RO183" s="509"/>
      <c r="RP183" s="509"/>
      <c r="RQ183" s="509"/>
      <c r="RR183" s="509"/>
      <c r="RS183" s="509"/>
      <c r="RT183" s="509"/>
      <c r="RU183" s="509"/>
      <c r="RV183" s="509"/>
      <c r="RW183" s="509"/>
      <c r="RX183" s="509"/>
      <c r="RY183" s="509"/>
      <c r="RZ183" s="509"/>
      <c r="SA183" s="509"/>
      <c r="SB183" s="509"/>
      <c r="SC183" s="509"/>
      <c r="SD183" s="509"/>
      <c r="SE183" s="509"/>
      <c r="SF183" s="509"/>
      <c r="SG183" s="509"/>
      <c r="SH183" s="509"/>
      <c r="SI183" s="509"/>
      <c r="SJ183" s="509"/>
      <c r="SK183" s="509"/>
      <c r="SL183" s="509"/>
      <c r="SM183" s="509"/>
      <c r="SN183" s="509"/>
      <c r="SO183" s="509"/>
      <c r="SP183" s="509"/>
      <c r="SQ183" s="509"/>
      <c r="SR183" s="509"/>
      <c r="SS183" s="509"/>
      <c r="ST183" s="509"/>
      <c r="SU183" s="509"/>
      <c r="SV183" s="509"/>
      <c r="SW183" s="509"/>
      <c r="SX183" s="509"/>
      <c r="SY183" s="509"/>
      <c r="SZ183" s="509"/>
      <c r="TA183" s="509"/>
      <c r="TB183" s="509"/>
      <c r="TC183" s="509"/>
      <c r="TD183" s="509"/>
      <c r="TE183" s="509"/>
      <c r="TF183" s="509"/>
      <c r="TG183" s="509"/>
      <c r="TH183" s="509"/>
      <c r="TI183" s="509"/>
      <c r="TJ183" s="509"/>
      <c r="TK183" s="509"/>
      <c r="TL183" s="509"/>
      <c r="TM183" s="509"/>
      <c r="TN183" s="509"/>
      <c r="TO183" s="509"/>
      <c r="TP183" s="509"/>
      <c r="TQ183" s="509"/>
      <c r="TR183" s="509"/>
      <c r="TS183" s="509"/>
      <c r="TT183" s="509"/>
      <c r="TU183" s="509"/>
      <c r="TV183" s="509"/>
      <c r="TW183" s="509"/>
      <c r="TX183" s="509"/>
      <c r="TY183" s="509"/>
      <c r="TZ183" s="509"/>
      <c r="UA183" s="509"/>
      <c r="UB183" s="509"/>
      <c r="UC183" s="509"/>
      <c r="UD183" s="509"/>
      <c r="UE183" s="509"/>
      <c r="UF183" s="509"/>
      <c r="UG183" s="509"/>
      <c r="UH183" s="509"/>
      <c r="UI183" s="509"/>
    </row>
    <row r="184" spans="1:555" ht="94.5">
      <c r="A184" s="296">
        <v>202</v>
      </c>
      <c r="B184" s="297" t="s">
        <v>2445</v>
      </c>
      <c r="C184" s="298">
        <v>79217239</v>
      </c>
      <c r="D184" s="354" t="s">
        <v>2446</v>
      </c>
      <c r="E184" s="299">
        <v>42334</v>
      </c>
      <c r="F184" s="300">
        <v>42309</v>
      </c>
      <c r="G184" s="301" t="s">
        <v>2447</v>
      </c>
      <c r="H184" s="297" t="s">
        <v>5</v>
      </c>
      <c r="I184" s="297" t="s">
        <v>101</v>
      </c>
      <c r="J184" s="299">
        <v>42432</v>
      </c>
      <c r="K184" s="300">
        <v>42430</v>
      </c>
      <c r="L184" s="301" t="s">
        <v>2448</v>
      </c>
      <c r="M184" s="297" t="s">
        <v>5</v>
      </c>
      <c r="N184" s="297" t="s">
        <v>336</v>
      </c>
      <c r="O184" s="299">
        <v>43160</v>
      </c>
      <c r="P184" s="302">
        <v>43160</v>
      </c>
      <c r="Q184" s="301" t="s">
        <v>2449</v>
      </c>
      <c r="R184" s="297" t="s">
        <v>208</v>
      </c>
      <c r="S184" s="297" t="s">
        <v>418</v>
      </c>
      <c r="T184" s="299">
        <v>43424</v>
      </c>
      <c r="U184" s="300">
        <v>43424</v>
      </c>
      <c r="V184" s="301" t="s">
        <v>7430</v>
      </c>
      <c r="W184" s="297" t="s">
        <v>208</v>
      </c>
      <c r="X184" s="297" t="s">
        <v>107</v>
      </c>
      <c r="Y184" s="299">
        <v>43661</v>
      </c>
      <c r="Z184" s="300">
        <v>43661</v>
      </c>
      <c r="AA184" s="301" t="s">
        <v>9048</v>
      </c>
      <c r="AB184" s="297" t="s">
        <v>5</v>
      </c>
      <c r="AC184" s="297" t="s">
        <v>8243</v>
      </c>
      <c r="AD184" s="299">
        <v>44008</v>
      </c>
      <c r="AE184" s="300">
        <v>44008</v>
      </c>
      <c r="AF184" s="301" t="s">
        <v>9540</v>
      </c>
      <c r="AG184" s="297" t="s">
        <v>5</v>
      </c>
      <c r="AH184" s="297" t="s">
        <v>9541</v>
      </c>
      <c r="AI184" s="299">
        <v>44336</v>
      </c>
      <c r="AJ184" s="300">
        <v>44336</v>
      </c>
      <c r="AK184" s="301" t="s">
        <v>10486</v>
      </c>
      <c r="AL184" s="297" t="s">
        <v>208</v>
      </c>
      <c r="AM184" s="297" t="s">
        <v>10487</v>
      </c>
      <c r="AN184" s="297" t="s">
        <v>2450</v>
      </c>
      <c r="AO184" s="540">
        <v>42431</v>
      </c>
      <c r="AP184" s="297"/>
      <c r="AQ184" s="301" t="s">
        <v>2451</v>
      </c>
      <c r="AR184" s="297" t="s">
        <v>161</v>
      </c>
      <c r="AS184" s="299">
        <v>38992</v>
      </c>
      <c r="AT184" s="299">
        <v>40862</v>
      </c>
      <c r="AU184" s="297" t="s">
        <v>7431</v>
      </c>
      <c r="AV184" s="297"/>
      <c r="AW184" s="297" t="s">
        <v>69</v>
      </c>
      <c r="AX184" s="297" t="s">
        <v>2452</v>
      </c>
      <c r="AY184" s="299">
        <v>42207</v>
      </c>
      <c r="AZ184" s="297" t="s">
        <v>67</v>
      </c>
      <c r="BA184" s="299" t="s">
        <v>67</v>
      </c>
      <c r="BB184" s="382">
        <v>42297</v>
      </c>
      <c r="BC184" s="297" t="s">
        <v>95</v>
      </c>
      <c r="BD184" s="297" t="s">
        <v>7432</v>
      </c>
      <c r="BE184" s="297"/>
      <c r="BF184" s="301" t="s">
        <v>2453</v>
      </c>
      <c r="BG184" s="301" t="s">
        <v>673</v>
      </c>
      <c r="BH184" s="301" t="s">
        <v>9432</v>
      </c>
      <c r="BI184" s="301"/>
      <c r="BJ184" s="312">
        <f>+[48]MATRIZ!$J$73</f>
        <v>135251746.92893082</v>
      </c>
      <c r="BK184" s="312">
        <v>135251747</v>
      </c>
      <c r="BL184" s="313">
        <v>72061020</v>
      </c>
      <c r="BM184" s="299">
        <v>43921</v>
      </c>
      <c r="BN184" s="314">
        <v>43921</v>
      </c>
      <c r="BO184" s="460"/>
      <c r="BP184" s="390"/>
      <c r="BQ184" s="297"/>
      <c r="BR184" s="303"/>
      <c r="BS184" s="301"/>
      <c r="BT184" s="301"/>
      <c r="BU184" s="301"/>
      <c r="BV184" s="301"/>
      <c r="BW184" s="316"/>
      <c r="BX184" s="304"/>
      <c r="BY184" s="299"/>
      <c r="BZ184" s="317"/>
      <c r="CA184" s="509"/>
      <c r="CB184" s="509"/>
      <c r="CC184" s="509"/>
      <c r="CD184" s="509"/>
      <c r="CE184" s="509"/>
      <c r="CF184" s="509"/>
      <c r="CG184" s="509"/>
      <c r="CH184" s="509"/>
      <c r="CI184" s="509"/>
      <c r="CJ184" s="509"/>
      <c r="CK184" s="509"/>
      <c r="CL184" s="509"/>
      <c r="CM184" s="509"/>
      <c r="CN184" s="509"/>
      <c r="CO184" s="509"/>
      <c r="CP184" s="509"/>
      <c r="CQ184" s="509"/>
      <c r="CR184" s="509"/>
      <c r="CS184" s="509"/>
      <c r="CT184" s="509"/>
      <c r="CU184" s="509"/>
      <c r="CV184" s="509"/>
      <c r="CW184" s="509"/>
      <c r="CX184" s="509"/>
      <c r="CY184" s="509"/>
      <c r="CZ184" s="509"/>
      <c r="DA184" s="509"/>
      <c r="DB184" s="509"/>
      <c r="DC184" s="509"/>
      <c r="DD184" s="509"/>
      <c r="DE184" s="509"/>
      <c r="DF184" s="509"/>
      <c r="DG184" s="509"/>
      <c r="DH184" s="509"/>
      <c r="DI184" s="509"/>
      <c r="DJ184" s="509"/>
      <c r="DK184" s="509"/>
      <c r="DL184" s="509"/>
      <c r="DM184" s="509"/>
      <c r="DN184" s="509"/>
      <c r="DO184" s="509"/>
      <c r="DP184" s="509"/>
      <c r="DQ184" s="509"/>
      <c r="DR184" s="509"/>
      <c r="DS184" s="509"/>
      <c r="DT184" s="509"/>
      <c r="DU184" s="509"/>
      <c r="DV184" s="509"/>
      <c r="DW184" s="509"/>
      <c r="DX184" s="509"/>
      <c r="DY184" s="509"/>
      <c r="DZ184" s="509"/>
      <c r="EA184" s="509"/>
      <c r="EB184" s="509"/>
      <c r="EC184" s="509"/>
      <c r="ED184" s="509"/>
      <c r="EE184" s="509"/>
      <c r="EF184" s="509"/>
      <c r="EG184" s="509"/>
      <c r="EH184" s="509"/>
      <c r="EI184" s="509"/>
      <c r="EJ184" s="509"/>
      <c r="EK184" s="509"/>
      <c r="EL184" s="509"/>
      <c r="EM184" s="509"/>
      <c r="EN184" s="509"/>
      <c r="EO184" s="509"/>
      <c r="EP184" s="509"/>
      <c r="EQ184" s="509"/>
      <c r="ER184" s="509"/>
      <c r="ES184" s="509"/>
      <c r="ET184" s="509"/>
      <c r="EU184" s="509"/>
      <c r="EV184" s="509"/>
      <c r="EW184" s="509"/>
      <c r="EX184" s="509"/>
      <c r="EY184" s="509"/>
      <c r="EZ184" s="509"/>
      <c r="FA184" s="509"/>
      <c r="FB184" s="509"/>
      <c r="FC184" s="509"/>
      <c r="FD184" s="509"/>
      <c r="FE184" s="509"/>
      <c r="FF184" s="509"/>
      <c r="FG184" s="509"/>
      <c r="FH184" s="509"/>
      <c r="FI184" s="509"/>
      <c r="FJ184" s="509"/>
      <c r="FK184" s="509"/>
      <c r="FL184" s="509"/>
      <c r="FM184" s="509"/>
      <c r="FN184" s="509"/>
      <c r="FO184" s="509"/>
      <c r="FP184" s="509"/>
      <c r="FQ184" s="509"/>
      <c r="FR184" s="509"/>
      <c r="FS184" s="509"/>
      <c r="FT184" s="509"/>
      <c r="FU184" s="509"/>
      <c r="FV184" s="509"/>
      <c r="FW184" s="509"/>
      <c r="FX184" s="509"/>
      <c r="FY184" s="509"/>
      <c r="FZ184" s="509"/>
      <c r="GA184" s="509"/>
      <c r="GB184" s="509"/>
      <c r="GC184" s="509"/>
      <c r="GD184" s="509"/>
      <c r="GE184" s="509"/>
      <c r="GF184" s="509"/>
      <c r="GG184" s="509"/>
      <c r="GH184" s="509"/>
      <c r="GI184" s="509"/>
      <c r="GJ184" s="509"/>
      <c r="GK184" s="509"/>
      <c r="GL184" s="509"/>
      <c r="GM184" s="509"/>
      <c r="GN184" s="509"/>
      <c r="GO184" s="509"/>
      <c r="GP184" s="509"/>
      <c r="GQ184" s="509"/>
      <c r="GR184" s="509"/>
      <c r="GS184" s="509"/>
      <c r="GT184" s="509"/>
      <c r="GU184" s="509"/>
      <c r="GV184" s="509"/>
      <c r="GW184" s="509"/>
      <c r="GX184" s="509"/>
      <c r="GY184" s="509"/>
      <c r="GZ184" s="509"/>
      <c r="HA184" s="509"/>
      <c r="HB184" s="509"/>
      <c r="HC184" s="509"/>
      <c r="HD184" s="509"/>
      <c r="HE184" s="509"/>
      <c r="HF184" s="509"/>
      <c r="HG184" s="509"/>
      <c r="HH184" s="509"/>
      <c r="HI184" s="509"/>
      <c r="HJ184" s="509"/>
      <c r="HK184" s="509"/>
      <c r="HL184" s="509"/>
      <c r="HM184" s="509"/>
      <c r="HN184" s="509"/>
      <c r="HO184" s="509"/>
      <c r="HP184" s="509"/>
      <c r="HQ184" s="509"/>
      <c r="HR184" s="509"/>
      <c r="HS184" s="509"/>
      <c r="HT184" s="509"/>
      <c r="HU184" s="509"/>
      <c r="HV184" s="509"/>
      <c r="HW184" s="509"/>
      <c r="HX184" s="509"/>
      <c r="HY184" s="509"/>
      <c r="HZ184" s="509"/>
      <c r="IA184" s="509"/>
      <c r="IB184" s="509"/>
      <c r="IC184" s="509"/>
      <c r="ID184" s="509"/>
      <c r="IE184" s="509"/>
      <c r="IF184" s="509"/>
      <c r="IG184" s="509"/>
      <c r="IH184" s="509"/>
      <c r="II184" s="509"/>
      <c r="IJ184" s="509"/>
      <c r="IK184" s="509"/>
      <c r="IL184" s="509"/>
      <c r="IM184" s="509"/>
      <c r="IN184" s="509"/>
      <c r="IO184" s="509"/>
      <c r="IP184" s="509"/>
      <c r="IQ184" s="509"/>
      <c r="IR184" s="509"/>
      <c r="IS184" s="509"/>
      <c r="IT184" s="509"/>
      <c r="IU184" s="509"/>
      <c r="IV184" s="509"/>
      <c r="IW184" s="509"/>
      <c r="IX184" s="509"/>
      <c r="IY184" s="509"/>
      <c r="IZ184" s="509"/>
      <c r="JA184" s="509"/>
      <c r="JB184" s="509"/>
      <c r="JC184" s="509"/>
      <c r="JD184" s="509"/>
      <c r="JE184" s="509"/>
      <c r="JF184" s="509"/>
      <c r="JG184" s="509"/>
      <c r="JH184" s="509"/>
      <c r="JI184" s="509"/>
      <c r="JJ184" s="509"/>
      <c r="JK184" s="509"/>
      <c r="JL184" s="509"/>
      <c r="JM184" s="509"/>
      <c r="JN184" s="509"/>
      <c r="JO184" s="509"/>
      <c r="JP184" s="509"/>
      <c r="JQ184" s="509"/>
      <c r="JR184" s="509"/>
      <c r="JS184" s="509"/>
      <c r="JT184" s="509"/>
      <c r="JU184" s="509"/>
      <c r="JV184" s="509"/>
      <c r="JW184" s="509"/>
      <c r="JX184" s="509"/>
      <c r="JY184" s="509"/>
      <c r="JZ184" s="509"/>
      <c r="KA184" s="509"/>
      <c r="KB184" s="509"/>
      <c r="KC184" s="509"/>
      <c r="KD184" s="509"/>
      <c r="KE184" s="509"/>
      <c r="KF184" s="509"/>
      <c r="KG184" s="509"/>
      <c r="KH184" s="509"/>
      <c r="KI184" s="509"/>
      <c r="KJ184" s="509"/>
      <c r="KK184" s="509"/>
      <c r="KL184" s="509"/>
      <c r="KM184" s="509"/>
      <c r="KN184" s="509"/>
      <c r="KO184" s="509"/>
      <c r="KP184" s="509"/>
      <c r="KQ184" s="509"/>
      <c r="KR184" s="509"/>
      <c r="KS184" s="509"/>
      <c r="KT184" s="509"/>
      <c r="KU184" s="509"/>
      <c r="KV184" s="509"/>
      <c r="KW184" s="509"/>
      <c r="KX184" s="509"/>
      <c r="KY184" s="509"/>
      <c r="KZ184" s="509"/>
      <c r="LA184" s="509"/>
      <c r="LB184" s="509"/>
      <c r="LC184" s="509"/>
      <c r="LD184" s="509"/>
      <c r="LE184" s="509"/>
      <c r="LF184" s="509"/>
      <c r="LG184" s="509"/>
      <c r="LH184" s="509"/>
      <c r="LI184" s="509"/>
      <c r="LJ184" s="509"/>
      <c r="LK184" s="509"/>
      <c r="LL184" s="509"/>
      <c r="LM184" s="509"/>
      <c r="LN184" s="509"/>
      <c r="LO184" s="509"/>
      <c r="LP184" s="509"/>
      <c r="LQ184" s="509"/>
      <c r="LR184" s="509"/>
      <c r="LS184" s="509"/>
      <c r="LT184" s="509"/>
      <c r="LU184" s="509"/>
      <c r="LV184" s="509"/>
      <c r="LW184" s="509"/>
      <c r="LX184" s="509"/>
      <c r="LY184" s="509"/>
      <c r="LZ184" s="509"/>
      <c r="MA184" s="509"/>
      <c r="MB184" s="509"/>
      <c r="MC184" s="509"/>
      <c r="MD184" s="509"/>
      <c r="ME184" s="509"/>
      <c r="MF184" s="509"/>
      <c r="MG184" s="509"/>
      <c r="MH184" s="509"/>
      <c r="MI184" s="509"/>
      <c r="MJ184" s="509"/>
      <c r="MK184" s="509"/>
      <c r="ML184" s="509"/>
      <c r="MM184" s="509"/>
      <c r="MN184" s="509"/>
      <c r="MO184" s="509"/>
      <c r="MP184" s="509"/>
      <c r="MQ184" s="509"/>
      <c r="MR184" s="509"/>
      <c r="MS184" s="509"/>
      <c r="MT184" s="509"/>
      <c r="MU184" s="509"/>
      <c r="MV184" s="509"/>
      <c r="MW184" s="509"/>
      <c r="MX184" s="509"/>
      <c r="MY184" s="509"/>
      <c r="MZ184" s="509"/>
      <c r="NA184" s="509"/>
      <c r="NB184" s="509"/>
      <c r="NC184" s="509"/>
      <c r="ND184" s="509"/>
      <c r="NE184" s="509"/>
      <c r="NF184" s="509"/>
      <c r="NG184" s="509"/>
      <c r="NH184" s="509"/>
      <c r="NI184" s="509"/>
      <c r="NJ184" s="509"/>
      <c r="NK184" s="509"/>
      <c r="NL184" s="509"/>
      <c r="NM184" s="509"/>
      <c r="NN184" s="509"/>
      <c r="NO184" s="509"/>
      <c r="NP184" s="509"/>
      <c r="NQ184" s="509"/>
      <c r="NR184" s="509"/>
      <c r="NS184" s="509"/>
      <c r="NT184" s="509"/>
      <c r="NU184" s="509"/>
      <c r="NV184" s="509"/>
      <c r="NW184" s="509"/>
      <c r="NX184" s="509"/>
      <c r="NY184" s="509"/>
      <c r="NZ184" s="509"/>
      <c r="OA184" s="509"/>
      <c r="OB184" s="509"/>
      <c r="OC184" s="509"/>
      <c r="OD184" s="509"/>
      <c r="OE184" s="509"/>
      <c r="OF184" s="509"/>
      <c r="OG184" s="509"/>
      <c r="OH184" s="509"/>
      <c r="OI184" s="509"/>
      <c r="OJ184" s="509"/>
      <c r="OK184" s="509"/>
      <c r="OL184" s="509"/>
      <c r="OM184" s="509"/>
      <c r="ON184" s="509"/>
      <c r="OO184" s="509"/>
      <c r="OP184" s="509"/>
      <c r="OQ184" s="509"/>
      <c r="OR184" s="509"/>
      <c r="OS184" s="509"/>
      <c r="OT184" s="509"/>
      <c r="OU184" s="509"/>
      <c r="OV184" s="509"/>
      <c r="OW184" s="509"/>
      <c r="OX184" s="509"/>
      <c r="OY184" s="509"/>
      <c r="OZ184" s="509"/>
      <c r="PA184" s="509"/>
      <c r="PB184" s="509"/>
      <c r="PC184" s="509"/>
      <c r="PD184" s="509"/>
      <c r="PE184" s="509"/>
      <c r="PF184" s="509"/>
      <c r="PG184" s="509"/>
      <c r="PH184" s="509"/>
      <c r="PI184" s="509"/>
      <c r="PJ184" s="509"/>
      <c r="PK184" s="509"/>
      <c r="PL184" s="509"/>
      <c r="PM184" s="509"/>
      <c r="PN184" s="509"/>
      <c r="PO184" s="509"/>
      <c r="PP184" s="509"/>
      <c r="PQ184" s="509"/>
      <c r="PR184" s="509"/>
      <c r="PS184" s="509"/>
      <c r="PT184" s="509"/>
      <c r="PU184" s="509"/>
      <c r="PV184" s="509"/>
      <c r="PW184" s="509"/>
      <c r="PX184" s="509"/>
      <c r="PY184" s="509"/>
      <c r="PZ184" s="509"/>
      <c r="QA184" s="509"/>
      <c r="QB184" s="509"/>
      <c r="QC184" s="509"/>
      <c r="QD184" s="509"/>
      <c r="QE184" s="509"/>
      <c r="QF184" s="509"/>
      <c r="QG184" s="509"/>
      <c r="QH184" s="509"/>
      <c r="QI184" s="509"/>
      <c r="QJ184" s="509"/>
      <c r="QK184" s="509"/>
      <c r="QL184" s="509"/>
      <c r="QM184" s="509"/>
      <c r="QN184" s="509"/>
      <c r="QO184" s="509"/>
      <c r="QP184" s="509"/>
      <c r="QQ184" s="509"/>
      <c r="QR184" s="509"/>
      <c r="QS184" s="509"/>
      <c r="QT184" s="509"/>
      <c r="QU184" s="509"/>
      <c r="QV184" s="509"/>
      <c r="QW184" s="509"/>
      <c r="QX184" s="509"/>
      <c r="QY184" s="509"/>
      <c r="QZ184" s="509"/>
      <c r="RA184" s="509"/>
      <c r="RB184" s="509"/>
      <c r="RC184" s="509"/>
      <c r="RD184" s="509"/>
      <c r="RE184" s="509"/>
      <c r="RF184" s="509"/>
      <c r="RG184" s="509"/>
      <c r="RH184" s="509"/>
      <c r="RI184" s="509"/>
      <c r="RJ184" s="509"/>
      <c r="RK184" s="509"/>
      <c r="RL184" s="509"/>
      <c r="RM184" s="509"/>
      <c r="RN184" s="509"/>
      <c r="RO184" s="509"/>
      <c r="RP184" s="509"/>
      <c r="RQ184" s="509"/>
      <c r="RR184" s="509"/>
      <c r="RS184" s="509"/>
      <c r="RT184" s="509"/>
      <c r="RU184" s="509"/>
      <c r="RV184" s="509"/>
      <c r="RW184" s="509"/>
      <c r="RX184" s="509"/>
      <c r="RY184" s="509"/>
      <c r="RZ184" s="509"/>
      <c r="SA184" s="509"/>
      <c r="SB184" s="509"/>
      <c r="SC184" s="509"/>
      <c r="SD184" s="509"/>
      <c r="SE184" s="509"/>
      <c r="SF184" s="509"/>
      <c r="SG184" s="509"/>
      <c r="SH184" s="509"/>
      <c r="SI184" s="509"/>
      <c r="SJ184" s="509"/>
      <c r="SK184" s="509"/>
      <c r="SL184" s="509"/>
      <c r="SM184" s="509"/>
      <c r="SN184" s="509"/>
      <c r="SO184" s="509"/>
      <c r="SP184" s="509"/>
      <c r="SQ184" s="509"/>
      <c r="SR184" s="509"/>
      <c r="SS184" s="509"/>
      <c r="ST184" s="509"/>
      <c r="SU184" s="509"/>
      <c r="SV184" s="509"/>
      <c r="SW184" s="509"/>
      <c r="SX184" s="509"/>
      <c r="SY184" s="509"/>
      <c r="SZ184" s="509"/>
      <c r="TA184" s="509"/>
      <c r="TB184" s="509"/>
      <c r="TC184" s="509"/>
      <c r="TD184" s="509"/>
      <c r="TE184" s="509"/>
      <c r="TF184" s="509"/>
      <c r="TG184" s="509"/>
      <c r="TH184" s="509"/>
      <c r="TI184" s="509"/>
      <c r="TJ184" s="509"/>
      <c r="TK184" s="509"/>
      <c r="TL184" s="509"/>
      <c r="TM184" s="509"/>
      <c r="TN184" s="509"/>
      <c r="TO184" s="509"/>
      <c r="TP184" s="509"/>
      <c r="TQ184" s="509"/>
      <c r="TR184" s="509"/>
      <c r="TS184" s="509"/>
      <c r="TT184" s="509"/>
      <c r="TU184" s="509"/>
      <c r="TV184" s="509"/>
      <c r="TW184" s="509"/>
      <c r="TX184" s="509"/>
      <c r="TY184" s="509"/>
      <c r="TZ184" s="509"/>
      <c r="UA184" s="509"/>
      <c r="UB184" s="509"/>
      <c r="UC184" s="509"/>
      <c r="UD184" s="509"/>
      <c r="UE184" s="509"/>
      <c r="UF184" s="509"/>
      <c r="UG184" s="509"/>
      <c r="UH184" s="509"/>
      <c r="UI184" s="509"/>
    </row>
    <row r="185" spans="1:555" s="509" customFormat="1" ht="64.5" customHeight="1">
      <c r="A185" s="296">
        <v>204</v>
      </c>
      <c r="B185" s="297" t="s">
        <v>2459</v>
      </c>
      <c r="C185" s="298">
        <v>71799468</v>
      </c>
      <c r="D185" s="354" t="s">
        <v>597</v>
      </c>
      <c r="E185" s="299">
        <v>42340</v>
      </c>
      <c r="F185" s="300">
        <v>42339</v>
      </c>
      <c r="G185" s="301" t="s">
        <v>2460</v>
      </c>
      <c r="H185" s="297" t="s">
        <v>63</v>
      </c>
      <c r="I185" s="297" t="s">
        <v>101</v>
      </c>
      <c r="J185" s="299">
        <v>42479</v>
      </c>
      <c r="K185" s="300">
        <v>42461</v>
      </c>
      <c r="L185" s="301" t="s">
        <v>2461</v>
      </c>
      <c r="M185" s="297" t="s">
        <v>63</v>
      </c>
      <c r="N185" s="297" t="s">
        <v>336</v>
      </c>
      <c r="O185" s="299">
        <v>42636</v>
      </c>
      <c r="P185" s="302">
        <v>42614</v>
      </c>
      <c r="Q185" s="301" t="s">
        <v>2462</v>
      </c>
      <c r="R185" s="297" t="s">
        <v>63</v>
      </c>
      <c r="S185" s="297" t="s">
        <v>336</v>
      </c>
      <c r="T185" s="299">
        <v>42544</v>
      </c>
      <c r="U185" s="300">
        <v>42522</v>
      </c>
      <c r="V185" s="301" t="s">
        <v>2463</v>
      </c>
      <c r="W185" s="297" t="s">
        <v>198</v>
      </c>
      <c r="X185" s="297" t="s">
        <v>183</v>
      </c>
      <c r="Y185" s="299">
        <v>42979</v>
      </c>
      <c r="Z185" s="300">
        <v>42979</v>
      </c>
      <c r="AA185" s="301" t="s">
        <v>2464</v>
      </c>
      <c r="AB185" s="297" t="s">
        <v>171</v>
      </c>
      <c r="AC185" s="297" t="s">
        <v>1854</v>
      </c>
      <c r="AD185" s="299" t="s">
        <v>2465</v>
      </c>
      <c r="AE185" s="300" t="s">
        <v>2466</v>
      </c>
      <c r="AF185" s="301" t="s">
        <v>2467</v>
      </c>
      <c r="AG185" s="297" t="s">
        <v>2468</v>
      </c>
      <c r="AH185" s="297" t="s">
        <v>2469</v>
      </c>
      <c r="AI185" s="304"/>
      <c r="AJ185" s="300"/>
      <c r="AK185" s="301"/>
      <c r="AL185" s="297"/>
      <c r="AM185" s="297"/>
      <c r="AN185" s="297" t="s">
        <v>2470</v>
      </c>
      <c r="AO185" s="540">
        <v>42636</v>
      </c>
      <c r="AP185" s="297"/>
      <c r="AQ185" s="301" t="s">
        <v>2471</v>
      </c>
      <c r="AR185" s="297" t="s">
        <v>161</v>
      </c>
      <c r="AS185" s="299">
        <v>37773</v>
      </c>
      <c r="AT185" s="299">
        <v>39863</v>
      </c>
      <c r="AU185" s="297" t="s">
        <v>9397</v>
      </c>
      <c r="AV185" s="297"/>
      <c r="AW185" s="297" t="s">
        <v>69</v>
      </c>
      <c r="AX185" s="297" t="s">
        <v>2472</v>
      </c>
      <c r="AY185" s="299">
        <v>41754</v>
      </c>
      <c r="AZ185" s="297" t="s">
        <v>1896</v>
      </c>
      <c r="BA185" s="299">
        <v>42230</v>
      </c>
      <c r="BB185" s="382">
        <v>42237</v>
      </c>
      <c r="BC185" s="297" t="s">
        <v>95</v>
      </c>
      <c r="BD185" s="297" t="s">
        <v>566</v>
      </c>
      <c r="BE185" s="297"/>
      <c r="BF185" s="301" t="s">
        <v>8230</v>
      </c>
      <c r="BG185" s="301"/>
      <c r="BH185" s="301" t="s">
        <v>9438</v>
      </c>
      <c r="BI185" s="301"/>
      <c r="BJ185" s="312">
        <f>+[49]MATRIZ!$J$70</f>
        <v>215804425.13979802</v>
      </c>
      <c r="BK185" s="312">
        <v>215804425</v>
      </c>
      <c r="BL185" s="313">
        <v>88346920</v>
      </c>
      <c r="BM185" s="299">
        <v>43935</v>
      </c>
      <c r="BN185" s="314">
        <v>43935</v>
      </c>
      <c r="BO185" s="460"/>
      <c r="BP185" s="390" t="s">
        <v>9414</v>
      </c>
      <c r="BQ185" s="297" t="s">
        <v>9413</v>
      </c>
      <c r="BR185" s="303"/>
      <c r="BS185" s="301"/>
      <c r="BT185" s="301"/>
      <c r="BU185" s="301"/>
      <c r="BV185" s="301"/>
      <c r="BW185" s="316"/>
      <c r="BX185" s="304"/>
      <c r="BY185" s="299"/>
      <c r="BZ185" s="317"/>
    </row>
    <row r="186" spans="1:555" ht="108">
      <c r="A186" s="296">
        <v>205</v>
      </c>
      <c r="B186" s="297" t="s">
        <v>2473</v>
      </c>
      <c r="C186" s="298">
        <v>80545789</v>
      </c>
      <c r="D186" s="354" t="s">
        <v>167</v>
      </c>
      <c r="E186" s="299">
        <v>42340</v>
      </c>
      <c r="F186" s="300">
        <v>42339</v>
      </c>
      <c r="G186" s="301" t="s">
        <v>2474</v>
      </c>
      <c r="H186" s="297" t="s">
        <v>1493</v>
      </c>
      <c r="I186" s="297" t="s">
        <v>183</v>
      </c>
      <c r="J186" s="299">
        <v>42544</v>
      </c>
      <c r="K186" s="300">
        <v>42522</v>
      </c>
      <c r="L186" s="301" t="s">
        <v>2475</v>
      </c>
      <c r="M186" s="297" t="s">
        <v>5</v>
      </c>
      <c r="N186" s="297" t="s">
        <v>101</v>
      </c>
      <c r="O186" s="299">
        <v>43376</v>
      </c>
      <c r="P186" s="302">
        <v>43376</v>
      </c>
      <c r="Q186" s="301" t="s">
        <v>2476</v>
      </c>
      <c r="R186" s="297" t="s">
        <v>63</v>
      </c>
      <c r="S186" s="297" t="s">
        <v>85</v>
      </c>
      <c r="T186" s="299">
        <v>43452</v>
      </c>
      <c r="U186" s="302">
        <v>43452</v>
      </c>
      <c r="V186" s="672" t="s">
        <v>7979</v>
      </c>
      <c r="W186" s="672" t="s">
        <v>5</v>
      </c>
      <c r="X186" s="537" t="s">
        <v>7980</v>
      </c>
      <c r="Y186" s="299"/>
      <c r="Z186" s="300"/>
      <c r="AA186" s="301"/>
      <c r="AB186" s="297"/>
      <c r="AC186" s="297"/>
      <c r="AD186" s="299"/>
      <c r="AE186" s="300"/>
      <c r="AF186" s="301"/>
      <c r="AG186" s="297"/>
      <c r="AH186" s="297"/>
      <c r="AI186" s="304"/>
      <c r="AJ186" s="300"/>
      <c r="AK186" s="301"/>
      <c r="AL186" s="297"/>
      <c r="AM186" s="297"/>
      <c r="AN186" s="297" t="s">
        <v>2286</v>
      </c>
      <c r="AO186" s="540">
        <v>42544</v>
      </c>
      <c r="AP186" s="297"/>
      <c r="AQ186" s="301" t="s">
        <v>2477</v>
      </c>
      <c r="AR186" s="297" t="s">
        <v>161</v>
      </c>
      <c r="AS186" s="299">
        <v>39297</v>
      </c>
      <c r="AT186" s="299">
        <v>40546</v>
      </c>
      <c r="AU186" s="297" t="s">
        <v>2478</v>
      </c>
      <c r="AV186" s="297"/>
      <c r="AW186" s="297" t="s">
        <v>92</v>
      </c>
      <c r="AX186" s="297" t="s">
        <v>2479</v>
      </c>
      <c r="AY186" s="299">
        <v>41578</v>
      </c>
      <c r="AZ186" s="297" t="s">
        <v>2480</v>
      </c>
      <c r="BA186" s="299">
        <v>42297</v>
      </c>
      <c r="BB186" s="382">
        <v>42312</v>
      </c>
      <c r="BC186" s="297" t="s">
        <v>95</v>
      </c>
      <c r="BD186" s="297" t="s">
        <v>566</v>
      </c>
      <c r="BE186" s="297"/>
      <c r="BF186" s="301" t="s">
        <v>2481</v>
      </c>
      <c r="BG186" s="301"/>
      <c r="BH186" s="301" t="s">
        <v>9864</v>
      </c>
      <c r="BI186" s="301"/>
      <c r="BJ186" s="301"/>
      <c r="BK186" s="312">
        <v>58648986</v>
      </c>
      <c r="BL186" s="313" t="s">
        <v>9865</v>
      </c>
      <c r="BM186" s="299" t="s">
        <v>9824</v>
      </c>
      <c r="BN186" s="314">
        <v>44162</v>
      </c>
      <c r="BO186" s="460"/>
      <c r="BP186" s="390"/>
      <c r="BQ186" s="297"/>
      <c r="BR186" s="303"/>
      <c r="BS186" s="301"/>
      <c r="BT186" s="301"/>
      <c r="BU186" s="301"/>
      <c r="BV186" s="301"/>
      <c r="BW186" s="316"/>
      <c r="BX186" s="304"/>
      <c r="BY186" s="299"/>
      <c r="BZ186" s="317"/>
      <c r="CA186" s="509"/>
      <c r="CB186" s="509"/>
      <c r="CC186" s="509"/>
      <c r="CD186" s="509"/>
      <c r="CE186" s="509"/>
      <c r="CF186" s="509"/>
      <c r="CG186" s="509"/>
      <c r="CH186" s="509"/>
      <c r="CI186" s="509"/>
      <c r="CJ186" s="509"/>
      <c r="CK186" s="509"/>
      <c r="CL186" s="509"/>
      <c r="CM186" s="509"/>
      <c r="CN186" s="509"/>
      <c r="CO186" s="509"/>
      <c r="CP186" s="509"/>
      <c r="CQ186" s="509"/>
      <c r="CR186" s="509"/>
      <c r="CS186" s="509"/>
      <c r="CT186" s="509"/>
      <c r="CU186" s="509"/>
      <c r="CV186" s="509"/>
      <c r="CW186" s="509"/>
      <c r="CX186" s="509"/>
      <c r="CY186" s="509"/>
      <c r="CZ186" s="509"/>
      <c r="DA186" s="509"/>
      <c r="DB186" s="509"/>
      <c r="DC186" s="509"/>
      <c r="DD186" s="509"/>
      <c r="DE186" s="509"/>
      <c r="DF186" s="509"/>
      <c r="DG186" s="509"/>
      <c r="DH186" s="509"/>
      <c r="DI186" s="509"/>
      <c r="DJ186" s="509"/>
      <c r="DK186" s="509"/>
      <c r="DL186" s="509"/>
      <c r="DM186" s="509"/>
      <c r="DN186" s="509"/>
      <c r="DO186" s="509"/>
      <c r="DP186" s="509"/>
      <c r="DQ186" s="509"/>
      <c r="DR186" s="509"/>
      <c r="DS186" s="509"/>
      <c r="DT186" s="509"/>
      <c r="DU186" s="509"/>
      <c r="DV186" s="509"/>
      <c r="DW186" s="509"/>
      <c r="DX186" s="509"/>
      <c r="DY186" s="509"/>
      <c r="DZ186" s="509"/>
      <c r="EA186" s="509"/>
      <c r="EB186" s="509"/>
      <c r="EC186" s="509"/>
      <c r="ED186" s="509"/>
      <c r="EE186" s="509"/>
      <c r="EF186" s="509"/>
      <c r="EG186" s="509"/>
      <c r="EH186" s="509"/>
      <c r="EI186" s="509"/>
      <c r="EJ186" s="509"/>
      <c r="EK186" s="509"/>
      <c r="EL186" s="509"/>
      <c r="EM186" s="509"/>
      <c r="EN186" s="509"/>
      <c r="EO186" s="509"/>
      <c r="EP186" s="509"/>
      <c r="EQ186" s="509"/>
      <c r="ER186" s="509"/>
      <c r="ES186" s="509"/>
      <c r="ET186" s="509"/>
      <c r="EU186" s="509"/>
      <c r="EV186" s="509"/>
      <c r="EW186" s="509"/>
      <c r="EX186" s="509"/>
      <c r="EY186" s="509"/>
      <c r="EZ186" s="509"/>
      <c r="FA186" s="509"/>
      <c r="FB186" s="509"/>
      <c r="FC186" s="509"/>
      <c r="FD186" s="509"/>
      <c r="FE186" s="509"/>
      <c r="FF186" s="509"/>
      <c r="FG186" s="509"/>
      <c r="FH186" s="509"/>
      <c r="FI186" s="509"/>
      <c r="FJ186" s="509"/>
      <c r="FK186" s="509"/>
      <c r="FL186" s="509"/>
      <c r="FM186" s="509"/>
      <c r="FN186" s="509"/>
      <c r="FO186" s="509"/>
      <c r="FP186" s="509"/>
      <c r="FQ186" s="509"/>
      <c r="FR186" s="509"/>
      <c r="FS186" s="509"/>
      <c r="FT186" s="509"/>
      <c r="FU186" s="509"/>
      <c r="FV186" s="509"/>
      <c r="FW186" s="509"/>
      <c r="FX186" s="509"/>
      <c r="FY186" s="509"/>
      <c r="FZ186" s="509"/>
      <c r="GA186" s="509"/>
      <c r="GB186" s="509"/>
      <c r="GC186" s="509"/>
      <c r="GD186" s="509"/>
      <c r="GE186" s="509"/>
      <c r="GF186" s="509"/>
      <c r="GG186" s="509"/>
      <c r="GH186" s="509"/>
      <c r="GI186" s="509"/>
      <c r="GJ186" s="509"/>
      <c r="GK186" s="509"/>
      <c r="GL186" s="509"/>
      <c r="GM186" s="509"/>
      <c r="GN186" s="509"/>
      <c r="GO186" s="509"/>
      <c r="GP186" s="509"/>
      <c r="GQ186" s="509"/>
      <c r="GR186" s="509"/>
      <c r="GS186" s="509"/>
      <c r="GT186" s="509"/>
      <c r="GU186" s="509"/>
      <c r="GV186" s="509"/>
      <c r="GW186" s="509"/>
      <c r="GX186" s="509"/>
      <c r="GY186" s="509"/>
      <c r="GZ186" s="509"/>
      <c r="HA186" s="509"/>
      <c r="HB186" s="509"/>
      <c r="HC186" s="509"/>
      <c r="HD186" s="509"/>
      <c r="HE186" s="509"/>
      <c r="HF186" s="509"/>
      <c r="HG186" s="509"/>
      <c r="HH186" s="509"/>
      <c r="HI186" s="509"/>
      <c r="HJ186" s="509"/>
      <c r="HK186" s="509"/>
      <c r="HL186" s="509"/>
      <c r="HM186" s="509"/>
      <c r="HN186" s="509"/>
      <c r="HO186" s="509"/>
      <c r="HP186" s="509"/>
      <c r="HQ186" s="509"/>
      <c r="HR186" s="509"/>
      <c r="HS186" s="509"/>
      <c r="HT186" s="509"/>
      <c r="HU186" s="509"/>
      <c r="HV186" s="509"/>
      <c r="HW186" s="509"/>
      <c r="HX186" s="509"/>
      <c r="HY186" s="509"/>
      <c r="HZ186" s="509"/>
      <c r="IA186" s="509"/>
      <c r="IB186" s="509"/>
      <c r="IC186" s="509"/>
      <c r="ID186" s="509"/>
      <c r="IE186" s="509"/>
      <c r="IF186" s="509"/>
      <c r="IG186" s="509"/>
      <c r="IH186" s="509"/>
      <c r="II186" s="509"/>
      <c r="IJ186" s="509"/>
      <c r="IK186" s="509"/>
      <c r="IL186" s="509"/>
      <c r="IM186" s="509"/>
      <c r="IN186" s="509"/>
      <c r="IO186" s="509"/>
      <c r="IP186" s="509"/>
      <c r="IQ186" s="509"/>
      <c r="IR186" s="509"/>
      <c r="IS186" s="509"/>
      <c r="IT186" s="509"/>
      <c r="IU186" s="509"/>
      <c r="IV186" s="509"/>
      <c r="IW186" s="509"/>
      <c r="IX186" s="509"/>
      <c r="IY186" s="509"/>
      <c r="IZ186" s="509"/>
      <c r="JA186" s="509"/>
      <c r="JB186" s="509"/>
      <c r="JC186" s="509"/>
      <c r="JD186" s="509"/>
      <c r="JE186" s="509"/>
      <c r="JF186" s="509"/>
      <c r="JG186" s="509"/>
      <c r="JH186" s="509"/>
      <c r="JI186" s="509"/>
      <c r="JJ186" s="509"/>
      <c r="JK186" s="509"/>
      <c r="JL186" s="509"/>
      <c r="JM186" s="509"/>
      <c r="JN186" s="509"/>
      <c r="JO186" s="509"/>
      <c r="JP186" s="509"/>
      <c r="JQ186" s="509"/>
      <c r="JR186" s="509"/>
      <c r="JS186" s="509"/>
      <c r="JT186" s="509"/>
      <c r="JU186" s="509"/>
      <c r="JV186" s="509"/>
      <c r="JW186" s="509"/>
      <c r="JX186" s="509"/>
      <c r="JY186" s="509"/>
      <c r="JZ186" s="509"/>
      <c r="KA186" s="509"/>
      <c r="KB186" s="509"/>
      <c r="KC186" s="509"/>
      <c r="KD186" s="509"/>
      <c r="KE186" s="509"/>
      <c r="KF186" s="509"/>
      <c r="KG186" s="509"/>
      <c r="KH186" s="509"/>
      <c r="KI186" s="509"/>
      <c r="KJ186" s="509"/>
      <c r="KK186" s="509"/>
      <c r="KL186" s="509"/>
      <c r="KM186" s="509"/>
      <c r="KN186" s="509"/>
      <c r="KO186" s="509"/>
      <c r="KP186" s="509"/>
      <c r="KQ186" s="509"/>
      <c r="KR186" s="509"/>
      <c r="KS186" s="509"/>
      <c r="KT186" s="509"/>
      <c r="KU186" s="509"/>
      <c r="KV186" s="509"/>
      <c r="KW186" s="509"/>
      <c r="KX186" s="509"/>
      <c r="KY186" s="509"/>
      <c r="KZ186" s="509"/>
      <c r="LA186" s="509"/>
      <c r="LB186" s="509"/>
      <c r="LC186" s="509"/>
      <c r="LD186" s="509"/>
      <c r="LE186" s="509"/>
      <c r="LF186" s="509"/>
      <c r="LG186" s="509"/>
      <c r="LH186" s="509"/>
      <c r="LI186" s="509"/>
      <c r="LJ186" s="509"/>
      <c r="LK186" s="509"/>
      <c r="LL186" s="509"/>
      <c r="LM186" s="509"/>
      <c r="LN186" s="509"/>
      <c r="LO186" s="509"/>
      <c r="LP186" s="509"/>
      <c r="LQ186" s="509"/>
      <c r="LR186" s="509"/>
      <c r="LS186" s="509"/>
      <c r="LT186" s="509"/>
      <c r="LU186" s="509"/>
      <c r="LV186" s="509"/>
      <c r="LW186" s="509"/>
      <c r="LX186" s="509"/>
      <c r="LY186" s="509"/>
      <c r="LZ186" s="509"/>
      <c r="MA186" s="509"/>
      <c r="MB186" s="509"/>
      <c r="MC186" s="509"/>
      <c r="MD186" s="509"/>
      <c r="ME186" s="509"/>
      <c r="MF186" s="509"/>
      <c r="MG186" s="509"/>
      <c r="MH186" s="509"/>
      <c r="MI186" s="509"/>
      <c r="MJ186" s="509"/>
      <c r="MK186" s="509"/>
      <c r="ML186" s="509"/>
      <c r="MM186" s="509"/>
      <c r="MN186" s="509"/>
      <c r="MO186" s="509"/>
      <c r="MP186" s="509"/>
      <c r="MQ186" s="509"/>
      <c r="MR186" s="509"/>
      <c r="MS186" s="509"/>
      <c r="MT186" s="509"/>
      <c r="MU186" s="509"/>
      <c r="MV186" s="509"/>
      <c r="MW186" s="509"/>
      <c r="MX186" s="509"/>
      <c r="MY186" s="509"/>
      <c r="MZ186" s="509"/>
      <c r="NA186" s="509"/>
      <c r="NB186" s="509"/>
      <c r="NC186" s="509"/>
      <c r="ND186" s="509"/>
      <c r="NE186" s="509"/>
      <c r="NF186" s="509"/>
      <c r="NG186" s="509"/>
      <c r="NH186" s="509"/>
      <c r="NI186" s="509"/>
      <c r="NJ186" s="509"/>
      <c r="NK186" s="509"/>
      <c r="NL186" s="509"/>
      <c r="NM186" s="509"/>
      <c r="NN186" s="509"/>
      <c r="NO186" s="509"/>
      <c r="NP186" s="509"/>
      <c r="NQ186" s="509"/>
      <c r="NR186" s="509"/>
      <c r="NS186" s="509"/>
      <c r="NT186" s="509"/>
      <c r="NU186" s="509"/>
      <c r="NV186" s="509"/>
      <c r="NW186" s="509"/>
      <c r="NX186" s="509"/>
      <c r="NY186" s="509"/>
      <c r="NZ186" s="509"/>
      <c r="OA186" s="509"/>
      <c r="OB186" s="509"/>
      <c r="OC186" s="509"/>
      <c r="OD186" s="509"/>
      <c r="OE186" s="509"/>
      <c r="OF186" s="509"/>
      <c r="OG186" s="509"/>
      <c r="OH186" s="509"/>
      <c r="OI186" s="509"/>
      <c r="OJ186" s="509"/>
      <c r="OK186" s="509"/>
      <c r="OL186" s="509"/>
      <c r="OM186" s="509"/>
      <c r="ON186" s="509"/>
      <c r="OO186" s="509"/>
      <c r="OP186" s="509"/>
      <c r="OQ186" s="509"/>
      <c r="OR186" s="509"/>
      <c r="OS186" s="509"/>
      <c r="OT186" s="509"/>
      <c r="OU186" s="509"/>
      <c r="OV186" s="509"/>
      <c r="OW186" s="509"/>
      <c r="OX186" s="509"/>
      <c r="OY186" s="509"/>
      <c r="OZ186" s="509"/>
      <c r="PA186" s="509"/>
      <c r="PB186" s="509"/>
      <c r="PC186" s="509"/>
      <c r="PD186" s="509"/>
      <c r="PE186" s="509"/>
      <c r="PF186" s="509"/>
      <c r="PG186" s="509"/>
      <c r="PH186" s="509"/>
      <c r="PI186" s="509"/>
      <c r="PJ186" s="509"/>
      <c r="PK186" s="509"/>
      <c r="PL186" s="509"/>
      <c r="PM186" s="509"/>
      <c r="PN186" s="509"/>
      <c r="PO186" s="509"/>
      <c r="PP186" s="509"/>
      <c r="PQ186" s="509"/>
      <c r="PR186" s="509"/>
      <c r="PS186" s="509"/>
      <c r="PT186" s="509"/>
      <c r="PU186" s="509"/>
      <c r="PV186" s="509"/>
      <c r="PW186" s="509"/>
      <c r="PX186" s="509"/>
      <c r="PY186" s="509"/>
      <c r="PZ186" s="509"/>
      <c r="QA186" s="509"/>
      <c r="QB186" s="509"/>
      <c r="QC186" s="509"/>
      <c r="QD186" s="509"/>
      <c r="QE186" s="509"/>
      <c r="QF186" s="509"/>
      <c r="QG186" s="509"/>
      <c r="QH186" s="509"/>
      <c r="QI186" s="509"/>
      <c r="QJ186" s="509"/>
      <c r="QK186" s="509"/>
      <c r="QL186" s="509"/>
      <c r="QM186" s="509"/>
      <c r="QN186" s="509"/>
      <c r="QO186" s="509"/>
      <c r="QP186" s="509"/>
      <c r="QQ186" s="509"/>
      <c r="QR186" s="509"/>
      <c r="QS186" s="509"/>
      <c r="QT186" s="509"/>
      <c r="QU186" s="509"/>
      <c r="QV186" s="509"/>
      <c r="QW186" s="509"/>
      <c r="QX186" s="509"/>
      <c r="QY186" s="509"/>
      <c r="QZ186" s="509"/>
      <c r="RA186" s="509"/>
      <c r="RB186" s="509"/>
      <c r="RC186" s="509"/>
      <c r="RD186" s="509"/>
      <c r="RE186" s="509"/>
      <c r="RF186" s="509"/>
      <c r="RG186" s="509"/>
      <c r="RH186" s="509"/>
      <c r="RI186" s="509"/>
      <c r="RJ186" s="509"/>
      <c r="RK186" s="509"/>
      <c r="RL186" s="509"/>
      <c r="RM186" s="509"/>
      <c r="RN186" s="509"/>
      <c r="RO186" s="509"/>
      <c r="RP186" s="509"/>
      <c r="RQ186" s="509"/>
      <c r="RR186" s="509"/>
      <c r="RS186" s="509"/>
      <c r="RT186" s="509"/>
      <c r="RU186" s="509"/>
      <c r="RV186" s="509"/>
      <c r="RW186" s="509"/>
      <c r="RX186" s="509"/>
      <c r="RY186" s="509"/>
      <c r="RZ186" s="509"/>
      <c r="SA186" s="509"/>
      <c r="SB186" s="509"/>
      <c r="SC186" s="509"/>
      <c r="SD186" s="509"/>
      <c r="SE186" s="509"/>
      <c r="SF186" s="509"/>
      <c r="SG186" s="509"/>
      <c r="SH186" s="509"/>
      <c r="SI186" s="509"/>
      <c r="SJ186" s="509"/>
      <c r="SK186" s="509"/>
      <c r="SL186" s="509"/>
      <c r="SM186" s="509"/>
      <c r="SN186" s="509"/>
      <c r="SO186" s="509"/>
      <c r="SP186" s="509"/>
      <c r="SQ186" s="509"/>
      <c r="SR186" s="509"/>
      <c r="SS186" s="509"/>
      <c r="ST186" s="509"/>
      <c r="SU186" s="509"/>
      <c r="SV186" s="509"/>
      <c r="SW186" s="509"/>
      <c r="SX186" s="509"/>
      <c r="SY186" s="509"/>
      <c r="SZ186" s="509"/>
      <c r="TA186" s="509"/>
      <c r="TB186" s="509"/>
      <c r="TC186" s="509"/>
      <c r="TD186" s="509"/>
      <c r="TE186" s="509"/>
      <c r="TF186" s="509"/>
      <c r="TG186" s="509"/>
      <c r="TH186" s="509"/>
      <c r="TI186" s="509"/>
      <c r="TJ186" s="509"/>
      <c r="TK186" s="509"/>
      <c r="TL186" s="509"/>
      <c r="TM186" s="509"/>
      <c r="TN186" s="509"/>
      <c r="TO186" s="509"/>
      <c r="TP186" s="509"/>
      <c r="TQ186" s="509"/>
      <c r="TR186" s="509"/>
      <c r="TS186" s="509"/>
      <c r="TT186" s="509"/>
      <c r="TU186" s="509"/>
      <c r="TV186" s="509"/>
      <c r="TW186" s="509"/>
      <c r="TX186" s="509"/>
      <c r="TY186" s="509"/>
      <c r="TZ186" s="509"/>
      <c r="UA186" s="509"/>
      <c r="UB186" s="509"/>
      <c r="UC186" s="509"/>
      <c r="UD186" s="509"/>
      <c r="UE186" s="509"/>
      <c r="UF186" s="509"/>
      <c r="UG186" s="509"/>
      <c r="UH186" s="509"/>
      <c r="UI186" s="509"/>
    </row>
    <row r="187" spans="1:555" ht="51" customHeight="1">
      <c r="A187" s="296">
        <v>206</v>
      </c>
      <c r="B187" s="297" t="s">
        <v>2482</v>
      </c>
      <c r="C187" s="298">
        <v>79133833</v>
      </c>
      <c r="D187" s="354" t="s">
        <v>2483</v>
      </c>
      <c r="E187" s="299">
        <v>42340</v>
      </c>
      <c r="F187" s="300">
        <v>42339</v>
      </c>
      <c r="G187" s="301" t="s">
        <v>2484</v>
      </c>
      <c r="H187" s="297" t="s">
        <v>625</v>
      </c>
      <c r="I187" s="297" t="s">
        <v>183</v>
      </c>
      <c r="J187" s="299">
        <v>42698</v>
      </c>
      <c r="K187" s="300">
        <v>42675</v>
      </c>
      <c r="L187" s="301" t="s">
        <v>2485</v>
      </c>
      <c r="M187" s="297" t="s">
        <v>5</v>
      </c>
      <c r="N187" s="297" t="s">
        <v>101</v>
      </c>
      <c r="O187" s="299">
        <v>43119</v>
      </c>
      <c r="P187" s="302">
        <v>43101</v>
      </c>
      <c r="Q187" s="301" t="s">
        <v>2486</v>
      </c>
      <c r="R187" s="297" t="s">
        <v>208</v>
      </c>
      <c r="S187" s="297" t="s">
        <v>85</v>
      </c>
      <c r="T187" s="299">
        <v>43542</v>
      </c>
      <c r="U187" s="300">
        <v>43542</v>
      </c>
      <c r="V187" s="301" t="s">
        <v>8396</v>
      </c>
      <c r="W187" s="297" t="s">
        <v>208</v>
      </c>
      <c r="X187" s="297" t="s">
        <v>1114</v>
      </c>
      <c r="Y187" s="299">
        <v>44005</v>
      </c>
      <c r="Z187" s="300">
        <v>44005</v>
      </c>
      <c r="AA187" s="301" t="s">
        <v>9527</v>
      </c>
      <c r="AB187" s="297" t="s">
        <v>208</v>
      </c>
      <c r="AC187" s="297" t="s">
        <v>8255</v>
      </c>
      <c r="AD187" s="299"/>
      <c r="AE187" s="300"/>
      <c r="AF187" s="301"/>
      <c r="AG187" s="297"/>
      <c r="AH187" s="297"/>
      <c r="AI187" s="304"/>
      <c r="AJ187" s="300"/>
      <c r="AK187" s="301"/>
      <c r="AL187" s="297"/>
      <c r="AM187" s="297"/>
      <c r="AN187" s="297" t="s">
        <v>2487</v>
      </c>
      <c r="AO187" s="554"/>
      <c r="AP187" s="297"/>
      <c r="AQ187" s="301" t="s">
        <v>2488</v>
      </c>
      <c r="AR187" s="297" t="s">
        <v>161</v>
      </c>
      <c r="AS187" s="299">
        <v>38412</v>
      </c>
      <c r="AT187" s="299">
        <v>39783</v>
      </c>
      <c r="AU187" s="297" t="s">
        <v>7548</v>
      </c>
      <c r="AV187" s="297"/>
      <c r="AW187" s="297" t="s">
        <v>92</v>
      </c>
      <c r="AX187" s="297" t="s">
        <v>2489</v>
      </c>
      <c r="AY187" s="299">
        <v>41425</v>
      </c>
      <c r="AZ187" s="297" t="s">
        <v>2490</v>
      </c>
      <c r="BA187" s="299">
        <v>42284</v>
      </c>
      <c r="BB187" s="382">
        <v>42312</v>
      </c>
      <c r="BC187" s="297" t="s">
        <v>95</v>
      </c>
      <c r="BD187" s="297" t="s">
        <v>566</v>
      </c>
      <c r="BE187" s="297"/>
      <c r="BF187" s="301" t="s">
        <v>2491</v>
      </c>
      <c r="BG187" s="301"/>
      <c r="BH187" s="301"/>
      <c r="BI187" s="301"/>
      <c r="BJ187" s="312">
        <f>+[50]MATRIZ!$J$60</f>
        <v>4483624.2594861891</v>
      </c>
      <c r="BK187" s="312"/>
      <c r="BL187" s="313"/>
      <c r="BM187" s="299">
        <v>43994</v>
      </c>
      <c r="BN187" s="314"/>
      <c r="BO187" s="460"/>
      <c r="BP187" s="390"/>
      <c r="BQ187" s="297"/>
      <c r="BR187" s="303"/>
      <c r="BS187" s="301"/>
      <c r="BT187" s="301"/>
      <c r="BU187" s="301"/>
      <c r="BV187" s="301"/>
      <c r="BW187" s="316"/>
      <c r="BX187" s="304"/>
      <c r="BY187" s="299"/>
      <c r="BZ187" s="317"/>
      <c r="CA187" s="509"/>
      <c r="CB187" s="509"/>
      <c r="CC187" s="509"/>
      <c r="CD187" s="509"/>
      <c r="CE187" s="509"/>
      <c r="CF187" s="509"/>
      <c r="CG187" s="509"/>
      <c r="CH187" s="509"/>
      <c r="CI187" s="509"/>
      <c r="CJ187" s="509"/>
      <c r="CK187" s="509"/>
      <c r="CL187" s="509"/>
      <c r="CM187" s="509"/>
      <c r="CN187" s="509"/>
      <c r="CO187" s="509"/>
      <c r="CP187" s="509"/>
      <c r="CQ187" s="509"/>
      <c r="CR187" s="509"/>
      <c r="CS187" s="509"/>
      <c r="CT187" s="509"/>
      <c r="CU187" s="509"/>
      <c r="CV187" s="509"/>
      <c r="CW187" s="509"/>
      <c r="CX187" s="509"/>
      <c r="CY187" s="509"/>
      <c r="CZ187" s="509"/>
      <c r="DA187" s="509"/>
      <c r="DB187" s="509"/>
      <c r="DC187" s="509"/>
      <c r="DD187" s="509"/>
      <c r="DE187" s="509"/>
      <c r="DF187" s="509"/>
      <c r="DG187" s="509"/>
      <c r="DH187" s="509"/>
      <c r="DI187" s="509"/>
      <c r="DJ187" s="509"/>
      <c r="DK187" s="509"/>
      <c r="DL187" s="509"/>
      <c r="DM187" s="509"/>
      <c r="DN187" s="509"/>
      <c r="DO187" s="509"/>
      <c r="DP187" s="509"/>
      <c r="DQ187" s="509"/>
      <c r="DR187" s="509"/>
      <c r="DS187" s="509"/>
      <c r="DT187" s="509"/>
      <c r="DU187" s="509"/>
      <c r="DV187" s="509"/>
      <c r="DW187" s="509"/>
      <c r="DX187" s="509"/>
      <c r="DY187" s="509"/>
      <c r="DZ187" s="509"/>
      <c r="EA187" s="509"/>
      <c r="EB187" s="509"/>
      <c r="EC187" s="509"/>
      <c r="ED187" s="509"/>
      <c r="EE187" s="509"/>
      <c r="EF187" s="509"/>
      <c r="EG187" s="509"/>
      <c r="EH187" s="509"/>
      <c r="EI187" s="509"/>
      <c r="EJ187" s="509"/>
      <c r="EK187" s="509"/>
      <c r="EL187" s="509"/>
      <c r="EM187" s="509"/>
      <c r="EN187" s="509"/>
      <c r="EO187" s="509"/>
      <c r="EP187" s="509"/>
      <c r="EQ187" s="509"/>
      <c r="ER187" s="509"/>
      <c r="ES187" s="509"/>
      <c r="ET187" s="509"/>
      <c r="EU187" s="509"/>
      <c r="EV187" s="509"/>
      <c r="EW187" s="509"/>
      <c r="EX187" s="509"/>
      <c r="EY187" s="509"/>
      <c r="EZ187" s="509"/>
      <c r="FA187" s="509"/>
      <c r="FB187" s="509"/>
      <c r="FC187" s="509"/>
      <c r="FD187" s="509"/>
      <c r="FE187" s="509"/>
      <c r="FF187" s="509"/>
      <c r="FG187" s="509"/>
      <c r="FH187" s="509"/>
      <c r="FI187" s="509"/>
      <c r="FJ187" s="509"/>
      <c r="FK187" s="509"/>
      <c r="FL187" s="509"/>
      <c r="FM187" s="509"/>
      <c r="FN187" s="509"/>
      <c r="FO187" s="509"/>
      <c r="FP187" s="509"/>
      <c r="FQ187" s="509"/>
      <c r="FR187" s="509"/>
      <c r="FS187" s="509"/>
      <c r="FT187" s="509"/>
      <c r="FU187" s="509"/>
      <c r="FV187" s="509"/>
      <c r="FW187" s="509"/>
      <c r="FX187" s="509"/>
      <c r="FY187" s="509"/>
      <c r="FZ187" s="509"/>
      <c r="GA187" s="509"/>
      <c r="GB187" s="509"/>
      <c r="GC187" s="509"/>
      <c r="GD187" s="509"/>
      <c r="GE187" s="509"/>
      <c r="GF187" s="509"/>
      <c r="GG187" s="509"/>
      <c r="GH187" s="509"/>
      <c r="GI187" s="509"/>
      <c r="GJ187" s="509"/>
      <c r="GK187" s="509"/>
      <c r="GL187" s="509"/>
      <c r="GM187" s="509"/>
      <c r="GN187" s="509"/>
      <c r="GO187" s="509"/>
      <c r="GP187" s="509"/>
      <c r="GQ187" s="509"/>
      <c r="GR187" s="509"/>
      <c r="GS187" s="509"/>
      <c r="GT187" s="509"/>
      <c r="GU187" s="509"/>
      <c r="GV187" s="509"/>
      <c r="GW187" s="509"/>
      <c r="GX187" s="509"/>
      <c r="GY187" s="509"/>
      <c r="GZ187" s="509"/>
      <c r="HA187" s="509"/>
      <c r="HB187" s="509"/>
      <c r="HC187" s="509"/>
      <c r="HD187" s="509"/>
      <c r="HE187" s="509"/>
      <c r="HF187" s="509"/>
      <c r="HG187" s="509"/>
      <c r="HH187" s="509"/>
      <c r="HI187" s="509"/>
      <c r="HJ187" s="509"/>
      <c r="HK187" s="509"/>
      <c r="HL187" s="509"/>
      <c r="HM187" s="509"/>
      <c r="HN187" s="509"/>
      <c r="HO187" s="509"/>
      <c r="HP187" s="509"/>
      <c r="HQ187" s="509"/>
      <c r="HR187" s="509"/>
      <c r="HS187" s="509"/>
      <c r="HT187" s="509"/>
      <c r="HU187" s="509"/>
      <c r="HV187" s="509"/>
      <c r="HW187" s="509"/>
      <c r="HX187" s="509"/>
      <c r="HY187" s="509"/>
      <c r="HZ187" s="509"/>
      <c r="IA187" s="509"/>
      <c r="IB187" s="509"/>
      <c r="IC187" s="509"/>
      <c r="ID187" s="509"/>
      <c r="IE187" s="509"/>
      <c r="IF187" s="509"/>
      <c r="IG187" s="509"/>
      <c r="IH187" s="509"/>
      <c r="II187" s="509"/>
      <c r="IJ187" s="509"/>
      <c r="IK187" s="509"/>
      <c r="IL187" s="509"/>
      <c r="IM187" s="509"/>
      <c r="IN187" s="509"/>
      <c r="IO187" s="509"/>
      <c r="IP187" s="509"/>
      <c r="IQ187" s="509"/>
      <c r="IR187" s="509"/>
      <c r="IS187" s="509"/>
      <c r="IT187" s="509"/>
      <c r="IU187" s="509"/>
      <c r="IV187" s="509"/>
      <c r="IW187" s="509"/>
      <c r="IX187" s="509"/>
      <c r="IY187" s="509"/>
      <c r="IZ187" s="509"/>
      <c r="JA187" s="509"/>
      <c r="JB187" s="509"/>
      <c r="JC187" s="509"/>
      <c r="JD187" s="509"/>
      <c r="JE187" s="509"/>
      <c r="JF187" s="509"/>
      <c r="JG187" s="509"/>
      <c r="JH187" s="509"/>
      <c r="JI187" s="509"/>
      <c r="JJ187" s="509"/>
      <c r="JK187" s="509"/>
      <c r="JL187" s="509"/>
      <c r="JM187" s="509"/>
      <c r="JN187" s="509"/>
      <c r="JO187" s="509"/>
      <c r="JP187" s="509"/>
      <c r="JQ187" s="509"/>
      <c r="JR187" s="509"/>
      <c r="JS187" s="509"/>
      <c r="JT187" s="509"/>
      <c r="JU187" s="509"/>
      <c r="JV187" s="509"/>
      <c r="JW187" s="509"/>
      <c r="JX187" s="509"/>
      <c r="JY187" s="509"/>
      <c r="JZ187" s="509"/>
      <c r="KA187" s="509"/>
      <c r="KB187" s="509"/>
      <c r="KC187" s="509"/>
      <c r="KD187" s="509"/>
      <c r="KE187" s="509"/>
      <c r="KF187" s="509"/>
      <c r="KG187" s="509"/>
      <c r="KH187" s="509"/>
      <c r="KI187" s="509"/>
      <c r="KJ187" s="509"/>
      <c r="KK187" s="509"/>
      <c r="KL187" s="509"/>
      <c r="KM187" s="509"/>
      <c r="KN187" s="509"/>
      <c r="KO187" s="509"/>
      <c r="KP187" s="509"/>
      <c r="KQ187" s="509"/>
      <c r="KR187" s="509"/>
      <c r="KS187" s="509"/>
      <c r="KT187" s="509"/>
      <c r="KU187" s="509"/>
      <c r="KV187" s="509"/>
      <c r="KW187" s="509"/>
      <c r="KX187" s="509"/>
      <c r="KY187" s="509"/>
      <c r="KZ187" s="509"/>
      <c r="LA187" s="509"/>
      <c r="LB187" s="509"/>
      <c r="LC187" s="509"/>
      <c r="LD187" s="509"/>
      <c r="LE187" s="509"/>
      <c r="LF187" s="509"/>
      <c r="LG187" s="509"/>
      <c r="LH187" s="509"/>
      <c r="LI187" s="509"/>
      <c r="LJ187" s="509"/>
      <c r="LK187" s="509"/>
      <c r="LL187" s="509"/>
      <c r="LM187" s="509"/>
      <c r="LN187" s="509"/>
      <c r="LO187" s="509"/>
      <c r="LP187" s="509"/>
      <c r="LQ187" s="509"/>
      <c r="LR187" s="509"/>
      <c r="LS187" s="509"/>
      <c r="LT187" s="509"/>
      <c r="LU187" s="509"/>
      <c r="LV187" s="509"/>
      <c r="LW187" s="509"/>
      <c r="LX187" s="509"/>
      <c r="LY187" s="509"/>
      <c r="LZ187" s="509"/>
      <c r="MA187" s="509"/>
      <c r="MB187" s="509"/>
      <c r="MC187" s="509"/>
      <c r="MD187" s="509"/>
      <c r="ME187" s="509"/>
      <c r="MF187" s="509"/>
      <c r="MG187" s="509"/>
      <c r="MH187" s="509"/>
      <c r="MI187" s="509"/>
      <c r="MJ187" s="509"/>
      <c r="MK187" s="509"/>
      <c r="ML187" s="509"/>
      <c r="MM187" s="509"/>
      <c r="MN187" s="509"/>
      <c r="MO187" s="509"/>
      <c r="MP187" s="509"/>
      <c r="MQ187" s="509"/>
      <c r="MR187" s="509"/>
      <c r="MS187" s="509"/>
      <c r="MT187" s="509"/>
      <c r="MU187" s="509"/>
      <c r="MV187" s="509"/>
      <c r="MW187" s="509"/>
      <c r="MX187" s="509"/>
      <c r="MY187" s="509"/>
      <c r="MZ187" s="509"/>
      <c r="NA187" s="509"/>
      <c r="NB187" s="509"/>
      <c r="NC187" s="509"/>
      <c r="ND187" s="509"/>
      <c r="NE187" s="509"/>
      <c r="NF187" s="509"/>
      <c r="NG187" s="509"/>
      <c r="NH187" s="509"/>
      <c r="NI187" s="509"/>
      <c r="NJ187" s="509"/>
      <c r="NK187" s="509"/>
      <c r="NL187" s="509"/>
      <c r="NM187" s="509"/>
      <c r="NN187" s="509"/>
      <c r="NO187" s="509"/>
      <c r="NP187" s="509"/>
      <c r="NQ187" s="509"/>
      <c r="NR187" s="509"/>
      <c r="NS187" s="509"/>
      <c r="NT187" s="509"/>
      <c r="NU187" s="509"/>
      <c r="NV187" s="509"/>
      <c r="NW187" s="509"/>
      <c r="NX187" s="509"/>
      <c r="NY187" s="509"/>
      <c r="NZ187" s="509"/>
      <c r="OA187" s="509"/>
      <c r="OB187" s="509"/>
      <c r="OC187" s="509"/>
      <c r="OD187" s="509"/>
      <c r="OE187" s="509"/>
      <c r="OF187" s="509"/>
      <c r="OG187" s="509"/>
      <c r="OH187" s="509"/>
      <c r="OI187" s="509"/>
      <c r="OJ187" s="509"/>
      <c r="OK187" s="509"/>
      <c r="OL187" s="509"/>
      <c r="OM187" s="509"/>
      <c r="ON187" s="509"/>
      <c r="OO187" s="509"/>
      <c r="OP187" s="509"/>
      <c r="OQ187" s="509"/>
      <c r="OR187" s="509"/>
      <c r="OS187" s="509"/>
      <c r="OT187" s="509"/>
      <c r="OU187" s="509"/>
      <c r="OV187" s="509"/>
      <c r="OW187" s="509"/>
      <c r="OX187" s="509"/>
      <c r="OY187" s="509"/>
      <c r="OZ187" s="509"/>
      <c r="PA187" s="509"/>
      <c r="PB187" s="509"/>
      <c r="PC187" s="509"/>
      <c r="PD187" s="509"/>
      <c r="PE187" s="509"/>
      <c r="PF187" s="509"/>
      <c r="PG187" s="509"/>
      <c r="PH187" s="509"/>
      <c r="PI187" s="509"/>
      <c r="PJ187" s="509"/>
      <c r="PK187" s="509"/>
      <c r="PL187" s="509"/>
      <c r="PM187" s="509"/>
      <c r="PN187" s="509"/>
      <c r="PO187" s="509"/>
      <c r="PP187" s="509"/>
      <c r="PQ187" s="509"/>
      <c r="PR187" s="509"/>
      <c r="PS187" s="509"/>
      <c r="PT187" s="509"/>
      <c r="PU187" s="509"/>
      <c r="PV187" s="509"/>
      <c r="PW187" s="509"/>
      <c r="PX187" s="509"/>
      <c r="PY187" s="509"/>
      <c r="PZ187" s="509"/>
      <c r="QA187" s="509"/>
      <c r="QB187" s="509"/>
      <c r="QC187" s="509"/>
      <c r="QD187" s="509"/>
      <c r="QE187" s="509"/>
      <c r="QF187" s="509"/>
      <c r="QG187" s="509"/>
      <c r="QH187" s="509"/>
      <c r="QI187" s="509"/>
      <c r="QJ187" s="509"/>
      <c r="QK187" s="509"/>
      <c r="QL187" s="509"/>
      <c r="QM187" s="509"/>
      <c r="QN187" s="509"/>
      <c r="QO187" s="509"/>
      <c r="QP187" s="509"/>
      <c r="QQ187" s="509"/>
      <c r="QR187" s="509"/>
      <c r="QS187" s="509"/>
      <c r="QT187" s="509"/>
      <c r="QU187" s="509"/>
      <c r="QV187" s="509"/>
      <c r="QW187" s="509"/>
      <c r="QX187" s="509"/>
      <c r="QY187" s="509"/>
      <c r="QZ187" s="509"/>
      <c r="RA187" s="509"/>
      <c r="RB187" s="509"/>
      <c r="RC187" s="509"/>
      <c r="RD187" s="509"/>
      <c r="RE187" s="509"/>
      <c r="RF187" s="509"/>
      <c r="RG187" s="509"/>
      <c r="RH187" s="509"/>
      <c r="RI187" s="509"/>
      <c r="RJ187" s="509"/>
      <c r="RK187" s="509"/>
      <c r="RL187" s="509"/>
      <c r="RM187" s="509"/>
      <c r="RN187" s="509"/>
      <c r="RO187" s="509"/>
      <c r="RP187" s="509"/>
      <c r="RQ187" s="509"/>
      <c r="RR187" s="509"/>
      <c r="RS187" s="509"/>
      <c r="RT187" s="509"/>
      <c r="RU187" s="509"/>
      <c r="RV187" s="509"/>
      <c r="RW187" s="509"/>
      <c r="RX187" s="509"/>
      <c r="RY187" s="509"/>
      <c r="RZ187" s="509"/>
      <c r="SA187" s="509"/>
      <c r="SB187" s="509"/>
      <c r="SC187" s="509"/>
      <c r="SD187" s="509"/>
      <c r="SE187" s="509"/>
      <c r="SF187" s="509"/>
      <c r="SG187" s="509"/>
      <c r="SH187" s="509"/>
      <c r="SI187" s="509"/>
      <c r="SJ187" s="509"/>
      <c r="SK187" s="509"/>
      <c r="SL187" s="509"/>
      <c r="SM187" s="509"/>
      <c r="SN187" s="509"/>
      <c r="SO187" s="509"/>
      <c r="SP187" s="509"/>
      <c r="SQ187" s="509"/>
      <c r="SR187" s="509"/>
      <c r="SS187" s="509"/>
      <c r="ST187" s="509"/>
      <c r="SU187" s="509"/>
      <c r="SV187" s="509"/>
      <c r="SW187" s="509"/>
      <c r="SX187" s="509"/>
      <c r="SY187" s="509"/>
      <c r="SZ187" s="509"/>
      <c r="TA187" s="509"/>
      <c r="TB187" s="509"/>
      <c r="TC187" s="509"/>
      <c r="TD187" s="509"/>
      <c r="TE187" s="509"/>
      <c r="TF187" s="509"/>
      <c r="TG187" s="509"/>
      <c r="TH187" s="509"/>
      <c r="TI187" s="509"/>
      <c r="TJ187" s="509"/>
      <c r="TK187" s="509"/>
      <c r="TL187" s="509"/>
      <c r="TM187" s="509"/>
      <c r="TN187" s="509"/>
      <c r="TO187" s="509"/>
      <c r="TP187" s="509"/>
      <c r="TQ187" s="509"/>
      <c r="TR187" s="509"/>
      <c r="TS187" s="509"/>
      <c r="TT187" s="509"/>
      <c r="TU187" s="509"/>
      <c r="TV187" s="509"/>
      <c r="TW187" s="509"/>
      <c r="TX187" s="509"/>
      <c r="TY187" s="509"/>
      <c r="TZ187" s="509"/>
      <c r="UA187" s="509"/>
      <c r="UB187" s="509"/>
      <c r="UC187" s="509"/>
      <c r="UD187" s="509"/>
      <c r="UE187" s="509"/>
      <c r="UF187" s="509"/>
      <c r="UG187" s="509"/>
      <c r="UH187" s="509"/>
      <c r="UI187" s="509"/>
    </row>
    <row r="188" spans="1:555" ht="55.5" customHeight="1">
      <c r="A188" s="296">
        <v>207</v>
      </c>
      <c r="B188" s="297" t="s">
        <v>2492</v>
      </c>
      <c r="C188" s="298">
        <v>71940803</v>
      </c>
      <c r="D188" s="354" t="s">
        <v>906</v>
      </c>
      <c r="E188" s="299">
        <v>42347</v>
      </c>
      <c r="F188" s="300">
        <v>42339</v>
      </c>
      <c r="G188" s="301" t="s">
        <v>2493</v>
      </c>
      <c r="H188" s="297" t="s">
        <v>1493</v>
      </c>
      <c r="I188" s="297" t="s">
        <v>183</v>
      </c>
      <c r="J188" s="299">
        <v>42704</v>
      </c>
      <c r="K188" s="300">
        <v>42675</v>
      </c>
      <c r="L188" s="301" t="s">
        <v>2494</v>
      </c>
      <c r="M188" s="297" t="s">
        <v>5</v>
      </c>
      <c r="N188" s="297" t="s">
        <v>101</v>
      </c>
      <c r="O188" s="299"/>
      <c r="P188" s="302"/>
      <c r="Q188" s="301"/>
      <c r="R188" s="297"/>
      <c r="S188" s="297"/>
      <c r="T188" s="299"/>
      <c r="U188" s="300"/>
      <c r="V188" s="301"/>
      <c r="W188" s="297"/>
      <c r="X188" s="297"/>
      <c r="Y188" s="299"/>
      <c r="Z188" s="300"/>
      <c r="AA188" s="301"/>
      <c r="AB188" s="297"/>
      <c r="AC188" s="297"/>
      <c r="AD188" s="299"/>
      <c r="AE188" s="300"/>
      <c r="AF188" s="301"/>
      <c r="AG188" s="297"/>
      <c r="AH188" s="297"/>
      <c r="AI188" s="304"/>
      <c r="AJ188" s="300"/>
      <c r="AK188" s="301"/>
      <c r="AL188" s="297"/>
      <c r="AM188" s="297"/>
      <c r="AN188" s="297" t="s">
        <v>1809</v>
      </c>
      <c r="AO188" s="540">
        <v>42704</v>
      </c>
      <c r="AP188" s="297"/>
      <c r="AQ188" s="301" t="s">
        <v>2495</v>
      </c>
      <c r="AR188" s="297" t="s">
        <v>161</v>
      </c>
      <c r="AS188" s="299" t="s">
        <v>67</v>
      </c>
      <c r="AT188" s="299" t="s">
        <v>67</v>
      </c>
      <c r="AU188" s="297" t="s">
        <v>2496</v>
      </c>
      <c r="AV188" s="297"/>
      <c r="AW188" s="297" t="s">
        <v>69</v>
      </c>
      <c r="AX188" s="297" t="s">
        <v>2497</v>
      </c>
      <c r="AY188" s="299">
        <v>41808</v>
      </c>
      <c r="AZ188" s="297" t="s">
        <v>409</v>
      </c>
      <c r="BA188" s="299">
        <v>42228</v>
      </c>
      <c r="BB188" s="382">
        <v>42235</v>
      </c>
      <c r="BC188" s="303" t="s">
        <v>912</v>
      </c>
      <c r="BD188" s="303" t="s">
        <v>566</v>
      </c>
      <c r="BE188" s="297"/>
      <c r="BF188" s="301"/>
      <c r="BG188" s="301"/>
      <c r="BH188" s="301" t="s">
        <v>9412</v>
      </c>
      <c r="BI188" s="301"/>
      <c r="BJ188" s="312">
        <f>+[51]MATRIZ!$J$47</f>
        <v>12748210.411507342</v>
      </c>
      <c r="BK188" s="312">
        <v>12748210</v>
      </c>
      <c r="BL188" s="313">
        <v>88545320</v>
      </c>
      <c r="BM188" s="299">
        <v>43935</v>
      </c>
      <c r="BN188" s="314">
        <v>43935</v>
      </c>
      <c r="BO188" s="460"/>
      <c r="BP188" s="390"/>
      <c r="BQ188" s="297"/>
      <c r="BR188" s="303"/>
      <c r="BS188" s="301"/>
      <c r="BT188" s="301"/>
      <c r="BU188" s="301"/>
      <c r="BV188" s="301"/>
      <c r="BW188" s="316"/>
      <c r="BX188" s="304"/>
      <c r="BY188" s="299"/>
      <c r="BZ188" s="317"/>
      <c r="CA188" s="509"/>
      <c r="CB188" s="509"/>
      <c r="CC188" s="509"/>
      <c r="CD188" s="509"/>
      <c r="CE188" s="509"/>
      <c r="CF188" s="509"/>
      <c r="CG188" s="509"/>
      <c r="CH188" s="509"/>
      <c r="CI188" s="509"/>
      <c r="CJ188" s="509"/>
      <c r="CK188" s="509"/>
      <c r="CL188" s="509"/>
      <c r="CM188" s="509"/>
      <c r="CN188" s="509"/>
      <c r="CO188" s="509"/>
      <c r="CP188" s="509"/>
      <c r="CQ188" s="509"/>
      <c r="CR188" s="509"/>
      <c r="CS188" s="509"/>
      <c r="CT188" s="509"/>
      <c r="CU188" s="509"/>
      <c r="CV188" s="509"/>
      <c r="CW188" s="509"/>
      <c r="CX188" s="509"/>
      <c r="CY188" s="509"/>
      <c r="CZ188" s="509"/>
      <c r="DA188" s="509"/>
      <c r="DB188" s="509"/>
      <c r="DC188" s="509"/>
      <c r="DD188" s="509"/>
      <c r="DE188" s="509"/>
      <c r="DF188" s="509"/>
      <c r="DG188" s="509"/>
      <c r="DH188" s="509"/>
      <c r="DI188" s="509"/>
      <c r="DJ188" s="509"/>
      <c r="DK188" s="509"/>
      <c r="DL188" s="509"/>
      <c r="DM188" s="509"/>
      <c r="DN188" s="509"/>
      <c r="DO188" s="509"/>
      <c r="DP188" s="509"/>
      <c r="DQ188" s="509"/>
      <c r="DR188" s="509"/>
      <c r="DS188" s="509"/>
      <c r="DT188" s="509"/>
      <c r="DU188" s="509"/>
      <c r="DV188" s="509"/>
      <c r="DW188" s="509"/>
      <c r="DX188" s="509"/>
      <c r="DY188" s="509"/>
      <c r="DZ188" s="509"/>
      <c r="EA188" s="509"/>
      <c r="EB188" s="509"/>
      <c r="EC188" s="509"/>
      <c r="ED188" s="509"/>
      <c r="EE188" s="509"/>
      <c r="EF188" s="509"/>
      <c r="EG188" s="509"/>
      <c r="EH188" s="509"/>
      <c r="EI188" s="509"/>
      <c r="EJ188" s="509"/>
      <c r="EK188" s="509"/>
      <c r="EL188" s="509"/>
      <c r="EM188" s="509"/>
      <c r="EN188" s="509"/>
      <c r="EO188" s="509"/>
      <c r="EP188" s="509"/>
      <c r="EQ188" s="509"/>
      <c r="ER188" s="509"/>
      <c r="ES188" s="509"/>
      <c r="ET188" s="509"/>
      <c r="EU188" s="509"/>
      <c r="EV188" s="509"/>
      <c r="EW188" s="509"/>
      <c r="EX188" s="509"/>
      <c r="EY188" s="509"/>
      <c r="EZ188" s="509"/>
      <c r="FA188" s="509"/>
      <c r="FB188" s="509"/>
      <c r="FC188" s="509"/>
      <c r="FD188" s="509"/>
      <c r="FE188" s="509"/>
      <c r="FF188" s="509"/>
      <c r="FG188" s="509"/>
      <c r="FH188" s="509"/>
      <c r="FI188" s="509"/>
      <c r="FJ188" s="509"/>
      <c r="FK188" s="509"/>
      <c r="FL188" s="509"/>
      <c r="FM188" s="509"/>
      <c r="FN188" s="509"/>
      <c r="FO188" s="509"/>
      <c r="FP188" s="509"/>
      <c r="FQ188" s="509"/>
      <c r="FR188" s="509"/>
      <c r="FS188" s="509"/>
      <c r="FT188" s="509"/>
      <c r="FU188" s="509"/>
      <c r="FV188" s="509"/>
      <c r="FW188" s="509"/>
      <c r="FX188" s="509"/>
      <c r="FY188" s="509"/>
      <c r="FZ188" s="509"/>
      <c r="GA188" s="509"/>
      <c r="GB188" s="509"/>
      <c r="GC188" s="509"/>
      <c r="GD188" s="509"/>
      <c r="GE188" s="509"/>
      <c r="GF188" s="509"/>
      <c r="GG188" s="509"/>
      <c r="GH188" s="509"/>
      <c r="GI188" s="509"/>
      <c r="GJ188" s="509"/>
      <c r="GK188" s="509"/>
      <c r="GL188" s="509"/>
      <c r="GM188" s="509"/>
      <c r="GN188" s="509"/>
      <c r="GO188" s="509"/>
      <c r="GP188" s="509"/>
      <c r="GQ188" s="509"/>
      <c r="GR188" s="509"/>
      <c r="GS188" s="509"/>
      <c r="GT188" s="509"/>
      <c r="GU188" s="509"/>
      <c r="GV188" s="509"/>
      <c r="GW188" s="509"/>
      <c r="GX188" s="509"/>
      <c r="GY188" s="509"/>
      <c r="GZ188" s="509"/>
      <c r="HA188" s="509"/>
      <c r="HB188" s="509"/>
      <c r="HC188" s="509"/>
      <c r="HD188" s="509"/>
      <c r="HE188" s="509"/>
      <c r="HF188" s="509"/>
      <c r="HG188" s="509"/>
      <c r="HH188" s="509"/>
      <c r="HI188" s="509"/>
      <c r="HJ188" s="509"/>
      <c r="HK188" s="509"/>
      <c r="HL188" s="509"/>
      <c r="HM188" s="509"/>
      <c r="HN188" s="509"/>
      <c r="HO188" s="509"/>
      <c r="HP188" s="509"/>
      <c r="HQ188" s="509"/>
      <c r="HR188" s="509"/>
      <c r="HS188" s="509"/>
      <c r="HT188" s="509"/>
      <c r="HU188" s="509"/>
      <c r="HV188" s="509"/>
      <c r="HW188" s="509"/>
      <c r="HX188" s="509"/>
      <c r="HY188" s="509"/>
      <c r="HZ188" s="509"/>
      <c r="IA188" s="509"/>
      <c r="IB188" s="509"/>
      <c r="IC188" s="509"/>
      <c r="ID188" s="509"/>
      <c r="IE188" s="509"/>
      <c r="IF188" s="509"/>
      <c r="IG188" s="509"/>
      <c r="IH188" s="509"/>
      <c r="II188" s="509"/>
      <c r="IJ188" s="509"/>
      <c r="IK188" s="509"/>
      <c r="IL188" s="509"/>
      <c r="IM188" s="509"/>
      <c r="IN188" s="509"/>
      <c r="IO188" s="509"/>
      <c r="IP188" s="509"/>
      <c r="IQ188" s="509"/>
      <c r="IR188" s="509"/>
      <c r="IS188" s="509"/>
      <c r="IT188" s="509"/>
      <c r="IU188" s="509"/>
      <c r="IV188" s="509"/>
      <c r="IW188" s="509"/>
      <c r="IX188" s="509"/>
      <c r="IY188" s="509"/>
      <c r="IZ188" s="509"/>
      <c r="JA188" s="509"/>
      <c r="JB188" s="509"/>
      <c r="JC188" s="509"/>
      <c r="JD188" s="509"/>
      <c r="JE188" s="509"/>
      <c r="JF188" s="509"/>
      <c r="JG188" s="509"/>
      <c r="JH188" s="509"/>
      <c r="JI188" s="509"/>
      <c r="JJ188" s="509"/>
      <c r="JK188" s="509"/>
      <c r="JL188" s="509"/>
      <c r="JM188" s="509"/>
      <c r="JN188" s="509"/>
      <c r="JO188" s="509"/>
      <c r="JP188" s="509"/>
      <c r="JQ188" s="509"/>
      <c r="JR188" s="509"/>
      <c r="JS188" s="509"/>
      <c r="JT188" s="509"/>
      <c r="JU188" s="509"/>
      <c r="JV188" s="509"/>
      <c r="JW188" s="509"/>
      <c r="JX188" s="509"/>
      <c r="JY188" s="509"/>
      <c r="JZ188" s="509"/>
      <c r="KA188" s="509"/>
      <c r="KB188" s="509"/>
      <c r="KC188" s="509"/>
      <c r="KD188" s="509"/>
      <c r="KE188" s="509"/>
      <c r="KF188" s="509"/>
      <c r="KG188" s="509"/>
      <c r="KH188" s="509"/>
      <c r="KI188" s="509"/>
      <c r="KJ188" s="509"/>
      <c r="KK188" s="509"/>
      <c r="KL188" s="509"/>
      <c r="KM188" s="509"/>
      <c r="KN188" s="509"/>
      <c r="KO188" s="509"/>
      <c r="KP188" s="509"/>
      <c r="KQ188" s="509"/>
      <c r="KR188" s="509"/>
      <c r="KS188" s="509"/>
      <c r="KT188" s="509"/>
      <c r="KU188" s="509"/>
      <c r="KV188" s="509"/>
      <c r="KW188" s="509"/>
      <c r="KX188" s="509"/>
      <c r="KY188" s="509"/>
      <c r="KZ188" s="509"/>
      <c r="LA188" s="509"/>
      <c r="LB188" s="509"/>
      <c r="LC188" s="509"/>
      <c r="LD188" s="509"/>
      <c r="LE188" s="509"/>
      <c r="LF188" s="509"/>
      <c r="LG188" s="509"/>
      <c r="LH188" s="509"/>
      <c r="LI188" s="509"/>
      <c r="LJ188" s="509"/>
      <c r="LK188" s="509"/>
      <c r="LL188" s="509"/>
      <c r="LM188" s="509"/>
      <c r="LN188" s="509"/>
      <c r="LO188" s="509"/>
      <c r="LP188" s="509"/>
      <c r="LQ188" s="509"/>
      <c r="LR188" s="509"/>
      <c r="LS188" s="509"/>
      <c r="LT188" s="509"/>
      <c r="LU188" s="509"/>
      <c r="LV188" s="509"/>
      <c r="LW188" s="509"/>
      <c r="LX188" s="509"/>
      <c r="LY188" s="509"/>
      <c r="LZ188" s="509"/>
      <c r="MA188" s="509"/>
      <c r="MB188" s="509"/>
      <c r="MC188" s="509"/>
      <c r="MD188" s="509"/>
      <c r="ME188" s="509"/>
      <c r="MF188" s="509"/>
      <c r="MG188" s="509"/>
      <c r="MH188" s="509"/>
      <c r="MI188" s="509"/>
      <c r="MJ188" s="509"/>
      <c r="MK188" s="509"/>
      <c r="ML188" s="509"/>
      <c r="MM188" s="509"/>
      <c r="MN188" s="509"/>
      <c r="MO188" s="509"/>
      <c r="MP188" s="509"/>
      <c r="MQ188" s="509"/>
      <c r="MR188" s="509"/>
      <c r="MS188" s="509"/>
      <c r="MT188" s="509"/>
      <c r="MU188" s="509"/>
      <c r="MV188" s="509"/>
      <c r="MW188" s="509"/>
      <c r="MX188" s="509"/>
      <c r="MY188" s="509"/>
      <c r="MZ188" s="509"/>
      <c r="NA188" s="509"/>
      <c r="NB188" s="509"/>
      <c r="NC188" s="509"/>
      <c r="ND188" s="509"/>
      <c r="NE188" s="509"/>
      <c r="NF188" s="509"/>
      <c r="NG188" s="509"/>
      <c r="NH188" s="509"/>
      <c r="NI188" s="509"/>
      <c r="NJ188" s="509"/>
      <c r="NK188" s="509"/>
      <c r="NL188" s="509"/>
      <c r="NM188" s="509"/>
      <c r="NN188" s="509"/>
      <c r="NO188" s="509"/>
      <c r="NP188" s="509"/>
      <c r="NQ188" s="509"/>
      <c r="NR188" s="509"/>
      <c r="NS188" s="509"/>
      <c r="NT188" s="509"/>
      <c r="NU188" s="509"/>
      <c r="NV188" s="509"/>
      <c r="NW188" s="509"/>
      <c r="NX188" s="509"/>
      <c r="NY188" s="509"/>
      <c r="NZ188" s="509"/>
      <c r="OA188" s="509"/>
      <c r="OB188" s="509"/>
      <c r="OC188" s="509"/>
      <c r="OD188" s="509"/>
      <c r="OE188" s="509"/>
      <c r="OF188" s="509"/>
      <c r="OG188" s="509"/>
      <c r="OH188" s="509"/>
      <c r="OI188" s="509"/>
      <c r="OJ188" s="509"/>
      <c r="OK188" s="509"/>
      <c r="OL188" s="509"/>
      <c r="OM188" s="509"/>
      <c r="ON188" s="509"/>
      <c r="OO188" s="509"/>
      <c r="OP188" s="509"/>
      <c r="OQ188" s="509"/>
      <c r="OR188" s="509"/>
      <c r="OS188" s="509"/>
      <c r="OT188" s="509"/>
      <c r="OU188" s="509"/>
      <c r="OV188" s="509"/>
      <c r="OW188" s="509"/>
      <c r="OX188" s="509"/>
      <c r="OY188" s="509"/>
      <c r="OZ188" s="509"/>
      <c r="PA188" s="509"/>
      <c r="PB188" s="509"/>
      <c r="PC188" s="509"/>
      <c r="PD188" s="509"/>
      <c r="PE188" s="509"/>
      <c r="PF188" s="509"/>
      <c r="PG188" s="509"/>
      <c r="PH188" s="509"/>
      <c r="PI188" s="509"/>
      <c r="PJ188" s="509"/>
      <c r="PK188" s="509"/>
      <c r="PL188" s="509"/>
      <c r="PM188" s="509"/>
      <c r="PN188" s="509"/>
      <c r="PO188" s="509"/>
      <c r="PP188" s="509"/>
      <c r="PQ188" s="509"/>
      <c r="PR188" s="509"/>
      <c r="PS188" s="509"/>
      <c r="PT188" s="509"/>
      <c r="PU188" s="509"/>
      <c r="PV188" s="509"/>
      <c r="PW188" s="509"/>
      <c r="PX188" s="509"/>
      <c r="PY188" s="509"/>
      <c r="PZ188" s="509"/>
      <c r="QA188" s="509"/>
      <c r="QB188" s="509"/>
      <c r="QC188" s="509"/>
      <c r="QD188" s="509"/>
      <c r="QE188" s="509"/>
      <c r="QF188" s="509"/>
      <c r="QG188" s="509"/>
      <c r="QH188" s="509"/>
      <c r="QI188" s="509"/>
      <c r="QJ188" s="509"/>
      <c r="QK188" s="509"/>
      <c r="QL188" s="509"/>
      <c r="QM188" s="509"/>
      <c r="QN188" s="509"/>
      <c r="QO188" s="509"/>
      <c r="QP188" s="509"/>
      <c r="QQ188" s="509"/>
      <c r="QR188" s="509"/>
      <c r="QS188" s="509"/>
      <c r="QT188" s="509"/>
      <c r="QU188" s="509"/>
      <c r="QV188" s="509"/>
      <c r="QW188" s="509"/>
      <c r="QX188" s="509"/>
      <c r="QY188" s="509"/>
      <c r="QZ188" s="509"/>
      <c r="RA188" s="509"/>
      <c r="RB188" s="509"/>
      <c r="RC188" s="509"/>
      <c r="RD188" s="509"/>
      <c r="RE188" s="509"/>
      <c r="RF188" s="509"/>
      <c r="RG188" s="509"/>
      <c r="RH188" s="509"/>
      <c r="RI188" s="509"/>
      <c r="RJ188" s="509"/>
      <c r="RK188" s="509"/>
      <c r="RL188" s="509"/>
      <c r="RM188" s="509"/>
      <c r="RN188" s="509"/>
      <c r="RO188" s="509"/>
      <c r="RP188" s="509"/>
      <c r="RQ188" s="509"/>
      <c r="RR188" s="509"/>
      <c r="RS188" s="509"/>
      <c r="RT188" s="509"/>
      <c r="RU188" s="509"/>
      <c r="RV188" s="509"/>
      <c r="RW188" s="509"/>
      <c r="RX188" s="509"/>
      <c r="RY188" s="509"/>
      <c r="RZ188" s="509"/>
      <c r="SA188" s="509"/>
      <c r="SB188" s="509"/>
      <c r="SC188" s="509"/>
      <c r="SD188" s="509"/>
      <c r="SE188" s="509"/>
      <c r="SF188" s="509"/>
      <c r="SG188" s="509"/>
      <c r="SH188" s="509"/>
      <c r="SI188" s="509"/>
      <c r="SJ188" s="509"/>
      <c r="SK188" s="509"/>
      <c r="SL188" s="509"/>
      <c r="SM188" s="509"/>
      <c r="SN188" s="509"/>
      <c r="SO188" s="509"/>
      <c r="SP188" s="509"/>
      <c r="SQ188" s="509"/>
      <c r="SR188" s="509"/>
      <c r="SS188" s="509"/>
      <c r="ST188" s="509"/>
      <c r="SU188" s="509"/>
      <c r="SV188" s="509"/>
      <c r="SW188" s="509"/>
      <c r="SX188" s="509"/>
      <c r="SY188" s="509"/>
      <c r="SZ188" s="509"/>
      <c r="TA188" s="509"/>
      <c r="TB188" s="509"/>
      <c r="TC188" s="509"/>
      <c r="TD188" s="509"/>
      <c r="TE188" s="509"/>
      <c r="TF188" s="509"/>
      <c r="TG188" s="509"/>
      <c r="TH188" s="509"/>
      <c r="TI188" s="509"/>
      <c r="TJ188" s="509"/>
      <c r="TK188" s="509"/>
      <c r="TL188" s="509"/>
      <c r="TM188" s="509"/>
      <c r="TN188" s="509"/>
      <c r="TO188" s="509"/>
      <c r="TP188" s="509"/>
      <c r="TQ188" s="509"/>
      <c r="TR188" s="509"/>
      <c r="TS188" s="509"/>
      <c r="TT188" s="509"/>
      <c r="TU188" s="509"/>
      <c r="TV188" s="509"/>
      <c r="TW188" s="509"/>
      <c r="TX188" s="509"/>
      <c r="TY188" s="509"/>
      <c r="TZ188" s="509"/>
      <c r="UA188" s="509"/>
      <c r="UB188" s="509"/>
      <c r="UC188" s="509"/>
      <c r="UD188" s="509"/>
      <c r="UE188" s="509"/>
      <c r="UF188" s="509"/>
      <c r="UG188" s="509"/>
      <c r="UH188" s="509"/>
      <c r="UI188" s="509"/>
    </row>
    <row r="189" spans="1:555" ht="48" customHeight="1">
      <c r="A189" s="296">
        <v>208</v>
      </c>
      <c r="B189" s="297" t="s">
        <v>2498</v>
      </c>
      <c r="C189" s="298">
        <v>80092767</v>
      </c>
      <c r="D189" s="354" t="s">
        <v>167</v>
      </c>
      <c r="E189" s="299">
        <v>42349</v>
      </c>
      <c r="F189" s="300">
        <v>42339</v>
      </c>
      <c r="G189" s="301" t="s">
        <v>2499</v>
      </c>
      <c r="H189" s="297" t="s">
        <v>5</v>
      </c>
      <c r="I189" s="297" t="s">
        <v>101</v>
      </c>
      <c r="J189" s="299"/>
      <c r="K189" s="300"/>
      <c r="L189" s="301"/>
      <c r="M189" s="297"/>
      <c r="N189" s="297"/>
      <c r="O189" s="299"/>
      <c r="P189" s="302"/>
      <c r="Q189" s="301"/>
      <c r="R189" s="297"/>
      <c r="S189" s="297"/>
      <c r="T189" s="299"/>
      <c r="U189" s="300"/>
      <c r="V189" s="301"/>
      <c r="W189" s="297"/>
      <c r="X189" s="297"/>
      <c r="Y189" s="299"/>
      <c r="Z189" s="300"/>
      <c r="AA189" s="301"/>
      <c r="AB189" s="297"/>
      <c r="AC189" s="297"/>
      <c r="AD189" s="299"/>
      <c r="AE189" s="300"/>
      <c r="AF189" s="301"/>
      <c r="AG189" s="297"/>
      <c r="AH189" s="297"/>
      <c r="AI189" s="304"/>
      <c r="AJ189" s="300"/>
      <c r="AK189" s="301"/>
      <c r="AL189" s="297"/>
      <c r="AM189" s="297"/>
      <c r="AN189" s="297" t="s">
        <v>2151</v>
      </c>
      <c r="AO189" s="479">
        <v>42349</v>
      </c>
      <c r="AP189" s="297"/>
      <c r="AQ189" s="301" t="s">
        <v>2500</v>
      </c>
      <c r="AR189" s="297" t="s">
        <v>161</v>
      </c>
      <c r="AS189" s="299">
        <v>38545</v>
      </c>
      <c r="AT189" s="299">
        <v>40633</v>
      </c>
      <c r="AU189" s="297" t="s">
        <v>2501</v>
      </c>
      <c r="AV189" s="297"/>
      <c r="AW189" s="297" t="s">
        <v>92</v>
      </c>
      <c r="AX189" s="297" t="s">
        <v>1148</v>
      </c>
      <c r="AY189" s="299">
        <v>41759</v>
      </c>
      <c r="AZ189" s="297" t="s">
        <v>67</v>
      </c>
      <c r="BA189" s="299" t="s">
        <v>67</v>
      </c>
      <c r="BB189" s="678">
        <v>42159</v>
      </c>
      <c r="BC189" s="297" t="s">
        <v>95</v>
      </c>
      <c r="BD189" s="297" t="s">
        <v>566</v>
      </c>
      <c r="BE189" s="297"/>
      <c r="BF189" s="301" t="s">
        <v>8270</v>
      </c>
      <c r="BG189" s="301"/>
      <c r="BH189" s="301" t="s">
        <v>8864</v>
      </c>
      <c r="BI189" s="301"/>
      <c r="BJ189" s="312">
        <f>+[52]MATRIZ!$J$73</f>
        <v>211927890.19749224</v>
      </c>
      <c r="BK189" s="312">
        <v>211927890</v>
      </c>
      <c r="BL189" s="307">
        <v>153884519</v>
      </c>
      <c r="BM189" s="299">
        <v>43634</v>
      </c>
      <c r="BN189" s="314">
        <v>43634</v>
      </c>
      <c r="BO189" s="460"/>
      <c r="BP189" s="390"/>
      <c r="BQ189" s="297"/>
      <c r="BR189" s="303"/>
      <c r="BS189" s="301"/>
      <c r="BT189" s="301"/>
      <c r="BU189" s="301"/>
      <c r="BV189" s="301"/>
      <c r="BW189" s="316"/>
      <c r="BX189" s="304"/>
      <c r="BY189" s="299"/>
      <c r="BZ189" s="317"/>
    </row>
    <row r="190" spans="1:555" ht="62.25" customHeight="1">
      <c r="A190" s="296">
        <v>209</v>
      </c>
      <c r="B190" s="297" t="s">
        <v>2502</v>
      </c>
      <c r="C190" s="298">
        <v>91426514</v>
      </c>
      <c r="D190" s="354" t="s">
        <v>167</v>
      </c>
      <c r="E190" s="299">
        <v>42349</v>
      </c>
      <c r="F190" s="300">
        <v>42339</v>
      </c>
      <c r="G190" s="301" t="s">
        <v>2503</v>
      </c>
      <c r="H190" s="297" t="s">
        <v>5</v>
      </c>
      <c r="I190" s="297" t="s">
        <v>101</v>
      </c>
      <c r="J190" s="299">
        <v>43627</v>
      </c>
      <c r="K190" s="300">
        <v>43627</v>
      </c>
      <c r="L190" s="301" t="s">
        <v>8882</v>
      </c>
      <c r="M190" s="297" t="s">
        <v>208</v>
      </c>
      <c r="N190" s="297" t="s">
        <v>8243</v>
      </c>
      <c r="O190" s="299"/>
      <c r="P190" s="302"/>
      <c r="Q190" s="301"/>
      <c r="R190" s="297"/>
      <c r="S190" s="297"/>
      <c r="T190" s="299"/>
      <c r="U190" s="300"/>
      <c r="V190" s="301"/>
      <c r="W190" s="297"/>
      <c r="X190" s="297"/>
      <c r="Y190" s="299"/>
      <c r="Z190" s="300"/>
      <c r="AA190" s="301"/>
      <c r="AB190" s="297"/>
      <c r="AC190" s="297"/>
      <c r="AD190" s="299"/>
      <c r="AE190" s="300"/>
      <c r="AF190" s="301"/>
      <c r="AG190" s="297"/>
      <c r="AH190" s="297"/>
      <c r="AI190" s="304"/>
      <c r="AJ190" s="300"/>
      <c r="AK190" s="301"/>
      <c r="AL190" s="297"/>
      <c r="AM190" s="297"/>
      <c r="AN190" s="297" t="s">
        <v>2504</v>
      </c>
      <c r="AO190" s="479">
        <v>42349</v>
      </c>
      <c r="AP190" s="297"/>
      <c r="AQ190" s="301" t="s">
        <v>2505</v>
      </c>
      <c r="AR190" s="297" t="s">
        <v>161</v>
      </c>
      <c r="AS190" s="299">
        <v>37837</v>
      </c>
      <c r="AT190" s="299">
        <v>40633</v>
      </c>
      <c r="AU190" s="297" t="s">
        <v>2506</v>
      </c>
      <c r="AV190" s="297"/>
      <c r="AW190" s="297" t="s">
        <v>92</v>
      </c>
      <c r="AX190" s="297" t="s">
        <v>2507</v>
      </c>
      <c r="AY190" s="299">
        <v>41880</v>
      </c>
      <c r="AZ190" s="297" t="s">
        <v>177</v>
      </c>
      <c r="BA190" s="299">
        <v>42124</v>
      </c>
      <c r="BB190" s="382">
        <v>42138</v>
      </c>
      <c r="BC190" s="297" t="s">
        <v>95</v>
      </c>
      <c r="BD190" s="297" t="s">
        <v>566</v>
      </c>
      <c r="BE190" s="297"/>
      <c r="BF190" s="301"/>
      <c r="BG190" s="301" t="s">
        <v>2508</v>
      </c>
      <c r="BH190" s="301" t="s">
        <v>8459</v>
      </c>
      <c r="BI190" s="301"/>
      <c r="BJ190" s="312">
        <f>+[53]MATRIZ!$J$53</f>
        <v>24860977.009271674</v>
      </c>
      <c r="BK190" s="312">
        <v>24733899</v>
      </c>
      <c r="BL190" s="313">
        <v>98357619</v>
      </c>
      <c r="BM190" s="299">
        <v>43581</v>
      </c>
      <c r="BN190" s="314">
        <v>43581</v>
      </c>
      <c r="BO190" s="531" t="s">
        <v>8754</v>
      </c>
      <c r="BP190" s="390"/>
      <c r="BQ190" s="297"/>
      <c r="BR190" s="303"/>
      <c r="BS190" s="308"/>
      <c r="BT190" s="308"/>
      <c r="BU190" s="308"/>
      <c r="BV190" s="308"/>
      <c r="BW190" s="309"/>
      <c r="BX190" s="310"/>
      <c r="BY190" s="305"/>
      <c r="BZ190" s="311"/>
    </row>
    <row r="191" spans="1:555" ht="60.75" customHeight="1">
      <c r="A191" s="296">
        <v>210</v>
      </c>
      <c r="B191" s="297" t="s">
        <v>2509</v>
      </c>
      <c r="C191" s="298">
        <v>92555430</v>
      </c>
      <c r="D191" s="354" t="s">
        <v>167</v>
      </c>
      <c r="E191" s="299">
        <v>42349</v>
      </c>
      <c r="F191" s="300">
        <v>42339</v>
      </c>
      <c r="G191" s="301" t="s">
        <v>2510</v>
      </c>
      <c r="H191" s="297" t="s">
        <v>5</v>
      </c>
      <c r="I191" s="297" t="s">
        <v>101</v>
      </c>
      <c r="J191" s="299"/>
      <c r="K191" s="300"/>
      <c r="L191" s="301"/>
      <c r="M191" s="297"/>
      <c r="N191" s="297"/>
      <c r="O191" s="299"/>
      <c r="P191" s="302"/>
      <c r="Q191" s="301"/>
      <c r="R191" s="297"/>
      <c r="S191" s="297"/>
      <c r="T191" s="299"/>
      <c r="U191" s="300"/>
      <c r="V191" s="301"/>
      <c r="W191" s="297"/>
      <c r="X191" s="297"/>
      <c r="Y191" s="299"/>
      <c r="Z191" s="300"/>
      <c r="AA191" s="301"/>
      <c r="AB191" s="297"/>
      <c r="AC191" s="297"/>
      <c r="AD191" s="299"/>
      <c r="AE191" s="300"/>
      <c r="AF191" s="301"/>
      <c r="AG191" s="297"/>
      <c r="AH191" s="297"/>
      <c r="AI191" s="304"/>
      <c r="AJ191" s="300"/>
      <c r="AK191" s="301"/>
      <c r="AL191" s="297"/>
      <c r="AM191" s="297"/>
      <c r="AN191" s="297" t="s">
        <v>1734</v>
      </c>
      <c r="AO191" s="479">
        <v>42349</v>
      </c>
      <c r="AP191" s="297"/>
      <c r="AQ191" s="301" t="s">
        <v>8430</v>
      </c>
      <c r="AR191" s="297" t="s">
        <v>161</v>
      </c>
      <c r="AS191" s="299">
        <v>37658</v>
      </c>
      <c r="AT191" s="299">
        <v>40561</v>
      </c>
      <c r="AU191" s="297" t="s">
        <v>2511</v>
      </c>
      <c r="AV191" s="297"/>
      <c r="AW191" s="297" t="s">
        <v>92</v>
      </c>
      <c r="AX191" s="297" t="s">
        <v>2512</v>
      </c>
      <c r="AY191" s="299">
        <v>41355</v>
      </c>
      <c r="AZ191" s="297" t="s">
        <v>2513</v>
      </c>
      <c r="BA191" s="299">
        <v>42115</v>
      </c>
      <c r="BB191" s="382">
        <v>42131</v>
      </c>
      <c r="BC191" s="297" t="s">
        <v>95</v>
      </c>
      <c r="BD191" s="297" t="s">
        <v>566</v>
      </c>
      <c r="BE191" s="297"/>
      <c r="BF191" s="301" t="s">
        <v>8274</v>
      </c>
      <c r="BG191" s="301"/>
      <c r="BH191" s="301" t="s">
        <v>8470</v>
      </c>
      <c r="BI191" s="301"/>
      <c r="BJ191" s="312">
        <f>+[54]MATRIZ!$J$76</f>
        <v>326010564.49876511</v>
      </c>
      <c r="BK191" s="312">
        <v>326010564</v>
      </c>
      <c r="BL191" s="313">
        <v>98210119</v>
      </c>
      <c r="BM191" s="299">
        <v>43581</v>
      </c>
      <c r="BN191" s="314">
        <v>43581</v>
      </c>
      <c r="BO191" s="460"/>
      <c r="BP191" s="390"/>
      <c r="BQ191" s="297"/>
      <c r="BR191" s="303"/>
      <c r="BS191" s="301"/>
      <c r="BT191" s="301"/>
      <c r="BU191" s="301"/>
      <c r="BV191" s="301"/>
      <c r="BW191" s="316"/>
      <c r="BX191" s="304"/>
      <c r="BY191" s="299"/>
      <c r="BZ191" s="317"/>
    </row>
    <row r="192" spans="1:555" ht="61.5" customHeight="1">
      <c r="A192" s="296">
        <v>212</v>
      </c>
      <c r="B192" s="297" t="s">
        <v>2526</v>
      </c>
      <c r="C192" s="298">
        <v>4616793</v>
      </c>
      <c r="D192" s="354" t="s">
        <v>1749</v>
      </c>
      <c r="E192" s="299">
        <v>42354</v>
      </c>
      <c r="F192" s="300">
        <v>42339</v>
      </c>
      <c r="G192" s="301" t="s">
        <v>2527</v>
      </c>
      <c r="H192" s="297" t="s">
        <v>5</v>
      </c>
      <c r="I192" s="297" t="s">
        <v>101</v>
      </c>
      <c r="J192" s="299">
        <v>42872</v>
      </c>
      <c r="K192" s="300">
        <v>42856</v>
      </c>
      <c r="L192" s="301" t="s">
        <v>2528</v>
      </c>
      <c r="M192" s="297" t="s">
        <v>5</v>
      </c>
      <c r="N192" s="297" t="s">
        <v>85</v>
      </c>
      <c r="O192" s="299">
        <v>42816</v>
      </c>
      <c r="P192" s="302">
        <v>42795</v>
      </c>
      <c r="Q192" s="301" t="s">
        <v>2529</v>
      </c>
      <c r="R192" s="297" t="s">
        <v>5</v>
      </c>
      <c r="S192" s="297" t="s">
        <v>1753</v>
      </c>
      <c r="T192" s="299">
        <v>43179</v>
      </c>
      <c r="U192" s="300">
        <v>43160</v>
      </c>
      <c r="V192" s="301" t="s">
        <v>1754</v>
      </c>
      <c r="W192" s="297" t="s">
        <v>5</v>
      </c>
      <c r="X192" s="297" t="s">
        <v>107</v>
      </c>
      <c r="Y192" s="299">
        <v>43214</v>
      </c>
      <c r="Z192" s="300">
        <v>43191</v>
      </c>
      <c r="AA192" s="301" t="s">
        <v>2530</v>
      </c>
      <c r="AB192" s="297" t="s">
        <v>5</v>
      </c>
      <c r="AC192" s="297" t="s">
        <v>1114</v>
      </c>
      <c r="AD192" s="305">
        <v>43291</v>
      </c>
      <c r="AE192" s="300" t="s">
        <v>2531</v>
      </c>
      <c r="AF192" s="315" t="s">
        <v>2532</v>
      </c>
      <c r="AG192" s="315" t="s">
        <v>5</v>
      </c>
      <c r="AH192" s="297" t="s">
        <v>107</v>
      </c>
      <c r="AI192" s="305" t="s">
        <v>9504</v>
      </c>
      <c r="AJ192" s="300" t="s">
        <v>9505</v>
      </c>
      <c r="AK192" s="301" t="s">
        <v>9503</v>
      </c>
      <c r="AL192" s="297" t="s">
        <v>9506</v>
      </c>
      <c r="AM192" s="297" t="s">
        <v>9507</v>
      </c>
      <c r="AN192" s="297" t="s">
        <v>2534</v>
      </c>
      <c r="AO192" s="540">
        <v>42872</v>
      </c>
      <c r="AP192" s="297"/>
      <c r="AQ192" s="301" t="s">
        <v>2535</v>
      </c>
      <c r="AR192" s="297" t="s">
        <v>161</v>
      </c>
      <c r="AS192" s="299">
        <v>37742</v>
      </c>
      <c r="AT192" s="299">
        <v>40425</v>
      </c>
      <c r="AU192" s="297" t="s">
        <v>2536</v>
      </c>
      <c r="AV192" s="297"/>
      <c r="AW192" s="297" t="s">
        <v>92</v>
      </c>
      <c r="AX192" s="297" t="s">
        <v>2537</v>
      </c>
      <c r="AY192" s="299">
        <v>42268</v>
      </c>
      <c r="AZ192" s="297" t="s">
        <v>67</v>
      </c>
      <c r="BA192" s="299" t="s">
        <v>67</v>
      </c>
      <c r="BB192" s="382">
        <v>42291</v>
      </c>
      <c r="BC192" s="297" t="s">
        <v>95</v>
      </c>
      <c r="BD192" s="297" t="s">
        <v>566</v>
      </c>
      <c r="BE192" s="297"/>
      <c r="BF192" s="301" t="s">
        <v>2010</v>
      </c>
      <c r="BG192" s="301"/>
      <c r="BH192" s="301" t="s">
        <v>9435</v>
      </c>
      <c r="BI192" s="301"/>
      <c r="BJ192" s="312">
        <f>+[55]MATRIZ!$J$76</f>
        <v>0</v>
      </c>
      <c r="BK192" s="312">
        <v>215546656</v>
      </c>
      <c r="BL192" s="313">
        <v>88273820</v>
      </c>
      <c r="BM192" s="299">
        <v>43935</v>
      </c>
      <c r="BN192" s="314">
        <v>43935</v>
      </c>
      <c r="BO192" s="460"/>
      <c r="BP192" s="390"/>
      <c r="BQ192" s="297"/>
      <c r="BR192" s="303"/>
      <c r="BS192" s="301"/>
      <c r="BT192" s="301"/>
      <c r="BU192" s="301"/>
      <c r="BV192" s="301"/>
      <c r="BW192" s="316"/>
      <c r="BX192" s="304"/>
      <c r="BY192" s="299"/>
      <c r="BZ192" s="317"/>
      <c r="CA192" s="509"/>
      <c r="CB192" s="509"/>
      <c r="CC192" s="509"/>
      <c r="CD192" s="509"/>
      <c r="CE192" s="509"/>
      <c r="CF192" s="509"/>
      <c r="CG192" s="509"/>
      <c r="CH192" s="509"/>
      <c r="CI192" s="509"/>
      <c r="CJ192" s="509"/>
      <c r="CK192" s="509"/>
      <c r="CL192" s="509"/>
      <c r="CM192" s="509"/>
      <c r="CN192" s="509"/>
      <c r="CO192" s="509"/>
      <c r="CP192" s="509"/>
      <c r="CQ192" s="509"/>
      <c r="CR192" s="509"/>
      <c r="CS192" s="509"/>
      <c r="CT192" s="509"/>
      <c r="CU192" s="509"/>
      <c r="CV192" s="509"/>
      <c r="CW192" s="509"/>
      <c r="CX192" s="509"/>
      <c r="CY192" s="509"/>
      <c r="CZ192" s="509"/>
      <c r="DA192" s="509"/>
      <c r="DB192" s="509"/>
      <c r="DC192" s="509"/>
      <c r="DD192" s="509"/>
      <c r="DE192" s="509"/>
      <c r="DF192" s="509"/>
      <c r="DG192" s="509"/>
      <c r="DH192" s="509"/>
      <c r="DI192" s="509"/>
      <c r="DJ192" s="509"/>
      <c r="DK192" s="509"/>
      <c r="DL192" s="509"/>
      <c r="DM192" s="509"/>
      <c r="DN192" s="509"/>
      <c r="DO192" s="509"/>
      <c r="DP192" s="509"/>
      <c r="DQ192" s="509"/>
      <c r="DR192" s="509"/>
      <c r="DS192" s="509"/>
      <c r="DT192" s="509"/>
      <c r="DU192" s="509"/>
      <c r="DV192" s="509"/>
      <c r="DW192" s="509"/>
      <c r="DX192" s="509"/>
      <c r="DY192" s="509"/>
      <c r="DZ192" s="509"/>
      <c r="EA192" s="509"/>
      <c r="EB192" s="509"/>
      <c r="EC192" s="509"/>
      <c r="ED192" s="509"/>
      <c r="EE192" s="509"/>
      <c r="EF192" s="509"/>
      <c r="EG192" s="509"/>
      <c r="EH192" s="509"/>
      <c r="EI192" s="509"/>
      <c r="EJ192" s="509"/>
      <c r="EK192" s="509"/>
      <c r="EL192" s="509"/>
      <c r="EM192" s="509"/>
      <c r="EN192" s="509"/>
      <c r="EO192" s="509"/>
      <c r="EP192" s="509"/>
      <c r="EQ192" s="509"/>
      <c r="ER192" s="509"/>
      <c r="ES192" s="509"/>
      <c r="ET192" s="509"/>
      <c r="EU192" s="509"/>
      <c r="EV192" s="509"/>
      <c r="EW192" s="509"/>
      <c r="EX192" s="509"/>
      <c r="EY192" s="509"/>
      <c r="EZ192" s="509"/>
      <c r="FA192" s="509"/>
      <c r="FB192" s="509"/>
      <c r="FC192" s="509"/>
      <c r="FD192" s="509"/>
      <c r="FE192" s="509"/>
      <c r="FF192" s="509"/>
      <c r="FG192" s="509"/>
      <c r="FH192" s="509"/>
      <c r="FI192" s="509"/>
      <c r="FJ192" s="509"/>
      <c r="FK192" s="509"/>
      <c r="FL192" s="509"/>
      <c r="FM192" s="509"/>
      <c r="FN192" s="509"/>
      <c r="FO192" s="509"/>
      <c r="FP192" s="509"/>
      <c r="FQ192" s="509"/>
      <c r="FR192" s="509"/>
      <c r="FS192" s="509"/>
      <c r="FT192" s="509"/>
      <c r="FU192" s="509"/>
      <c r="FV192" s="509"/>
      <c r="FW192" s="509"/>
      <c r="FX192" s="509"/>
      <c r="FY192" s="509"/>
      <c r="FZ192" s="509"/>
      <c r="GA192" s="509"/>
      <c r="GB192" s="509"/>
      <c r="GC192" s="509"/>
      <c r="GD192" s="509"/>
      <c r="GE192" s="509"/>
      <c r="GF192" s="509"/>
      <c r="GG192" s="509"/>
      <c r="GH192" s="509"/>
      <c r="GI192" s="509"/>
      <c r="GJ192" s="509"/>
      <c r="GK192" s="509"/>
      <c r="GL192" s="509"/>
      <c r="GM192" s="509"/>
      <c r="GN192" s="509"/>
      <c r="GO192" s="509"/>
      <c r="GP192" s="509"/>
      <c r="GQ192" s="509"/>
      <c r="GR192" s="509"/>
      <c r="GS192" s="509"/>
      <c r="GT192" s="509"/>
      <c r="GU192" s="509"/>
      <c r="GV192" s="509"/>
      <c r="GW192" s="509"/>
      <c r="GX192" s="509"/>
      <c r="GY192" s="509"/>
      <c r="GZ192" s="509"/>
      <c r="HA192" s="509"/>
      <c r="HB192" s="509"/>
      <c r="HC192" s="509"/>
      <c r="HD192" s="509"/>
      <c r="HE192" s="509"/>
      <c r="HF192" s="509"/>
      <c r="HG192" s="509"/>
      <c r="HH192" s="509"/>
      <c r="HI192" s="509"/>
      <c r="HJ192" s="509"/>
      <c r="HK192" s="509"/>
      <c r="HL192" s="509"/>
      <c r="HM192" s="509"/>
      <c r="HN192" s="509"/>
      <c r="HO192" s="509"/>
      <c r="HP192" s="509"/>
      <c r="HQ192" s="509"/>
      <c r="HR192" s="509"/>
      <c r="HS192" s="509"/>
      <c r="HT192" s="509"/>
      <c r="HU192" s="509"/>
      <c r="HV192" s="509"/>
      <c r="HW192" s="509"/>
      <c r="HX192" s="509"/>
      <c r="HY192" s="509"/>
      <c r="HZ192" s="509"/>
      <c r="IA192" s="509"/>
      <c r="IB192" s="509"/>
      <c r="IC192" s="509"/>
      <c r="ID192" s="509"/>
      <c r="IE192" s="509"/>
      <c r="IF192" s="509"/>
      <c r="IG192" s="509"/>
      <c r="IH192" s="509"/>
      <c r="II192" s="509"/>
      <c r="IJ192" s="509"/>
      <c r="IK192" s="509"/>
      <c r="IL192" s="509"/>
      <c r="IM192" s="509"/>
      <c r="IN192" s="509"/>
      <c r="IO192" s="509"/>
      <c r="IP192" s="509"/>
      <c r="IQ192" s="509"/>
      <c r="IR192" s="509"/>
      <c r="IS192" s="509"/>
      <c r="IT192" s="509"/>
      <c r="IU192" s="509"/>
      <c r="IV192" s="509"/>
      <c r="IW192" s="509"/>
      <c r="IX192" s="509"/>
      <c r="IY192" s="509"/>
      <c r="IZ192" s="509"/>
      <c r="JA192" s="509"/>
      <c r="JB192" s="509"/>
      <c r="JC192" s="509"/>
      <c r="JD192" s="509"/>
      <c r="JE192" s="509"/>
      <c r="JF192" s="509"/>
      <c r="JG192" s="509"/>
      <c r="JH192" s="509"/>
      <c r="JI192" s="509"/>
      <c r="JJ192" s="509"/>
      <c r="JK192" s="509"/>
      <c r="JL192" s="509"/>
      <c r="JM192" s="509"/>
      <c r="JN192" s="509"/>
      <c r="JO192" s="509"/>
      <c r="JP192" s="509"/>
      <c r="JQ192" s="509"/>
      <c r="JR192" s="509"/>
      <c r="JS192" s="509"/>
      <c r="JT192" s="509"/>
      <c r="JU192" s="509"/>
      <c r="JV192" s="509"/>
      <c r="JW192" s="509"/>
      <c r="JX192" s="509"/>
      <c r="JY192" s="509"/>
      <c r="JZ192" s="509"/>
      <c r="KA192" s="509"/>
      <c r="KB192" s="509"/>
      <c r="KC192" s="509"/>
      <c r="KD192" s="509"/>
      <c r="KE192" s="509"/>
      <c r="KF192" s="509"/>
      <c r="KG192" s="509"/>
      <c r="KH192" s="509"/>
      <c r="KI192" s="509"/>
      <c r="KJ192" s="509"/>
      <c r="KK192" s="509"/>
      <c r="KL192" s="509"/>
      <c r="KM192" s="509"/>
      <c r="KN192" s="509"/>
      <c r="KO192" s="509"/>
      <c r="KP192" s="509"/>
      <c r="KQ192" s="509"/>
      <c r="KR192" s="509"/>
      <c r="KS192" s="509"/>
      <c r="KT192" s="509"/>
      <c r="KU192" s="509"/>
      <c r="KV192" s="509"/>
      <c r="KW192" s="509"/>
      <c r="KX192" s="509"/>
      <c r="KY192" s="509"/>
      <c r="KZ192" s="509"/>
      <c r="LA192" s="509"/>
      <c r="LB192" s="509"/>
      <c r="LC192" s="509"/>
      <c r="LD192" s="509"/>
      <c r="LE192" s="509"/>
      <c r="LF192" s="509"/>
      <c r="LG192" s="509"/>
      <c r="LH192" s="509"/>
      <c r="LI192" s="509"/>
      <c r="LJ192" s="509"/>
      <c r="LK192" s="509"/>
      <c r="LL192" s="509"/>
      <c r="LM192" s="509"/>
      <c r="LN192" s="509"/>
      <c r="LO192" s="509"/>
      <c r="LP192" s="509"/>
      <c r="LQ192" s="509"/>
      <c r="LR192" s="509"/>
      <c r="LS192" s="509"/>
      <c r="LT192" s="509"/>
      <c r="LU192" s="509"/>
      <c r="LV192" s="509"/>
      <c r="LW192" s="509"/>
      <c r="LX192" s="509"/>
      <c r="LY192" s="509"/>
      <c r="LZ192" s="509"/>
      <c r="MA192" s="509"/>
      <c r="MB192" s="509"/>
      <c r="MC192" s="509"/>
      <c r="MD192" s="509"/>
      <c r="ME192" s="509"/>
      <c r="MF192" s="509"/>
      <c r="MG192" s="509"/>
      <c r="MH192" s="509"/>
      <c r="MI192" s="509"/>
      <c r="MJ192" s="509"/>
      <c r="MK192" s="509"/>
      <c r="ML192" s="509"/>
      <c r="MM192" s="509"/>
      <c r="MN192" s="509"/>
      <c r="MO192" s="509"/>
      <c r="MP192" s="509"/>
      <c r="MQ192" s="509"/>
      <c r="MR192" s="509"/>
      <c r="MS192" s="509"/>
      <c r="MT192" s="509"/>
      <c r="MU192" s="509"/>
      <c r="MV192" s="509"/>
      <c r="MW192" s="509"/>
      <c r="MX192" s="509"/>
      <c r="MY192" s="509"/>
      <c r="MZ192" s="509"/>
      <c r="NA192" s="509"/>
      <c r="NB192" s="509"/>
      <c r="NC192" s="509"/>
      <c r="ND192" s="509"/>
      <c r="NE192" s="509"/>
      <c r="NF192" s="509"/>
      <c r="NG192" s="509"/>
      <c r="NH192" s="509"/>
      <c r="NI192" s="509"/>
      <c r="NJ192" s="509"/>
      <c r="NK192" s="509"/>
      <c r="NL192" s="509"/>
      <c r="NM192" s="509"/>
      <c r="NN192" s="509"/>
      <c r="NO192" s="509"/>
      <c r="NP192" s="509"/>
      <c r="NQ192" s="509"/>
      <c r="NR192" s="509"/>
      <c r="NS192" s="509"/>
      <c r="NT192" s="509"/>
      <c r="NU192" s="509"/>
      <c r="NV192" s="509"/>
      <c r="NW192" s="509"/>
      <c r="NX192" s="509"/>
      <c r="NY192" s="509"/>
      <c r="NZ192" s="509"/>
      <c r="OA192" s="509"/>
      <c r="OB192" s="509"/>
      <c r="OC192" s="509"/>
      <c r="OD192" s="509"/>
      <c r="OE192" s="509"/>
      <c r="OF192" s="509"/>
      <c r="OG192" s="509"/>
      <c r="OH192" s="509"/>
      <c r="OI192" s="509"/>
      <c r="OJ192" s="509"/>
      <c r="OK192" s="509"/>
      <c r="OL192" s="509"/>
      <c r="OM192" s="509"/>
      <c r="ON192" s="509"/>
      <c r="OO192" s="509"/>
      <c r="OP192" s="509"/>
      <c r="OQ192" s="509"/>
      <c r="OR192" s="509"/>
      <c r="OS192" s="509"/>
      <c r="OT192" s="509"/>
      <c r="OU192" s="509"/>
      <c r="OV192" s="509"/>
      <c r="OW192" s="509"/>
      <c r="OX192" s="509"/>
      <c r="OY192" s="509"/>
      <c r="OZ192" s="509"/>
      <c r="PA192" s="509"/>
      <c r="PB192" s="509"/>
      <c r="PC192" s="509"/>
      <c r="PD192" s="509"/>
      <c r="PE192" s="509"/>
      <c r="PF192" s="509"/>
      <c r="PG192" s="509"/>
      <c r="PH192" s="509"/>
      <c r="PI192" s="509"/>
      <c r="PJ192" s="509"/>
      <c r="PK192" s="509"/>
      <c r="PL192" s="509"/>
      <c r="PM192" s="509"/>
      <c r="PN192" s="509"/>
      <c r="PO192" s="509"/>
      <c r="PP192" s="509"/>
      <c r="PQ192" s="509"/>
      <c r="PR192" s="509"/>
      <c r="PS192" s="509"/>
      <c r="PT192" s="509"/>
      <c r="PU192" s="509"/>
      <c r="PV192" s="509"/>
      <c r="PW192" s="509"/>
      <c r="PX192" s="509"/>
      <c r="PY192" s="509"/>
      <c r="PZ192" s="509"/>
      <c r="QA192" s="509"/>
      <c r="QB192" s="509"/>
      <c r="QC192" s="509"/>
      <c r="QD192" s="509"/>
      <c r="QE192" s="509"/>
      <c r="QF192" s="509"/>
      <c r="QG192" s="509"/>
      <c r="QH192" s="509"/>
      <c r="QI192" s="509"/>
      <c r="QJ192" s="509"/>
      <c r="QK192" s="509"/>
      <c r="QL192" s="509"/>
      <c r="QM192" s="509"/>
      <c r="QN192" s="509"/>
      <c r="QO192" s="509"/>
      <c r="QP192" s="509"/>
      <c r="QQ192" s="509"/>
      <c r="QR192" s="509"/>
      <c r="QS192" s="509"/>
      <c r="QT192" s="509"/>
      <c r="QU192" s="509"/>
      <c r="QV192" s="509"/>
      <c r="QW192" s="509"/>
      <c r="QX192" s="509"/>
      <c r="QY192" s="509"/>
      <c r="QZ192" s="509"/>
      <c r="RA192" s="509"/>
      <c r="RB192" s="509"/>
      <c r="RC192" s="509"/>
      <c r="RD192" s="509"/>
      <c r="RE192" s="509"/>
      <c r="RF192" s="509"/>
      <c r="RG192" s="509"/>
      <c r="RH192" s="509"/>
      <c r="RI192" s="509"/>
      <c r="RJ192" s="509"/>
      <c r="RK192" s="509"/>
      <c r="RL192" s="509"/>
      <c r="RM192" s="509"/>
      <c r="RN192" s="509"/>
      <c r="RO192" s="509"/>
      <c r="RP192" s="509"/>
      <c r="RQ192" s="509"/>
      <c r="RR192" s="509"/>
      <c r="RS192" s="509"/>
      <c r="RT192" s="509"/>
      <c r="RU192" s="509"/>
      <c r="RV192" s="509"/>
      <c r="RW192" s="509"/>
      <c r="RX192" s="509"/>
      <c r="RY192" s="509"/>
      <c r="RZ192" s="509"/>
      <c r="SA192" s="509"/>
      <c r="SB192" s="509"/>
      <c r="SC192" s="509"/>
      <c r="SD192" s="509"/>
      <c r="SE192" s="509"/>
      <c r="SF192" s="509"/>
      <c r="SG192" s="509"/>
      <c r="SH192" s="509"/>
      <c r="SI192" s="509"/>
      <c r="SJ192" s="509"/>
      <c r="SK192" s="509"/>
      <c r="SL192" s="509"/>
      <c r="SM192" s="509"/>
      <c r="SN192" s="509"/>
      <c r="SO192" s="509"/>
      <c r="SP192" s="509"/>
      <c r="SQ192" s="509"/>
      <c r="SR192" s="509"/>
      <c r="SS192" s="509"/>
      <c r="ST192" s="509"/>
      <c r="SU192" s="509"/>
      <c r="SV192" s="509"/>
      <c r="SW192" s="509"/>
      <c r="SX192" s="509"/>
      <c r="SY192" s="509"/>
      <c r="SZ192" s="509"/>
      <c r="TA192" s="509"/>
      <c r="TB192" s="509"/>
      <c r="TC192" s="509"/>
      <c r="TD192" s="509"/>
      <c r="TE192" s="509"/>
      <c r="TF192" s="509"/>
      <c r="TG192" s="509"/>
      <c r="TH192" s="509"/>
      <c r="TI192" s="509"/>
      <c r="TJ192" s="509"/>
      <c r="TK192" s="509"/>
      <c r="TL192" s="509"/>
      <c r="TM192" s="509"/>
      <c r="TN192" s="509"/>
      <c r="TO192" s="509"/>
      <c r="TP192" s="509"/>
      <c r="TQ192" s="509"/>
      <c r="TR192" s="509"/>
      <c r="TS192" s="509"/>
      <c r="TT192" s="509"/>
      <c r="TU192" s="509"/>
      <c r="TV192" s="509"/>
      <c r="TW192" s="509"/>
      <c r="TX192" s="509"/>
      <c r="TY192" s="509"/>
      <c r="TZ192" s="509"/>
      <c r="UA192" s="509"/>
      <c r="UB192" s="509"/>
      <c r="UC192" s="509"/>
      <c r="UD192" s="509"/>
      <c r="UE192" s="509"/>
      <c r="UF192" s="509"/>
      <c r="UG192" s="509"/>
      <c r="UH192" s="509"/>
      <c r="UI192" s="509"/>
    </row>
    <row r="193" spans="1:555" ht="59.25" customHeight="1">
      <c r="A193" s="296">
        <v>213</v>
      </c>
      <c r="B193" s="297" t="s">
        <v>2538</v>
      </c>
      <c r="C193" s="298">
        <v>79889577</v>
      </c>
      <c r="D193" s="354" t="s">
        <v>597</v>
      </c>
      <c r="E193" s="299">
        <v>42356</v>
      </c>
      <c r="F193" s="300">
        <v>42339</v>
      </c>
      <c r="G193" s="301" t="s">
        <v>2539</v>
      </c>
      <c r="H193" s="297" t="s">
        <v>625</v>
      </c>
      <c r="I193" s="297" t="s">
        <v>183</v>
      </c>
      <c r="J193" s="299">
        <v>42460</v>
      </c>
      <c r="K193" s="300">
        <v>42430</v>
      </c>
      <c r="L193" s="301" t="s">
        <v>2540</v>
      </c>
      <c r="M193" s="297" t="s">
        <v>63</v>
      </c>
      <c r="N193" s="297" t="s">
        <v>101</v>
      </c>
      <c r="O193" s="299">
        <v>42493</v>
      </c>
      <c r="P193" s="302">
        <v>42491</v>
      </c>
      <c r="Q193" s="301" t="s">
        <v>2541</v>
      </c>
      <c r="R193" s="297" t="s">
        <v>63</v>
      </c>
      <c r="S193" s="297" t="s">
        <v>336</v>
      </c>
      <c r="T193" s="299">
        <v>43073</v>
      </c>
      <c r="U193" s="300">
        <v>43070</v>
      </c>
      <c r="V193" s="301" t="s">
        <v>2542</v>
      </c>
      <c r="W193" s="297" t="s">
        <v>63</v>
      </c>
      <c r="X193" s="297" t="s">
        <v>287</v>
      </c>
      <c r="Y193" s="299">
        <v>43193</v>
      </c>
      <c r="Z193" s="300">
        <v>43191</v>
      </c>
      <c r="AA193" s="301" t="s">
        <v>2543</v>
      </c>
      <c r="AB193" s="297" t="s">
        <v>208</v>
      </c>
      <c r="AC193" s="297" t="s">
        <v>107</v>
      </c>
      <c r="AD193" s="299">
        <v>43199</v>
      </c>
      <c r="AE193" s="300">
        <v>43191</v>
      </c>
      <c r="AF193" s="301" t="s">
        <v>2544</v>
      </c>
      <c r="AG193" s="297" t="s">
        <v>208</v>
      </c>
      <c r="AH193" s="297" t="s">
        <v>107</v>
      </c>
      <c r="AI193" s="304"/>
      <c r="AJ193" s="300"/>
      <c r="AK193" s="301"/>
      <c r="AL193" s="297"/>
      <c r="AM193" s="297"/>
      <c r="AN193" s="297" t="s">
        <v>366</v>
      </c>
      <c r="AO193" s="540">
        <v>42559</v>
      </c>
      <c r="AP193" s="297"/>
      <c r="AQ193" s="301" t="s">
        <v>2545</v>
      </c>
      <c r="AR193" s="297" t="s">
        <v>161</v>
      </c>
      <c r="AS193" s="299">
        <v>38355</v>
      </c>
      <c r="AT193" s="299">
        <v>39051</v>
      </c>
      <c r="AU193" s="297" t="s">
        <v>2546</v>
      </c>
      <c r="AV193" s="297"/>
      <c r="AW193" s="297" t="s">
        <v>92</v>
      </c>
      <c r="AX193" s="297" t="s">
        <v>2547</v>
      </c>
      <c r="AY193" s="299">
        <v>41759</v>
      </c>
      <c r="AZ193" s="297" t="s">
        <v>2548</v>
      </c>
      <c r="BA193" s="299">
        <v>42297</v>
      </c>
      <c r="BB193" s="382">
        <v>42312</v>
      </c>
      <c r="BC193" s="297" t="s">
        <v>95</v>
      </c>
      <c r="BD193" s="297" t="s">
        <v>566</v>
      </c>
      <c r="BE193" s="297"/>
      <c r="BF193" s="301"/>
      <c r="BG193" s="301"/>
      <c r="BH193" s="301" t="s">
        <v>9876</v>
      </c>
      <c r="BI193" s="301"/>
      <c r="BJ193" s="301"/>
      <c r="BK193" s="312">
        <v>10483513</v>
      </c>
      <c r="BL193" s="313">
        <v>365148520</v>
      </c>
      <c r="BM193" s="299">
        <v>44182</v>
      </c>
      <c r="BN193" s="314">
        <v>44182</v>
      </c>
      <c r="BO193" s="460"/>
      <c r="BP193" s="390"/>
      <c r="BQ193" s="297"/>
      <c r="BR193" s="303"/>
      <c r="BS193" s="301"/>
      <c r="BT193" s="301"/>
      <c r="BU193" s="301"/>
      <c r="BV193" s="301"/>
      <c r="BW193" s="316"/>
      <c r="BX193" s="304"/>
      <c r="BY193" s="299"/>
      <c r="BZ193" s="317"/>
      <c r="CA193" s="509"/>
      <c r="CB193" s="509"/>
      <c r="CC193" s="509"/>
      <c r="CD193" s="509"/>
      <c r="CE193" s="509"/>
      <c r="CF193" s="509"/>
      <c r="CG193" s="509"/>
      <c r="CH193" s="509"/>
      <c r="CI193" s="509"/>
      <c r="CJ193" s="509"/>
      <c r="CK193" s="509"/>
      <c r="CL193" s="509"/>
      <c r="CM193" s="509"/>
      <c r="CN193" s="509"/>
      <c r="CO193" s="509"/>
      <c r="CP193" s="509"/>
      <c r="CQ193" s="509"/>
      <c r="CR193" s="509"/>
      <c r="CS193" s="509"/>
      <c r="CT193" s="509"/>
      <c r="CU193" s="509"/>
      <c r="CV193" s="509"/>
      <c r="CW193" s="509"/>
      <c r="CX193" s="509"/>
      <c r="CY193" s="509"/>
      <c r="CZ193" s="509"/>
      <c r="DA193" s="509"/>
      <c r="DB193" s="509"/>
      <c r="DC193" s="509"/>
      <c r="DD193" s="509"/>
      <c r="DE193" s="509"/>
      <c r="DF193" s="509"/>
      <c r="DG193" s="509"/>
      <c r="DH193" s="509"/>
      <c r="DI193" s="509"/>
      <c r="DJ193" s="509"/>
      <c r="DK193" s="509"/>
      <c r="DL193" s="509"/>
      <c r="DM193" s="509"/>
      <c r="DN193" s="509"/>
      <c r="DO193" s="509"/>
      <c r="DP193" s="509"/>
      <c r="DQ193" s="509"/>
      <c r="DR193" s="509"/>
      <c r="DS193" s="509"/>
      <c r="DT193" s="509"/>
      <c r="DU193" s="509"/>
      <c r="DV193" s="509"/>
      <c r="DW193" s="509"/>
      <c r="DX193" s="509"/>
      <c r="DY193" s="509"/>
      <c r="DZ193" s="509"/>
      <c r="EA193" s="509"/>
      <c r="EB193" s="509"/>
      <c r="EC193" s="509"/>
      <c r="ED193" s="509"/>
      <c r="EE193" s="509"/>
      <c r="EF193" s="509"/>
      <c r="EG193" s="509"/>
      <c r="EH193" s="509"/>
      <c r="EI193" s="509"/>
      <c r="EJ193" s="509"/>
      <c r="EK193" s="509"/>
      <c r="EL193" s="509"/>
      <c r="EM193" s="509"/>
      <c r="EN193" s="509"/>
      <c r="EO193" s="509"/>
      <c r="EP193" s="509"/>
      <c r="EQ193" s="509"/>
      <c r="ER193" s="509"/>
      <c r="ES193" s="509"/>
      <c r="ET193" s="509"/>
      <c r="EU193" s="509"/>
      <c r="EV193" s="509"/>
      <c r="EW193" s="509"/>
      <c r="EX193" s="509"/>
      <c r="EY193" s="509"/>
      <c r="EZ193" s="509"/>
      <c r="FA193" s="509"/>
      <c r="FB193" s="509"/>
      <c r="FC193" s="509"/>
      <c r="FD193" s="509"/>
      <c r="FE193" s="509"/>
      <c r="FF193" s="509"/>
      <c r="FG193" s="509"/>
      <c r="FH193" s="509"/>
      <c r="FI193" s="509"/>
      <c r="FJ193" s="509"/>
      <c r="FK193" s="509"/>
      <c r="FL193" s="509"/>
      <c r="FM193" s="509"/>
      <c r="FN193" s="509"/>
      <c r="FO193" s="509"/>
      <c r="FP193" s="509"/>
      <c r="FQ193" s="509"/>
      <c r="FR193" s="509"/>
      <c r="FS193" s="509"/>
      <c r="FT193" s="509"/>
      <c r="FU193" s="509"/>
      <c r="FV193" s="509"/>
      <c r="FW193" s="509"/>
      <c r="FX193" s="509"/>
      <c r="FY193" s="509"/>
      <c r="FZ193" s="509"/>
      <c r="GA193" s="509"/>
      <c r="GB193" s="509"/>
      <c r="GC193" s="509"/>
      <c r="GD193" s="509"/>
      <c r="GE193" s="509"/>
      <c r="GF193" s="509"/>
      <c r="GG193" s="509"/>
      <c r="GH193" s="509"/>
      <c r="GI193" s="509"/>
      <c r="GJ193" s="509"/>
      <c r="GK193" s="509"/>
      <c r="GL193" s="509"/>
      <c r="GM193" s="509"/>
      <c r="GN193" s="509"/>
      <c r="GO193" s="509"/>
      <c r="GP193" s="509"/>
      <c r="GQ193" s="509"/>
      <c r="GR193" s="509"/>
      <c r="GS193" s="509"/>
      <c r="GT193" s="509"/>
      <c r="GU193" s="509"/>
      <c r="GV193" s="509"/>
      <c r="GW193" s="509"/>
      <c r="GX193" s="509"/>
      <c r="GY193" s="509"/>
      <c r="GZ193" s="509"/>
      <c r="HA193" s="509"/>
      <c r="HB193" s="509"/>
      <c r="HC193" s="509"/>
      <c r="HD193" s="509"/>
      <c r="HE193" s="509"/>
      <c r="HF193" s="509"/>
      <c r="HG193" s="509"/>
      <c r="HH193" s="509"/>
      <c r="HI193" s="509"/>
      <c r="HJ193" s="509"/>
      <c r="HK193" s="509"/>
      <c r="HL193" s="509"/>
      <c r="HM193" s="509"/>
      <c r="HN193" s="509"/>
      <c r="HO193" s="509"/>
      <c r="HP193" s="509"/>
      <c r="HQ193" s="509"/>
      <c r="HR193" s="509"/>
      <c r="HS193" s="509"/>
      <c r="HT193" s="509"/>
      <c r="HU193" s="509"/>
      <c r="HV193" s="509"/>
      <c r="HW193" s="509"/>
      <c r="HX193" s="509"/>
      <c r="HY193" s="509"/>
      <c r="HZ193" s="509"/>
      <c r="IA193" s="509"/>
      <c r="IB193" s="509"/>
      <c r="IC193" s="509"/>
      <c r="ID193" s="509"/>
      <c r="IE193" s="509"/>
      <c r="IF193" s="509"/>
      <c r="IG193" s="509"/>
      <c r="IH193" s="509"/>
      <c r="II193" s="509"/>
      <c r="IJ193" s="509"/>
      <c r="IK193" s="509"/>
      <c r="IL193" s="509"/>
      <c r="IM193" s="509"/>
      <c r="IN193" s="509"/>
      <c r="IO193" s="509"/>
      <c r="IP193" s="509"/>
      <c r="IQ193" s="509"/>
      <c r="IR193" s="509"/>
      <c r="IS193" s="509"/>
      <c r="IT193" s="509"/>
      <c r="IU193" s="509"/>
      <c r="IV193" s="509"/>
      <c r="IW193" s="509"/>
      <c r="IX193" s="509"/>
      <c r="IY193" s="509"/>
      <c r="IZ193" s="509"/>
      <c r="JA193" s="509"/>
      <c r="JB193" s="509"/>
      <c r="JC193" s="509"/>
      <c r="JD193" s="509"/>
      <c r="JE193" s="509"/>
      <c r="JF193" s="509"/>
      <c r="JG193" s="509"/>
      <c r="JH193" s="509"/>
      <c r="JI193" s="509"/>
      <c r="JJ193" s="509"/>
      <c r="JK193" s="509"/>
      <c r="JL193" s="509"/>
      <c r="JM193" s="509"/>
      <c r="JN193" s="509"/>
      <c r="JO193" s="509"/>
      <c r="JP193" s="509"/>
      <c r="JQ193" s="509"/>
      <c r="JR193" s="509"/>
      <c r="JS193" s="509"/>
      <c r="JT193" s="509"/>
      <c r="JU193" s="509"/>
      <c r="JV193" s="509"/>
      <c r="JW193" s="509"/>
      <c r="JX193" s="509"/>
      <c r="JY193" s="509"/>
      <c r="JZ193" s="509"/>
      <c r="KA193" s="509"/>
      <c r="KB193" s="509"/>
      <c r="KC193" s="509"/>
      <c r="KD193" s="509"/>
      <c r="KE193" s="509"/>
      <c r="KF193" s="509"/>
      <c r="KG193" s="509"/>
      <c r="KH193" s="509"/>
      <c r="KI193" s="509"/>
      <c r="KJ193" s="509"/>
      <c r="KK193" s="509"/>
      <c r="KL193" s="509"/>
      <c r="KM193" s="509"/>
      <c r="KN193" s="509"/>
      <c r="KO193" s="509"/>
      <c r="KP193" s="509"/>
      <c r="KQ193" s="509"/>
      <c r="KR193" s="509"/>
      <c r="KS193" s="509"/>
      <c r="KT193" s="509"/>
      <c r="KU193" s="509"/>
      <c r="KV193" s="509"/>
      <c r="KW193" s="509"/>
      <c r="KX193" s="509"/>
      <c r="KY193" s="509"/>
      <c r="KZ193" s="509"/>
      <c r="LA193" s="509"/>
      <c r="LB193" s="509"/>
      <c r="LC193" s="509"/>
      <c r="LD193" s="509"/>
      <c r="LE193" s="509"/>
      <c r="LF193" s="509"/>
      <c r="LG193" s="509"/>
      <c r="LH193" s="509"/>
      <c r="LI193" s="509"/>
      <c r="LJ193" s="509"/>
      <c r="LK193" s="509"/>
      <c r="LL193" s="509"/>
      <c r="LM193" s="509"/>
      <c r="LN193" s="509"/>
      <c r="LO193" s="509"/>
      <c r="LP193" s="509"/>
      <c r="LQ193" s="509"/>
      <c r="LR193" s="509"/>
      <c r="LS193" s="509"/>
      <c r="LT193" s="509"/>
      <c r="LU193" s="509"/>
      <c r="LV193" s="509"/>
      <c r="LW193" s="509"/>
      <c r="LX193" s="509"/>
      <c r="LY193" s="509"/>
      <c r="LZ193" s="509"/>
      <c r="MA193" s="509"/>
      <c r="MB193" s="509"/>
      <c r="MC193" s="509"/>
      <c r="MD193" s="509"/>
      <c r="ME193" s="509"/>
      <c r="MF193" s="509"/>
      <c r="MG193" s="509"/>
      <c r="MH193" s="509"/>
      <c r="MI193" s="509"/>
      <c r="MJ193" s="509"/>
      <c r="MK193" s="509"/>
      <c r="ML193" s="509"/>
      <c r="MM193" s="509"/>
      <c r="MN193" s="509"/>
      <c r="MO193" s="509"/>
      <c r="MP193" s="509"/>
      <c r="MQ193" s="509"/>
      <c r="MR193" s="509"/>
      <c r="MS193" s="509"/>
      <c r="MT193" s="509"/>
      <c r="MU193" s="509"/>
      <c r="MV193" s="509"/>
      <c r="MW193" s="509"/>
      <c r="MX193" s="509"/>
      <c r="MY193" s="509"/>
      <c r="MZ193" s="509"/>
      <c r="NA193" s="509"/>
      <c r="NB193" s="509"/>
      <c r="NC193" s="509"/>
      <c r="ND193" s="509"/>
      <c r="NE193" s="509"/>
      <c r="NF193" s="509"/>
      <c r="NG193" s="509"/>
      <c r="NH193" s="509"/>
      <c r="NI193" s="509"/>
      <c r="NJ193" s="509"/>
      <c r="NK193" s="509"/>
      <c r="NL193" s="509"/>
      <c r="NM193" s="509"/>
      <c r="NN193" s="509"/>
      <c r="NO193" s="509"/>
      <c r="NP193" s="509"/>
      <c r="NQ193" s="509"/>
      <c r="NR193" s="509"/>
      <c r="NS193" s="509"/>
      <c r="NT193" s="509"/>
      <c r="NU193" s="509"/>
      <c r="NV193" s="509"/>
      <c r="NW193" s="509"/>
      <c r="NX193" s="509"/>
      <c r="NY193" s="509"/>
      <c r="NZ193" s="509"/>
      <c r="OA193" s="509"/>
      <c r="OB193" s="509"/>
      <c r="OC193" s="509"/>
      <c r="OD193" s="509"/>
      <c r="OE193" s="509"/>
      <c r="OF193" s="509"/>
      <c r="OG193" s="509"/>
      <c r="OH193" s="509"/>
      <c r="OI193" s="509"/>
      <c r="OJ193" s="509"/>
      <c r="OK193" s="509"/>
      <c r="OL193" s="509"/>
      <c r="OM193" s="509"/>
      <c r="ON193" s="509"/>
      <c r="OO193" s="509"/>
      <c r="OP193" s="509"/>
      <c r="OQ193" s="509"/>
      <c r="OR193" s="509"/>
      <c r="OS193" s="509"/>
      <c r="OT193" s="509"/>
      <c r="OU193" s="509"/>
      <c r="OV193" s="509"/>
      <c r="OW193" s="509"/>
      <c r="OX193" s="509"/>
      <c r="OY193" s="509"/>
      <c r="OZ193" s="509"/>
      <c r="PA193" s="509"/>
      <c r="PB193" s="509"/>
      <c r="PC193" s="509"/>
      <c r="PD193" s="509"/>
      <c r="PE193" s="509"/>
      <c r="PF193" s="509"/>
      <c r="PG193" s="509"/>
      <c r="PH193" s="509"/>
      <c r="PI193" s="509"/>
      <c r="PJ193" s="509"/>
      <c r="PK193" s="509"/>
      <c r="PL193" s="509"/>
      <c r="PM193" s="509"/>
      <c r="PN193" s="509"/>
      <c r="PO193" s="509"/>
      <c r="PP193" s="509"/>
      <c r="PQ193" s="509"/>
      <c r="PR193" s="509"/>
      <c r="PS193" s="509"/>
      <c r="PT193" s="509"/>
      <c r="PU193" s="509"/>
      <c r="PV193" s="509"/>
      <c r="PW193" s="509"/>
      <c r="PX193" s="509"/>
      <c r="PY193" s="509"/>
      <c r="PZ193" s="509"/>
      <c r="QA193" s="509"/>
      <c r="QB193" s="509"/>
      <c r="QC193" s="509"/>
      <c r="QD193" s="509"/>
      <c r="QE193" s="509"/>
      <c r="QF193" s="509"/>
      <c r="QG193" s="509"/>
      <c r="QH193" s="509"/>
      <c r="QI193" s="509"/>
      <c r="QJ193" s="509"/>
      <c r="QK193" s="509"/>
      <c r="QL193" s="509"/>
      <c r="QM193" s="509"/>
      <c r="QN193" s="509"/>
      <c r="QO193" s="509"/>
      <c r="QP193" s="509"/>
      <c r="QQ193" s="509"/>
      <c r="QR193" s="509"/>
      <c r="QS193" s="509"/>
      <c r="QT193" s="509"/>
      <c r="QU193" s="509"/>
      <c r="QV193" s="509"/>
      <c r="QW193" s="509"/>
      <c r="QX193" s="509"/>
      <c r="QY193" s="509"/>
      <c r="QZ193" s="509"/>
      <c r="RA193" s="509"/>
      <c r="RB193" s="509"/>
      <c r="RC193" s="509"/>
      <c r="RD193" s="509"/>
      <c r="RE193" s="509"/>
      <c r="RF193" s="509"/>
      <c r="RG193" s="509"/>
      <c r="RH193" s="509"/>
      <c r="RI193" s="509"/>
      <c r="RJ193" s="509"/>
      <c r="RK193" s="509"/>
      <c r="RL193" s="509"/>
      <c r="RM193" s="509"/>
      <c r="RN193" s="509"/>
      <c r="RO193" s="509"/>
      <c r="RP193" s="509"/>
      <c r="RQ193" s="509"/>
      <c r="RR193" s="509"/>
      <c r="RS193" s="509"/>
      <c r="RT193" s="509"/>
      <c r="RU193" s="509"/>
      <c r="RV193" s="509"/>
      <c r="RW193" s="509"/>
      <c r="RX193" s="509"/>
      <c r="RY193" s="509"/>
      <c r="RZ193" s="509"/>
      <c r="SA193" s="509"/>
      <c r="SB193" s="509"/>
      <c r="SC193" s="509"/>
      <c r="SD193" s="509"/>
      <c r="SE193" s="509"/>
      <c r="SF193" s="509"/>
      <c r="SG193" s="509"/>
      <c r="SH193" s="509"/>
      <c r="SI193" s="509"/>
      <c r="SJ193" s="509"/>
      <c r="SK193" s="509"/>
      <c r="SL193" s="509"/>
      <c r="SM193" s="509"/>
      <c r="SN193" s="509"/>
      <c r="SO193" s="509"/>
      <c r="SP193" s="509"/>
      <c r="SQ193" s="509"/>
      <c r="SR193" s="509"/>
      <c r="SS193" s="509"/>
      <c r="ST193" s="509"/>
      <c r="SU193" s="509"/>
      <c r="SV193" s="509"/>
      <c r="SW193" s="509"/>
      <c r="SX193" s="509"/>
      <c r="SY193" s="509"/>
      <c r="SZ193" s="509"/>
      <c r="TA193" s="509"/>
      <c r="TB193" s="509"/>
      <c r="TC193" s="509"/>
      <c r="TD193" s="509"/>
      <c r="TE193" s="509"/>
      <c r="TF193" s="509"/>
      <c r="TG193" s="509"/>
      <c r="TH193" s="509"/>
      <c r="TI193" s="509"/>
      <c r="TJ193" s="509"/>
      <c r="TK193" s="509"/>
      <c r="TL193" s="509"/>
      <c r="TM193" s="509"/>
      <c r="TN193" s="509"/>
      <c r="TO193" s="509"/>
      <c r="TP193" s="509"/>
      <c r="TQ193" s="509"/>
      <c r="TR193" s="509"/>
      <c r="TS193" s="509"/>
      <c r="TT193" s="509"/>
      <c r="TU193" s="509"/>
      <c r="TV193" s="509"/>
      <c r="TW193" s="509"/>
      <c r="TX193" s="509"/>
      <c r="TY193" s="509"/>
      <c r="TZ193" s="509"/>
      <c r="UA193" s="509"/>
      <c r="UB193" s="509"/>
      <c r="UC193" s="509"/>
      <c r="UD193" s="509"/>
      <c r="UE193" s="509"/>
      <c r="UF193" s="509"/>
      <c r="UG193" s="509"/>
      <c r="UH193" s="509"/>
      <c r="UI193" s="509"/>
    </row>
    <row r="194" spans="1:555" ht="72" customHeight="1">
      <c r="A194" s="296">
        <v>214</v>
      </c>
      <c r="B194" s="297" t="s">
        <v>8706</v>
      </c>
      <c r="C194" s="298" t="s">
        <v>8707</v>
      </c>
      <c r="D194" s="354" t="s">
        <v>2549</v>
      </c>
      <c r="E194" s="299">
        <v>42359</v>
      </c>
      <c r="F194" s="300">
        <v>42339</v>
      </c>
      <c r="G194" s="301" t="s">
        <v>2550</v>
      </c>
      <c r="H194" s="297" t="s">
        <v>63</v>
      </c>
      <c r="I194" s="297" t="s">
        <v>101</v>
      </c>
      <c r="J194" s="299">
        <v>42600</v>
      </c>
      <c r="K194" s="300">
        <v>42583</v>
      </c>
      <c r="L194" s="301" t="s">
        <v>2551</v>
      </c>
      <c r="M194" s="297" t="s">
        <v>63</v>
      </c>
      <c r="N194" s="297" t="s">
        <v>153</v>
      </c>
      <c r="O194" s="299">
        <v>42622</v>
      </c>
      <c r="P194" s="302">
        <v>42614</v>
      </c>
      <c r="Q194" s="301" t="s">
        <v>2552</v>
      </c>
      <c r="R194" s="297" t="s">
        <v>63</v>
      </c>
      <c r="S194" s="297" t="s">
        <v>336</v>
      </c>
      <c r="T194" s="299">
        <v>42858</v>
      </c>
      <c r="U194" s="300">
        <v>42856</v>
      </c>
      <c r="V194" s="301" t="s">
        <v>2553</v>
      </c>
      <c r="W194" s="297" t="s">
        <v>63</v>
      </c>
      <c r="X194" s="297" t="s">
        <v>85</v>
      </c>
      <c r="Y194" s="299">
        <v>43146</v>
      </c>
      <c r="Z194" s="300">
        <v>43132</v>
      </c>
      <c r="AA194" s="301" t="s">
        <v>2554</v>
      </c>
      <c r="AB194" s="297" t="s">
        <v>63</v>
      </c>
      <c r="AC194" s="297" t="s">
        <v>107</v>
      </c>
      <c r="AD194" s="305">
        <v>43273</v>
      </c>
      <c r="AE194" s="300">
        <v>43252</v>
      </c>
      <c r="AF194" s="308" t="s">
        <v>2555</v>
      </c>
      <c r="AG194" s="297" t="s">
        <v>63</v>
      </c>
      <c r="AH194" s="303" t="s">
        <v>2556</v>
      </c>
      <c r="AI194" s="305" t="s">
        <v>9482</v>
      </c>
      <c r="AJ194" s="300" t="s">
        <v>9483</v>
      </c>
      <c r="AK194" s="315" t="s">
        <v>9481</v>
      </c>
      <c r="AL194" s="297" t="s">
        <v>9484</v>
      </c>
      <c r="AM194" s="297" t="s">
        <v>9485</v>
      </c>
      <c r="AN194" s="297" t="s">
        <v>2557</v>
      </c>
      <c r="AO194" s="479">
        <v>43273</v>
      </c>
      <c r="AP194" s="297" t="s">
        <v>2558</v>
      </c>
      <c r="AQ194" s="301" t="s">
        <v>2559</v>
      </c>
      <c r="AR194" s="297" t="s">
        <v>161</v>
      </c>
      <c r="AS194" s="299">
        <v>38203</v>
      </c>
      <c r="AT194" s="299">
        <v>40522</v>
      </c>
      <c r="AU194" s="297" t="s">
        <v>7259</v>
      </c>
      <c r="AV194" s="297"/>
      <c r="AW194" s="297" t="s">
        <v>92</v>
      </c>
      <c r="AX194" s="297" t="s">
        <v>2560</v>
      </c>
      <c r="AY194" s="299">
        <v>42088</v>
      </c>
      <c r="AZ194" s="297" t="s">
        <v>67</v>
      </c>
      <c r="BA194" s="299" t="s">
        <v>67</v>
      </c>
      <c r="BB194" s="382">
        <v>42229</v>
      </c>
      <c r="BC194" s="297" t="s">
        <v>95</v>
      </c>
      <c r="BD194" s="537" t="s">
        <v>2561</v>
      </c>
      <c r="BE194" s="297"/>
      <c r="BF194" s="301" t="s">
        <v>8271</v>
      </c>
      <c r="BG194" s="301"/>
      <c r="BH194" s="301" t="s">
        <v>8863</v>
      </c>
      <c r="BI194" s="301"/>
      <c r="BJ194" s="312">
        <f>+[56]MATRIZ!$J$51</f>
        <v>132715102.3458422</v>
      </c>
      <c r="BK194" s="312">
        <v>133675418</v>
      </c>
      <c r="BL194" s="313">
        <v>158265819</v>
      </c>
      <c r="BM194" s="299">
        <v>43636</v>
      </c>
      <c r="BN194" s="314">
        <v>43636</v>
      </c>
      <c r="BO194" s="460"/>
      <c r="BP194" s="390"/>
      <c r="BQ194" s="297"/>
      <c r="BR194" s="303"/>
      <c r="BS194" s="301"/>
      <c r="BT194" s="301"/>
      <c r="BU194" s="301"/>
      <c r="BV194" s="301"/>
      <c r="BW194" s="316"/>
      <c r="BX194" s="304"/>
      <c r="BY194" s="299"/>
      <c r="BZ194" s="317"/>
    </row>
    <row r="195" spans="1:555" ht="99.75" customHeight="1">
      <c r="A195" s="296">
        <v>215</v>
      </c>
      <c r="B195" s="297" t="s">
        <v>2562</v>
      </c>
      <c r="C195" s="338">
        <v>15051081</v>
      </c>
      <c r="D195" s="354" t="s">
        <v>2563</v>
      </c>
      <c r="E195" s="299">
        <v>42340</v>
      </c>
      <c r="F195" s="300">
        <v>42339</v>
      </c>
      <c r="G195" s="301" t="s">
        <v>2564</v>
      </c>
      <c r="H195" s="297" t="s">
        <v>171</v>
      </c>
      <c r="I195" s="297" t="s">
        <v>2565</v>
      </c>
      <c r="J195" s="299">
        <v>42366</v>
      </c>
      <c r="K195" s="300">
        <v>42339</v>
      </c>
      <c r="L195" s="301" t="s">
        <v>2566</v>
      </c>
      <c r="M195" s="297" t="s">
        <v>503</v>
      </c>
      <c r="N195" s="297" t="s">
        <v>2378</v>
      </c>
      <c r="O195" s="299">
        <v>42606</v>
      </c>
      <c r="P195" s="302">
        <v>42583</v>
      </c>
      <c r="Q195" s="301" t="s">
        <v>2567</v>
      </c>
      <c r="R195" s="297" t="s">
        <v>5</v>
      </c>
      <c r="S195" s="297" t="s">
        <v>101</v>
      </c>
      <c r="T195" s="299">
        <v>42972</v>
      </c>
      <c r="U195" s="300">
        <v>42948</v>
      </c>
      <c r="V195" s="301" t="s">
        <v>2568</v>
      </c>
      <c r="W195" s="297" t="s">
        <v>5</v>
      </c>
      <c r="X195" s="297" t="s">
        <v>85</v>
      </c>
      <c r="Y195" s="299">
        <v>42972</v>
      </c>
      <c r="Z195" s="300">
        <v>42948</v>
      </c>
      <c r="AA195" s="301" t="s">
        <v>2569</v>
      </c>
      <c r="AB195" s="297" t="s">
        <v>208</v>
      </c>
      <c r="AC195" s="297" t="s">
        <v>131</v>
      </c>
      <c r="AD195" s="299">
        <v>43248</v>
      </c>
      <c r="AE195" s="300">
        <v>43221</v>
      </c>
      <c r="AF195" s="301" t="s">
        <v>2570</v>
      </c>
      <c r="AG195" s="297" t="s">
        <v>208</v>
      </c>
      <c r="AH195" s="297" t="s">
        <v>107</v>
      </c>
      <c r="AI195" s="299" t="s">
        <v>9052</v>
      </c>
      <c r="AJ195" s="300" t="s">
        <v>9053</v>
      </c>
      <c r="AK195" s="301" t="s">
        <v>9050</v>
      </c>
      <c r="AL195" s="297" t="s">
        <v>9051</v>
      </c>
      <c r="AM195" s="297" t="s">
        <v>9054</v>
      </c>
      <c r="AN195" s="297" t="s">
        <v>2487</v>
      </c>
      <c r="AO195" s="479">
        <v>42972</v>
      </c>
      <c r="AP195" s="297"/>
      <c r="AQ195" s="301" t="s">
        <v>2572</v>
      </c>
      <c r="AR195" s="297" t="s">
        <v>161</v>
      </c>
      <c r="AS195" s="299">
        <v>39014</v>
      </c>
      <c r="AT195" s="299">
        <v>40183</v>
      </c>
      <c r="AU195" s="297" t="s">
        <v>7318</v>
      </c>
      <c r="AV195" s="297"/>
      <c r="AW195" s="297" t="s">
        <v>92</v>
      </c>
      <c r="AX195" s="297" t="s">
        <v>2573</v>
      </c>
      <c r="AY195" s="299">
        <v>42128</v>
      </c>
      <c r="AZ195" s="297" t="s">
        <v>67</v>
      </c>
      <c r="BA195" s="299" t="s">
        <v>67</v>
      </c>
      <c r="BB195" s="382">
        <v>42152</v>
      </c>
      <c r="BC195" s="297" t="s">
        <v>95</v>
      </c>
      <c r="BD195" s="297" t="s">
        <v>566</v>
      </c>
      <c r="BE195" s="297"/>
      <c r="BF195" s="301"/>
      <c r="BG195" s="301" t="s">
        <v>2574</v>
      </c>
      <c r="BH195" s="301" t="s">
        <v>8744</v>
      </c>
      <c r="BI195" s="301"/>
      <c r="BJ195" s="312">
        <f>+'[57]MATRIZ '!$J$62</f>
        <v>52515391.646933831</v>
      </c>
      <c r="BK195" s="312">
        <v>52515392</v>
      </c>
      <c r="BL195" s="313">
        <v>121769119</v>
      </c>
      <c r="BM195" s="299">
        <v>43608</v>
      </c>
      <c r="BN195" s="314">
        <v>43608</v>
      </c>
      <c r="BO195" s="531" t="s">
        <v>8953</v>
      </c>
      <c r="BP195" s="390"/>
      <c r="BQ195" s="297"/>
      <c r="BR195" s="303"/>
      <c r="BS195" s="301"/>
      <c r="BT195" s="301"/>
      <c r="BU195" s="301"/>
      <c r="BV195" s="301"/>
      <c r="BW195" s="316"/>
      <c r="BX195" s="304"/>
      <c r="BY195" s="299"/>
      <c r="BZ195" s="317"/>
    </row>
    <row r="196" spans="1:555" ht="60.75" customHeight="1">
      <c r="A196" s="296">
        <v>216</v>
      </c>
      <c r="B196" s="297" t="s">
        <v>2575</v>
      </c>
      <c r="C196" s="298" t="s">
        <v>2576</v>
      </c>
      <c r="D196" s="354" t="s">
        <v>2577</v>
      </c>
      <c r="E196" s="299">
        <v>42373</v>
      </c>
      <c r="F196" s="300">
        <v>42370</v>
      </c>
      <c r="G196" s="301" t="s">
        <v>2578</v>
      </c>
      <c r="H196" s="297" t="s">
        <v>2346</v>
      </c>
      <c r="I196" s="297" t="s">
        <v>183</v>
      </c>
      <c r="J196" s="299">
        <v>42779</v>
      </c>
      <c r="K196" s="300">
        <v>42767</v>
      </c>
      <c r="L196" s="301" t="s">
        <v>2579</v>
      </c>
      <c r="M196" s="297" t="s">
        <v>5</v>
      </c>
      <c r="N196" s="297" t="s">
        <v>101</v>
      </c>
      <c r="O196" s="299">
        <v>42788</v>
      </c>
      <c r="P196" s="302">
        <v>42767</v>
      </c>
      <c r="Q196" s="301" t="s">
        <v>2580</v>
      </c>
      <c r="R196" s="297" t="s">
        <v>5</v>
      </c>
      <c r="S196" s="303" t="s">
        <v>131</v>
      </c>
      <c r="T196" s="299">
        <v>43214</v>
      </c>
      <c r="U196" s="300">
        <v>43191</v>
      </c>
      <c r="V196" s="301" t="s">
        <v>2581</v>
      </c>
      <c r="W196" s="297" t="s">
        <v>5</v>
      </c>
      <c r="X196" s="297" t="s">
        <v>1213</v>
      </c>
      <c r="Y196" s="299">
        <v>43210</v>
      </c>
      <c r="Z196" s="300">
        <v>43191</v>
      </c>
      <c r="AA196" s="301" t="s">
        <v>2582</v>
      </c>
      <c r="AB196" s="297" t="s">
        <v>2583</v>
      </c>
      <c r="AC196" s="297" t="s">
        <v>582</v>
      </c>
      <c r="AD196" s="299" t="s">
        <v>2584</v>
      </c>
      <c r="AE196" s="300" t="s">
        <v>2585</v>
      </c>
      <c r="AF196" s="301" t="s">
        <v>2586</v>
      </c>
      <c r="AG196" s="297" t="s">
        <v>2587</v>
      </c>
      <c r="AH196" s="297" t="s">
        <v>2588</v>
      </c>
      <c r="AI196" s="299" t="s">
        <v>10711</v>
      </c>
      <c r="AJ196" s="300" t="s">
        <v>10712</v>
      </c>
      <c r="AK196" s="301" t="s">
        <v>10708</v>
      </c>
      <c r="AL196" s="297" t="s">
        <v>10709</v>
      </c>
      <c r="AM196" s="297" t="s">
        <v>10710</v>
      </c>
      <c r="AN196" s="297"/>
      <c r="AO196" s="473"/>
      <c r="AP196" s="297"/>
      <c r="AQ196" s="301" t="s">
        <v>2589</v>
      </c>
      <c r="AR196" s="297" t="s">
        <v>66</v>
      </c>
      <c r="AS196" s="299" t="s">
        <v>67</v>
      </c>
      <c r="AT196" s="299" t="s">
        <v>67</v>
      </c>
      <c r="AU196" s="297" t="s">
        <v>7377</v>
      </c>
      <c r="AV196" s="297"/>
      <c r="AW196" s="297" t="s">
        <v>92</v>
      </c>
      <c r="AX196" s="297" t="s">
        <v>2590</v>
      </c>
      <c r="AY196" s="299">
        <v>40576</v>
      </c>
      <c r="AZ196" s="297" t="s">
        <v>2591</v>
      </c>
      <c r="BA196" s="299">
        <v>42332</v>
      </c>
      <c r="BB196" s="382">
        <v>42341</v>
      </c>
      <c r="BC196" s="297" t="s">
        <v>2592</v>
      </c>
      <c r="BD196" s="297"/>
      <c r="BE196" s="303" t="s">
        <v>2593</v>
      </c>
      <c r="BF196" s="308"/>
      <c r="BG196" s="308" t="s">
        <v>2594</v>
      </c>
      <c r="BH196" s="301" t="s">
        <v>2595</v>
      </c>
      <c r="BI196" s="308"/>
      <c r="BJ196" s="312" t="s">
        <v>8933</v>
      </c>
      <c r="BK196" s="312" t="s">
        <v>2596</v>
      </c>
      <c r="BL196" s="313" t="s">
        <v>2597</v>
      </c>
      <c r="BM196" s="299">
        <v>43112</v>
      </c>
      <c r="BN196" s="314">
        <v>43101</v>
      </c>
      <c r="BO196" s="460"/>
      <c r="BP196" s="390"/>
      <c r="BQ196" s="297"/>
      <c r="BR196" s="303"/>
      <c r="BS196" s="301"/>
      <c r="BT196" s="301"/>
      <c r="BU196" s="301"/>
      <c r="BV196" s="301"/>
      <c r="BW196" s="316"/>
      <c r="BX196" s="304"/>
      <c r="BY196" s="299"/>
      <c r="BZ196" s="317"/>
    </row>
    <row r="197" spans="1:555" ht="57.75" customHeight="1">
      <c r="A197" s="296">
        <v>217</v>
      </c>
      <c r="B197" s="297" t="s">
        <v>2598</v>
      </c>
      <c r="C197" s="298" t="s">
        <v>2599</v>
      </c>
      <c r="D197" s="354" t="s">
        <v>8198</v>
      </c>
      <c r="E197" s="299">
        <v>42375</v>
      </c>
      <c r="F197" s="300">
        <v>42370</v>
      </c>
      <c r="G197" s="301" t="s">
        <v>2600</v>
      </c>
      <c r="H197" s="297" t="s">
        <v>2346</v>
      </c>
      <c r="I197" s="297" t="s">
        <v>183</v>
      </c>
      <c r="J197" s="299">
        <v>42375</v>
      </c>
      <c r="K197" s="300">
        <v>42370</v>
      </c>
      <c r="L197" s="301" t="s">
        <v>2601</v>
      </c>
      <c r="M197" s="297" t="s">
        <v>2346</v>
      </c>
      <c r="N197" s="297" t="s">
        <v>183</v>
      </c>
      <c r="O197" s="299">
        <v>42422</v>
      </c>
      <c r="P197" s="302">
        <v>42401</v>
      </c>
      <c r="Q197" s="301" t="s">
        <v>2602</v>
      </c>
      <c r="R197" s="297" t="s">
        <v>625</v>
      </c>
      <c r="S197" s="297" t="s">
        <v>183</v>
      </c>
      <c r="T197" s="299">
        <v>42850</v>
      </c>
      <c r="U197" s="300">
        <v>42826</v>
      </c>
      <c r="V197" s="301" t="s">
        <v>2603</v>
      </c>
      <c r="W197" s="297" t="s">
        <v>63</v>
      </c>
      <c r="X197" s="297" t="s">
        <v>79</v>
      </c>
      <c r="Y197" s="299">
        <v>43125</v>
      </c>
      <c r="Z197" s="300">
        <v>43101</v>
      </c>
      <c r="AA197" s="301" t="s">
        <v>2604</v>
      </c>
      <c r="AB197" s="297" t="s">
        <v>208</v>
      </c>
      <c r="AC197" s="297" t="s">
        <v>85</v>
      </c>
      <c r="AD197" s="299">
        <v>43195</v>
      </c>
      <c r="AE197" s="300">
        <v>43191</v>
      </c>
      <c r="AF197" s="301" t="s">
        <v>2605</v>
      </c>
      <c r="AG197" s="297" t="s">
        <v>63</v>
      </c>
      <c r="AH197" s="297" t="s">
        <v>1114</v>
      </c>
      <c r="AI197" s="305" t="s">
        <v>9752</v>
      </c>
      <c r="AJ197" s="300" t="s">
        <v>9753</v>
      </c>
      <c r="AK197" s="315" t="s">
        <v>10707</v>
      </c>
      <c r="AL197" s="315" t="s">
        <v>9754</v>
      </c>
      <c r="AM197" s="315" t="s">
        <v>9755</v>
      </c>
      <c r="AN197" s="297" t="s">
        <v>2608</v>
      </c>
      <c r="AO197" s="479">
        <v>43117</v>
      </c>
      <c r="AP197" s="297"/>
      <c r="AQ197" s="301" t="s">
        <v>2609</v>
      </c>
      <c r="AR197" s="297" t="s">
        <v>161</v>
      </c>
      <c r="AS197" s="299" t="s">
        <v>67</v>
      </c>
      <c r="AT197" s="299" t="s">
        <v>67</v>
      </c>
      <c r="AU197" s="297" t="s">
        <v>2610</v>
      </c>
      <c r="AV197" s="297"/>
      <c r="AW197" s="297" t="s">
        <v>92</v>
      </c>
      <c r="AX197" s="297" t="s">
        <v>2611</v>
      </c>
      <c r="AY197" s="299">
        <v>39132</v>
      </c>
      <c r="AZ197" s="297" t="s">
        <v>576</v>
      </c>
      <c r="BA197" s="299" t="s">
        <v>2612</v>
      </c>
      <c r="BB197" s="382">
        <v>41985</v>
      </c>
      <c r="BC197" s="303" t="s">
        <v>561</v>
      </c>
      <c r="BD197" s="303" t="s">
        <v>2613</v>
      </c>
      <c r="BE197" s="303" t="s">
        <v>2614</v>
      </c>
      <c r="BF197" s="308" t="s">
        <v>8260</v>
      </c>
      <c r="BG197" s="301" t="s">
        <v>2615</v>
      </c>
      <c r="BH197" s="301" t="s">
        <v>8347</v>
      </c>
      <c r="BI197" s="308"/>
      <c r="BJ197" s="306">
        <f>+[58]MATRIZ!$J$26</f>
        <v>570626633.44008124</v>
      </c>
      <c r="BK197" s="306" t="s">
        <v>8348</v>
      </c>
      <c r="BL197" s="313" t="s">
        <v>8349</v>
      </c>
      <c r="BM197" s="299" t="s">
        <v>8350</v>
      </c>
      <c r="BN197" s="314" t="s">
        <v>8351</v>
      </c>
      <c r="BO197" s="531" t="s">
        <v>8551</v>
      </c>
      <c r="BP197" s="390"/>
      <c r="BQ197" s="297"/>
      <c r="BR197" s="303"/>
      <c r="BS197" s="301"/>
      <c r="BT197" s="301"/>
      <c r="BU197" s="301"/>
      <c r="BV197" s="301"/>
      <c r="BW197" s="316"/>
      <c r="BX197" s="304"/>
      <c r="BY197" s="299"/>
      <c r="BZ197" s="317"/>
    </row>
    <row r="198" spans="1:555" ht="54.75" customHeight="1">
      <c r="A198" s="296">
        <v>219</v>
      </c>
      <c r="B198" s="297" t="s">
        <v>2626</v>
      </c>
      <c r="C198" s="298">
        <v>19489524</v>
      </c>
      <c r="D198" s="354" t="s">
        <v>167</v>
      </c>
      <c r="E198" s="299">
        <v>42387</v>
      </c>
      <c r="F198" s="300">
        <v>42370</v>
      </c>
      <c r="G198" s="301" t="s">
        <v>2627</v>
      </c>
      <c r="H198" s="297" t="s">
        <v>625</v>
      </c>
      <c r="I198" s="297" t="s">
        <v>183</v>
      </c>
      <c r="J198" s="299">
        <v>42633</v>
      </c>
      <c r="K198" s="300">
        <v>42614</v>
      </c>
      <c r="L198" s="301" t="s">
        <v>2628</v>
      </c>
      <c r="M198" s="297" t="s">
        <v>5</v>
      </c>
      <c r="N198" s="297" t="s">
        <v>101</v>
      </c>
      <c r="O198" s="299"/>
      <c r="P198" s="302"/>
      <c r="Q198" s="301"/>
      <c r="R198" s="297"/>
      <c r="S198" s="297"/>
      <c r="T198" s="299"/>
      <c r="U198" s="300"/>
      <c r="V198" s="301"/>
      <c r="W198" s="297"/>
      <c r="X198" s="297"/>
      <c r="Y198" s="299"/>
      <c r="Z198" s="300"/>
      <c r="AA198" s="301"/>
      <c r="AB198" s="297"/>
      <c r="AC198" s="297"/>
      <c r="AD198" s="299"/>
      <c r="AE198" s="300"/>
      <c r="AF198" s="301"/>
      <c r="AG198" s="297"/>
      <c r="AH198" s="297"/>
      <c r="AI198" s="304"/>
      <c r="AJ198" s="300"/>
      <c r="AK198" s="301"/>
      <c r="AL198" s="297"/>
      <c r="AM198" s="297"/>
      <c r="AN198" s="297" t="s">
        <v>2629</v>
      </c>
      <c r="AO198" s="540">
        <v>42643</v>
      </c>
      <c r="AP198" s="297"/>
      <c r="AQ198" s="301" t="s">
        <v>2630</v>
      </c>
      <c r="AR198" s="297" t="s">
        <v>161</v>
      </c>
      <c r="AS198" s="299">
        <v>37818</v>
      </c>
      <c r="AT198" s="299">
        <v>39794</v>
      </c>
      <c r="AU198" s="297" t="s">
        <v>2631</v>
      </c>
      <c r="AV198" s="297"/>
      <c r="AW198" s="297" t="s">
        <v>92</v>
      </c>
      <c r="AX198" s="297" t="s">
        <v>187</v>
      </c>
      <c r="AY198" s="299">
        <v>41305</v>
      </c>
      <c r="AZ198" s="297" t="s">
        <v>2632</v>
      </c>
      <c r="BA198" s="299">
        <v>42332</v>
      </c>
      <c r="BB198" s="382">
        <v>42347</v>
      </c>
      <c r="BC198" s="297" t="s">
        <v>95</v>
      </c>
      <c r="BD198" s="297" t="s">
        <v>566</v>
      </c>
      <c r="BE198" s="303"/>
      <c r="BF198" s="308"/>
      <c r="BG198" s="308"/>
      <c r="BH198" s="301" t="s">
        <v>9630</v>
      </c>
      <c r="BI198" s="308"/>
      <c r="BJ198" s="312">
        <f>+[59]MATRIZ!$P$75</f>
        <v>5801076.9352113027</v>
      </c>
      <c r="BK198" s="312">
        <v>5801077</v>
      </c>
      <c r="BL198" s="313">
        <v>176782620</v>
      </c>
      <c r="BM198" s="299">
        <v>44021</v>
      </c>
      <c r="BN198" s="314">
        <v>44021</v>
      </c>
      <c r="BO198" s="460"/>
      <c r="BP198" s="390"/>
      <c r="BQ198" s="297"/>
      <c r="BR198" s="303"/>
      <c r="BS198" s="301"/>
      <c r="BT198" s="301"/>
      <c r="BU198" s="301"/>
      <c r="BV198" s="301"/>
      <c r="BW198" s="316"/>
      <c r="BX198" s="304"/>
      <c r="BY198" s="299"/>
      <c r="BZ198" s="317"/>
      <c r="CA198" s="509"/>
      <c r="CB198" s="509"/>
      <c r="CC198" s="509"/>
      <c r="CD198" s="509"/>
      <c r="CE198" s="509"/>
      <c r="CF198" s="509"/>
      <c r="CG198" s="509"/>
      <c r="CH198" s="509"/>
      <c r="CI198" s="509"/>
      <c r="CJ198" s="509"/>
      <c r="CK198" s="509"/>
      <c r="CL198" s="509"/>
      <c r="CM198" s="509"/>
      <c r="CN198" s="509"/>
      <c r="CO198" s="509"/>
      <c r="CP198" s="509"/>
      <c r="CQ198" s="509"/>
      <c r="CR198" s="509"/>
      <c r="CS198" s="509"/>
      <c r="CT198" s="509"/>
      <c r="CU198" s="509"/>
      <c r="CV198" s="509"/>
      <c r="CW198" s="509"/>
      <c r="CX198" s="509"/>
      <c r="CY198" s="509"/>
      <c r="CZ198" s="509"/>
      <c r="DA198" s="509"/>
      <c r="DB198" s="509"/>
      <c r="DC198" s="509"/>
      <c r="DD198" s="509"/>
      <c r="DE198" s="509"/>
      <c r="DF198" s="509"/>
      <c r="DG198" s="509"/>
      <c r="DH198" s="509"/>
      <c r="DI198" s="509"/>
      <c r="DJ198" s="509"/>
      <c r="DK198" s="509"/>
      <c r="DL198" s="509"/>
      <c r="DM198" s="509"/>
      <c r="DN198" s="509"/>
      <c r="DO198" s="509"/>
      <c r="DP198" s="509"/>
      <c r="DQ198" s="509"/>
      <c r="DR198" s="509"/>
      <c r="DS198" s="509"/>
      <c r="DT198" s="509"/>
      <c r="DU198" s="509"/>
      <c r="DV198" s="509"/>
      <c r="DW198" s="509"/>
      <c r="DX198" s="509"/>
      <c r="DY198" s="509"/>
      <c r="DZ198" s="509"/>
      <c r="EA198" s="509"/>
      <c r="EB198" s="509"/>
      <c r="EC198" s="509"/>
      <c r="ED198" s="509"/>
      <c r="EE198" s="509"/>
      <c r="EF198" s="509"/>
      <c r="EG198" s="509"/>
      <c r="EH198" s="509"/>
      <c r="EI198" s="509"/>
      <c r="EJ198" s="509"/>
      <c r="EK198" s="509"/>
      <c r="EL198" s="509"/>
      <c r="EM198" s="509"/>
      <c r="EN198" s="509"/>
      <c r="EO198" s="509"/>
      <c r="EP198" s="509"/>
      <c r="EQ198" s="509"/>
      <c r="ER198" s="509"/>
      <c r="ES198" s="509"/>
      <c r="ET198" s="509"/>
      <c r="EU198" s="509"/>
      <c r="EV198" s="509"/>
      <c r="EW198" s="509"/>
      <c r="EX198" s="509"/>
      <c r="EY198" s="509"/>
      <c r="EZ198" s="509"/>
      <c r="FA198" s="509"/>
      <c r="FB198" s="509"/>
      <c r="FC198" s="509"/>
      <c r="FD198" s="509"/>
      <c r="FE198" s="509"/>
      <c r="FF198" s="509"/>
      <c r="FG198" s="509"/>
      <c r="FH198" s="509"/>
      <c r="FI198" s="509"/>
      <c r="FJ198" s="509"/>
      <c r="FK198" s="509"/>
      <c r="FL198" s="509"/>
      <c r="FM198" s="509"/>
      <c r="FN198" s="509"/>
      <c r="FO198" s="509"/>
      <c r="FP198" s="509"/>
      <c r="FQ198" s="509"/>
      <c r="FR198" s="509"/>
      <c r="FS198" s="509"/>
      <c r="FT198" s="509"/>
      <c r="FU198" s="509"/>
      <c r="FV198" s="509"/>
      <c r="FW198" s="509"/>
      <c r="FX198" s="509"/>
      <c r="FY198" s="509"/>
      <c r="FZ198" s="509"/>
      <c r="GA198" s="509"/>
      <c r="GB198" s="509"/>
      <c r="GC198" s="509"/>
      <c r="GD198" s="509"/>
      <c r="GE198" s="509"/>
      <c r="GF198" s="509"/>
      <c r="GG198" s="509"/>
      <c r="GH198" s="509"/>
      <c r="GI198" s="509"/>
      <c r="GJ198" s="509"/>
      <c r="GK198" s="509"/>
      <c r="GL198" s="509"/>
      <c r="GM198" s="509"/>
      <c r="GN198" s="509"/>
      <c r="GO198" s="509"/>
      <c r="GP198" s="509"/>
      <c r="GQ198" s="509"/>
      <c r="GR198" s="509"/>
      <c r="GS198" s="509"/>
      <c r="GT198" s="509"/>
      <c r="GU198" s="509"/>
      <c r="GV198" s="509"/>
      <c r="GW198" s="509"/>
      <c r="GX198" s="509"/>
      <c r="GY198" s="509"/>
      <c r="GZ198" s="509"/>
      <c r="HA198" s="509"/>
      <c r="HB198" s="509"/>
      <c r="HC198" s="509"/>
      <c r="HD198" s="509"/>
      <c r="HE198" s="509"/>
      <c r="HF198" s="509"/>
      <c r="HG198" s="509"/>
      <c r="HH198" s="509"/>
      <c r="HI198" s="509"/>
      <c r="HJ198" s="509"/>
      <c r="HK198" s="509"/>
      <c r="HL198" s="509"/>
      <c r="HM198" s="509"/>
      <c r="HN198" s="509"/>
      <c r="HO198" s="509"/>
      <c r="HP198" s="509"/>
      <c r="HQ198" s="509"/>
      <c r="HR198" s="509"/>
      <c r="HS198" s="509"/>
      <c r="HT198" s="509"/>
      <c r="HU198" s="509"/>
      <c r="HV198" s="509"/>
      <c r="HW198" s="509"/>
      <c r="HX198" s="509"/>
      <c r="HY198" s="509"/>
      <c r="HZ198" s="509"/>
      <c r="IA198" s="509"/>
      <c r="IB198" s="509"/>
      <c r="IC198" s="509"/>
      <c r="ID198" s="509"/>
      <c r="IE198" s="509"/>
      <c r="IF198" s="509"/>
      <c r="IG198" s="509"/>
      <c r="IH198" s="509"/>
      <c r="II198" s="509"/>
      <c r="IJ198" s="509"/>
      <c r="IK198" s="509"/>
      <c r="IL198" s="509"/>
      <c r="IM198" s="509"/>
      <c r="IN198" s="509"/>
      <c r="IO198" s="509"/>
      <c r="IP198" s="509"/>
      <c r="IQ198" s="509"/>
      <c r="IR198" s="509"/>
      <c r="IS198" s="509"/>
      <c r="IT198" s="509"/>
      <c r="IU198" s="509"/>
      <c r="IV198" s="509"/>
      <c r="IW198" s="509"/>
      <c r="IX198" s="509"/>
      <c r="IY198" s="509"/>
      <c r="IZ198" s="509"/>
      <c r="JA198" s="509"/>
      <c r="JB198" s="509"/>
      <c r="JC198" s="509"/>
      <c r="JD198" s="509"/>
      <c r="JE198" s="509"/>
      <c r="JF198" s="509"/>
      <c r="JG198" s="509"/>
      <c r="JH198" s="509"/>
      <c r="JI198" s="509"/>
      <c r="JJ198" s="509"/>
      <c r="JK198" s="509"/>
      <c r="JL198" s="509"/>
      <c r="JM198" s="509"/>
      <c r="JN198" s="509"/>
      <c r="JO198" s="509"/>
      <c r="JP198" s="509"/>
      <c r="JQ198" s="509"/>
      <c r="JR198" s="509"/>
      <c r="JS198" s="509"/>
      <c r="JT198" s="509"/>
      <c r="JU198" s="509"/>
      <c r="JV198" s="509"/>
      <c r="JW198" s="509"/>
      <c r="JX198" s="509"/>
      <c r="JY198" s="509"/>
      <c r="JZ198" s="509"/>
      <c r="KA198" s="509"/>
      <c r="KB198" s="509"/>
      <c r="KC198" s="509"/>
      <c r="KD198" s="509"/>
      <c r="KE198" s="509"/>
      <c r="KF198" s="509"/>
      <c r="KG198" s="509"/>
      <c r="KH198" s="509"/>
      <c r="KI198" s="509"/>
      <c r="KJ198" s="509"/>
      <c r="KK198" s="509"/>
      <c r="KL198" s="509"/>
      <c r="KM198" s="509"/>
      <c r="KN198" s="509"/>
      <c r="KO198" s="509"/>
      <c r="KP198" s="509"/>
      <c r="KQ198" s="509"/>
      <c r="KR198" s="509"/>
      <c r="KS198" s="509"/>
      <c r="KT198" s="509"/>
      <c r="KU198" s="509"/>
      <c r="KV198" s="509"/>
      <c r="KW198" s="509"/>
      <c r="KX198" s="509"/>
      <c r="KY198" s="509"/>
      <c r="KZ198" s="509"/>
      <c r="LA198" s="509"/>
      <c r="LB198" s="509"/>
      <c r="LC198" s="509"/>
      <c r="LD198" s="509"/>
      <c r="LE198" s="509"/>
      <c r="LF198" s="509"/>
      <c r="LG198" s="509"/>
      <c r="LH198" s="509"/>
      <c r="LI198" s="509"/>
      <c r="LJ198" s="509"/>
      <c r="LK198" s="509"/>
      <c r="LL198" s="509"/>
      <c r="LM198" s="509"/>
      <c r="LN198" s="509"/>
      <c r="LO198" s="509"/>
      <c r="LP198" s="509"/>
      <c r="LQ198" s="509"/>
      <c r="LR198" s="509"/>
      <c r="LS198" s="509"/>
      <c r="LT198" s="509"/>
      <c r="LU198" s="509"/>
      <c r="LV198" s="509"/>
      <c r="LW198" s="509"/>
      <c r="LX198" s="509"/>
      <c r="LY198" s="509"/>
      <c r="LZ198" s="509"/>
      <c r="MA198" s="509"/>
      <c r="MB198" s="509"/>
      <c r="MC198" s="509"/>
      <c r="MD198" s="509"/>
      <c r="ME198" s="509"/>
      <c r="MF198" s="509"/>
      <c r="MG198" s="509"/>
      <c r="MH198" s="509"/>
      <c r="MI198" s="509"/>
      <c r="MJ198" s="509"/>
      <c r="MK198" s="509"/>
      <c r="ML198" s="509"/>
      <c r="MM198" s="509"/>
      <c r="MN198" s="509"/>
      <c r="MO198" s="509"/>
      <c r="MP198" s="509"/>
      <c r="MQ198" s="509"/>
      <c r="MR198" s="509"/>
      <c r="MS198" s="509"/>
      <c r="MT198" s="509"/>
      <c r="MU198" s="509"/>
      <c r="MV198" s="509"/>
      <c r="MW198" s="509"/>
      <c r="MX198" s="509"/>
      <c r="MY198" s="509"/>
      <c r="MZ198" s="509"/>
      <c r="NA198" s="509"/>
      <c r="NB198" s="509"/>
      <c r="NC198" s="509"/>
      <c r="ND198" s="509"/>
      <c r="NE198" s="509"/>
      <c r="NF198" s="509"/>
      <c r="NG198" s="509"/>
      <c r="NH198" s="509"/>
      <c r="NI198" s="509"/>
      <c r="NJ198" s="509"/>
      <c r="NK198" s="509"/>
      <c r="NL198" s="509"/>
      <c r="NM198" s="509"/>
      <c r="NN198" s="509"/>
      <c r="NO198" s="509"/>
      <c r="NP198" s="509"/>
      <c r="NQ198" s="509"/>
      <c r="NR198" s="509"/>
      <c r="NS198" s="509"/>
      <c r="NT198" s="509"/>
      <c r="NU198" s="509"/>
      <c r="NV198" s="509"/>
      <c r="NW198" s="509"/>
      <c r="NX198" s="509"/>
      <c r="NY198" s="509"/>
      <c r="NZ198" s="509"/>
      <c r="OA198" s="509"/>
      <c r="OB198" s="509"/>
      <c r="OC198" s="509"/>
      <c r="OD198" s="509"/>
      <c r="OE198" s="509"/>
      <c r="OF198" s="509"/>
      <c r="OG198" s="509"/>
      <c r="OH198" s="509"/>
      <c r="OI198" s="509"/>
      <c r="OJ198" s="509"/>
      <c r="OK198" s="509"/>
      <c r="OL198" s="509"/>
      <c r="OM198" s="509"/>
      <c r="ON198" s="509"/>
      <c r="OO198" s="509"/>
      <c r="OP198" s="509"/>
      <c r="OQ198" s="509"/>
      <c r="OR198" s="509"/>
      <c r="OS198" s="509"/>
      <c r="OT198" s="509"/>
      <c r="OU198" s="509"/>
      <c r="OV198" s="509"/>
      <c r="OW198" s="509"/>
      <c r="OX198" s="509"/>
      <c r="OY198" s="509"/>
      <c r="OZ198" s="509"/>
      <c r="PA198" s="509"/>
      <c r="PB198" s="509"/>
      <c r="PC198" s="509"/>
      <c r="PD198" s="509"/>
      <c r="PE198" s="509"/>
      <c r="PF198" s="509"/>
      <c r="PG198" s="509"/>
      <c r="PH198" s="509"/>
      <c r="PI198" s="509"/>
      <c r="PJ198" s="509"/>
      <c r="PK198" s="509"/>
      <c r="PL198" s="509"/>
      <c r="PM198" s="509"/>
      <c r="PN198" s="509"/>
      <c r="PO198" s="509"/>
      <c r="PP198" s="509"/>
      <c r="PQ198" s="509"/>
      <c r="PR198" s="509"/>
      <c r="PS198" s="509"/>
      <c r="PT198" s="509"/>
      <c r="PU198" s="509"/>
      <c r="PV198" s="509"/>
      <c r="PW198" s="509"/>
      <c r="PX198" s="509"/>
      <c r="PY198" s="509"/>
      <c r="PZ198" s="509"/>
      <c r="QA198" s="509"/>
      <c r="QB198" s="509"/>
      <c r="QC198" s="509"/>
      <c r="QD198" s="509"/>
      <c r="QE198" s="509"/>
      <c r="QF198" s="509"/>
      <c r="QG198" s="509"/>
      <c r="QH198" s="509"/>
      <c r="QI198" s="509"/>
      <c r="QJ198" s="509"/>
      <c r="QK198" s="509"/>
      <c r="QL198" s="509"/>
      <c r="QM198" s="509"/>
      <c r="QN198" s="509"/>
      <c r="QO198" s="509"/>
      <c r="QP198" s="509"/>
      <c r="QQ198" s="509"/>
      <c r="QR198" s="509"/>
      <c r="QS198" s="509"/>
      <c r="QT198" s="509"/>
      <c r="QU198" s="509"/>
      <c r="QV198" s="509"/>
      <c r="QW198" s="509"/>
      <c r="QX198" s="509"/>
      <c r="QY198" s="509"/>
      <c r="QZ198" s="509"/>
      <c r="RA198" s="509"/>
      <c r="RB198" s="509"/>
      <c r="RC198" s="509"/>
      <c r="RD198" s="509"/>
      <c r="RE198" s="509"/>
      <c r="RF198" s="509"/>
      <c r="RG198" s="509"/>
      <c r="RH198" s="509"/>
      <c r="RI198" s="509"/>
      <c r="RJ198" s="509"/>
      <c r="RK198" s="509"/>
      <c r="RL198" s="509"/>
      <c r="RM198" s="509"/>
      <c r="RN198" s="509"/>
      <c r="RO198" s="509"/>
      <c r="RP198" s="509"/>
      <c r="RQ198" s="509"/>
      <c r="RR198" s="509"/>
      <c r="RS198" s="509"/>
      <c r="RT198" s="509"/>
      <c r="RU198" s="509"/>
      <c r="RV198" s="509"/>
      <c r="RW198" s="509"/>
      <c r="RX198" s="509"/>
      <c r="RY198" s="509"/>
      <c r="RZ198" s="509"/>
      <c r="SA198" s="509"/>
      <c r="SB198" s="509"/>
      <c r="SC198" s="509"/>
      <c r="SD198" s="509"/>
      <c r="SE198" s="509"/>
      <c r="SF198" s="509"/>
      <c r="SG198" s="509"/>
      <c r="SH198" s="509"/>
      <c r="SI198" s="509"/>
      <c r="SJ198" s="509"/>
      <c r="SK198" s="509"/>
      <c r="SL198" s="509"/>
      <c r="SM198" s="509"/>
      <c r="SN198" s="509"/>
      <c r="SO198" s="509"/>
      <c r="SP198" s="509"/>
      <c r="SQ198" s="509"/>
      <c r="SR198" s="509"/>
      <c r="SS198" s="509"/>
      <c r="ST198" s="509"/>
      <c r="SU198" s="509"/>
      <c r="SV198" s="509"/>
      <c r="SW198" s="509"/>
      <c r="SX198" s="509"/>
      <c r="SY198" s="509"/>
      <c r="SZ198" s="509"/>
      <c r="TA198" s="509"/>
      <c r="TB198" s="509"/>
      <c r="TC198" s="509"/>
      <c r="TD198" s="509"/>
      <c r="TE198" s="509"/>
      <c r="TF198" s="509"/>
      <c r="TG198" s="509"/>
      <c r="TH198" s="509"/>
      <c r="TI198" s="509"/>
      <c r="TJ198" s="509"/>
      <c r="TK198" s="509"/>
      <c r="TL198" s="509"/>
      <c r="TM198" s="509"/>
      <c r="TN198" s="509"/>
      <c r="TO198" s="509"/>
      <c r="TP198" s="509"/>
      <c r="TQ198" s="509"/>
      <c r="TR198" s="509"/>
      <c r="TS198" s="509"/>
      <c r="TT198" s="509"/>
      <c r="TU198" s="509"/>
      <c r="TV198" s="509"/>
      <c r="TW198" s="509"/>
      <c r="TX198" s="509"/>
      <c r="TY198" s="509"/>
      <c r="TZ198" s="509"/>
      <c r="UA198" s="509"/>
      <c r="UB198" s="509"/>
      <c r="UC198" s="509"/>
      <c r="UD198" s="509"/>
      <c r="UE198" s="509"/>
      <c r="UF198" s="509"/>
      <c r="UG198" s="509"/>
      <c r="UH198" s="509"/>
      <c r="UI198" s="509"/>
    </row>
    <row r="199" spans="1:555" ht="60.75" customHeight="1">
      <c r="A199" s="296">
        <v>220</v>
      </c>
      <c r="B199" s="297" t="s">
        <v>2633</v>
      </c>
      <c r="C199" s="298">
        <v>79556951</v>
      </c>
      <c r="D199" s="354" t="s">
        <v>597</v>
      </c>
      <c r="E199" s="299" t="s">
        <v>8162</v>
      </c>
      <c r="F199" s="300" t="s">
        <v>8163</v>
      </c>
      <c r="G199" s="301" t="s">
        <v>8164</v>
      </c>
      <c r="H199" s="297" t="s">
        <v>8165</v>
      </c>
      <c r="I199" s="297" t="s">
        <v>8166</v>
      </c>
      <c r="J199" s="299">
        <v>42459</v>
      </c>
      <c r="K199" s="300">
        <v>42430</v>
      </c>
      <c r="L199" s="301" t="s">
        <v>2634</v>
      </c>
      <c r="M199" s="297" t="s">
        <v>63</v>
      </c>
      <c r="N199" s="297" t="s">
        <v>101</v>
      </c>
      <c r="O199" s="299">
        <v>42559</v>
      </c>
      <c r="P199" s="302">
        <v>42552</v>
      </c>
      <c r="Q199" s="301" t="s">
        <v>2635</v>
      </c>
      <c r="R199" s="297" t="s">
        <v>63</v>
      </c>
      <c r="S199" s="297" t="s">
        <v>336</v>
      </c>
      <c r="T199" s="299">
        <v>43152</v>
      </c>
      <c r="U199" s="300">
        <v>43132</v>
      </c>
      <c r="V199" s="301" t="s">
        <v>2636</v>
      </c>
      <c r="W199" s="297" t="s">
        <v>2637</v>
      </c>
      <c r="X199" s="297" t="s">
        <v>169</v>
      </c>
      <c r="Y199" s="299">
        <v>43222</v>
      </c>
      <c r="Z199" s="300">
        <v>43221</v>
      </c>
      <c r="AA199" s="301" t="s">
        <v>2638</v>
      </c>
      <c r="AB199" s="297" t="s">
        <v>208</v>
      </c>
      <c r="AC199" s="297" t="s">
        <v>107</v>
      </c>
      <c r="AD199" s="299">
        <v>43227</v>
      </c>
      <c r="AE199" s="300">
        <v>43221</v>
      </c>
      <c r="AF199" s="301" t="s">
        <v>2639</v>
      </c>
      <c r="AG199" s="297" t="s">
        <v>208</v>
      </c>
      <c r="AH199" s="297" t="s">
        <v>107</v>
      </c>
      <c r="AI199" s="299" t="s">
        <v>9590</v>
      </c>
      <c r="AJ199" s="300" t="s">
        <v>9591</v>
      </c>
      <c r="AK199" s="315" t="s">
        <v>9592</v>
      </c>
      <c r="AL199" s="297" t="s">
        <v>9593</v>
      </c>
      <c r="AM199" s="297" t="s">
        <v>9594</v>
      </c>
      <c r="AN199" s="297" t="s">
        <v>366</v>
      </c>
      <c r="AO199" s="540">
        <v>42559</v>
      </c>
      <c r="AP199" s="297"/>
      <c r="AQ199" s="301" t="s">
        <v>2641</v>
      </c>
      <c r="AR199" s="297" t="s">
        <v>161</v>
      </c>
      <c r="AS199" s="299">
        <v>38412</v>
      </c>
      <c r="AT199" s="299">
        <v>39813</v>
      </c>
      <c r="AU199" s="297" t="s">
        <v>2642</v>
      </c>
      <c r="AV199" s="297"/>
      <c r="AW199" s="297" t="s">
        <v>92</v>
      </c>
      <c r="AX199" s="297" t="s">
        <v>2643</v>
      </c>
      <c r="AY199" s="299">
        <v>41418</v>
      </c>
      <c r="AZ199" s="297" t="s">
        <v>2632</v>
      </c>
      <c r="BA199" s="299">
        <v>42297</v>
      </c>
      <c r="BB199" s="382">
        <v>42312</v>
      </c>
      <c r="BC199" s="297" t="s">
        <v>95</v>
      </c>
      <c r="BD199" s="297" t="s">
        <v>566</v>
      </c>
      <c r="BE199" s="303"/>
      <c r="BF199" s="308" t="s">
        <v>2644</v>
      </c>
      <c r="BG199" s="308"/>
      <c r="BH199" s="301" t="s">
        <v>9868</v>
      </c>
      <c r="BI199" s="301"/>
      <c r="BJ199" s="301"/>
      <c r="BK199" s="312">
        <v>73561926</v>
      </c>
      <c r="BL199" s="313" t="s">
        <v>9869</v>
      </c>
      <c r="BM199" s="299" t="s">
        <v>9824</v>
      </c>
      <c r="BN199" s="314">
        <v>44161</v>
      </c>
      <c r="BO199" s="460"/>
      <c r="BP199" s="390"/>
      <c r="BQ199" s="297"/>
      <c r="BR199" s="303"/>
      <c r="BS199" s="301"/>
      <c r="BT199" s="301"/>
      <c r="BU199" s="301"/>
      <c r="BV199" s="301"/>
      <c r="BW199" s="316"/>
      <c r="BX199" s="304"/>
      <c r="BY199" s="299"/>
      <c r="BZ199" s="300"/>
      <c r="CA199" s="509"/>
      <c r="CB199" s="509"/>
      <c r="CC199" s="509"/>
      <c r="CD199" s="509"/>
      <c r="CE199" s="509"/>
      <c r="CF199" s="509"/>
      <c r="CG199" s="509"/>
      <c r="CH199" s="509"/>
      <c r="CI199" s="509"/>
      <c r="CJ199" s="509"/>
      <c r="CK199" s="509"/>
      <c r="CL199" s="509"/>
      <c r="CM199" s="509"/>
      <c r="CN199" s="509"/>
      <c r="CO199" s="509"/>
      <c r="CP199" s="509"/>
      <c r="CQ199" s="509"/>
      <c r="CR199" s="509"/>
      <c r="CS199" s="509"/>
      <c r="CT199" s="509"/>
      <c r="CU199" s="509"/>
      <c r="CV199" s="509"/>
      <c r="CW199" s="509"/>
      <c r="CX199" s="509"/>
      <c r="CY199" s="509"/>
      <c r="CZ199" s="509"/>
      <c r="DA199" s="509"/>
      <c r="DB199" s="509"/>
      <c r="DC199" s="509"/>
      <c r="DD199" s="509"/>
      <c r="DE199" s="509"/>
      <c r="DF199" s="509"/>
      <c r="DG199" s="509"/>
      <c r="DH199" s="509"/>
      <c r="DI199" s="509"/>
      <c r="DJ199" s="509"/>
      <c r="DK199" s="509"/>
      <c r="DL199" s="509"/>
      <c r="DM199" s="509"/>
      <c r="DN199" s="509"/>
      <c r="DO199" s="509"/>
      <c r="DP199" s="509"/>
      <c r="DQ199" s="509"/>
      <c r="DR199" s="509"/>
      <c r="DS199" s="509"/>
      <c r="DT199" s="509"/>
      <c r="DU199" s="509"/>
      <c r="DV199" s="509"/>
      <c r="DW199" s="509"/>
      <c r="DX199" s="509"/>
      <c r="DY199" s="509"/>
      <c r="DZ199" s="509"/>
      <c r="EA199" s="509"/>
      <c r="EB199" s="509"/>
      <c r="EC199" s="509"/>
      <c r="ED199" s="509"/>
      <c r="EE199" s="509"/>
      <c r="EF199" s="509"/>
      <c r="EG199" s="509"/>
      <c r="EH199" s="509"/>
      <c r="EI199" s="509"/>
      <c r="EJ199" s="509"/>
      <c r="EK199" s="509"/>
      <c r="EL199" s="509"/>
      <c r="EM199" s="509"/>
      <c r="EN199" s="509"/>
      <c r="EO199" s="509"/>
      <c r="EP199" s="509"/>
      <c r="EQ199" s="509"/>
      <c r="ER199" s="509"/>
      <c r="ES199" s="509"/>
      <c r="ET199" s="509"/>
      <c r="EU199" s="509"/>
      <c r="EV199" s="509"/>
      <c r="EW199" s="509"/>
      <c r="EX199" s="509"/>
      <c r="EY199" s="509"/>
      <c r="EZ199" s="509"/>
      <c r="FA199" s="509"/>
      <c r="FB199" s="509"/>
      <c r="FC199" s="509"/>
      <c r="FD199" s="509"/>
      <c r="FE199" s="509"/>
      <c r="FF199" s="509"/>
      <c r="FG199" s="509"/>
      <c r="FH199" s="509"/>
      <c r="FI199" s="509"/>
      <c r="FJ199" s="509"/>
      <c r="FK199" s="509"/>
      <c r="FL199" s="509"/>
      <c r="FM199" s="509"/>
      <c r="FN199" s="509"/>
      <c r="FO199" s="509"/>
      <c r="FP199" s="509"/>
      <c r="FQ199" s="509"/>
      <c r="FR199" s="509"/>
      <c r="FS199" s="509"/>
      <c r="FT199" s="509"/>
      <c r="FU199" s="509"/>
      <c r="FV199" s="509"/>
      <c r="FW199" s="509"/>
      <c r="FX199" s="509"/>
      <c r="FY199" s="509"/>
      <c r="FZ199" s="509"/>
      <c r="GA199" s="509"/>
      <c r="GB199" s="509"/>
      <c r="GC199" s="509"/>
      <c r="GD199" s="509"/>
      <c r="GE199" s="509"/>
      <c r="GF199" s="509"/>
      <c r="GG199" s="509"/>
      <c r="GH199" s="509"/>
      <c r="GI199" s="509"/>
      <c r="GJ199" s="509"/>
      <c r="GK199" s="509"/>
      <c r="GL199" s="509"/>
      <c r="GM199" s="509"/>
      <c r="GN199" s="509"/>
      <c r="GO199" s="509"/>
      <c r="GP199" s="509"/>
      <c r="GQ199" s="509"/>
      <c r="GR199" s="509"/>
      <c r="GS199" s="509"/>
      <c r="GT199" s="509"/>
      <c r="GU199" s="509"/>
      <c r="GV199" s="509"/>
      <c r="GW199" s="509"/>
      <c r="GX199" s="509"/>
      <c r="GY199" s="509"/>
      <c r="GZ199" s="509"/>
      <c r="HA199" s="509"/>
      <c r="HB199" s="509"/>
      <c r="HC199" s="509"/>
      <c r="HD199" s="509"/>
      <c r="HE199" s="509"/>
      <c r="HF199" s="509"/>
      <c r="HG199" s="509"/>
      <c r="HH199" s="509"/>
      <c r="HI199" s="509"/>
      <c r="HJ199" s="509"/>
      <c r="HK199" s="509"/>
      <c r="HL199" s="509"/>
      <c r="HM199" s="509"/>
      <c r="HN199" s="509"/>
      <c r="HO199" s="509"/>
      <c r="HP199" s="509"/>
      <c r="HQ199" s="509"/>
      <c r="HR199" s="509"/>
      <c r="HS199" s="509"/>
      <c r="HT199" s="509"/>
      <c r="HU199" s="509"/>
      <c r="HV199" s="509"/>
      <c r="HW199" s="509"/>
      <c r="HX199" s="509"/>
      <c r="HY199" s="509"/>
      <c r="HZ199" s="509"/>
      <c r="IA199" s="509"/>
      <c r="IB199" s="509"/>
      <c r="IC199" s="509"/>
      <c r="ID199" s="509"/>
      <c r="IE199" s="509"/>
      <c r="IF199" s="509"/>
      <c r="IG199" s="509"/>
      <c r="IH199" s="509"/>
      <c r="II199" s="509"/>
      <c r="IJ199" s="509"/>
      <c r="IK199" s="509"/>
      <c r="IL199" s="509"/>
      <c r="IM199" s="509"/>
      <c r="IN199" s="509"/>
      <c r="IO199" s="509"/>
      <c r="IP199" s="509"/>
      <c r="IQ199" s="509"/>
      <c r="IR199" s="509"/>
      <c r="IS199" s="509"/>
      <c r="IT199" s="509"/>
      <c r="IU199" s="509"/>
      <c r="IV199" s="509"/>
      <c r="IW199" s="509"/>
      <c r="IX199" s="509"/>
      <c r="IY199" s="509"/>
      <c r="IZ199" s="509"/>
      <c r="JA199" s="509"/>
      <c r="JB199" s="509"/>
      <c r="JC199" s="509"/>
      <c r="JD199" s="509"/>
      <c r="JE199" s="509"/>
      <c r="JF199" s="509"/>
      <c r="JG199" s="509"/>
      <c r="JH199" s="509"/>
      <c r="JI199" s="509"/>
      <c r="JJ199" s="509"/>
      <c r="JK199" s="509"/>
      <c r="JL199" s="509"/>
      <c r="JM199" s="509"/>
      <c r="JN199" s="509"/>
      <c r="JO199" s="509"/>
      <c r="JP199" s="509"/>
      <c r="JQ199" s="509"/>
      <c r="JR199" s="509"/>
      <c r="JS199" s="509"/>
      <c r="JT199" s="509"/>
      <c r="JU199" s="509"/>
      <c r="JV199" s="509"/>
      <c r="JW199" s="509"/>
      <c r="JX199" s="509"/>
      <c r="JY199" s="509"/>
      <c r="JZ199" s="509"/>
      <c r="KA199" s="509"/>
      <c r="KB199" s="509"/>
      <c r="KC199" s="509"/>
      <c r="KD199" s="509"/>
      <c r="KE199" s="509"/>
      <c r="KF199" s="509"/>
      <c r="KG199" s="509"/>
      <c r="KH199" s="509"/>
      <c r="KI199" s="509"/>
      <c r="KJ199" s="509"/>
      <c r="KK199" s="509"/>
      <c r="KL199" s="509"/>
      <c r="KM199" s="509"/>
      <c r="KN199" s="509"/>
      <c r="KO199" s="509"/>
      <c r="KP199" s="509"/>
      <c r="KQ199" s="509"/>
      <c r="KR199" s="509"/>
      <c r="KS199" s="509"/>
      <c r="KT199" s="509"/>
      <c r="KU199" s="509"/>
      <c r="KV199" s="509"/>
      <c r="KW199" s="509"/>
      <c r="KX199" s="509"/>
      <c r="KY199" s="509"/>
      <c r="KZ199" s="509"/>
      <c r="LA199" s="509"/>
      <c r="LB199" s="509"/>
      <c r="LC199" s="509"/>
      <c r="LD199" s="509"/>
      <c r="LE199" s="509"/>
      <c r="LF199" s="509"/>
      <c r="LG199" s="509"/>
      <c r="LH199" s="509"/>
      <c r="LI199" s="509"/>
      <c r="LJ199" s="509"/>
      <c r="LK199" s="509"/>
      <c r="LL199" s="509"/>
      <c r="LM199" s="509"/>
      <c r="LN199" s="509"/>
      <c r="LO199" s="509"/>
      <c r="LP199" s="509"/>
      <c r="LQ199" s="509"/>
      <c r="LR199" s="509"/>
      <c r="LS199" s="509"/>
      <c r="LT199" s="509"/>
      <c r="LU199" s="509"/>
      <c r="LV199" s="509"/>
      <c r="LW199" s="509"/>
      <c r="LX199" s="509"/>
      <c r="LY199" s="509"/>
      <c r="LZ199" s="509"/>
      <c r="MA199" s="509"/>
      <c r="MB199" s="509"/>
      <c r="MC199" s="509"/>
      <c r="MD199" s="509"/>
      <c r="ME199" s="509"/>
      <c r="MF199" s="509"/>
      <c r="MG199" s="509"/>
      <c r="MH199" s="509"/>
      <c r="MI199" s="509"/>
      <c r="MJ199" s="509"/>
      <c r="MK199" s="509"/>
      <c r="ML199" s="509"/>
      <c r="MM199" s="509"/>
      <c r="MN199" s="509"/>
      <c r="MO199" s="509"/>
      <c r="MP199" s="509"/>
      <c r="MQ199" s="509"/>
      <c r="MR199" s="509"/>
      <c r="MS199" s="509"/>
      <c r="MT199" s="509"/>
      <c r="MU199" s="509"/>
      <c r="MV199" s="509"/>
      <c r="MW199" s="509"/>
      <c r="MX199" s="509"/>
      <c r="MY199" s="509"/>
      <c r="MZ199" s="509"/>
      <c r="NA199" s="509"/>
      <c r="NB199" s="509"/>
      <c r="NC199" s="509"/>
      <c r="ND199" s="509"/>
      <c r="NE199" s="509"/>
      <c r="NF199" s="509"/>
      <c r="NG199" s="509"/>
      <c r="NH199" s="509"/>
      <c r="NI199" s="509"/>
      <c r="NJ199" s="509"/>
      <c r="NK199" s="509"/>
      <c r="NL199" s="509"/>
      <c r="NM199" s="509"/>
      <c r="NN199" s="509"/>
      <c r="NO199" s="509"/>
      <c r="NP199" s="509"/>
      <c r="NQ199" s="509"/>
      <c r="NR199" s="509"/>
      <c r="NS199" s="509"/>
      <c r="NT199" s="509"/>
      <c r="NU199" s="509"/>
      <c r="NV199" s="509"/>
      <c r="NW199" s="509"/>
      <c r="NX199" s="509"/>
      <c r="NY199" s="509"/>
      <c r="NZ199" s="509"/>
      <c r="OA199" s="509"/>
      <c r="OB199" s="509"/>
      <c r="OC199" s="509"/>
      <c r="OD199" s="509"/>
      <c r="OE199" s="509"/>
      <c r="OF199" s="509"/>
      <c r="OG199" s="509"/>
      <c r="OH199" s="509"/>
      <c r="OI199" s="509"/>
      <c r="OJ199" s="509"/>
      <c r="OK199" s="509"/>
      <c r="OL199" s="509"/>
      <c r="OM199" s="509"/>
      <c r="ON199" s="509"/>
      <c r="OO199" s="509"/>
      <c r="OP199" s="509"/>
      <c r="OQ199" s="509"/>
      <c r="OR199" s="509"/>
      <c r="OS199" s="509"/>
      <c r="OT199" s="509"/>
      <c r="OU199" s="509"/>
      <c r="OV199" s="509"/>
      <c r="OW199" s="509"/>
      <c r="OX199" s="509"/>
      <c r="OY199" s="509"/>
      <c r="OZ199" s="509"/>
      <c r="PA199" s="509"/>
      <c r="PB199" s="509"/>
      <c r="PC199" s="509"/>
      <c r="PD199" s="509"/>
      <c r="PE199" s="509"/>
      <c r="PF199" s="509"/>
      <c r="PG199" s="509"/>
      <c r="PH199" s="509"/>
      <c r="PI199" s="509"/>
      <c r="PJ199" s="509"/>
      <c r="PK199" s="509"/>
      <c r="PL199" s="509"/>
      <c r="PM199" s="509"/>
      <c r="PN199" s="509"/>
      <c r="PO199" s="509"/>
      <c r="PP199" s="509"/>
      <c r="PQ199" s="509"/>
      <c r="PR199" s="509"/>
      <c r="PS199" s="509"/>
      <c r="PT199" s="509"/>
      <c r="PU199" s="509"/>
      <c r="PV199" s="509"/>
      <c r="PW199" s="509"/>
      <c r="PX199" s="509"/>
      <c r="PY199" s="509"/>
      <c r="PZ199" s="509"/>
      <c r="QA199" s="509"/>
      <c r="QB199" s="509"/>
      <c r="QC199" s="509"/>
      <c r="QD199" s="509"/>
      <c r="QE199" s="509"/>
      <c r="QF199" s="509"/>
      <c r="QG199" s="509"/>
      <c r="QH199" s="509"/>
      <c r="QI199" s="509"/>
      <c r="QJ199" s="509"/>
      <c r="QK199" s="509"/>
      <c r="QL199" s="509"/>
      <c r="QM199" s="509"/>
      <c r="QN199" s="509"/>
      <c r="QO199" s="509"/>
      <c r="QP199" s="509"/>
      <c r="QQ199" s="509"/>
      <c r="QR199" s="509"/>
      <c r="QS199" s="509"/>
      <c r="QT199" s="509"/>
      <c r="QU199" s="509"/>
      <c r="QV199" s="509"/>
      <c r="QW199" s="509"/>
      <c r="QX199" s="509"/>
      <c r="QY199" s="509"/>
      <c r="QZ199" s="509"/>
      <c r="RA199" s="509"/>
      <c r="RB199" s="509"/>
      <c r="RC199" s="509"/>
      <c r="RD199" s="509"/>
      <c r="RE199" s="509"/>
      <c r="RF199" s="509"/>
      <c r="RG199" s="509"/>
      <c r="RH199" s="509"/>
      <c r="RI199" s="509"/>
      <c r="RJ199" s="509"/>
      <c r="RK199" s="509"/>
      <c r="RL199" s="509"/>
      <c r="RM199" s="509"/>
      <c r="RN199" s="509"/>
      <c r="RO199" s="509"/>
      <c r="RP199" s="509"/>
      <c r="RQ199" s="509"/>
      <c r="RR199" s="509"/>
      <c r="RS199" s="509"/>
      <c r="RT199" s="509"/>
      <c r="RU199" s="509"/>
      <c r="RV199" s="509"/>
      <c r="RW199" s="509"/>
      <c r="RX199" s="509"/>
      <c r="RY199" s="509"/>
      <c r="RZ199" s="509"/>
      <c r="SA199" s="509"/>
      <c r="SB199" s="509"/>
      <c r="SC199" s="509"/>
      <c r="SD199" s="509"/>
      <c r="SE199" s="509"/>
      <c r="SF199" s="509"/>
      <c r="SG199" s="509"/>
      <c r="SH199" s="509"/>
      <c r="SI199" s="509"/>
      <c r="SJ199" s="509"/>
      <c r="SK199" s="509"/>
      <c r="SL199" s="509"/>
      <c r="SM199" s="509"/>
      <c r="SN199" s="509"/>
      <c r="SO199" s="509"/>
      <c r="SP199" s="509"/>
      <c r="SQ199" s="509"/>
      <c r="SR199" s="509"/>
      <c r="SS199" s="509"/>
      <c r="ST199" s="509"/>
      <c r="SU199" s="509"/>
      <c r="SV199" s="509"/>
      <c r="SW199" s="509"/>
      <c r="SX199" s="509"/>
      <c r="SY199" s="509"/>
      <c r="SZ199" s="509"/>
      <c r="TA199" s="509"/>
      <c r="TB199" s="509"/>
      <c r="TC199" s="509"/>
      <c r="TD199" s="509"/>
      <c r="TE199" s="509"/>
      <c r="TF199" s="509"/>
      <c r="TG199" s="509"/>
      <c r="TH199" s="509"/>
      <c r="TI199" s="509"/>
      <c r="TJ199" s="509"/>
      <c r="TK199" s="509"/>
      <c r="TL199" s="509"/>
      <c r="TM199" s="509"/>
      <c r="TN199" s="509"/>
      <c r="TO199" s="509"/>
      <c r="TP199" s="509"/>
      <c r="TQ199" s="509"/>
      <c r="TR199" s="509"/>
      <c r="TS199" s="509"/>
      <c r="TT199" s="509"/>
      <c r="TU199" s="509"/>
      <c r="TV199" s="509"/>
      <c r="TW199" s="509"/>
      <c r="TX199" s="509"/>
      <c r="TY199" s="509"/>
      <c r="TZ199" s="509"/>
      <c r="UA199" s="509"/>
      <c r="UB199" s="509"/>
      <c r="UC199" s="509"/>
      <c r="UD199" s="509"/>
      <c r="UE199" s="509"/>
      <c r="UF199" s="509"/>
      <c r="UG199" s="509"/>
      <c r="UH199" s="509"/>
      <c r="UI199" s="509"/>
    </row>
    <row r="200" spans="1:555" ht="58.5" customHeight="1">
      <c r="A200" s="296">
        <v>221</v>
      </c>
      <c r="B200" s="297" t="s">
        <v>2645</v>
      </c>
      <c r="C200" s="298">
        <v>91258219</v>
      </c>
      <c r="D200" s="354" t="s">
        <v>167</v>
      </c>
      <c r="E200" s="299">
        <v>42389</v>
      </c>
      <c r="F200" s="300">
        <v>42370</v>
      </c>
      <c r="G200" s="301" t="s">
        <v>271</v>
      </c>
      <c r="H200" s="297" t="s">
        <v>171</v>
      </c>
      <c r="I200" s="297" t="s">
        <v>2223</v>
      </c>
      <c r="J200" s="299">
        <v>42433</v>
      </c>
      <c r="K200" s="300">
        <v>42430</v>
      </c>
      <c r="L200" s="301" t="s">
        <v>2646</v>
      </c>
      <c r="M200" s="297" t="s">
        <v>5</v>
      </c>
      <c r="N200" s="297" t="s">
        <v>101</v>
      </c>
      <c r="O200" s="299"/>
      <c r="P200" s="302"/>
      <c r="Q200" s="301"/>
      <c r="R200" s="297"/>
      <c r="S200" s="297"/>
      <c r="T200" s="299"/>
      <c r="U200" s="300"/>
      <c r="V200" s="301"/>
      <c r="W200" s="297"/>
      <c r="X200" s="297"/>
      <c r="Y200" s="299"/>
      <c r="Z200" s="300"/>
      <c r="AA200" s="301"/>
      <c r="AB200" s="297"/>
      <c r="AC200" s="297"/>
      <c r="AD200" s="299"/>
      <c r="AE200" s="300"/>
      <c r="AF200" s="301"/>
      <c r="AG200" s="297"/>
      <c r="AH200" s="297"/>
      <c r="AI200" s="304"/>
      <c r="AJ200" s="300"/>
      <c r="AK200" s="301"/>
      <c r="AL200" s="297"/>
      <c r="AM200" s="297"/>
      <c r="AN200" s="297" t="s">
        <v>1734</v>
      </c>
      <c r="AO200" s="473"/>
      <c r="AP200" s="297"/>
      <c r="AQ200" s="301" t="s">
        <v>2647</v>
      </c>
      <c r="AR200" s="297" t="s">
        <v>66</v>
      </c>
      <c r="AS200" s="299">
        <v>38870</v>
      </c>
      <c r="AT200" s="299">
        <v>40862</v>
      </c>
      <c r="AU200" s="297" t="s">
        <v>2648</v>
      </c>
      <c r="AV200" s="297"/>
      <c r="AW200" s="297" t="s">
        <v>69</v>
      </c>
      <c r="AX200" s="297" t="s">
        <v>627</v>
      </c>
      <c r="AY200" s="299">
        <v>41530</v>
      </c>
      <c r="AZ200" s="297" t="s">
        <v>576</v>
      </c>
      <c r="BA200" s="299">
        <v>42313</v>
      </c>
      <c r="BB200" s="382">
        <v>42333</v>
      </c>
      <c r="BC200" s="297" t="s">
        <v>95</v>
      </c>
      <c r="BD200" s="297" t="s">
        <v>566</v>
      </c>
      <c r="BE200" s="303"/>
      <c r="BF200" s="308"/>
      <c r="BG200" s="308"/>
      <c r="BH200" s="301" t="s">
        <v>2649</v>
      </c>
      <c r="BI200" s="308"/>
      <c r="BJ200" s="312">
        <v>168657818</v>
      </c>
      <c r="BK200" s="312">
        <v>168657818</v>
      </c>
      <c r="BL200" s="313">
        <v>121355218</v>
      </c>
      <c r="BM200" s="299">
        <v>43216</v>
      </c>
      <c r="BN200" s="314">
        <v>43191</v>
      </c>
      <c r="BO200" s="434" t="s">
        <v>2650</v>
      </c>
      <c r="BP200" s="397"/>
      <c r="BQ200" s="398"/>
      <c r="BR200" s="320"/>
      <c r="BS200" s="301"/>
      <c r="BT200" s="301"/>
      <c r="BU200" s="301"/>
      <c r="BV200" s="301"/>
      <c r="BW200" s="316"/>
      <c r="BX200" s="304"/>
      <c r="BY200" s="299"/>
      <c r="BZ200" s="317"/>
    </row>
    <row r="201" spans="1:555" s="259" customFormat="1" ht="74.25" customHeight="1">
      <c r="A201" s="296">
        <v>223</v>
      </c>
      <c r="B201" s="297" t="s">
        <v>2658</v>
      </c>
      <c r="C201" s="298">
        <v>16223310</v>
      </c>
      <c r="D201" s="354" t="s">
        <v>677</v>
      </c>
      <c r="E201" s="299">
        <v>42389</v>
      </c>
      <c r="F201" s="300">
        <v>42370</v>
      </c>
      <c r="G201" s="301" t="s">
        <v>2659</v>
      </c>
      <c r="H201" s="297" t="s">
        <v>1974</v>
      </c>
      <c r="I201" s="297" t="s">
        <v>183</v>
      </c>
      <c r="J201" s="299">
        <v>42544</v>
      </c>
      <c r="K201" s="300">
        <v>42522</v>
      </c>
      <c r="L201" s="301" t="s">
        <v>2660</v>
      </c>
      <c r="M201" s="297" t="s">
        <v>5</v>
      </c>
      <c r="N201" s="297" t="s">
        <v>101</v>
      </c>
      <c r="O201" s="299">
        <v>42857</v>
      </c>
      <c r="P201" s="302">
        <v>42856</v>
      </c>
      <c r="Q201" s="301" t="s">
        <v>2661</v>
      </c>
      <c r="R201" s="297" t="s">
        <v>5</v>
      </c>
      <c r="S201" s="297" t="s">
        <v>2662</v>
      </c>
      <c r="T201" s="299">
        <v>43237</v>
      </c>
      <c r="U201" s="300">
        <v>43221</v>
      </c>
      <c r="V201" s="301" t="s">
        <v>800</v>
      </c>
      <c r="W201" s="297" t="s">
        <v>5</v>
      </c>
      <c r="X201" s="297" t="s">
        <v>107</v>
      </c>
      <c r="Y201" s="299"/>
      <c r="Z201" s="300"/>
      <c r="AA201" s="301"/>
      <c r="AB201" s="297"/>
      <c r="AC201" s="297"/>
      <c r="AD201" s="299"/>
      <c r="AE201" s="300"/>
      <c r="AF201" s="301"/>
      <c r="AG201" s="297"/>
      <c r="AH201" s="297"/>
      <c r="AI201" s="304"/>
      <c r="AJ201" s="300"/>
      <c r="AK201" s="301"/>
      <c r="AL201" s="297"/>
      <c r="AM201" s="297"/>
      <c r="AN201" s="297" t="s">
        <v>2151</v>
      </c>
      <c r="AO201" s="473"/>
      <c r="AP201" s="297"/>
      <c r="AQ201" s="301" t="s">
        <v>2663</v>
      </c>
      <c r="AR201" s="297" t="s">
        <v>66</v>
      </c>
      <c r="AS201" s="299">
        <v>37834</v>
      </c>
      <c r="AT201" s="299">
        <v>39051</v>
      </c>
      <c r="AU201" s="297" t="s">
        <v>2664</v>
      </c>
      <c r="AV201" s="297"/>
      <c r="AW201" s="297" t="s">
        <v>92</v>
      </c>
      <c r="AX201" s="297" t="s">
        <v>2665</v>
      </c>
      <c r="AY201" s="299">
        <v>41240</v>
      </c>
      <c r="AZ201" s="297" t="s">
        <v>576</v>
      </c>
      <c r="BA201" s="299">
        <v>42319</v>
      </c>
      <c r="BB201" s="382">
        <v>42339</v>
      </c>
      <c r="BC201" s="297" t="s">
        <v>95</v>
      </c>
      <c r="BD201" s="297" t="s">
        <v>566</v>
      </c>
      <c r="BE201" s="303"/>
      <c r="BF201" s="308"/>
      <c r="BG201" s="308"/>
      <c r="BH201" s="301" t="s">
        <v>2666</v>
      </c>
      <c r="BI201" s="308"/>
      <c r="BJ201" s="312">
        <v>110700083</v>
      </c>
      <c r="BK201" s="312">
        <v>110700083</v>
      </c>
      <c r="BL201" s="313">
        <v>42811418</v>
      </c>
      <c r="BM201" s="299">
        <v>43158</v>
      </c>
      <c r="BN201" s="314">
        <v>43132</v>
      </c>
      <c r="BO201" s="434" t="s">
        <v>2667</v>
      </c>
      <c r="BP201" s="397"/>
      <c r="BQ201" s="398"/>
      <c r="BR201" s="320"/>
      <c r="BS201" s="301"/>
      <c r="BT201" s="301"/>
      <c r="BU201" s="301"/>
      <c r="BV201" s="301"/>
      <c r="BW201" s="316"/>
      <c r="BX201" s="304"/>
      <c r="BY201" s="299"/>
      <c r="BZ201" s="317"/>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c r="IY201" s="1"/>
      <c r="IZ201" s="1"/>
      <c r="JA201" s="1"/>
      <c r="JB201" s="1"/>
      <c r="JC201" s="1"/>
      <c r="JD201" s="1"/>
      <c r="JE201" s="1"/>
      <c r="JF201" s="1"/>
      <c r="JG201" s="1"/>
      <c r="JH201" s="1"/>
      <c r="JI201" s="1"/>
      <c r="JJ201" s="1"/>
      <c r="JK201" s="1"/>
      <c r="JL201" s="1"/>
      <c r="JM201" s="1"/>
      <c r="JN201" s="1"/>
      <c r="JO201" s="1"/>
      <c r="JP201" s="1"/>
      <c r="JQ201" s="1"/>
      <c r="JR201" s="1"/>
      <c r="JS201" s="1"/>
      <c r="JT201" s="1"/>
      <c r="JU201" s="1"/>
      <c r="JV201" s="1"/>
      <c r="JW201" s="1"/>
      <c r="JX201" s="1"/>
      <c r="JY201" s="1"/>
      <c r="JZ201" s="1"/>
      <c r="KA201" s="1"/>
      <c r="KB201" s="1"/>
      <c r="KC201" s="1"/>
      <c r="KD201" s="1"/>
      <c r="KE201" s="1"/>
      <c r="KF201" s="1"/>
      <c r="KG201" s="1"/>
      <c r="KH201" s="1"/>
      <c r="KI201" s="1"/>
      <c r="KJ201" s="1"/>
      <c r="KK201" s="1"/>
      <c r="KL201" s="1"/>
      <c r="KM201" s="1"/>
      <c r="KN201" s="1"/>
      <c r="KO201" s="1"/>
      <c r="KP201" s="1"/>
      <c r="KQ201" s="1"/>
      <c r="KR201" s="1"/>
      <c r="KS201" s="1"/>
      <c r="KT201" s="1"/>
      <c r="KU201" s="1"/>
      <c r="KV201" s="1"/>
      <c r="KW201" s="1"/>
      <c r="KX201" s="1"/>
      <c r="KY201" s="1"/>
      <c r="KZ201" s="1"/>
      <c r="LA201" s="1"/>
      <c r="LB201" s="1"/>
      <c r="LC201" s="1"/>
      <c r="LD201" s="1"/>
      <c r="LE201" s="1"/>
      <c r="LF201" s="1"/>
      <c r="LG201" s="1"/>
      <c r="LH201" s="1"/>
      <c r="LI201" s="1"/>
      <c r="LJ201" s="1"/>
      <c r="LK201" s="1"/>
      <c r="LL201" s="1"/>
      <c r="LM201" s="1"/>
      <c r="LN201" s="1"/>
      <c r="LO201" s="1"/>
      <c r="LP201" s="1"/>
      <c r="LQ201" s="1"/>
      <c r="LR201" s="1"/>
      <c r="LS201" s="1"/>
      <c r="LT201" s="1"/>
      <c r="LU201" s="1"/>
      <c r="LV201" s="1"/>
      <c r="LW201" s="1"/>
      <c r="LX201" s="1"/>
      <c r="LY201" s="1"/>
      <c r="LZ201" s="1"/>
      <c r="MA201" s="1"/>
      <c r="MB201" s="1"/>
      <c r="MC201" s="1"/>
      <c r="MD201" s="1"/>
      <c r="ME201" s="1"/>
      <c r="MF201" s="1"/>
      <c r="MG201" s="1"/>
      <c r="MH201" s="1"/>
      <c r="MI201" s="1"/>
      <c r="MJ201" s="1"/>
      <c r="MK201" s="1"/>
      <c r="ML201" s="1"/>
      <c r="MM201" s="1"/>
      <c r="MN201" s="1"/>
      <c r="MO201" s="1"/>
      <c r="MP201" s="1"/>
      <c r="MQ201" s="1"/>
      <c r="MR201" s="1"/>
      <c r="MS201" s="1"/>
      <c r="MT201" s="1"/>
      <c r="MU201" s="1"/>
      <c r="MV201" s="1"/>
      <c r="MW201" s="1"/>
      <c r="MX201" s="1"/>
      <c r="MY201" s="1"/>
      <c r="MZ201" s="1"/>
      <c r="NA201" s="1"/>
      <c r="NB201" s="1"/>
      <c r="NC201" s="1"/>
      <c r="ND201" s="1"/>
      <c r="NE201" s="1"/>
      <c r="NF201" s="1"/>
      <c r="NG201" s="1"/>
      <c r="NH201" s="1"/>
      <c r="NI201" s="1"/>
      <c r="NJ201" s="1"/>
      <c r="NK201" s="1"/>
      <c r="NL201" s="1"/>
      <c r="NM201" s="1"/>
      <c r="NN201" s="1"/>
      <c r="NO201" s="1"/>
      <c r="NP201" s="1"/>
      <c r="NQ201" s="1"/>
      <c r="NR201" s="1"/>
      <c r="NS201" s="1"/>
      <c r="NT201" s="1"/>
      <c r="NU201" s="1"/>
      <c r="NV201" s="1"/>
      <c r="NW201" s="1"/>
      <c r="NX201" s="1"/>
      <c r="NY201" s="1"/>
      <c r="NZ201" s="1"/>
      <c r="OA201" s="1"/>
      <c r="OB201" s="1"/>
      <c r="OC201" s="1"/>
      <c r="OD201" s="1"/>
      <c r="OE201" s="1"/>
      <c r="OF201" s="1"/>
      <c r="OG201" s="1"/>
      <c r="OH201" s="1"/>
      <c r="OI201" s="1"/>
      <c r="OJ201" s="1"/>
      <c r="OK201" s="1"/>
      <c r="OL201" s="1"/>
      <c r="OM201" s="1"/>
      <c r="ON201" s="1"/>
      <c r="OO201" s="1"/>
      <c r="OP201" s="1"/>
      <c r="OQ201" s="1"/>
      <c r="OR201" s="1"/>
      <c r="OS201" s="1"/>
      <c r="OT201" s="1"/>
      <c r="OU201" s="1"/>
      <c r="OV201" s="1"/>
      <c r="OW201" s="1"/>
      <c r="OX201" s="1"/>
      <c r="OY201" s="1"/>
      <c r="OZ201" s="1"/>
      <c r="PA201" s="1"/>
      <c r="PB201" s="1"/>
      <c r="PC201" s="1"/>
      <c r="PD201" s="1"/>
      <c r="PE201" s="1"/>
      <c r="PF201" s="1"/>
      <c r="PG201" s="1"/>
      <c r="PH201" s="1"/>
      <c r="PI201" s="1"/>
      <c r="PJ201" s="1"/>
      <c r="PK201" s="1"/>
      <c r="PL201" s="1"/>
      <c r="PM201" s="1"/>
      <c r="PN201" s="1"/>
      <c r="PO201" s="1"/>
      <c r="PP201" s="1"/>
      <c r="PQ201" s="1"/>
      <c r="PR201" s="1"/>
      <c r="PS201" s="1"/>
      <c r="PT201" s="1"/>
      <c r="PU201" s="1"/>
      <c r="PV201" s="1"/>
      <c r="PW201" s="1"/>
      <c r="PX201" s="1"/>
      <c r="PY201" s="1"/>
      <c r="PZ201" s="1"/>
      <c r="QA201" s="1"/>
      <c r="QB201" s="1"/>
      <c r="QC201" s="1"/>
      <c r="QD201" s="1"/>
      <c r="QE201" s="1"/>
      <c r="QF201" s="1"/>
      <c r="QG201" s="1"/>
      <c r="QH201" s="1"/>
      <c r="QI201" s="1"/>
      <c r="QJ201" s="1"/>
      <c r="QK201" s="1"/>
      <c r="QL201" s="1"/>
      <c r="QM201" s="1"/>
      <c r="QN201" s="1"/>
      <c r="QO201" s="1"/>
      <c r="QP201" s="1"/>
      <c r="QQ201" s="1"/>
      <c r="QR201" s="1"/>
      <c r="QS201" s="1"/>
      <c r="QT201" s="1"/>
      <c r="QU201" s="1"/>
      <c r="QV201" s="1"/>
      <c r="QW201" s="1"/>
      <c r="QX201" s="1"/>
      <c r="QY201" s="1"/>
      <c r="QZ201" s="1"/>
      <c r="RA201" s="1"/>
      <c r="RB201" s="1"/>
      <c r="RC201" s="1"/>
      <c r="RD201" s="1"/>
      <c r="RE201" s="1"/>
      <c r="RF201" s="1"/>
      <c r="RG201" s="1"/>
      <c r="RH201" s="1"/>
      <c r="RI201" s="1"/>
      <c r="RJ201" s="1"/>
      <c r="RK201" s="1"/>
      <c r="RL201" s="1"/>
      <c r="RM201" s="1"/>
      <c r="RN201" s="1"/>
      <c r="RO201" s="1"/>
      <c r="RP201" s="1"/>
      <c r="RQ201" s="1"/>
      <c r="RR201" s="1"/>
      <c r="RS201" s="1"/>
      <c r="RT201" s="1"/>
      <c r="RU201" s="1"/>
      <c r="RV201" s="1"/>
      <c r="RW201" s="1"/>
      <c r="RX201" s="1"/>
      <c r="RY201" s="1"/>
      <c r="RZ201" s="1"/>
      <c r="SA201" s="1"/>
      <c r="SB201" s="1"/>
      <c r="SC201" s="1"/>
      <c r="SD201" s="1"/>
      <c r="SE201" s="1"/>
      <c r="SF201" s="1"/>
      <c r="SG201" s="1"/>
      <c r="SH201" s="1"/>
      <c r="SI201" s="1"/>
      <c r="SJ201" s="1"/>
      <c r="SK201" s="1"/>
      <c r="SL201" s="1"/>
      <c r="SM201" s="1"/>
      <c r="SN201" s="1"/>
      <c r="SO201" s="1"/>
      <c r="SP201" s="1"/>
      <c r="SQ201" s="1"/>
      <c r="SR201" s="1"/>
      <c r="SS201" s="1"/>
      <c r="ST201" s="1"/>
      <c r="SU201" s="1"/>
      <c r="SV201" s="1"/>
      <c r="SW201" s="1"/>
      <c r="SX201" s="1"/>
      <c r="SY201" s="1"/>
      <c r="SZ201" s="1"/>
      <c r="TA201" s="1"/>
      <c r="TB201" s="1"/>
      <c r="TC201" s="1"/>
      <c r="TD201" s="1"/>
      <c r="TE201" s="1"/>
      <c r="TF201" s="1"/>
      <c r="TG201" s="1"/>
      <c r="TH201" s="1"/>
      <c r="TI201" s="1"/>
      <c r="TJ201" s="1"/>
      <c r="TK201" s="1"/>
      <c r="TL201" s="1"/>
      <c r="TM201" s="1"/>
      <c r="TN201" s="1"/>
      <c r="TO201" s="1"/>
      <c r="TP201" s="1"/>
      <c r="TQ201" s="1"/>
      <c r="TR201" s="1"/>
      <c r="TS201" s="1"/>
      <c r="TT201" s="1"/>
      <c r="TU201" s="1"/>
      <c r="TV201" s="1"/>
      <c r="TW201" s="1"/>
      <c r="TX201" s="1"/>
      <c r="TY201" s="1"/>
      <c r="TZ201" s="1"/>
      <c r="UA201" s="1"/>
      <c r="UB201" s="1"/>
      <c r="UC201" s="1"/>
      <c r="UD201" s="1"/>
      <c r="UE201" s="1"/>
      <c r="UF201" s="1"/>
      <c r="UG201" s="1"/>
      <c r="UH201" s="1"/>
      <c r="UI201" s="1"/>
    </row>
    <row r="202" spans="1:555" ht="175.5">
      <c r="A202" s="503">
        <v>224</v>
      </c>
      <c r="B202" s="297" t="s">
        <v>2668</v>
      </c>
      <c r="C202" s="298" t="s">
        <v>2669</v>
      </c>
      <c r="D202" s="354" t="s">
        <v>1551</v>
      </c>
      <c r="E202" s="299">
        <v>42394</v>
      </c>
      <c r="F202" s="300">
        <v>42370</v>
      </c>
      <c r="G202" s="301" t="s">
        <v>2670</v>
      </c>
      <c r="H202" s="297" t="s">
        <v>5</v>
      </c>
      <c r="I202" s="297" t="s">
        <v>101</v>
      </c>
      <c r="J202" s="299">
        <v>42604</v>
      </c>
      <c r="K202" s="300">
        <v>42583</v>
      </c>
      <c r="L202" s="301" t="s">
        <v>2671</v>
      </c>
      <c r="M202" s="297" t="s">
        <v>5</v>
      </c>
      <c r="N202" s="297" t="s">
        <v>336</v>
      </c>
      <c r="O202" s="299">
        <v>42773</v>
      </c>
      <c r="P202" s="302">
        <v>42767</v>
      </c>
      <c r="Q202" s="301" t="s">
        <v>2672</v>
      </c>
      <c r="R202" s="297" t="s">
        <v>5</v>
      </c>
      <c r="S202" s="297" t="s">
        <v>131</v>
      </c>
      <c r="T202" s="299">
        <v>42859</v>
      </c>
      <c r="U202" s="300">
        <v>42856</v>
      </c>
      <c r="V202" s="301" t="s">
        <v>2673</v>
      </c>
      <c r="W202" s="297" t="s">
        <v>208</v>
      </c>
      <c r="X202" s="297" t="s">
        <v>2674</v>
      </c>
      <c r="Y202" s="299">
        <v>42991</v>
      </c>
      <c r="Z202" s="300">
        <v>42979</v>
      </c>
      <c r="AA202" s="301" t="s">
        <v>2675</v>
      </c>
      <c r="AB202" s="297" t="s">
        <v>5</v>
      </c>
      <c r="AC202" s="297" t="s">
        <v>2676</v>
      </c>
      <c r="AD202" s="299" t="s">
        <v>2677</v>
      </c>
      <c r="AE202" s="300" t="s">
        <v>2678</v>
      </c>
      <c r="AF202" s="301" t="s">
        <v>2679</v>
      </c>
      <c r="AG202" s="297" t="s">
        <v>2680</v>
      </c>
      <c r="AH202" s="297" t="s">
        <v>2681</v>
      </c>
      <c r="AI202" s="299" t="s">
        <v>2682</v>
      </c>
      <c r="AJ202" s="300" t="s">
        <v>2683</v>
      </c>
      <c r="AK202" s="301" t="s">
        <v>2684</v>
      </c>
      <c r="AL202" s="297" t="s">
        <v>2685</v>
      </c>
      <c r="AM202" s="297" t="s">
        <v>2686</v>
      </c>
      <c r="AN202" s="297" t="s">
        <v>2151</v>
      </c>
      <c r="AO202" s="473"/>
      <c r="AP202" s="297"/>
      <c r="AQ202" s="301" t="s">
        <v>2687</v>
      </c>
      <c r="AR202" s="297" t="s">
        <v>66</v>
      </c>
      <c r="AS202" s="299" t="s">
        <v>67</v>
      </c>
      <c r="AT202" s="299" t="s">
        <v>67</v>
      </c>
      <c r="AU202" s="297" t="s">
        <v>7574</v>
      </c>
      <c r="AV202" s="297"/>
      <c r="AW202" s="297" t="s">
        <v>92</v>
      </c>
      <c r="AX202" s="297" t="s">
        <v>2688</v>
      </c>
      <c r="AY202" s="299">
        <v>41333</v>
      </c>
      <c r="AZ202" s="297" t="s">
        <v>2689</v>
      </c>
      <c r="BA202" s="299">
        <v>42566</v>
      </c>
      <c r="BB202" s="382">
        <v>42236</v>
      </c>
      <c r="BC202" s="303" t="s">
        <v>561</v>
      </c>
      <c r="BD202" s="303" t="s">
        <v>2690</v>
      </c>
      <c r="BE202" s="303" t="s">
        <v>2691</v>
      </c>
      <c r="BF202" s="308"/>
      <c r="BG202" s="308"/>
      <c r="BH202" s="301" t="s">
        <v>2692</v>
      </c>
      <c r="BI202" s="308"/>
      <c r="BJ202" s="306">
        <v>621251461</v>
      </c>
      <c r="BK202" s="306">
        <v>621251461</v>
      </c>
      <c r="BL202" s="313">
        <v>7788718</v>
      </c>
      <c r="BM202" s="299">
        <v>43118</v>
      </c>
      <c r="BN202" s="314">
        <v>43101</v>
      </c>
      <c r="BO202" s="434" t="s">
        <v>2693</v>
      </c>
      <c r="BP202" s="397"/>
      <c r="BQ202" s="398"/>
      <c r="BR202" s="320"/>
      <c r="BS202" s="301" t="s">
        <v>2687</v>
      </c>
      <c r="BT202" s="301"/>
      <c r="BU202" s="301"/>
      <c r="BV202" s="301"/>
      <c r="BW202" s="316"/>
      <c r="BX202" s="304"/>
      <c r="BY202" s="299"/>
      <c r="BZ202" s="317"/>
    </row>
    <row r="203" spans="1:555" s="685" customFormat="1" ht="81">
      <c r="A203" s="296">
        <v>227</v>
      </c>
      <c r="B203" s="297" t="s">
        <v>2716</v>
      </c>
      <c r="C203" s="298">
        <v>80425280</v>
      </c>
      <c r="D203" s="354" t="s">
        <v>167</v>
      </c>
      <c r="E203" s="299">
        <v>42416</v>
      </c>
      <c r="F203" s="300">
        <v>42401</v>
      </c>
      <c r="G203" s="301" t="s">
        <v>2717</v>
      </c>
      <c r="H203" s="297" t="s">
        <v>5</v>
      </c>
      <c r="I203" s="297" t="s">
        <v>101</v>
      </c>
      <c r="J203" s="299">
        <v>42963</v>
      </c>
      <c r="K203" s="300">
        <v>42948</v>
      </c>
      <c r="L203" s="301" t="s">
        <v>2718</v>
      </c>
      <c r="M203" s="297" t="s">
        <v>208</v>
      </c>
      <c r="N203" s="297" t="s">
        <v>107</v>
      </c>
      <c r="O203" s="299"/>
      <c r="P203" s="302"/>
      <c r="Q203" s="301"/>
      <c r="R203" s="297"/>
      <c r="S203" s="297"/>
      <c r="T203" s="299"/>
      <c r="U203" s="300"/>
      <c r="V203" s="301"/>
      <c r="W203" s="297"/>
      <c r="X203" s="297"/>
      <c r="Y203" s="299"/>
      <c r="Z203" s="300"/>
      <c r="AA203" s="301"/>
      <c r="AB203" s="297"/>
      <c r="AC203" s="297"/>
      <c r="AD203" s="299"/>
      <c r="AE203" s="300"/>
      <c r="AF203" s="301"/>
      <c r="AG203" s="297"/>
      <c r="AH203" s="297"/>
      <c r="AI203" s="304"/>
      <c r="AJ203" s="300"/>
      <c r="AK203" s="301"/>
      <c r="AL203" s="297"/>
      <c r="AM203" s="297"/>
      <c r="AN203" s="297" t="s">
        <v>2151</v>
      </c>
      <c r="AO203" s="479">
        <v>42416</v>
      </c>
      <c r="AP203" s="297"/>
      <c r="AQ203" s="301" t="s">
        <v>2719</v>
      </c>
      <c r="AR203" s="297" t="s">
        <v>161</v>
      </c>
      <c r="AS203" s="299">
        <v>38534</v>
      </c>
      <c r="AT203" s="299">
        <v>40862</v>
      </c>
      <c r="AU203" s="297" t="s">
        <v>2720</v>
      </c>
      <c r="AV203" s="297"/>
      <c r="AW203" s="297" t="s">
        <v>69</v>
      </c>
      <c r="AX203" s="297" t="s">
        <v>2721</v>
      </c>
      <c r="AY203" s="299">
        <v>41731</v>
      </c>
      <c r="AZ203" s="297" t="s">
        <v>94</v>
      </c>
      <c r="BA203" s="299">
        <v>42075</v>
      </c>
      <c r="BB203" s="382">
        <v>42151</v>
      </c>
      <c r="BC203" s="297" t="s">
        <v>95</v>
      </c>
      <c r="BD203" s="297" t="s">
        <v>566</v>
      </c>
      <c r="BE203" s="297"/>
      <c r="BF203" s="301" t="s">
        <v>8272</v>
      </c>
      <c r="BG203" s="301"/>
      <c r="BH203" s="301" t="s">
        <v>8472</v>
      </c>
      <c r="BI203" s="301"/>
      <c r="BJ203" s="312">
        <f>+[60]MATRIZ!$J$75</f>
        <v>207782898.55593002</v>
      </c>
      <c r="BK203" s="312">
        <v>216212852</v>
      </c>
      <c r="BL203" s="313">
        <v>98241419</v>
      </c>
      <c r="BM203" s="299">
        <v>43581</v>
      </c>
      <c r="BN203" s="314">
        <v>43581</v>
      </c>
      <c r="BO203" s="531" t="s">
        <v>8754</v>
      </c>
      <c r="BP203" s="390"/>
      <c r="BQ203" s="297"/>
      <c r="BR203" s="303"/>
      <c r="BS203" s="301"/>
      <c r="BT203" s="301"/>
      <c r="BU203" s="301"/>
      <c r="BV203" s="301"/>
      <c r="BW203" s="316"/>
      <c r="BX203" s="304"/>
      <c r="BY203" s="299"/>
      <c r="BZ203" s="317"/>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c r="IY203" s="1"/>
      <c r="IZ203" s="1"/>
      <c r="JA203" s="1"/>
      <c r="JB203" s="1"/>
      <c r="JC203" s="1"/>
      <c r="JD203" s="1"/>
      <c r="JE203" s="1"/>
      <c r="JF203" s="1"/>
      <c r="JG203" s="1"/>
      <c r="JH203" s="1"/>
      <c r="JI203" s="1"/>
      <c r="JJ203" s="1"/>
      <c r="JK203" s="1"/>
      <c r="JL203" s="1"/>
      <c r="JM203" s="1"/>
      <c r="JN203" s="1"/>
      <c r="JO203" s="1"/>
      <c r="JP203" s="1"/>
      <c r="JQ203" s="1"/>
      <c r="JR203" s="1"/>
      <c r="JS203" s="1"/>
      <c r="JT203" s="1"/>
      <c r="JU203" s="1"/>
      <c r="JV203" s="1"/>
      <c r="JW203" s="1"/>
      <c r="JX203" s="1"/>
      <c r="JY203" s="1"/>
      <c r="JZ203" s="1"/>
      <c r="KA203" s="1"/>
      <c r="KB203" s="1"/>
      <c r="KC203" s="1"/>
      <c r="KD203" s="1"/>
      <c r="KE203" s="1"/>
      <c r="KF203" s="1"/>
      <c r="KG203" s="1"/>
      <c r="KH203" s="1"/>
      <c r="KI203" s="1"/>
      <c r="KJ203" s="1"/>
      <c r="KK203" s="1"/>
      <c r="KL203" s="1"/>
      <c r="KM203" s="1"/>
      <c r="KN203" s="1"/>
      <c r="KO203" s="1"/>
      <c r="KP203" s="1"/>
      <c r="KQ203" s="1"/>
      <c r="KR203" s="1"/>
      <c r="KS203" s="1"/>
      <c r="KT203" s="1"/>
      <c r="KU203" s="1"/>
      <c r="KV203" s="1"/>
      <c r="KW203" s="1"/>
      <c r="KX203" s="1"/>
      <c r="KY203" s="1"/>
      <c r="KZ203" s="1"/>
      <c r="LA203" s="1"/>
      <c r="LB203" s="1"/>
      <c r="LC203" s="1"/>
      <c r="LD203" s="1"/>
      <c r="LE203" s="1"/>
      <c r="LF203" s="1"/>
      <c r="LG203" s="1"/>
      <c r="LH203" s="1"/>
      <c r="LI203" s="1"/>
      <c r="LJ203" s="1"/>
      <c r="LK203" s="1"/>
      <c r="LL203" s="1"/>
      <c r="LM203" s="1"/>
      <c r="LN203" s="1"/>
      <c r="LO203" s="1"/>
      <c r="LP203" s="1"/>
      <c r="LQ203" s="1"/>
      <c r="LR203" s="1"/>
      <c r="LS203" s="1"/>
      <c r="LT203" s="1"/>
      <c r="LU203" s="1"/>
      <c r="LV203" s="1"/>
      <c r="LW203" s="1"/>
      <c r="LX203" s="1"/>
      <c r="LY203" s="1"/>
      <c r="LZ203" s="1"/>
      <c r="MA203" s="1"/>
      <c r="MB203" s="1"/>
      <c r="MC203" s="1"/>
      <c r="MD203" s="1"/>
      <c r="ME203" s="1"/>
      <c r="MF203" s="1"/>
      <c r="MG203" s="1"/>
      <c r="MH203" s="1"/>
      <c r="MI203" s="1"/>
      <c r="MJ203" s="1"/>
      <c r="MK203" s="1"/>
      <c r="ML203" s="1"/>
      <c r="MM203" s="1"/>
      <c r="MN203" s="1"/>
      <c r="MO203" s="1"/>
      <c r="MP203" s="1"/>
      <c r="MQ203" s="1"/>
      <c r="MR203" s="1"/>
      <c r="MS203" s="1"/>
      <c r="MT203" s="1"/>
      <c r="MU203" s="1"/>
      <c r="MV203" s="1"/>
      <c r="MW203" s="1"/>
      <c r="MX203" s="1"/>
      <c r="MY203" s="1"/>
      <c r="MZ203" s="1"/>
      <c r="NA203" s="1"/>
      <c r="NB203" s="1"/>
      <c r="NC203" s="1"/>
      <c r="ND203" s="1"/>
      <c r="NE203" s="1"/>
      <c r="NF203" s="1"/>
      <c r="NG203" s="1"/>
      <c r="NH203" s="1"/>
      <c r="NI203" s="1"/>
      <c r="NJ203" s="1"/>
      <c r="NK203" s="1"/>
      <c r="NL203" s="1"/>
      <c r="NM203" s="1"/>
      <c r="NN203" s="1"/>
      <c r="NO203" s="1"/>
      <c r="NP203" s="1"/>
      <c r="NQ203" s="1"/>
      <c r="NR203" s="1"/>
      <c r="NS203" s="1"/>
      <c r="NT203" s="1"/>
      <c r="NU203" s="1"/>
      <c r="NV203" s="1"/>
      <c r="NW203" s="1"/>
      <c r="NX203" s="1"/>
      <c r="NY203" s="1"/>
      <c r="NZ203" s="1"/>
      <c r="OA203" s="1"/>
      <c r="OB203" s="1"/>
      <c r="OC203" s="1"/>
      <c r="OD203" s="1"/>
      <c r="OE203" s="1"/>
      <c r="OF203" s="1"/>
      <c r="OG203" s="1"/>
      <c r="OH203" s="1"/>
      <c r="OI203" s="1"/>
      <c r="OJ203" s="1"/>
      <c r="OK203" s="1"/>
      <c r="OL203" s="1"/>
      <c r="OM203" s="1"/>
      <c r="ON203" s="1"/>
      <c r="OO203" s="1"/>
      <c r="OP203" s="1"/>
      <c r="OQ203" s="1"/>
      <c r="OR203" s="1"/>
      <c r="OS203" s="1"/>
      <c r="OT203" s="1"/>
      <c r="OU203" s="1"/>
      <c r="OV203" s="1"/>
      <c r="OW203" s="1"/>
      <c r="OX203" s="1"/>
      <c r="OY203" s="1"/>
      <c r="OZ203" s="1"/>
      <c r="PA203" s="1"/>
      <c r="PB203" s="1"/>
      <c r="PC203" s="1"/>
      <c r="PD203" s="1"/>
      <c r="PE203" s="1"/>
      <c r="PF203" s="1"/>
      <c r="PG203" s="1"/>
      <c r="PH203" s="1"/>
      <c r="PI203" s="1"/>
      <c r="PJ203" s="1"/>
      <c r="PK203" s="1"/>
      <c r="PL203" s="1"/>
      <c r="PM203" s="1"/>
      <c r="PN203" s="1"/>
      <c r="PO203" s="1"/>
      <c r="PP203" s="1"/>
      <c r="PQ203" s="1"/>
      <c r="PR203" s="1"/>
      <c r="PS203" s="1"/>
      <c r="PT203" s="1"/>
      <c r="PU203" s="1"/>
      <c r="PV203" s="1"/>
      <c r="PW203" s="1"/>
      <c r="PX203" s="1"/>
      <c r="PY203" s="1"/>
      <c r="PZ203" s="1"/>
      <c r="QA203" s="1"/>
      <c r="QB203" s="1"/>
      <c r="QC203" s="1"/>
      <c r="QD203" s="1"/>
      <c r="QE203" s="1"/>
      <c r="QF203" s="1"/>
      <c r="QG203" s="1"/>
      <c r="QH203" s="1"/>
      <c r="QI203" s="1"/>
      <c r="QJ203" s="1"/>
      <c r="QK203" s="1"/>
      <c r="QL203" s="1"/>
      <c r="QM203" s="1"/>
      <c r="QN203" s="1"/>
      <c r="QO203" s="1"/>
      <c r="QP203" s="1"/>
      <c r="QQ203" s="1"/>
      <c r="QR203" s="1"/>
      <c r="QS203" s="1"/>
      <c r="QT203" s="1"/>
      <c r="QU203" s="1"/>
      <c r="QV203" s="1"/>
      <c r="QW203" s="1"/>
      <c r="QX203" s="1"/>
      <c r="QY203" s="1"/>
      <c r="QZ203" s="1"/>
      <c r="RA203" s="1"/>
      <c r="RB203" s="1"/>
      <c r="RC203" s="1"/>
      <c r="RD203" s="1"/>
      <c r="RE203" s="1"/>
      <c r="RF203" s="1"/>
      <c r="RG203" s="1"/>
      <c r="RH203" s="1"/>
      <c r="RI203" s="1"/>
      <c r="RJ203" s="1"/>
      <c r="RK203" s="1"/>
      <c r="RL203" s="1"/>
      <c r="RM203" s="1"/>
      <c r="RN203" s="1"/>
      <c r="RO203" s="1"/>
      <c r="RP203" s="1"/>
      <c r="RQ203" s="1"/>
      <c r="RR203" s="1"/>
      <c r="RS203" s="1"/>
      <c r="RT203" s="1"/>
      <c r="RU203" s="1"/>
      <c r="RV203" s="1"/>
      <c r="RW203" s="1"/>
      <c r="RX203" s="1"/>
      <c r="RY203" s="1"/>
      <c r="RZ203" s="1"/>
      <c r="SA203" s="1"/>
      <c r="SB203" s="1"/>
      <c r="SC203" s="1"/>
      <c r="SD203" s="1"/>
      <c r="SE203" s="1"/>
      <c r="SF203" s="1"/>
      <c r="SG203" s="1"/>
      <c r="SH203" s="1"/>
      <c r="SI203" s="1"/>
      <c r="SJ203" s="1"/>
      <c r="SK203" s="1"/>
      <c r="SL203" s="1"/>
      <c r="SM203" s="1"/>
      <c r="SN203" s="1"/>
      <c r="SO203" s="1"/>
      <c r="SP203" s="1"/>
      <c r="SQ203" s="1"/>
      <c r="SR203" s="1"/>
      <c r="SS203" s="1"/>
      <c r="ST203" s="1"/>
      <c r="SU203" s="1"/>
      <c r="SV203" s="1"/>
      <c r="SW203" s="1"/>
      <c r="SX203" s="1"/>
      <c r="SY203" s="1"/>
      <c r="SZ203" s="1"/>
      <c r="TA203" s="1"/>
      <c r="TB203" s="1"/>
      <c r="TC203" s="1"/>
      <c r="TD203" s="1"/>
      <c r="TE203" s="1"/>
      <c r="TF203" s="1"/>
      <c r="TG203" s="1"/>
      <c r="TH203" s="1"/>
      <c r="TI203" s="1"/>
      <c r="TJ203" s="1"/>
      <c r="TK203" s="1"/>
      <c r="TL203" s="1"/>
      <c r="TM203" s="1"/>
      <c r="TN203" s="1"/>
      <c r="TO203" s="1"/>
      <c r="TP203" s="1"/>
      <c r="TQ203" s="1"/>
      <c r="TR203" s="1"/>
      <c r="TS203" s="1"/>
      <c r="TT203" s="1"/>
      <c r="TU203" s="1"/>
      <c r="TV203" s="1"/>
      <c r="TW203" s="1"/>
      <c r="TX203" s="1"/>
      <c r="TY203" s="1"/>
      <c r="TZ203" s="1"/>
      <c r="UA203" s="1"/>
      <c r="UB203" s="1"/>
      <c r="UC203" s="1"/>
      <c r="UD203" s="1"/>
      <c r="UE203" s="1"/>
      <c r="UF203" s="1"/>
      <c r="UG203" s="1"/>
      <c r="UH203" s="1"/>
      <c r="UI203" s="1"/>
    </row>
    <row r="204" spans="1:555" ht="74.25" customHeight="1">
      <c r="A204" s="296">
        <v>228</v>
      </c>
      <c r="B204" s="297" t="s">
        <v>2722</v>
      </c>
      <c r="C204" s="298">
        <v>71260557</v>
      </c>
      <c r="D204" s="354" t="s">
        <v>333</v>
      </c>
      <c r="E204" s="299">
        <v>42419</v>
      </c>
      <c r="F204" s="300">
        <v>42401</v>
      </c>
      <c r="G204" s="301" t="s">
        <v>2723</v>
      </c>
      <c r="H204" s="297" t="s">
        <v>5</v>
      </c>
      <c r="I204" s="297" t="s">
        <v>101</v>
      </c>
      <c r="J204" s="299">
        <v>42766</v>
      </c>
      <c r="K204" s="300">
        <v>42736</v>
      </c>
      <c r="L204" s="301" t="s">
        <v>2724</v>
      </c>
      <c r="M204" s="297" t="s">
        <v>208</v>
      </c>
      <c r="N204" s="297" t="s">
        <v>131</v>
      </c>
      <c r="O204" s="299">
        <v>42885</v>
      </c>
      <c r="P204" s="302">
        <v>42856</v>
      </c>
      <c r="Q204" s="301" t="s">
        <v>2725</v>
      </c>
      <c r="R204" s="297" t="s">
        <v>1493</v>
      </c>
      <c r="S204" s="297" t="s">
        <v>183</v>
      </c>
      <c r="T204" s="299">
        <v>43143</v>
      </c>
      <c r="U204" s="300">
        <v>43132</v>
      </c>
      <c r="V204" s="301" t="s">
        <v>2726</v>
      </c>
      <c r="W204" s="297" t="s">
        <v>2727</v>
      </c>
      <c r="X204" s="297" t="s">
        <v>2728</v>
      </c>
      <c r="Y204" s="299">
        <v>43259</v>
      </c>
      <c r="Z204" s="300">
        <v>43259</v>
      </c>
      <c r="AA204" s="315" t="s">
        <v>2729</v>
      </c>
      <c r="AB204" s="297" t="s">
        <v>2730</v>
      </c>
      <c r="AC204" s="297" t="s">
        <v>2731</v>
      </c>
      <c r="AD204" s="299"/>
      <c r="AE204" s="300"/>
      <c r="AF204" s="301"/>
      <c r="AG204" s="297"/>
      <c r="AH204" s="297"/>
      <c r="AI204" s="304"/>
      <c r="AJ204" s="300"/>
      <c r="AK204" s="301"/>
      <c r="AL204" s="297"/>
      <c r="AM204" s="297"/>
      <c r="AN204" s="297" t="s">
        <v>2151</v>
      </c>
      <c r="AO204" s="473"/>
      <c r="AP204" s="297"/>
      <c r="AQ204" s="301" t="s">
        <v>2732</v>
      </c>
      <c r="AR204" s="297" t="s">
        <v>66</v>
      </c>
      <c r="AS204" s="299">
        <v>38363</v>
      </c>
      <c r="AT204" s="299">
        <v>40714</v>
      </c>
      <c r="AU204" s="297" t="s">
        <v>2733</v>
      </c>
      <c r="AV204" s="297"/>
      <c r="AW204" s="297" t="s">
        <v>92</v>
      </c>
      <c r="AX204" s="297" t="s">
        <v>2734</v>
      </c>
      <c r="AY204" s="299">
        <v>41811</v>
      </c>
      <c r="AZ204" s="297" t="s">
        <v>2735</v>
      </c>
      <c r="BA204" s="299">
        <v>42228</v>
      </c>
      <c r="BB204" s="382">
        <v>42251</v>
      </c>
      <c r="BC204" s="297" t="s">
        <v>95</v>
      </c>
      <c r="BD204" s="297" t="s">
        <v>566</v>
      </c>
      <c r="BE204" s="297"/>
      <c r="BF204" s="301"/>
      <c r="BG204" s="301"/>
      <c r="BH204" s="301" t="s">
        <v>2736</v>
      </c>
      <c r="BI204" s="301"/>
      <c r="BJ204" s="312">
        <v>231117017</v>
      </c>
      <c r="BK204" s="312">
        <v>231117017</v>
      </c>
      <c r="BL204" s="313">
        <v>115452318</v>
      </c>
      <c r="BM204" s="299">
        <v>43216</v>
      </c>
      <c r="BN204" s="314">
        <v>43191</v>
      </c>
      <c r="BO204" s="531" t="s">
        <v>1610</v>
      </c>
      <c r="BP204" s="390"/>
      <c r="BQ204" s="297"/>
      <c r="BR204" s="303"/>
      <c r="BS204" s="301" t="s">
        <v>2737</v>
      </c>
      <c r="BT204" s="301"/>
      <c r="BU204" s="301"/>
      <c r="BV204" s="301"/>
      <c r="BW204" s="316"/>
      <c r="BX204" s="304"/>
      <c r="BY204" s="299"/>
      <c r="BZ204" s="317"/>
    </row>
    <row r="205" spans="1:555" s="509" customFormat="1" ht="66.75" customHeight="1">
      <c r="A205" s="296">
        <v>229</v>
      </c>
      <c r="B205" s="297" t="s">
        <v>2738</v>
      </c>
      <c r="C205" s="543">
        <v>79990250</v>
      </c>
      <c r="D205" s="354" t="s">
        <v>193</v>
      </c>
      <c r="E205" s="299">
        <v>42419</v>
      </c>
      <c r="F205" s="300">
        <v>42401</v>
      </c>
      <c r="G205" s="301" t="s">
        <v>2739</v>
      </c>
      <c r="H205" s="297" t="s">
        <v>63</v>
      </c>
      <c r="I205" s="297" t="s">
        <v>101</v>
      </c>
      <c r="J205" s="299">
        <v>42970</v>
      </c>
      <c r="K205" s="300">
        <v>42948</v>
      </c>
      <c r="L205" s="301" t="s">
        <v>2740</v>
      </c>
      <c r="M205" s="297" t="s">
        <v>5</v>
      </c>
      <c r="N205" s="297" t="s">
        <v>85</v>
      </c>
      <c r="O205" s="299">
        <v>42845</v>
      </c>
      <c r="P205" s="302">
        <v>42826</v>
      </c>
      <c r="Q205" s="301" t="s">
        <v>2741</v>
      </c>
      <c r="R205" s="297" t="s">
        <v>63</v>
      </c>
      <c r="S205" s="297" t="s">
        <v>79</v>
      </c>
      <c r="T205" s="299">
        <v>42852</v>
      </c>
      <c r="U205" s="300">
        <v>42826</v>
      </c>
      <c r="V205" s="301" t="s">
        <v>2742</v>
      </c>
      <c r="W205" s="297" t="s">
        <v>2743</v>
      </c>
      <c r="X205" s="297" t="s">
        <v>2744</v>
      </c>
      <c r="Y205" s="299">
        <v>42852</v>
      </c>
      <c r="Z205" s="300">
        <v>42826</v>
      </c>
      <c r="AA205" s="301" t="s">
        <v>2745</v>
      </c>
      <c r="AB205" s="297" t="s">
        <v>2743</v>
      </c>
      <c r="AC205" s="297" t="s">
        <v>2744</v>
      </c>
      <c r="AD205" s="299">
        <v>43556</v>
      </c>
      <c r="AE205" s="300">
        <v>43556</v>
      </c>
      <c r="AF205" s="301" t="s">
        <v>8427</v>
      </c>
      <c r="AG205" s="297" t="s">
        <v>63</v>
      </c>
      <c r="AH205" s="297" t="s">
        <v>85</v>
      </c>
      <c r="AI205" s="299" t="s">
        <v>8908</v>
      </c>
      <c r="AJ205" s="300" t="s">
        <v>8909</v>
      </c>
      <c r="AK205" s="301" t="s">
        <v>8910</v>
      </c>
      <c r="AL205" s="297" t="s">
        <v>8911</v>
      </c>
      <c r="AM205" s="297" t="s">
        <v>8912</v>
      </c>
      <c r="AN205" s="297" t="s">
        <v>2151</v>
      </c>
      <c r="AO205" s="479">
        <v>42419</v>
      </c>
      <c r="AP205" s="297"/>
      <c r="AQ205" s="301" t="s">
        <v>2746</v>
      </c>
      <c r="AR205" s="297" t="s">
        <v>161</v>
      </c>
      <c r="AS205" s="299">
        <v>38355</v>
      </c>
      <c r="AT205" s="299">
        <v>39856</v>
      </c>
      <c r="AU205" s="297" t="s">
        <v>2747</v>
      </c>
      <c r="AV205" s="297"/>
      <c r="AW205" s="297" t="s">
        <v>92</v>
      </c>
      <c r="AX205" s="297" t="s">
        <v>2748</v>
      </c>
      <c r="AY205" s="299">
        <v>41516</v>
      </c>
      <c r="AZ205" s="297" t="s">
        <v>2749</v>
      </c>
      <c r="BA205" s="299">
        <v>42136</v>
      </c>
      <c r="BB205" s="382">
        <v>42150</v>
      </c>
      <c r="BC205" s="297" t="s">
        <v>95</v>
      </c>
      <c r="BD205" s="297" t="s">
        <v>566</v>
      </c>
      <c r="BE205" s="297"/>
      <c r="BF205" s="301"/>
      <c r="BG205" s="301"/>
      <c r="BH205" s="301" t="s">
        <v>8743</v>
      </c>
      <c r="BI205" s="301"/>
      <c r="BJ205" s="74">
        <f>+[61]MATRIZ!$J$67</f>
        <v>23568426.304928981</v>
      </c>
      <c r="BK205" s="312">
        <v>23568426</v>
      </c>
      <c r="BL205" s="313">
        <v>121682119</v>
      </c>
      <c r="BM205" s="299">
        <v>43606</v>
      </c>
      <c r="BN205" s="314">
        <v>43606</v>
      </c>
      <c r="BO205" s="531" t="s">
        <v>8802</v>
      </c>
      <c r="BP205" s="390"/>
      <c r="BQ205" s="297"/>
      <c r="BR205" s="303"/>
      <c r="BS205" s="301"/>
      <c r="BT205" s="301"/>
      <c r="BU205" s="301"/>
      <c r="BV205" s="301"/>
      <c r="BW205" s="316"/>
      <c r="BX205" s="304"/>
      <c r="BY205" s="299"/>
      <c r="BZ205" s="317"/>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c r="IY205" s="1"/>
      <c r="IZ205" s="1"/>
      <c r="JA205" s="1"/>
      <c r="JB205" s="1"/>
      <c r="JC205" s="1"/>
      <c r="JD205" s="1"/>
      <c r="JE205" s="1"/>
      <c r="JF205" s="1"/>
      <c r="JG205" s="1"/>
      <c r="JH205" s="1"/>
      <c r="JI205" s="1"/>
      <c r="JJ205" s="1"/>
      <c r="JK205" s="1"/>
      <c r="JL205" s="1"/>
      <c r="JM205" s="1"/>
      <c r="JN205" s="1"/>
      <c r="JO205" s="1"/>
      <c r="JP205" s="1"/>
      <c r="JQ205" s="1"/>
      <c r="JR205" s="1"/>
      <c r="JS205" s="1"/>
      <c r="JT205" s="1"/>
      <c r="JU205" s="1"/>
      <c r="JV205" s="1"/>
      <c r="JW205" s="1"/>
      <c r="JX205" s="1"/>
      <c r="JY205" s="1"/>
      <c r="JZ205" s="1"/>
      <c r="KA205" s="1"/>
      <c r="KB205" s="1"/>
      <c r="KC205" s="1"/>
      <c r="KD205" s="1"/>
      <c r="KE205" s="1"/>
      <c r="KF205" s="1"/>
      <c r="KG205" s="1"/>
      <c r="KH205" s="1"/>
      <c r="KI205" s="1"/>
      <c r="KJ205" s="1"/>
      <c r="KK205" s="1"/>
      <c r="KL205" s="1"/>
      <c r="KM205" s="1"/>
      <c r="KN205" s="1"/>
      <c r="KO205" s="1"/>
      <c r="KP205" s="1"/>
      <c r="KQ205" s="1"/>
      <c r="KR205" s="1"/>
      <c r="KS205" s="1"/>
      <c r="KT205" s="1"/>
      <c r="KU205" s="1"/>
      <c r="KV205" s="1"/>
      <c r="KW205" s="1"/>
      <c r="KX205" s="1"/>
      <c r="KY205" s="1"/>
      <c r="KZ205" s="1"/>
      <c r="LA205" s="1"/>
      <c r="LB205" s="1"/>
      <c r="LC205" s="1"/>
      <c r="LD205" s="1"/>
      <c r="LE205" s="1"/>
      <c r="LF205" s="1"/>
      <c r="LG205" s="1"/>
      <c r="LH205" s="1"/>
      <c r="LI205" s="1"/>
      <c r="LJ205" s="1"/>
      <c r="LK205" s="1"/>
      <c r="LL205" s="1"/>
      <c r="LM205" s="1"/>
      <c r="LN205" s="1"/>
      <c r="LO205" s="1"/>
      <c r="LP205" s="1"/>
      <c r="LQ205" s="1"/>
      <c r="LR205" s="1"/>
      <c r="LS205" s="1"/>
      <c r="LT205" s="1"/>
      <c r="LU205" s="1"/>
      <c r="LV205" s="1"/>
      <c r="LW205" s="1"/>
      <c r="LX205" s="1"/>
      <c r="LY205" s="1"/>
      <c r="LZ205" s="1"/>
      <c r="MA205" s="1"/>
      <c r="MB205" s="1"/>
      <c r="MC205" s="1"/>
      <c r="MD205" s="1"/>
      <c r="ME205" s="1"/>
      <c r="MF205" s="1"/>
      <c r="MG205" s="1"/>
      <c r="MH205" s="1"/>
      <c r="MI205" s="1"/>
      <c r="MJ205" s="1"/>
      <c r="MK205" s="1"/>
      <c r="ML205" s="1"/>
      <c r="MM205" s="1"/>
      <c r="MN205" s="1"/>
      <c r="MO205" s="1"/>
      <c r="MP205" s="1"/>
      <c r="MQ205" s="1"/>
      <c r="MR205" s="1"/>
      <c r="MS205" s="1"/>
      <c r="MT205" s="1"/>
      <c r="MU205" s="1"/>
      <c r="MV205" s="1"/>
      <c r="MW205" s="1"/>
      <c r="MX205" s="1"/>
      <c r="MY205" s="1"/>
      <c r="MZ205" s="1"/>
      <c r="NA205" s="1"/>
      <c r="NB205" s="1"/>
      <c r="NC205" s="1"/>
      <c r="ND205" s="1"/>
      <c r="NE205" s="1"/>
      <c r="NF205" s="1"/>
      <c r="NG205" s="1"/>
      <c r="NH205" s="1"/>
      <c r="NI205" s="1"/>
      <c r="NJ205" s="1"/>
      <c r="NK205" s="1"/>
      <c r="NL205" s="1"/>
      <c r="NM205" s="1"/>
      <c r="NN205" s="1"/>
      <c r="NO205" s="1"/>
      <c r="NP205" s="1"/>
      <c r="NQ205" s="1"/>
      <c r="NR205" s="1"/>
      <c r="NS205" s="1"/>
      <c r="NT205" s="1"/>
      <c r="NU205" s="1"/>
      <c r="NV205" s="1"/>
      <c r="NW205" s="1"/>
      <c r="NX205" s="1"/>
      <c r="NY205" s="1"/>
      <c r="NZ205" s="1"/>
      <c r="OA205" s="1"/>
      <c r="OB205" s="1"/>
      <c r="OC205" s="1"/>
      <c r="OD205" s="1"/>
      <c r="OE205" s="1"/>
      <c r="OF205" s="1"/>
      <c r="OG205" s="1"/>
      <c r="OH205" s="1"/>
      <c r="OI205" s="1"/>
      <c r="OJ205" s="1"/>
      <c r="OK205" s="1"/>
      <c r="OL205" s="1"/>
      <c r="OM205" s="1"/>
      <c r="ON205" s="1"/>
      <c r="OO205" s="1"/>
      <c r="OP205" s="1"/>
      <c r="OQ205" s="1"/>
      <c r="OR205" s="1"/>
      <c r="OS205" s="1"/>
      <c r="OT205" s="1"/>
      <c r="OU205" s="1"/>
      <c r="OV205" s="1"/>
      <c r="OW205" s="1"/>
      <c r="OX205" s="1"/>
      <c r="OY205" s="1"/>
      <c r="OZ205" s="1"/>
      <c r="PA205" s="1"/>
      <c r="PB205" s="1"/>
      <c r="PC205" s="1"/>
      <c r="PD205" s="1"/>
      <c r="PE205" s="1"/>
      <c r="PF205" s="1"/>
      <c r="PG205" s="1"/>
      <c r="PH205" s="1"/>
      <c r="PI205" s="1"/>
      <c r="PJ205" s="1"/>
      <c r="PK205" s="1"/>
      <c r="PL205" s="1"/>
      <c r="PM205" s="1"/>
      <c r="PN205" s="1"/>
      <c r="PO205" s="1"/>
      <c r="PP205" s="1"/>
      <c r="PQ205" s="1"/>
      <c r="PR205" s="1"/>
      <c r="PS205" s="1"/>
      <c r="PT205" s="1"/>
      <c r="PU205" s="1"/>
      <c r="PV205" s="1"/>
      <c r="PW205" s="1"/>
      <c r="PX205" s="1"/>
      <c r="PY205" s="1"/>
      <c r="PZ205" s="1"/>
      <c r="QA205" s="1"/>
      <c r="QB205" s="1"/>
      <c r="QC205" s="1"/>
      <c r="QD205" s="1"/>
      <c r="QE205" s="1"/>
      <c r="QF205" s="1"/>
      <c r="QG205" s="1"/>
      <c r="QH205" s="1"/>
      <c r="QI205" s="1"/>
      <c r="QJ205" s="1"/>
      <c r="QK205" s="1"/>
      <c r="QL205" s="1"/>
      <c r="QM205" s="1"/>
      <c r="QN205" s="1"/>
      <c r="QO205" s="1"/>
      <c r="QP205" s="1"/>
      <c r="QQ205" s="1"/>
      <c r="QR205" s="1"/>
      <c r="QS205" s="1"/>
      <c r="QT205" s="1"/>
      <c r="QU205" s="1"/>
      <c r="QV205" s="1"/>
      <c r="QW205" s="1"/>
      <c r="QX205" s="1"/>
      <c r="QY205" s="1"/>
      <c r="QZ205" s="1"/>
      <c r="RA205" s="1"/>
      <c r="RB205" s="1"/>
      <c r="RC205" s="1"/>
      <c r="RD205" s="1"/>
      <c r="RE205" s="1"/>
      <c r="RF205" s="1"/>
      <c r="RG205" s="1"/>
      <c r="RH205" s="1"/>
      <c r="RI205" s="1"/>
      <c r="RJ205" s="1"/>
      <c r="RK205" s="1"/>
      <c r="RL205" s="1"/>
      <c r="RM205" s="1"/>
      <c r="RN205" s="1"/>
      <c r="RO205" s="1"/>
      <c r="RP205" s="1"/>
      <c r="RQ205" s="1"/>
      <c r="RR205" s="1"/>
      <c r="RS205" s="1"/>
      <c r="RT205" s="1"/>
      <c r="RU205" s="1"/>
      <c r="RV205" s="1"/>
      <c r="RW205" s="1"/>
      <c r="RX205" s="1"/>
      <c r="RY205" s="1"/>
      <c r="RZ205" s="1"/>
      <c r="SA205" s="1"/>
      <c r="SB205" s="1"/>
      <c r="SC205" s="1"/>
      <c r="SD205" s="1"/>
      <c r="SE205" s="1"/>
      <c r="SF205" s="1"/>
      <c r="SG205" s="1"/>
      <c r="SH205" s="1"/>
      <c r="SI205" s="1"/>
      <c r="SJ205" s="1"/>
      <c r="SK205" s="1"/>
      <c r="SL205" s="1"/>
      <c r="SM205" s="1"/>
      <c r="SN205" s="1"/>
      <c r="SO205" s="1"/>
      <c r="SP205" s="1"/>
      <c r="SQ205" s="1"/>
      <c r="SR205" s="1"/>
      <c r="SS205" s="1"/>
      <c r="ST205" s="1"/>
      <c r="SU205" s="1"/>
      <c r="SV205" s="1"/>
      <c r="SW205" s="1"/>
      <c r="SX205" s="1"/>
      <c r="SY205" s="1"/>
      <c r="SZ205" s="1"/>
      <c r="TA205" s="1"/>
      <c r="TB205" s="1"/>
      <c r="TC205" s="1"/>
      <c r="TD205" s="1"/>
      <c r="TE205" s="1"/>
      <c r="TF205" s="1"/>
      <c r="TG205" s="1"/>
      <c r="TH205" s="1"/>
      <c r="TI205" s="1"/>
      <c r="TJ205" s="1"/>
      <c r="TK205" s="1"/>
      <c r="TL205" s="1"/>
      <c r="TM205" s="1"/>
      <c r="TN205" s="1"/>
      <c r="TO205" s="1"/>
      <c r="TP205" s="1"/>
      <c r="TQ205" s="1"/>
      <c r="TR205" s="1"/>
      <c r="TS205" s="1"/>
      <c r="TT205" s="1"/>
      <c r="TU205" s="1"/>
      <c r="TV205" s="1"/>
      <c r="TW205" s="1"/>
      <c r="TX205" s="1"/>
      <c r="TY205" s="1"/>
      <c r="TZ205" s="1"/>
      <c r="UA205" s="1"/>
      <c r="UB205" s="1"/>
      <c r="UC205" s="1"/>
      <c r="UD205" s="1"/>
      <c r="UE205" s="1"/>
      <c r="UF205" s="1"/>
      <c r="UG205" s="1"/>
      <c r="UH205" s="1"/>
      <c r="UI205" s="1"/>
    </row>
    <row r="206" spans="1:555" s="509" customFormat="1" ht="69.75" customHeight="1">
      <c r="A206" s="296">
        <v>230</v>
      </c>
      <c r="B206" s="297" t="s">
        <v>2750</v>
      </c>
      <c r="C206" s="298">
        <v>80167895</v>
      </c>
      <c r="D206" s="354" t="s">
        <v>193</v>
      </c>
      <c r="E206" s="299">
        <v>42419</v>
      </c>
      <c r="F206" s="300">
        <v>42401</v>
      </c>
      <c r="G206" s="301" t="s">
        <v>2751</v>
      </c>
      <c r="H206" s="297" t="s">
        <v>63</v>
      </c>
      <c r="I206" s="297" t="s">
        <v>101</v>
      </c>
      <c r="J206" s="299">
        <v>42972</v>
      </c>
      <c r="K206" s="300">
        <v>42948</v>
      </c>
      <c r="L206" s="301" t="s">
        <v>2752</v>
      </c>
      <c r="M206" s="297" t="s">
        <v>503</v>
      </c>
      <c r="N206" s="297" t="s">
        <v>1114</v>
      </c>
      <c r="O206" s="299">
        <v>42845</v>
      </c>
      <c r="P206" s="302">
        <v>42826</v>
      </c>
      <c r="Q206" s="301" t="s">
        <v>2753</v>
      </c>
      <c r="R206" s="297" t="s">
        <v>63</v>
      </c>
      <c r="S206" s="297" t="s">
        <v>79</v>
      </c>
      <c r="T206" s="299">
        <v>42940</v>
      </c>
      <c r="U206" s="300">
        <v>42917</v>
      </c>
      <c r="V206" s="301" t="s">
        <v>2754</v>
      </c>
      <c r="W206" s="297" t="s">
        <v>63</v>
      </c>
      <c r="X206" s="297" t="s">
        <v>79</v>
      </c>
      <c r="Y206" s="299">
        <v>43556</v>
      </c>
      <c r="Z206" s="300">
        <v>43556</v>
      </c>
      <c r="AA206" s="301" t="s">
        <v>8429</v>
      </c>
      <c r="AB206" s="297" t="s">
        <v>63</v>
      </c>
      <c r="AC206" s="297" t="s">
        <v>85</v>
      </c>
      <c r="AD206" s="299">
        <v>43556</v>
      </c>
      <c r="AE206" s="300">
        <v>43556</v>
      </c>
      <c r="AF206" s="301" t="s">
        <v>8485</v>
      </c>
      <c r="AG206" s="297" t="s">
        <v>63</v>
      </c>
      <c r="AH206" s="297" t="s">
        <v>85</v>
      </c>
      <c r="AI206" s="299">
        <v>43634</v>
      </c>
      <c r="AJ206" s="300">
        <v>43634</v>
      </c>
      <c r="AK206" s="301" t="s">
        <v>8893</v>
      </c>
      <c r="AL206" s="297" t="s">
        <v>63</v>
      </c>
      <c r="AM206" s="297" t="s">
        <v>8894</v>
      </c>
      <c r="AN206" s="297" t="s">
        <v>2151</v>
      </c>
      <c r="AO206" s="479">
        <v>42940</v>
      </c>
      <c r="AP206" s="297"/>
      <c r="AQ206" s="301" t="s">
        <v>2755</v>
      </c>
      <c r="AR206" s="297" t="s">
        <v>161</v>
      </c>
      <c r="AS206" s="299">
        <v>39052</v>
      </c>
      <c r="AT206" s="299">
        <v>39822</v>
      </c>
      <c r="AU206" s="297" t="s">
        <v>2756</v>
      </c>
      <c r="AV206" s="297"/>
      <c r="AW206" s="297" t="s">
        <v>92</v>
      </c>
      <c r="AX206" s="297" t="s">
        <v>2757</v>
      </c>
      <c r="AY206" s="299">
        <v>42051</v>
      </c>
      <c r="AZ206" s="297" t="s">
        <v>67</v>
      </c>
      <c r="BA206" s="299" t="s">
        <v>67</v>
      </c>
      <c r="BB206" s="382">
        <v>42193</v>
      </c>
      <c r="BC206" s="297" t="s">
        <v>95</v>
      </c>
      <c r="BD206" s="297" t="s">
        <v>566</v>
      </c>
      <c r="BE206" s="297"/>
      <c r="BF206" s="301"/>
      <c r="BG206" s="301"/>
      <c r="BH206" s="301" t="s">
        <v>8830</v>
      </c>
      <c r="BI206" s="301"/>
      <c r="BJ206" s="312">
        <v>51045210</v>
      </c>
      <c r="BK206" s="312">
        <v>51045210</v>
      </c>
      <c r="BL206" s="313">
        <v>151331519</v>
      </c>
      <c r="BM206" s="299">
        <v>43630</v>
      </c>
      <c r="BN206" s="314">
        <v>43630</v>
      </c>
      <c r="BO206" s="531" t="s">
        <v>8831</v>
      </c>
      <c r="BP206" s="390" t="s">
        <v>9134</v>
      </c>
      <c r="BQ206" s="297" t="s">
        <v>9135</v>
      </c>
      <c r="BR206" s="303"/>
      <c r="BS206" s="301"/>
      <c r="BT206" s="301"/>
      <c r="BU206" s="301"/>
      <c r="BV206" s="301"/>
      <c r="BW206" s="316"/>
      <c r="BX206" s="304"/>
      <c r="BY206" s="299"/>
      <c r="BZ206" s="317"/>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c r="IY206" s="1"/>
      <c r="IZ206" s="1"/>
      <c r="JA206" s="1"/>
      <c r="JB206" s="1"/>
      <c r="JC206" s="1"/>
      <c r="JD206" s="1"/>
      <c r="JE206" s="1"/>
      <c r="JF206" s="1"/>
      <c r="JG206" s="1"/>
      <c r="JH206" s="1"/>
      <c r="JI206" s="1"/>
      <c r="JJ206" s="1"/>
      <c r="JK206" s="1"/>
      <c r="JL206" s="1"/>
      <c r="JM206" s="1"/>
      <c r="JN206" s="1"/>
      <c r="JO206" s="1"/>
      <c r="JP206" s="1"/>
      <c r="JQ206" s="1"/>
      <c r="JR206" s="1"/>
      <c r="JS206" s="1"/>
      <c r="JT206" s="1"/>
      <c r="JU206" s="1"/>
      <c r="JV206" s="1"/>
      <c r="JW206" s="1"/>
      <c r="JX206" s="1"/>
      <c r="JY206" s="1"/>
      <c r="JZ206" s="1"/>
      <c r="KA206" s="1"/>
      <c r="KB206" s="1"/>
      <c r="KC206" s="1"/>
      <c r="KD206" s="1"/>
      <c r="KE206" s="1"/>
      <c r="KF206" s="1"/>
      <c r="KG206" s="1"/>
      <c r="KH206" s="1"/>
      <c r="KI206" s="1"/>
      <c r="KJ206" s="1"/>
      <c r="KK206" s="1"/>
      <c r="KL206" s="1"/>
      <c r="KM206" s="1"/>
      <c r="KN206" s="1"/>
      <c r="KO206" s="1"/>
      <c r="KP206" s="1"/>
      <c r="KQ206" s="1"/>
      <c r="KR206" s="1"/>
      <c r="KS206" s="1"/>
      <c r="KT206" s="1"/>
      <c r="KU206" s="1"/>
      <c r="KV206" s="1"/>
      <c r="KW206" s="1"/>
      <c r="KX206" s="1"/>
      <c r="KY206" s="1"/>
      <c r="KZ206" s="1"/>
      <c r="LA206" s="1"/>
      <c r="LB206" s="1"/>
      <c r="LC206" s="1"/>
      <c r="LD206" s="1"/>
      <c r="LE206" s="1"/>
      <c r="LF206" s="1"/>
      <c r="LG206" s="1"/>
      <c r="LH206" s="1"/>
      <c r="LI206" s="1"/>
      <c r="LJ206" s="1"/>
      <c r="LK206" s="1"/>
      <c r="LL206" s="1"/>
      <c r="LM206" s="1"/>
      <c r="LN206" s="1"/>
      <c r="LO206" s="1"/>
      <c r="LP206" s="1"/>
      <c r="LQ206" s="1"/>
      <c r="LR206" s="1"/>
      <c r="LS206" s="1"/>
      <c r="LT206" s="1"/>
      <c r="LU206" s="1"/>
      <c r="LV206" s="1"/>
      <c r="LW206" s="1"/>
      <c r="LX206" s="1"/>
      <c r="LY206" s="1"/>
      <c r="LZ206" s="1"/>
      <c r="MA206" s="1"/>
      <c r="MB206" s="1"/>
      <c r="MC206" s="1"/>
      <c r="MD206" s="1"/>
      <c r="ME206" s="1"/>
      <c r="MF206" s="1"/>
      <c r="MG206" s="1"/>
      <c r="MH206" s="1"/>
      <c r="MI206" s="1"/>
      <c r="MJ206" s="1"/>
      <c r="MK206" s="1"/>
      <c r="ML206" s="1"/>
      <c r="MM206" s="1"/>
      <c r="MN206" s="1"/>
      <c r="MO206" s="1"/>
      <c r="MP206" s="1"/>
      <c r="MQ206" s="1"/>
      <c r="MR206" s="1"/>
      <c r="MS206" s="1"/>
      <c r="MT206" s="1"/>
      <c r="MU206" s="1"/>
      <c r="MV206" s="1"/>
      <c r="MW206" s="1"/>
      <c r="MX206" s="1"/>
      <c r="MY206" s="1"/>
      <c r="MZ206" s="1"/>
      <c r="NA206" s="1"/>
      <c r="NB206" s="1"/>
      <c r="NC206" s="1"/>
      <c r="ND206" s="1"/>
      <c r="NE206" s="1"/>
      <c r="NF206" s="1"/>
      <c r="NG206" s="1"/>
      <c r="NH206" s="1"/>
      <c r="NI206" s="1"/>
      <c r="NJ206" s="1"/>
      <c r="NK206" s="1"/>
      <c r="NL206" s="1"/>
      <c r="NM206" s="1"/>
      <c r="NN206" s="1"/>
      <c r="NO206" s="1"/>
      <c r="NP206" s="1"/>
      <c r="NQ206" s="1"/>
      <c r="NR206" s="1"/>
      <c r="NS206" s="1"/>
      <c r="NT206" s="1"/>
      <c r="NU206" s="1"/>
      <c r="NV206" s="1"/>
      <c r="NW206" s="1"/>
      <c r="NX206" s="1"/>
      <c r="NY206" s="1"/>
      <c r="NZ206" s="1"/>
      <c r="OA206" s="1"/>
      <c r="OB206" s="1"/>
      <c r="OC206" s="1"/>
      <c r="OD206" s="1"/>
      <c r="OE206" s="1"/>
      <c r="OF206" s="1"/>
      <c r="OG206" s="1"/>
      <c r="OH206" s="1"/>
      <c r="OI206" s="1"/>
      <c r="OJ206" s="1"/>
      <c r="OK206" s="1"/>
      <c r="OL206" s="1"/>
      <c r="OM206" s="1"/>
      <c r="ON206" s="1"/>
      <c r="OO206" s="1"/>
      <c r="OP206" s="1"/>
      <c r="OQ206" s="1"/>
      <c r="OR206" s="1"/>
      <c r="OS206" s="1"/>
      <c r="OT206" s="1"/>
      <c r="OU206" s="1"/>
      <c r="OV206" s="1"/>
      <c r="OW206" s="1"/>
      <c r="OX206" s="1"/>
      <c r="OY206" s="1"/>
      <c r="OZ206" s="1"/>
      <c r="PA206" s="1"/>
      <c r="PB206" s="1"/>
      <c r="PC206" s="1"/>
      <c r="PD206" s="1"/>
      <c r="PE206" s="1"/>
      <c r="PF206" s="1"/>
      <c r="PG206" s="1"/>
      <c r="PH206" s="1"/>
      <c r="PI206" s="1"/>
      <c r="PJ206" s="1"/>
      <c r="PK206" s="1"/>
      <c r="PL206" s="1"/>
      <c r="PM206" s="1"/>
      <c r="PN206" s="1"/>
      <c r="PO206" s="1"/>
      <c r="PP206" s="1"/>
      <c r="PQ206" s="1"/>
      <c r="PR206" s="1"/>
      <c r="PS206" s="1"/>
      <c r="PT206" s="1"/>
      <c r="PU206" s="1"/>
      <c r="PV206" s="1"/>
      <c r="PW206" s="1"/>
      <c r="PX206" s="1"/>
      <c r="PY206" s="1"/>
      <c r="PZ206" s="1"/>
      <c r="QA206" s="1"/>
      <c r="QB206" s="1"/>
      <c r="QC206" s="1"/>
      <c r="QD206" s="1"/>
      <c r="QE206" s="1"/>
      <c r="QF206" s="1"/>
      <c r="QG206" s="1"/>
      <c r="QH206" s="1"/>
      <c r="QI206" s="1"/>
      <c r="QJ206" s="1"/>
      <c r="QK206" s="1"/>
      <c r="QL206" s="1"/>
      <c r="QM206" s="1"/>
      <c r="QN206" s="1"/>
      <c r="QO206" s="1"/>
      <c r="QP206" s="1"/>
      <c r="QQ206" s="1"/>
      <c r="QR206" s="1"/>
      <c r="QS206" s="1"/>
      <c r="QT206" s="1"/>
      <c r="QU206" s="1"/>
      <c r="QV206" s="1"/>
      <c r="QW206" s="1"/>
      <c r="QX206" s="1"/>
      <c r="QY206" s="1"/>
      <c r="QZ206" s="1"/>
      <c r="RA206" s="1"/>
      <c r="RB206" s="1"/>
      <c r="RC206" s="1"/>
      <c r="RD206" s="1"/>
      <c r="RE206" s="1"/>
      <c r="RF206" s="1"/>
      <c r="RG206" s="1"/>
      <c r="RH206" s="1"/>
      <c r="RI206" s="1"/>
      <c r="RJ206" s="1"/>
      <c r="RK206" s="1"/>
      <c r="RL206" s="1"/>
      <c r="RM206" s="1"/>
      <c r="RN206" s="1"/>
      <c r="RO206" s="1"/>
      <c r="RP206" s="1"/>
      <c r="RQ206" s="1"/>
      <c r="RR206" s="1"/>
      <c r="RS206" s="1"/>
      <c r="RT206" s="1"/>
      <c r="RU206" s="1"/>
      <c r="RV206" s="1"/>
      <c r="RW206" s="1"/>
      <c r="RX206" s="1"/>
      <c r="RY206" s="1"/>
      <c r="RZ206" s="1"/>
      <c r="SA206" s="1"/>
      <c r="SB206" s="1"/>
      <c r="SC206" s="1"/>
      <c r="SD206" s="1"/>
      <c r="SE206" s="1"/>
      <c r="SF206" s="1"/>
      <c r="SG206" s="1"/>
      <c r="SH206" s="1"/>
      <c r="SI206" s="1"/>
      <c r="SJ206" s="1"/>
      <c r="SK206" s="1"/>
      <c r="SL206" s="1"/>
      <c r="SM206" s="1"/>
      <c r="SN206" s="1"/>
      <c r="SO206" s="1"/>
      <c r="SP206" s="1"/>
      <c r="SQ206" s="1"/>
      <c r="SR206" s="1"/>
      <c r="SS206" s="1"/>
      <c r="ST206" s="1"/>
      <c r="SU206" s="1"/>
      <c r="SV206" s="1"/>
      <c r="SW206" s="1"/>
      <c r="SX206" s="1"/>
      <c r="SY206" s="1"/>
      <c r="SZ206" s="1"/>
      <c r="TA206" s="1"/>
      <c r="TB206" s="1"/>
      <c r="TC206" s="1"/>
      <c r="TD206" s="1"/>
      <c r="TE206" s="1"/>
      <c r="TF206" s="1"/>
      <c r="TG206" s="1"/>
      <c r="TH206" s="1"/>
      <c r="TI206" s="1"/>
      <c r="TJ206" s="1"/>
      <c r="TK206" s="1"/>
      <c r="TL206" s="1"/>
      <c r="TM206" s="1"/>
      <c r="TN206" s="1"/>
      <c r="TO206" s="1"/>
      <c r="TP206" s="1"/>
      <c r="TQ206" s="1"/>
      <c r="TR206" s="1"/>
      <c r="TS206" s="1"/>
      <c r="TT206" s="1"/>
      <c r="TU206" s="1"/>
      <c r="TV206" s="1"/>
      <c r="TW206" s="1"/>
      <c r="TX206" s="1"/>
      <c r="TY206" s="1"/>
      <c r="TZ206" s="1"/>
      <c r="UA206" s="1"/>
      <c r="UB206" s="1"/>
      <c r="UC206" s="1"/>
      <c r="UD206" s="1"/>
      <c r="UE206" s="1"/>
      <c r="UF206" s="1"/>
      <c r="UG206" s="1"/>
      <c r="UH206" s="1"/>
      <c r="UI206" s="1"/>
    </row>
    <row r="207" spans="1:555" ht="68.25" customHeight="1">
      <c r="A207" s="296">
        <v>231</v>
      </c>
      <c r="B207" s="297" t="s">
        <v>2758</v>
      </c>
      <c r="C207" s="298">
        <v>88201091</v>
      </c>
      <c r="D207" s="354" t="s">
        <v>2759</v>
      </c>
      <c r="E207" s="299">
        <v>42419</v>
      </c>
      <c r="F207" s="300">
        <v>42401</v>
      </c>
      <c r="G207" s="301" t="s">
        <v>2760</v>
      </c>
      <c r="H207" s="297" t="s">
        <v>63</v>
      </c>
      <c r="I207" s="297" t="s">
        <v>101</v>
      </c>
      <c r="J207" s="299">
        <v>42682</v>
      </c>
      <c r="K207" s="300">
        <v>42675</v>
      </c>
      <c r="L207" s="301" t="s">
        <v>2761</v>
      </c>
      <c r="M207" s="297" t="s">
        <v>195</v>
      </c>
      <c r="N207" s="297" t="s">
        <v>389</v>
      </c>
      <c r="O207" s="299">
        <v>42698</v>
      </c>
      <c r="P207" s="302">
        <v>42675</v>
      </c>
      <c r="Q207" s="301" t="s">
        <v>2762</v>
      </c>
      <c r="R207" s="297" t="s">
        <v>195</v>
      </c>
      <c r="S207" s="297" t="s">
        <v>2763</v>
      </c>
      <c r="T207" s="299">
        <v>42703</v>
      </c>
      <c r="U207" s="300">
        <v>42675</v>
      </c>
      <c r="V207" s="301" t="s">
        <v>2764</v>
      </c>
      <c r="W207" s="297" t="s">
        <v>152</v>
      </c>
      <c r="X207" s="297" t="s">
        <v>2765</v>
      </c>
      <c r="Y207" s="299">
        <v>42710</v>
      </c>
      <c r="Z207" s="300">
        <v>42705</v>
      </c>
      <c r="AA207" s="301" t="s">
        <v>2766</v>
      </c>
      <c r="AB207" s="297" t="s">
        <v>152</v>
      </c>
      <c r="AC207" s="297" t="s">
        <v>2765</v>
      </c>
      <c r="AD207" s="299" t="s">
        <v>2767</v>
      </c>
      <c r="AE207" s="300" t="s">
        <v>2768</v>
      </c>
      <c r="AF207" s="301" t="s">
        <v>2769</v>
      </c>
      <c r="AG207" s="297" t="s">
        <v>2770</v>
      </c>
      <c r="AH207" s="297" t="s">
        <v>2771</v>
      </c>
      <c r="AI207" s="305" t="s">
        <v>8579</v>
      </c>
      <c r="AJ207" s="300" t="s">
        <v>8580</v>
      </c>
      <c r="AK207" s="315" t="s">
        <v>8600</v>
      </c>
      <c r="AL207" s="315" t="s">
        <v>2772</v>
      </c>
      <c r="AM207" s="315" t="s">
        <v>8581</v>
      </c>
      <c r="AN207" s="297"/>
      <c r="AO207" s="473"/>
      <c r="AP207" s="297"/>
      <c r="AQ207" s="301" t="s">
        <v>2773</v>
      </c>
      <c r="AR207" s="297" t="s">
        <v>66</v>
      </c>
      <c r="AS207" s="299">
        <v>38777</v>
      </c>
      <c r="AT207" s="299">
        <v>40656</v>
      </c>
      <c r="AU207" s="297" t="s">
        <v>2774</v>
      </c>
      <c r="AV207" s="297"/>
      <c r="AW207" s="297" t="s">
        <v>92</v>
      </c>
      <c r="AX207" s="297" t="s">
        <v>2775</v>
      </c>
      <c r="AY207" s="299">
        <v>42042</v>
      </c>
      <c r="AZ207" s="297" t="s">
        <v>67</v>
      </c>
      <c r="BA207" s="299" t="s">
        <v>67</v>
      </c>
      <c r="BB207" s="382">
        <v>42115</v>
      </c>
      <c r="BC207" s="297" t="s">
        <v>95</v>
      </c>
      <c r="BD207" s="297" t="s">
        <v>566</v>
      </c>
      <c r="BE207" s="297"/>
      <c r="BF207" s="301"/>
      <c r="BG207" s="301"/>
      <c r="BH207" s="301" t="s">
        <v>2776</v>
      </c>
      <c r="BI207" s="301"/>
      <c r="BJ207" s="312">
        <v>121773720</v>
      </c>
      <c r="BK207" s="312">
        <v>121773720</v>
      </c>
      <c r="BL207" s="313">
        <v>41162518</v>
      </c>
      <c r="BM207" s="299">
        <v>43154</v>
      </c>
      <c r="BN207" s="314">
        <v>43132</v>
      </c>
      <c r="BO207" s="434" t="s">
        <v>2777</v>
      </c>
      <c r="BP207" s="396"/>
      <c r="BQ207" s="336"/>
      <c r="BR207" s="331"/>
      <c r="BS207" s="301"/>
      <c r="BT207" s="301"/>
      <c r="BU207" s="301"/>
      <c r="BV207" s="301"/>
      <c r="BW207" s="316"/>
      <c r="BX207" s="304"/>
      <c r="BY207" s="299"/>
      <c r="BZ207" s="317"/>
    </row>
    <row r="208" spans="1:555" s="509" customFormat="1" ht="99.75" customHeight="1">
      <c r="A208" s="296">
        <v>232</v>
      </c>
      <c r="B208" s="297" t="s">
        <v>2778</v>
      </c>
      <c r="C208" s="298">
        <v>78693858</v>
      </c>
      <c r="D208" s="354" t="s">
        <v>1567</v>
      </c>
      <c r="E208" s="299">
        <v>42419</v>
      </c>
      <c r="F208" s="300">
        <v>42401</v>
      </c>
      <c r="G208" s="301" t="s">
        <v>2779</v>
      </c>
      <c r="H208" s="297" t="s">
        <v>5</v>
      </c>
      <c r="I208" s="297" t="s">
        <v>101</v>
      </c>
      <c r="J208" s="299">
        <v>42751</v>
      </c>
      <c r="K208" s="300">
        <v>42736</v>
      </c>
      <c r="L208" s="301" t="s">
        <v>1570</v>
      </c>
      <c r="M208" s="297" t="s">
        <v>5</v>
      </c>
      <c r="N208" s="297" t="s">
        <v>131</v>
      </c>
      <c r="O208" s="299">
        <v>42972</v>
      </c>
      <c r="P208" s="302">
        <v>42948</v>
      </c>
      <c r="Q208" s="301" t="s">
        <v>2780</v>
      </c>
      <c r="R208" s="297" t="s">
        <v>5</v>
      </c>
      <c r="S208" s="297" t="s">
        <v>2781</v>
      </c>
      <c r="T208" s="299">
        <v>43027</v>
      </c>
      <c r="U208" s="300">
        <v>43009</v>
      </c>
      <c r="V208" s="301" t="s">
        <v>2782</v>
      </c>
      <c r="W208" s="297" t="s">
        <v>171</v>
      </c>
      <c r="X208" s="297" t="s">
        <v>2783</v>
      </c>
      <c r="Y208" s="299">
        <v>43123</v>
      </c>
      <c r="Z208" s="300">
        <v>43101</v>
      </c>
      <c r="AA208" s="301" t="s">
        <v>1575</v>
      </c>
      <c r="AB208" s="297" t="s">
        <v>5</v>
      </c>
      <c r="AC208" s="297" t="s">
        <v>1623</v>
      </c>
      <c r="AD208" s="299">
        <v>43223</v>
      </c>
      <c r="AE208" s="300">
        <v>43221</v>
      </c>
      <c r="AF208" s="301" t="s">
        <v>2784</v>
      </c>
      <c r="AG208" s="297" t="s">
        <v>5</v>
      </c>
      <c r="AH208" s="297" t="s">
        <v>1114</v>
      </c>
      <c r="AI208" s="305" t="s">
        <v>2785</v>
      </c>
      <c r="AJ208" s="300" t="s">
        <v>2786</v>
      </c>
      <c r="AK208" s="301" t="s">
        <v>2787</v>
      </c>
      <c r="AL208" s="297" t="s">
        <v>2788</v>
      </c>
      <c r="AM208" s="297" t="s">
        <v>2789</v>
      </c>
      <c r="AN208" s="297"/>
      <c r="AO208" s="473"/>
      <c r="AP208" s="297"/>
      <c r="AQ208" s="301" t="s">
        <v>2790</v>
      </c>
      <c r="AR208" s="297" t="s">
        <v>66</v>
      </c>
      <c r="AS208" s="299">
        <v>39881</v>
      </c>
      <c r="AT208" s="299">
        <v>40268</v>
      </c>
      <c r="AU208" s="297" t="s">
        <v>2791</v>
      </c>
      <c r="AV208" s="297"/>
      <c r="AW208" s="297" t="s">
        <v>92</v>
      </c>
      <c r="AX208" s="297" t="s">
        <v>2792</v>
      </c>
      <c r="AY208" s="299">
        <v>42247</v>
      </c>
      <c r="AZ208" s="297" t="s">
        <v>67</v>
      </c>
      <c r="BA208" s="299" t="s">
        <v>67</v>
      </c>
      <c r="BB208" s="382">
        <v>42269</v>
      </c>
      <c r="BC208" s="297" t="s">
        <v>95</v>
      </c>
      <c r="BD208" s="297" t="s">
        <v>566</v>
      </c>
      <c r="BE208" s="297"/>
      <c r="BF208" s="301" t="s">
        <v>2793</v>
      </c>
      <c r="BG208" s="301"/>
      <c r="BH208" s="301" t="s">
        <v>2794</v>
      </c>
      <c r="BI208" s="301"/>
      <c r="BJ208" s="312">
        <v>178560757</v>
      </c>
      <c r="BK208" s="312">
        <v>178560757</v>
      </c>
      <c r="BL208" s="313">
        <v>115340818</v>
      </c>
      <c r="BM208" s="299">
        <v>43214</v>
      </c>
      <c r="BN208" s="314">
        <v>43191</v>
      </c>
      <c r="BO208" s="434" t="s">
        <v>2795</v>
      </c>
      <c r="BP208" s="397"/>
      <c r="BQ208" s="398"/>
      <c r="BR208" s="320"/>
      <c r="BS208" s="308" t="s">
        <v>2796</v>
      </c>
      <c r="BT208" s="301"/>
      <c r="BU208" s="301"/>
      <c r="BV208" s="301"/>
      <c r="BW208" s="316"/>
      <c r="BX208" s="304"/>
      <c r="BY208" s="299"/>
      <c r="BZ208" s="317"/>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c r="IY208" s="1"/>
      <c r="IZ208" s="1"/>
      <c r="JA208" s="1"/>
      <c r="JB208" s="1"/>
      <c r="JC208" s="1"/>
      <c r="JD208" s="1"/>
      <c r="JE208" s="1"/>
      <c r="JF208" s="1"/>
      <c r="JG208" s="1"/>
      <c r="JH208" s="1"/>
      <c r="JI208" s="1"/>
      <c r="JJ208" s="1"/>
      <c r="JK208" s="1"/>
      <c r="JL208" s="1"/>
      <c r="JM208" s="1"/>
      <c r="JN208" s="1"/>
      <c r="JO208" s="1"/>
      <c r="JP208" s="1"/>
      <c r="JQ208" s="1"/>
      <c r="JR208" s="1"/>
      <c r="JS208" s="1"/>
      <c r="JT208" s="1"/>
      <c r="JU208" s="1"/>
      <c r="JV208" s="1"/>
      <c r="JW208" s="1"/>
      <c r="JX208" s="1"/>
      <c r="JY208" s="1"/>
      <c r="JZ208" s="1"/>
      <c r="KA208" s="1"/>
      <c r="KB208" s="1"/>
      <c r="KC208" s="1"/>
      <c r="KD208" s="1"/>
      <c r="KE208" s="1"/>
      <c r="KF208" s="1"/>
      <c r="KG208" s="1"/>
      <c r="KH208" s="1"/>
      <c r="KI208" s="1"/>
      <c r="KJ208" s="1"/>
      <c r="KK208" s="1"/>
      <c r="KL208" s="1"/>
      <c r="KM208" s="1"/>
      <c r="KN208" s="1"/>
      <c r="KO208" s="1"/>
      <c r="KP208" s="1"/>
      <c r="KQ208" s="1"/>
      <c r="KR208" s="1"/>
      <c r="KS208" s="1"/>
      <c r="KT208" s="1"/>
      <c r="KU208" s="1"/>
      <c r="KV208" s="1"/>
      <c r="KW208" s="1"/>
      <c r="KX208" s="1"/>
      <c r="KY208" s="1"/>
      <c r="KZ208" s="1"/>
      <c r="LA208" s="1"/>
      <c r="LB208" s="1"/>
      <c r="LC208" s="1"/>
      <c r="LD208" s="1"/>
      <c r="LE208" s="1"/>
      <c r="LF208" s="1"/>
      <c r="LG208" s="1"/>
      <c r="LH208" s="1"/>
      <c r="LI208" s="1"/>
      <c r="LJ208" s="1"/>
      <c r="LK208" s="1"/>
      <c r="LL208" s="1"/>
      <c r="LM208" s="1"/>
      <c r="LN208" s="1"/>
      <c r="LO208" s="1"/>
      <c r="LP208" s="1"/>
      <c r="LQ208" s="1"/>
      <c r="LR208" s="1"/>
      <c r="LS208" s="1"/>
      <c r="LT208" s="1"/>
      <c r="LU208" s="1"/>
      <c r="LV208" s="1"/>
      <c r="LW208" s="1"/>
      <c r="LX208" s="1"/>
      <c r="LY208" s="1"/>
      <c r="LZ208" s="1"/>
      <c r="MA208" s="1"/>
      <c r="MB208" s="1"/>
      <c r="MC208" s="1"/>
      <c r="MD208" s="1"/>
      <c r="ME208" s="1"/>
      <c r="MF208" s="1"/>
      <c r="MG208" s="1"/>
      <c r="MH208" s="1"/>
      <c r="MI208" s="1"/>
      <c r="MJ208" s="1"/>
      <c r="MK208" s="1"/>
      <c r="ML208" s="1"/>
      <c r="MM208" s="1"/>
      <c r="MN208" s="1"/>
      <c r="MO208" s="1"/>
      <c r="MP208" s="1"/>
      <c r="MQ208" s="1"/>
      <c r="MR208" s="1"/>
      <c r="MS208" s="1"/>
      <c r="MT208" s="1"/>
      <c r="MU208" s="1"/>
      <c r="MV208" s="1"/>
      <c r="MW208" s="1"/>
      <c r="MX208" s="1"/>
      <c r="MY208" s="1"/>
      <c r="MZ208" s="1"/>
      <c r="NA208" s="1"/>
      <c r="NB208" s="1"/>
      <c r="NC208" s="1"/>
      <c r="ND208" s="1"/>
      <c r="NE208" s="1"/>
      <c r="NF208" s="1"/>
      <c r="NG208" s="1"/>
      <c r="NH208" s="1"/>
      <c r="NI208" s="1"/>
      <c r="NJ208" s="1"/>
      <c r="NK208" s="1"/>
      <c r="NL208" s="1"/>
      <c r="NM208" s="1"/>
      <c r="NN208" s="1"/>
      <c r="NO208" s="1"/>
      <c r="NP208" s="1"/>
      <c r="NQ208" s="1"/>
      <c r="NR208" s="1"/>
      <c r="NS208" s="1"/>
      <c r="NT208" s="1"/>
      <c r="NU208" s="1"/>
      <c r="NV208" s="1"/>
      <c r="NW208" s="1"/>
      <c r="NX208" s="1"/>
      <c r="NY208" s="1"/>
      <c r="NZ208" s="1"/>
      <c r="OA208" s="1"/>
      <c r="OB208" s="1"/>
      <c r="OC208" s="1"/>
      <c r="OD208" s="1"/>
      <c r="OE208" s="1"/>
      <c r="OF208" s="1"/>
      <c r="OG208" s="1"/>
      <c r="OH208" s="1"/>
      <c r="OI208" s="1"/>
      <c r="OJ208" s="1"/>
      <c r="OK208" s="1"/>
      <c r="OL208" s="1"/>
      <c r="OM208" s="1"/>
      <c r="ON208" s="1"/>
      <c r="OO208" s="1"/>
      <c r="OP208" s="1"/>
      <c r="OQ208" s="1"/>
      <c r="OR208" s="1"/>
      <c r="OS208" s="1"/>
      <c r="OT208" s="1"/>
      <c r="OU208" s="1"/>
      <c r="OV208" s="1"/>
      <c r="OW208" s="1"/>
      <c r="OX208" s="1"/>
      <c r="OY208" s="1"/>
      <c r="OZ208" s="1"/>
      <c r="PA208" s="1"/>
      <c r="PB208" s="1"/>
      <c r="PC208" s="1"/>
      <c r="PD208" s="1"/>
      <c r="PE208" s="1"/>
      <c r="PF208" s="1"/>
      <c r="PG208" s="1"/>
      <c r="PH208" s="1"/>
      <c r="PI208" s="1"/>
      <c r="PJ208" s="1"/>
      <c r="PK208" s="1"/>
      <c r="PL208" s="1"/>
      <c r="PM208" s="1"/>
      <c r="PN208" s="1"/>
      <c r="PO208" s="1"/>
      <c r="PP208" s="1"/>
      <c r="PQ208" s="1"/>
      <c r="PR208" s="1"/>
      <c r="PS208" s="1"/>
      <c r="PT208" s="1"/>
      <c r="PU208" s="1"/>
      <c r="PV208" s="1"/>
      <c r="PW208" s="1"/>
      <c r="PX208" s="1"/>
      <c r="PY208" s="1"/>
      <c r="PZ208" s="1"/>
      <c r="QA208" s="1"/>
      <c r="QB208" s="1"/>
      <c r="QC208" s="1"/>
      <c r="QD208" s="1"/>
      <c r="QE208" s="1"/>
      <c r="QF208" s="1"/>
      <c r="QG208" s="1"/>
      <c r="QH208" s="1"/>
      <c r="QI208" s="1"/>
      <c r="QJ208" s="1"/>
      <c r="QK208" s="1"/>
      <c r="QL208" s="1"/>
      <c r="QM208" s="1"/>
      <c r="QN208" s="1"/>
      <c r="QO208" s="1"/>
      <c r="QP208" s="1"/>
      <c r="QQ208" s="1"/>
      <c r="QR208" s="1"/>
      <c r="QS208" s="1"/>
      <c r="QT208" s="1"/>
      <c r="QU208" s="1"/>
      <c r="QV208" s="1"/>
      <c r="QW208" s="1"/>
      <c r="QX208" s="1"/>
      <c r="QY208" s="1"/>
      <c r="QZ208" s="1"/>
      <c r="RA208" s="1"/>
      <c r="RB208" s="1"/>
      <c r="RC208" s="1"/>
      <c r="RD208" s="1"/>
      <c r="RE208" s="1"/>
      <c r="RF208" s="1"/>
      <c r="RG208" s="1"/>
      <c r="RH208" s="1"/>
      <c r="RI208" s="1"/>
      <c r="RJ208" s="1"/>
      <c r="RK208" s="1"/>
      <c r="RL208" s="1"/>
      <c r="RM208" s="1"/>
      <c r="RN208" s="1"/>
      <c r="RO208" s="1"/>
      <c r="RP208" s="1"/>
      <c r="RQ208" s="1"/>
      <c r="RR208" s="1"/>
      <c r="RS208" s="1"/>
      <c r="RT208" s="1"/>
      <c r="RU208" s="1"/>
      <c r="RV208" s="1"/>
      <c r="RW208" s="1"/>
      <c r="RX208" s="1"/>
      <c r="RY208" s="1"/>
      <c r="RZ208" s="1"/>
      <c r="SA208" s="1"/>
      <c r="SB208" s="1"/>
      <c r="SC208" s="1"/>
      <c r="SD208" s="1"/>
      <c r="SE208" s="1"/>
      <c r="SF208" s="1"/>
      <c r="SG208" s="1"/>
      <c r="SH208" s="1"/>
      <c r="SI208" s="1"/>
      <c r="SJ208" s="1"/>
      <c r="SK208" s="1"/>
      <c r="SL208" s="1"/>
      <c r="SM208" s="1"/>
      <c r="SN208" s="1"/>
      <c r="SO208" s="1"/>
      <c r="SP208" s="1"/>
      <c r="SQ208" s="1"/>
      <c r="SR208" s="1"/>
      <c r="SS208" s="1"/>
      <c r="ST208" s="1"/>
      <c r="SU208" s="1"/>
      <c r="SV208" s="1"/>
      <c r="SW208" s="1"/>
      <c r="SX208" s="1"/>
      <c r="SY208" s="1"/>
      <c r="SZ208" s="1"/>
      <c r="TA208" s="1"/>
      <c r="TB208" s="1"/>
      <c r="TC208" s="1"/>
      <c r="TD208" s="1"/>
      <c r="TE208" s="1"/>
      <c r="TF208" s="1"/>
      <c r="TG208" s="1"/>
      <c r="TH208" s="1"/>
      <c r="TI208" s="1"/>
      <c r="TJ208" s="1"/>
      <c r="TK208" s="1"/>
      <c r="TL208" s="1"/>
      <c r="TM208" s="1"/>
      <c r="TN208" s="1"/>
      <c r="TO208" s="1"/>
      <c r="TP208" s="1"/>
      <c r="TQ208" s="1"/>
      <c r="TR208" s="1"/>
      <c r="TS208" s="1"/>
      <c r="TT208" s="1"/>
      <c r="TU208" s="1"/>
      <c r="TV208" s="1"/>
      <c r="TW208" s="1"/>
      <c r="TX208" s="1"/>
      <c r="TY208" s="1"/>
      <c r="TZ208" s="1"/>
      <c r="UA208" s="1"/>
      <c r="UB208" s="1"/>
      <c r="UC208" s="1"/>
      <c r="UD208" s="1"/>
      <c r="UE208" s="1"/>
      <c r="UF208" s="1"/>
      <c r="UG208" s="1"/>
      <c r="UH208" s="1"/>
      <c r="UI208" s="1"/>
    </row>
    <row r="209" spans="1:555" s="509" customFormat="1" ht="78" customHeight="1">
      <c r="A209" s="296">
        <v>233</v>
      </c>
      <c r="B209" s="297" t="s">
        <v>2797</v>
      </c>
      <c r="C209" s="298">
        <v>79388419</v>
      </c>
      <c r="D209" s="354" t="s">
        <v>906</v>
      </c>
      <c r="E209" s="299">
        <v>42422</v>
      </c>
      <c r="F209" s="300">
        <v>42401</v>
      </c>
      <c r="G209" s="301" t="s">
        <v>2798</v>
      </c>
      <c r="H209" s="297" t="s">
        <v>171</v>
      </c>
      <c r="I209" s="297" t="s">
        <v>183</v>
      </c>
      <c r="J209" s="299">
        <v>42874</v>
      </c>
      <c r="K209" s="300">
        <v>42856</v>
      </c>
      <c r="L209" s="301" t="s">
        <v>2799</v>
      </c>
      <c r="M209" s="297" t="s">
        <v>5</v>
      </c>
      <c r="N209" s="297" t="s">
        <v>79</v>
      </c>
      <c r="O209" s="299"/>
      <c r="P209" s="302"/>
      <c r="Q209" s="301"/>
      <c r="R209" s="297"/>
      <c r="S209" s="297"/>
      <c r="T209" s="299"/>
      <c r="U209" s="300"/>
      <c r="V209" s="301"/>
      <c r="W209" s="297"/>
      <c r="X209" s="297"/>
      <c r="Y209" s="299"/>
      <c r="Z209" s="300"/>
      <c r="AA209" s="301"/>
      <c r="AB209" s="297"/>
      <c r="AC209" s="297"/>
      <c r="AD209" s="299"/>
      <c r="AE209" s="300"/>
      <c r="AF209" s="301"/>
      <c r="AG209" s="297"/>
      <c r="AH209" s="297"/>
      <c r="AI209" s="299"/>
      <c r="AJ209" s="300"/>
      <c r="AK209" s="301"/>
      <c r="AL209" s="297"/>
      <c r="AM209" s="297"/>
      <c r="AN209" s="297" t="s">
        <v>908</v>
      </c>
      <c r="AO209" s="554"/>
      <c r="AP209" s="297"/>
      <c r="AQ209" s="301" t="s">
        <v>2800</v>
      </c>
      <c r="AR209" s="297" t="s">
        <v>161</v>
      </c>
      <c r="AS209" s="299">
        <v>40490</v>
      </c>
      <c r="AT209" s="299">
        <v>40908</v>
      </c>
      <c r="AU209" s="297" t="s">
        <v>2801</v>
      </c>
      <c r="AV209" s="297"/>
      <c r="AW209" s="297" t="s">
        <v>69</v>
      </c>
      <c r="AX209" s="297" t="s">
        <v>2802</v>
      </c>
      <c r="AY209" s="299">
        <v>42158</v>
      </c>
      <c r="AZ209" s="297" t="s">
        <v>1451</v>
      </c>
      <c r="BA209" s="299">
        <v>42332</v>
      </c>
      <c r="BB209" s="382">
        <v>42332</v>
      </c>
      <c r="BC209" s="303" t="s">
        <v>912</v>
      </c>
      <c r="BD209" s="303" t="s">
        <v>566</v>
      </c>
      <c r="BE209" s="297"/>
      <c r="BF209" s="301"/>
      <c r="BG209" s="301"/>
      <c r="BH209" s="301" t="s">
        <v>9419</v>
      </c>
      <c r="BI209" s="301"/>
      <c r="BJ209" s="312">
        <f>+[62]MATRIZ!$J$51</f>
        <v>7972209.9130274523</v>
      </c>
      <c r="BK209" s="312">
        <v>7964914</v>
      </c>
      <c r="BL209" s="313">
        <v>95877520</v>
      </c>
      <c r="BM209" s="299">
        <v>43944</v>
      </c>
      <c r="BN209" s="314">
        <v>43944</v>
      </c>
      <c r="BO209" s="460"/>
      <c r="BP209" s="390">
        <v>2598835</v>
      </c>
      <c r="BQ209" s="297" t="s">
        <v>9420</v>
      </c>
      <c r="BR209" s="303"/>
      <c r="BS209" s="301"/>
      <c r="BT209" s="301"/>
      <c r="BU209" s="301"/>
      <c r="BV209" s="301"/>
      <c r="BW209" s="316"/>
      <c r="BX209" s="304"/>
      <c r="BY209" s="299"/>
      <c r="BZ209" s="317"/>
    </row>
    <row r="210" spans="1:555" s="509" customFormat="1" ht="116.25" customHeight="1">
      <c r="A210" s="296">
        <v>234</v>
      </c>
      <c r="B210" s="297" t="s">
        <v>2803</v>
      </c>
      <c r="C210" s="298">
        <v>79211879</v>
      </c>
      <c r="D210" s="354" t="s">
        <v>667</v>
      </c>
      <c r="E210" s="299">
        <v>42423</v>
      </c>
      <c r="F210" s="300">
        <v>42401</v>
      </c>
      <c r="G210" s="301" t="s">
        <v>2804</v>
      </c>
      <c r="H210" s="297" t="s">
        <v>171</v>
      </c>
      <c r="I210" s="297" t="s">
        <v>183</v>
      </c>
      <c r="J210" s="299">
        <v>42569</v>
      </c>
      <c r="K210" s="300">
        <v>42552</v>
      </c>
      <c r="L210" s="301" t="s">
        <v>2805</v>
      </c>
      <c r="M210" s="297" t="s">
        <v>171</v>
      </c>
      <c r="N210" s="297" t="s">
        <v>183</v>
      </c>
      <c r="O210" s="299">
        <v>42614</v>
      </c>
      <c r="P210" s="302">
        <v>42614</v>
      </c>
      <c r="Q210" s="301" t="s">
        <v>2806</v>
      </c>
      <c r="R210" s="297" t="s">
        <v>503</v>
      </c>
      <c r="S210" s="297" t="s">
        <v>1082</v>
      </c>
      <c r="T210" s="299">
        <v>43150</v>
      </c>
      <c r="U210" s="300">
        <v>43132</v>
      </c>
      <c r="V210" s="301" t="s">
        <v>1142</v>
      </c>
      <c r="W210" s="297" t="s">
        <v>63</v>
      </c>
      <c r="X210" s="297" t="s">
        <v>107</v>
      </c>
      <c r="Y210" s="299">
        <v>43879</v>
      </c>
      <c r="Z210" s="300">
        <v>43879</v>
      </c>
      <c r="AA210" s="301" t="s">
        <v>9471</v>
      </c>
      <c r="AB210" s="297" t="s">
        <v>63</v>
      </c>
      <c r="AC210" s="297" t="s">
        <v>9472</v>
      </c>
      <c r="AD210" s="60">
        <v>44027</v>
      </c>
      <c r="AE210" s="61">
        <v>44027</v>
      </c>
      <c r="AF210" s="62" t="s">
        <v>9751</v>
      </c>
      <c r="AG210" s="58" t="s">
        <v>63</v>
      </c>
      <c r="AH210" s="58" t="s">
        <v>9511</v>
      </c>
      <c r="AI210" s="304"/>
      <c r="AJ210" s="300"/>
      <c r="AK210" s="301"/>
      <c r="AL210" s="297"/>
      <c r="AM210" s="297"/>
      <c r="AN210" s="297" t="s">
        <v>2807</v>
      </c>
      <c r="AO210" s="540">
        <v>42881</v>
      </c>
      <c r="AP210" s="297"/>
      <c r="AQ210" s="301" t="s">
        <v>2808</v>
      </c>
      <c r="AR210" s="297" t="s">
        <v>161</v>
      </c>
      <c r="AS210" s="299">
        <v>38147</v>
      </c>
      <c r="AT210" s="299">
        <v>40858</v>
      </c>
      <c r="AU210" s="297" t="s">
        <v>2809</v>
      </c>
      <c r="AV210" s="297"/>
      <c r="AW210" s="297" t="s">
        <v>69</v>
      </c>
      <c r="AX210" s="297" t="s">
        <v>2810</v>
      </c>
      <c r="AY210" s="299">
        <v>41989</v>
      </c>
      <c r="AZ210" s="297" t="s">
        <v>2811</v>
      </c>
      <c r="BA210" s="299">
        <v>42152</v>
      </c>
      <c r="BB210" s="382">
        <v>42425</v>
      </c>
      <c r="BC210" s="297" t="s">
        <v>95</v>
      </c>
      <c r="BD210" s="297" t="s">
        <v>566</v>
      </c>
      <c r="BE210" s="297"/>
      <c r="BF210" s="301"/>
      <c r="BG210" s="301"/>
      <c r="BH210" s="301" t="s">
        <v>9813</v>
      </c>
      <c r="BI210" s="301"/>
      <c r="BJ210" s="301"/>
      <c r="BK210" s="312">
        <v>41006280</v>
      </c>
      <c r="BL210" s="313">
        <v>379577820</v>
      </c>
      <c r="BM210" s="299">
        <v>44189</v>
      </c>
      <c r="BN210" s="314">
        <v>44189</v>
      </c>
      <c r="BO210" s="460"/>
      <c r="BP210" s="390"/>
      <c r="BQ210" s="297"/>
      <c r="BR210" s="303"/>
      <c r="BS210" s="301"/>
      <c r="BT210" s="301"/>
      <c r="BU210" s="301"/>
      <c r="BV210" s="301"/>
      <c r="BW210" s="316"/>
      <c r="BX210" s="304"/>
      <c r="BY210" s="299"/>
      <c r="BZ210" s="317"/>
    </row>
    <row r="211" spans="1:555" s="509" customFormat="1" ht="54">
      <c r="A211" s="296">
        <v>235</v>
      </c>
      <c r="B211" s="297" t="s">
        <v>2812</v>
      </c>
      <c r="C211" s="298">
        <v>3274658</v>
      </c>
      <c r="D211" s="354" t="s">
        <v>906</v>
      </c>
      <c r="E211" s="299">
        <v>42424</v>
      </c>
      <c r="F211" s="300">
        <v>42401</v>
      </c>
      <c r="G211" s="301" t="s">
        <v>2813</v>
      </c>
      <c r="H211" s="297" t="s">
        <v>171</v>
      </c>
      <c r="I211" s="297" t="s">
        <v>183</v>
      </c>
      <c r="J211" s="299">
        <v>42669</v>
      </c>
      <c r="K211" s="300">
        <v>42644</v>
      </c>
      <c r="L211" s="301" t="s">
        <v>2814</v>
      </c>
      <c r="M211" s="297" t="s">
        <v>171</v>
      </c>
      <c r="N211" s="297" t="s">
        <v>2223</v>
      </c>
      <c r="O211" s="299">
        <v>42874</v>
      </c>
      <c r="P211" s="302">
        <v>43604</v>
      </c>
      <c r="Q211" s="301" t="s">
        <v>9214</v>
      </c>
      <c r="R211" s="297" t="s">
        <v>5</v>
      </c>
      <c r="S211" s="297" t="s">
        <v>79</v>
      </c>
      <c r="T211" s="299">
        <v>43763</v>
      </c>
      <c r="U211" s="300">
        <v>43763</v>
      </c>
      <c r="V211" s="301" t="s">
        <v>9224</v>
      </c>
      <c r="W211" s="297" t="s">
        <v>208</v>
      </c>
      <c r="X211" s="297" t="s">
        <v>8243</v>
      </c>
      <c r="Y211" s="299">
        <v>44084</v>
      </c>
      <c r="Z211" s="300">
        <v>44084</v>
      </c>
      <c r="AA211" s="301" t="s">
        <v>9701</v>
      </c>
      <c r="AB211" s="297" t="s">
        <v>5</v>
      </c>
      <c r="AC211" s="297" t="s">
        <v>2378</v>
      </c>
      <c r="AD211" s="299"/>
      <c r="AE211" s="300"/>
      <c r="AF211" s="301"/>
      <c r="AG211" s="297"/>
      <c r="AH211" s="297"/>
      <c r="AI211" s="304"/>
      <c r="AJ211" s="300"/>
      <c r="AK211" s="301"/>
      <c r="AL211" s="297"/>
      <c r="AM211" s="297"/>
      <c r="AN211" s="297" t="s">
        <v>366</v>
      </c>
      <c r="AO211" s="540">
        <v>42874</v>
      </c>
      <c r="AP211" s="297"/>
      <c r="AQ211" s="301" t="s">
        <v>2815</v>
      </c>
      <c r="AR211" s="297" t="s">
        <v>161</v>
      </c>
      <c r="AS211" s="299">
        <v>40529</v>
      </c>
      <c r="AT211" s="299">
        <v>40908</v>
      </c>
      <c r="AU211" s="297" t="s">
        <v>2816</v>
      </c>
      <c r="AV211" s="297"/>
      <c r="AW211" s="297" t="s">
        <v>69</v>
      </c>
      <c r="AX211" s="297" t="s">
        <v>2817</v>
      </c>
      <c r="AY211" s="299">
        <v>42177</v>
      </c>
      <c r="AZ211" s="297" t="s">
        <v>2657</v>
      </c>
      <c r="BA211" s="299">
        <v>42320</v>
      </c>
      <c r="BB211" s="382">
        <v>42328</v>
      </c>
      <c r="BC211" s="303" t="s">
        <v>912</v>
      </c>
      <c r="BD211" s="303" t="s">
        <v>566</v>
      </c>
      <c r="BE211" s="297"/>
      <c r="BF211" s="301"/>
      <c r="BG211" s="301"/>
      <c r="BH211" s="301" t="s">
        <v>9810</v>
      </c>
      <c r="BI211" s="301"/>
      <c r="BJ211" s="312">
        <f>+'[63]MATRIZ '!$J$53</f>
        <v>0</v>
      </c>
      <c r="BK211" s="312">
        <v>7177072</v>
      </c>
      <c r="BL211" s="313"/>
      <c r="BM211" s="299"/>
      <c r="BN211" s="314"/>
      <c r="BO211" s="460"/>
      <c r="BP211" s="390"/>
      <c r="BQ211" s="297"/>
      <c r="BR211" s="303"/>
      <c r="BS211" s="301"/>
      <c r="BT211" s="301"/>
      <c r="BU211" s="301"/>
      <c r="BV211" s="301"/>
      <c r="BW211" s="316"/>
      <c r="BX211" s="304"/>
      <c r="BY211" s="299"/>
      <c r="BZ211" s="317"/>
    </row>
    <row r="212" spans="1:555" ht="162">
      <c r="A212" s="296">
        <v>237</v>
      </c>
      <c r="B212" s="297" t="s">
        <v>2825</v>
      </c>
      <c r="C212" s="298">
        <v>72016667</v>
      </c>
      <c r="D212" s="354" t="s">
        <v>2826</v>
      </c>
      <c r="E212" s="299">
        <v>42433</v>
      </c>
      <c r="F212" s="300">
        <v>42430</v>
      </c>
      <c r="G212" s="301" t="s">
        <v>2827</v>
      </c>
      <c r="H212" s="297" t="s">
        <v>5</v>
      </c>
      <c r="I212" s="297" t="s">
        <v>101</v>
      </c>
      <c r="J212" s="299">
        <v>42478</v>
      </c>
      <c r="K212" s="300">
        <v>42461</v>
      </c>
      <c r="L212" s="301" t="s">
        <v>2828</v>
      </c>
      <c r="M212" s="297" t="s">
        <v>171</v>
      </c>
      <c r="N212" s="297" t="s">
        <v>183</v>
      </c>
      <c r="O212" s="299">
        <v>42478</v>
      </c>
      <c r="P212" s="302">
        <v>42461</v>
      </c>
      <c r="Q212" s="301" t="s">
        <v>2829</v>
      </c>
      <c r="R212" s="297" t="s">
        <v>5</v>
      </c>
      <c r="S212" s="297" t="s">
        <v>336</v>
      </c>
      <c r="T212" s="299">
        <v>42803</v>
      </c>
      <c r="U212" s="300">
        <v>42795</v>
      </c>
      <c r="V212" s="301" t="s">
        <v>2830</v>
      </c>
      <c r="W212" s="297" t="s">
        <v>5</v>
      </c>
      <c r="X212" s="297" t="s">
        <v>131</v>
      </c>
      <c r="Y212" s="299">
        <v>42802</v>
      </c>
      <c r="Z212" s="300">
        <v>42795</v>
      </c>
      <c r="AA212" s="301" t="s">
        <v>2831</v>
      </c>
      <c r="AB212" s="297" t="s">
        <v>5</v>
      </c>
      <c r="AC212" s="297" t="s">
        <v>2832</v>
      </c>
      <c r="AD212" s="299" t="s">
        <v>2833</v>
      </c>
      <c r="AE212" s="300" t="s">
        <v>2834</v>
      </c>
      <c r="AF212" s="301" t="s">
        <v>2835</v>
      </c>
      <c r="AG212" s="297" t="s">
        <v>2004</v>
      </c>
      <c r="AH212" s="297" t="s">
        <v>2836</v>
      </c>
      <c r="AI212" s="299">
        <v>43486</v>
      </c>
      <c r="AJ212" s="300">
        <v>43486</v>
      </c>
      <c r="AK212" s="301" t="s">
        <v>8026</v>
      </c>
      <c r="AL212" s="297" t="s">
        <v>503</v>
      </c>
      <c r="AM212" s="297" t="s">
        <v>8028</v>
      </c>
      <c r="AN212" s="297" t="s">
        <v>2837</v>
      </c>
      <c r="AO212" s="473"/>
      <c r="AP212" s="297"/>
      <c r="AQ212" s="301" t="s">
        <v>2838</v>
      </c>
      <c r="AR212" s="297" t="s">
        <v>161</v>
      </c>
      <c r="AS212" s="299">
        <v>38596</v>
      </c>
      <c r="AT212" s="299">
        <v>40619</v>
      </c>
      <c r="AU212" s="297" t="s">
        <v>2839</v>
      </c>
      <c r="AV212" s="297"/>
      <c r="AW212" s="297" t="s">
        <v>69</v>
      </c>
      <c r="AX212" s="297" t="s">
        <v>2840</v>
      </c>
      <c r="AY212" s="299">
        <v>41928</v>
      </c>
      <c r="AZ212" s="297" t="s">
        <v>328</v>
      </c>
      <c r="BA212" s="299">
        <v>42181</v>
      </c>
      <c r="BB212" s="382">
        <v>42244</v>
      </c>
      <c r="BC212" s="297" t="s">
        <v>95</v>
      </c>
      <c r="BD212" s="297" t="s">
        <v>566</v>
      </c>
      <c r="BE212" s="297"/>
      <c r="BF212" s="301"/>
      <c r="BG212" s="301"/>
      <c r="BH212" s="301" t="s">
        <v>2841</v>
      </c>
      <c r="BI212" s="301"/>
      <c r="BJ212" s="312">
        <f>+'[64]MATRIZ '!$J$64</f>
        <v>107117103.45328246</v>
      </c>
      <c r="BK212" s="312">
        <v>107117103</v>
      </c>
      <c r="BL212" s="313">
        <v>158960518</v>
      </c>
      <c r="BM212" s="299">
        <v>43245</v>
      </c>
      <c r="BN212" s="314">
        <v>43221</v>
      </c>
      <c r="BO212" s="434" t="s">
        <v>2842</v>
      </c>
      <c r="BP212" s="397"/>
      <c r="BQ212" s="398"/>
      <c r="BR212" s="320"/>
      <c r="BS212" s="301"/>
      <c r="BT212" s="301"/>
      <c r="BU212" s="301"/>
      <c r="BV212" s="301"/>
      <c r="BW212" s="316"/>
      <c r="BX212" s="304"/>
      <c r="BY212" s="299"/>
      <c r="BZ212" s="317"/>
    </row>
    <row r="213" spans="1:555" ht="409.5">
      <c r="A213" s="296">
        <v>238</v>
      </c>
      <c r="B213" s="297" t="s">
        <v>2843</v>
      </c>
      <c r="C213" s="298">
        <v>98636269</v>
      </c>
      <c r="D213" s="354" t="s">
        <v>333</v>
      </c>
      <c r="E213" s="299">
        <v>42436</v>
      </c>
      <c r="F213" s="300">
        <v>42430</v>
      </c>
      <c r="G213" s="301" t="s">
        <v>2844</v>
      </c>
      <c r="H213" s="297" t="s">
        <v>5</v>
      </c>
      <c r="I213" s="297" t="s">
        <v>101</v>
      </c>
      <c r="J213" s="299">
        <v>42640</v>
      </c>
      <c r="K213" s="300">
        <v>42614</v>
      </c>
      <c r="L213" s="301" t="s">
        <v>2845</v>
      </c>
      <c r="M213" s="297" t="s">
        <v>195</v>
      </c>
      <c r="N213" s="297" t="s">
        <v>336</v>
      </c>
      <c r="O213" s="299">
        <v>43222</v>
      </c>
      <c r="P213" s="302">
        <v>43221</v>
      </c>
      <c r="Q213" s="301" t="s">
        <v>2846</v>
      </c>
      <c r="R213" s="297" t="s">
        <v>208</v>
      </c>
      <c r="S213" s="297" t="s">
        <v>107</v>
      </c>
      <c r="T213" s="305">
        <v>43256</v>
      </c>
      <c r="U213" s="300">
        <v>43252</v>
      </c>
      <c r="V213" s="308" t="s">
        <v>2847</v>
      </c>
      <c r="W213" s="297" t="s">
        <v>208</v>
      </c>
      <c r="X213" s="303" t="s">
        <v>107</v>
      </c>
      <c r="Y213" s="299">
        <v>43265</v>
      </c>
      <c r="Z213" s="300">
        <v>43252</v>
      </c>
      <c r="AA213" s="301" t="s">
        <v>2848</v>
      </c>
      <c r="AB213" s="297" t="s">
        <v>2849</v>
      </c>
      <c r="AC213" s="297" t="s">
        <v>849</v>
      </c>
      <c r="AD213" s="299" t="s">
        <v>8697</v>
      </c>
      <c r="AE213" s="300">
        <v>43252</v>
      </c>
      <c r="AF213" s="301" t="s">
        <v>8698</v>
      </c>
      <c r="AG213" s="297" t="s">
        <v>8699</v>
      </c>
      <c r="AH213" s="297" t="s">
        <v>8700</v>
      </c>
      <c r="AI213" s="305" t="s">
        <v>9013</v>
      </c>
      <c r="AJ213" s="300" t="s">
        <v>9014</v>
      </c>
      <c r="AK213" s="308" t="s">
        <v>9012</v>
      </c>
      <c r="AL213" s="297" t="s">
        <v>9015</v>
      </c>
      <c r="AM213" s="297" t="s">
        <v>9016</v>
      </c>
      <c r="AN213" s="297" t="s">
        <v>2851</v>
      </c>
      <c r="AO213" s="479">
        <v>42433</v>
      </c>
      <c r="AP213" s="297"/>
      <c r="AQ213" s="301" t="s">
        <v>2852</v>
      </c>
      <c r="AR213" s="297" t="s">
        <v>2853</v>
      </c>
      <c r="AS213" s="299">
        <v>37988</v>
      </c>
      <c r="AT213" s="299">
        <v>40724</v>
      </c>
      <c r="AU213" s="297" t="s">
        <v>8479</v>
      </c>
      <c r="AV213" s="297"/>
      <c r="AW213" s="297" t="s">
        <v>69</v>
      </c>
      <c r="AX213" s="297" t="s">
        <v>1895</v>
      </c>
      <c r="AY213" s="299">
        <v>41788</v>
      </c>
      <c r="AZ213" s="297" t="s">
        <v>2854</v>
      </c>
      <c r="BA213" s="299">
        <v>42228</v>
      </c>
      <c r="BB213" s="382">
        <v>42237</v>
      </c>
      <c r="BC213" s="297" t="s">
        <v>95</v>
      </c>
      <c r="BD213" s="297" t="s">
        <v>566</v>
      </c>
      <c r="BE213" s="297"/>
      <c r="BF213" s="301" t="s">
        <v>8231</v>
      </c>
      <c r="BG213" s="301" t="s">
        <v>2855</v>
      </c>
      <c r="BH213" s="301" t="s">
        <v>8346</v>
      </c>
      <c r="BI213" s="301"/>
      <c r="BJ213" s="312">
        <f>+[65]MATRIZ!$J$75</f>
        <v>282376276.24177855</v>
      </c>
      <c r="BK213" s="312">
        <v>282376276</v>
      </c>
      <c r="BL213" s="313">
        <v>66958119</v>
      </c>
      <c r="BM213" s="299">
        <v>43553</v>
      </c>
      <c r="BN213" s="314">
        <v>43553</v>
      </c>
      <c r="BO213" s="460" t="s">
        <v>8552</v>
      </c>
      <c r="BP213" s="404"/>
      <c r="BQ213" s="326"/>
      <c r="BR213" s="353"/>
      <c r="BS213" s="301" t="s">
        <v>2856</v>
      </c>
      <c r="BT213" s="301"/>
      <c r="BU213" s="301"/>
      <c r="BV213" s="301"/>
      <c r="BW213" s="316"/>
      <c r="BX213" s="304"/>
      <c r="BY213" s="299"/>
      <c r="BZ213" s="317"/>
    </row>
    <row r="214" spans="1:555" ht="54">
      <c r="A214" s="502">
        <v>239</v>
      </c>
      <c r="B214" s="297" t="s">
        <v>2857</v>
      </c>
      <c r="C214" s="298">
        <v>71612224</v>
      </c>
      <c r="D214" s="354" t="s">
        <v>597</v>
      </c>
      <c r="E214" s="299">
        <v>42437</v>
      </c>
      <c r="F214" s="300">
        <v>42430</v>
      </c>
      <c r="G214" s="301" t="s">
        <v>2858</v>
      </c>
      <c r="H214" s="297" t="s">
        <v>63</v>
      </c>
      <c r="I214" s="297" t="s">
        <v>183</v>
      </c>
      <c r="J214" s="299">
        <v>42479</v>
      </c>
      <c r="K214" s="300">
        <v>42461</v>
      </c>
      <c r="L214" s="301" t="s">
        <v>2859</v>
      </c>
      <c r="M214" s="297" t="s">
        <v>63</v>
      </c>
      <c r="N214" s="297" t="s">
        <v>101</v>
      </c>
      <c r="O214" s="299">
        <v>43486</v>
      </c>
      <c r="P214" s="302">
        <v>43486</v>
      </c>
      <c r="Q214" s="301" t="s">
        <v>8026</v>
      </c>
      <c r="R214" s="297" t="s">
        <v>503</v>
      </c>
      <c r="S214" s="297" t="s">
        <v>8028</v>
      </c>
      <c r="T214" s="299"/>
      <c r="U214" s="300"/>
      <c r="V214" s="301"/>
      <c r="W214" s="297"/>
      <c r="X214" s="297"/>
      <c r="Y214" s="299"/>
      <c r="Z214" s="300"/>
      <c r="AA214" s="301"/>
      <c r="AB214" s="297"/>
      <c r="AC214" s="297"/>
      <c r="AD214" s="299"/>
      <c r="AE214" s="300"/>
      <c r="AF214" s="301"/>
      <c r="AG214" s="297"/>
      <c r="AH214" s="297"/>
      <c r="AI214" s="304"/>
      <c r="AJ214" s="300"/>
      <c r="AK214" s="301"/>
      <c r="AL214" s="297"/>
      <c r="AM214" s="297"/>
      <c r="AN214" s="297"/>
      <c r="AO214" s="473"/>
      <c r="AP214" s="297"/>
      <c r="AQ214" s="301" t="s">
        <v>2860</v>
      </c>
      <c r="AR214" s="297" t="s">
        <v>66</v>
      </c>
      <c r="AS214" s="299">
        <v>37773</v>
      </c>
      <c r="AT214" s="299">
        <v>39856</v>
      </c>
      <c r="AU214" s="297" t="s">
        <v>2861</v>
      </c>
      <c r="AV214" s="297"/>
      <c r="AW214" s="297" t="s">
        <v>92</v>
      </c>
      <c r="AX214" s="297" t="s">
        <v>1607</v>
      </c>
      <c r="AY214" s="299">
        <v>42153</v>
      </c>
      <c r="AZ214" s="297" t="s">
        <v>67</v>
      </c>
      <c r="BA214" s="297" t="s">
        <v>67</v>
      </c>
      <c r="BB214" s="382">
        <v>42166</v>
      </c>
      <c r="BC214" s="297" t="s">
        <v>95</v>
      </c>
      <c r="BD214" s="297" t="s">
        <v>566</v>
      </c>
      <c r="BE214" s="297"/>
      <c r="BF214" s="301"/>
      <c r="BG214" s="301" t="s">
        <v>2862</v>
      </c>
      <c r="BH214" s="301" t="s">
        <v>2863</v>
      </c>
      <c r="BI214" s="301"/>
      <c r="BJ214" s="312">
        <v>213559960</v>
      </c>
      <c r="BK214" s="312">
        <v>213559960</v>
      </c>
      <c r="BL214" s="313">
        <v>115375018</v>
      </c>
      <c r="BM214" s="299">
        <v>43214</v>
      </c>
      <c r="BN214" s="314">
        <v>43191</v>
      </c>
      <c r="BO214" s="434" t="s">
        <v>2864</v>
      </c>
      <c r="BP214" s="397"/>
      <c r="BQ214" s="398"/>
      <c r="BR214" s="320"/>
      <c r="BS214" s="301" t="s">
        <v>2865</v>
      </c>
      <c r="BT214" s="301"/>
      <c r="BU214" s="301"/>
      <c r="BV214" s="301"/>
      <c r="BW214" s="316"/>
      <c r="BX214" s="304"/>
      <c r="BY214" s="299"/>
      <c r="BZ214" s="317"/>
    </row>
    <row r="215" spans="1:555" ht="93.75" customHeight="1">
      <c r="A215" s="296">
        <v>240</v>
      </c>
      <c r="B215" s="304" t="s">
        <v>2866</v>
      </c>
      <c r="C215" s="329">
        <v>8787053</v>
      </c>
      <c r="D215" s="354" t="s">
        <v>323</v>
      </c>
      <c r="E215" s="299">
        <v>42438</v>
      </c>
      <c r="F215" s="300">
        <v>42430</v>
      </c>
      <c r="G215" s="301" t="s">
        <v>2867</v>
      </c>
      <c r="H215" s="297" t="s">
        <v>5</v>
      </c>
      <c r="I215" s="297" t="s">
        <v>101</v>
      </c>
      <c r="J215" s="299">
        <v>43180</v>
      </c>
      <c r="K215" s="300">
        <v>43160</v>
      </c>
      <c r="L215" s="301" t="s">
        <v>2868</v>
      </c>
      <c r="M215" s="297" t="s">
        <v>208</v>
      </c>
      <c r="N215" s="297" t="s">
        <v>107</v>
      </c>
      <c r="O215" s="299"/>
      <c r="P215" s="302"/>
      <c r="Q215" s="301"/>
      <c r="R215" s="297"/>
      <c r="S215" s="297"/>
      <c r="T215" s="299"/>
      <c r="U215" s="300"/>
      <c r="V215" s="301"/>
      <c r="W215" s="297"/>
      <c r="X215" s="297"/>
      <c r="Y215" s="299"/>
      <c r="Z215" s="300"/>
      <c r="AA215" s="301"/>
      <c r="AB215" s="297"/>
      <c r="AC215" s="297"/>
      <c r="AD215" s="299"/>
      <c r="AE215" s="300"/>
      <c r="AF215" s="301"/>
      <c r="AG215" s="297"/>
      <c r="AH215" s="297"/>
      <c r="AI215" s="304"/>
      <c r="AJ215" s="300"/>
      <c r="AK215" s="301"/>
      <c r="AL215" s="297"/>
      <c r="AM215" s="297"/>
      <c r="AN215" s="297" t="s">
        <v>2151</v>
      </c>
      <c r="AO215" s="473"/>
      <c r="AP215" s="297"/>
      <c r="AQ215" s="301" t="s">
        <v>2869</v>
      </c>
      <c r="AR215" s="297" t="s">
        <v>66</v>
      </c>
      <c r="AS215" s="299">
        <v>38443</v>
      </c>
      <c r="AT215" s="299">
        <v>40164</v>
      </c>
      <c r="AU215" s="297" t="s">
        <v>2870</v>
      </c>
      <c r="AV215" s="297"/>
      <c r="AW215" s="297" t="s">
        <v>92</v>
      </c>
      <c r="AX215" s="297" t="s">
        <v>2871</v>
      </c>
      <c r="AY215" s="299">
        <v>41239</v>
      </c>
      <c r="AZ215" s="297" t="s">
        <v>2872</v>
      </c>
      <c r="BA215" s="299">
        <v>41887</v>
      </c>
      <c r="BB215" s="382">
        <v>41900</v>
      </c>
      <c r="BC215" s="297" t="s">
        <v>95</v>
      </c>
      <c r="BD215" s="297" t="s">
        <v>566</v>
      </c>
      <c r="BE215" s="297"/>
      <c r="BF215" s="301"/>
      <c r="BG215" s="301"/>
      <c r="BH215" s="301" t="s">
        <v>2873</v>
      </c>
      <c r="BI215" s="301"/>
      <c r="BJ215" s="312">
        <v>130002213</v>
      </c>
      <c r="BK215" s="312">
        <v>130002213</v>
      </c>
      <c r="BL215" s="313" t="s">
        <v>2874</v>
      </c>
      <c r="BM215" s="299">
        <v>43249</v>
      </c>
      <c r="BN215" s="314">
        <v>43221</v>
      </c>
      <c r="BO215" s="434" t="s">
        <v>2875</v>
      </c>
      <c r="BP215" s="397"/>
      <c r="BQ215" s="398"/>
      <c r="BR215" s="320"/>
      <c r="BS215" s="301"/>
      <c r="BT215" s="301"/>
      <c r="BU215" s="301"/>
      <c r="BV215" s="301"/>
      <c r="BW215" s="316"/>
      <c r="BX215" s="304"/>
      <c r="BY215" s="299"/>
      <c r="BZ215" s="317"/>
    </row>
    <row r="216" spans="1:555" s="509" customFormat="1" ht="66.75" customHeight="1">
      <c r="A216" s="503">
        <v>242</v>
      </c>
      <c r="B216" s="297" t="s">
        <v>2888</v>
      </c>
      <c r="C216" s="298">
        <v>16740938</v>
      </c>
      <c r="D216" s="354" t="s">
        <v>772</v>
      </c>
      <c r="E216" s="299">
        <v>42439</v>
      </c>
      <c r="F216" s="300">
        <v>42430</v>
      </c>
      <c r="G216" s="301" t="s">
        <v>2889</v>
      </c>
      <c r="H216" s="297" t="s">
        <v>5</v>
      </c>
      <c r="I216" s="297" t="s">
        <v>101</v>
      </c>
      <c r="J216" s="299">
        <v>42870</v>
      </c>
      <c r="K216" s="300">
        <v>42856</v>
      </c>
      <c r="L216" s="301" t="s">
        <v>2890</v>
      </c>
      <c r="M216" s="297" t="s">
        <v>5</v>
      </c>
      <c r="N216" s="297" t="s">
        <v>336</v>
      </c>
      <c r="O216" s="299">
        <v>43136</v>
      </c>
      <c r="P216" s="302">
        <v>43132</v>
      </c>
      <c r="Q216" s="301" t="s">
        <v>2891</v>
      </c>
      <c r="R216" s="297" t="s">
        <v>208</v>
      </c>
      <c r="S216" s="297" t="s">
        <v>1114</v>
      </c>
      <c r="T216" s="299">
        <v>43353</v>
      </c>
      <c r="U216" s="300">
        <v>43353</v>
      </c>
      <c r="V216" s="301" t="s">
        <v>2892</v>
      </c>
      <c r="W216" s="297" t="s">
        <v>171</v>
      </c>
      <c r="X216" s="297" t="s">
        <v>2893</v>
      </c>
      <c r="Y216" s="299">
        <v>43355</v>
      </c>
      <c r="Z216" s="367">
        <v>43355</v>
      </c>
      <c r="AA216" s="301" t="s">
        <v>2894</v>
      </c>
      <c r="AB216" s="297" t="s">
        <v>171</v>
      </c>
      <c r="AC216" s="297" t="s">
        <v>274</v>
      </c>
      <c r="AD216" s="299">
        <v>43446</v>
      </c>
      <c r="AE216" s="300">
        <v>43446</v>
      </c>
      <c r="AF216" s="301" t="s">
        <v>7959</v>
      </c>
      <c r="AG216" s="297" t="s">
        <v>171</v>
      </c>
      <c r="AH216" s="297" t="s">
        <v>7960</v>
      </c>
      <c r="AI216" s="304"/>
      <c r="AJ216" s="300"/>
      <c r="AK216" s="301"/>
      <c r="AL216" s="297"/>
      <c r="AM216" s="297"/>
      <c r="AN216" s="297" t="s">
        <v>908</v>
      </c>
      <c r="AO216" s="473"/>
      <c r="AP216" s="297"/>
      <c r="AQ216" s="301" t="s">
        <v>2895</v>
      </c>
      <c r="AR216" s="297" t="s">
        <v>66</v>
      </c>
      <c r="AS216" s="299">
        <v>38777</v>
      </c>
      <c r="AT216" s="299">
        <v>40633</v>
      </c>
      <c r="AU216" s="297" t="s">
        <v>2896</v>
      </c>
      <c r="AV216" s="297"/>
      <c r="AW216" s="297" t="s">
        <v>92</v>
      </c>
      <c r="AX216" s="297" t="s">
        <v>2897</v>
      </c>
      <c r="AY216" s="299">
        <v>41554</v>
      </c>
      <c r="AZ216" s="297" t="s">
        <v>339</v>
      </c>
      <c r="BA216" s="299">
        <v>42263</v>
      </c>
      <c r="BB216" s="382">
        <v>42290</v>
      </c>
      <c r="BC216" s="297" t="s">
        <v>95</v>
      </c>
      <c r="BD216" s="297" t="s">
        <v>566</v>
      </c>
      <c r="BE216" s="297"/>
      <c r="BF216" s="301"/>
      <c r="BG216" s="301"/>
      <c r="BH216" s="301" t="s">
        <v>2898</v>
      </c>
      <c r="BI216" s="301"/>
      <c r="BJ216" s="312">
        <v>148548259</v>
      </c>
      <c r="BK216" s="312">
        <v>148548259</v>
      </c>
      <c r="BL216" s="313">
        <v>115431618</v>
      </c>
      <c r="BM216" s="299">
        <v>43214</v>
      </c>
      <c r="BN216" s="314">
        <v>43191</v>
      </c>
      <c r="BO216" s="460"/>
      <c r="BP216" s="390"/>
      <c r="BQ216" s="297"/>
      <c r="BR216" s="303"/>
      <c r="BS216" s="301" t="s">
        <v>8054</v>
      </c>
      <c r="BT216" s="301"/>
      <c r="BU216" s="301"/>
      <c r="BV216" s="301"/>
      <c r="BW216" s="316"/>
      <c r="BX216" s="304"/>
      <c r="BY216" s="299"/>
      <c r="BZ216" s="317"/>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c r="IY216" s="1"/>
      <c r="IZ216" s="1"/>
      <c r="JA216" s="1"/>
      <c r="JB216" s="1"/>
      <c r="JC216" s="1"/>
      <c r="JD216" s="1"/>
      <c r="JE216" s="1"/>
      <c r="JF216" s="1"/>
      <c r="JG216" s="1"/>
      <c r="JH216" s="1"/>
      <c r="JI216" s="1"/>
      <c r="JJ216" s="1"/>
      <c r="JK216" s="1"/>
      <c r="JL216" s="1"/>
      <c r="JM216" s="1"/>
      <c r="JN216" s="1"/>
      <c r="JO216" s="1"/>
      <c r="JP216" s="1"/>
      <c r="JQ216" s="1"/>
      <c r="JR216" s="1"/>
      <c r="JS216" s="1"/>
      <c r="JT216" s="1"/>
      <c r="JU216" s="1"/>
      <c r="JV216" s="1"/>
      <c r="JW216" s="1"/>
      <c r="JX216" s="1"/>
      <c r="JY216" s="1"/>
      <c r="JZ216" s="1"/>
      <c r="KA216" s="1"/>
      <c r="KB216" s="1"/>
      <c r="KC216" s="1"/>
      <c r="KD216" s="1"/>
      <c r="KE216" s="1"/>
      <c r="KF216" s="1"/>
      <c r="KG216" s="1"/>
      <c r="KH216" s="1"/>
      <c r="KI216" s="1"/>
      <c r="KJ216" s="1"/>
      <c r="KK216" s="1"/>
      <c r="KL216" s="1"/>
      <c r="KM216" s="1"/>
      <c r="KN216" s="1"/>
      <c r="KO216" s="1"/>
      <c r="KP216" s="1"/>
      <c r="KQ216" s="1"/>
      <c r="KR216" s="1"/>
      <c r="KS216" s="1"/>
      <c r="KT216" s="1"/>
      <c r="KU216" s="1"/>
      <c r="KV216" s="1"/>
      <c r="KW216" s="1"/>
      <c r="KX216" s="1"/>
      <c r="KY216" s="1"/>
      <c r="KZ216" s="1"/>
      <c r="LA216" s="1"/>
      <c r="LB216" s="1"/>
      <c r="LC216" s="1"/>
      <c r="LD216" s="1"/>
      <c r="LE216" s="1"/>
      <c r="LF216" s="1"/>
      <c r="LG216" s="1"/>
      <c r="LH216" s="1"/>
      <c r="LI216" s="1"/>
      <c r="LJ216" s="1"/>
      <c r="LK216" s="1"/>
      <c r="LL216" s="1"/>
      <c r="LM216" s="1"/>
      <c r="LN216" s="1"/>
      <c r="LO216" s="1"/>
      <c r="LP216" s="1"/>
      <c r="LQ216" s="1"/>
      <c r="LR216" s="1"/>
      <c r="LS216" s="1"/>
      <c r="LT216" s="1"/>
      <c r="LU216" s="1"/>
      <c r="LV216" s="1"/>
      <c r="LW216" s="1"/>
      <c r="LX216" s="1"/>
      <c r="LY216" s="1"/>
      <c r="LZ216" s="1"/>
      <c r="MA216" s="1"/>
      <c r="MB216" s="1"/>
      <c r="MC216" s="1"/>
      <c r="MD216" s="1"/>
      <c r="ME216" s="1"/>
      <c r="MF216" s="1"/>
      <c r="MG216" s="1"/>
      <c r="MH216" s="1"/>
      <c r="MI216" s="1"/>
      <c r="MJ216" s="1"/>
      <c r="MK216" s="1"/>
      <c r="ML216" s="1"/>
      <c r="MM216" s="1"/>
      <c r="MN216" s="1"/>
      <c r="MO216" s="1"/>
      <c r="MP216" s="1"/>
      <c r="MQ216" s="1"/>
      <c r="MR216" s="1"/>
      <c r="MS216" s="1"/>
      <c r="MT216" s="1"/>
      <c r="MU216" s="1"/>
      <c r="MV216" s="1"/>
      <c r="MW216" s="1"/>
      <c r="MX216" s="1"/>
      <c r="MY216" s="1"/>
      <c r="MZ216" s="1"/>
      <c r="NA216" s="1"/>
      <c r="NB216" s="1"/>
      <c r="NC216" s="1"/>
      <c r="ND216" s="1"/>
      <c r="NE216" s="1"/>
      <c r="NF216" s="1"/>
      <c r="NG216" s="1"/>
      <c r="NH216" s="1"/>
      <c r="NI216" s="1"/>
      <c r="NJ216" s="1"/>
      <c r="NK216" s="1"/>
      <c r="NL216" s="1"/>
      <c r="NM216" s="1"/>
      <c r="NN216" s="1"/>
      <c r="NO216" s="1"/>
      <c r="NP216" s="1"/>
      <c r="NQ216" s="1"/>
      <c r="NR216" s="1"/>
      <c r="NS216" s="1"/>
      <c r="NT216" s="1"/>
      <c r="NU216" s="1"/>
      <c r="NV216" s="1"/>
      <c r="NW216" s="1"/>
      <c r="NX216" s="1"/>
      <c r="NY216" s="1"/>
      <c r="NZ216" s="1"/>
      <c r="OA216" s="1"/>
      <c r="OB216" s="1"/>
      <c r="OC216" s="1"/>
      <c r="OD216" s="1"/>
      <c r="OE216" s="1"/>
      <c r="OF216" s="1"/>
      <c r="OG216" s="1"/>
      <c r="OH216" s="1"/>
      <c r="OI216" s="1"/>
      <c r="OJ216" s="1"/>
      <c r="OK216" s="1"/>
      <c r="OL216" s="1"/>
      <c r="OM216" s="1"/>
      <c r="ON216" s="1"/>
      <c r="OO216" s="1"/>
      <c r="OP216" s="1"/>
      <c r="OQ216" s="1"/>
      <c r="OR216" s="1"/>
      <c r="OS216" s="1"/>
      <c r="OT216" s="1"/>
      <c r="OU216" s="1"/>
      <c r="OV216" s="1"/>
      <c r="OW216" s="1"/>
      <c r="OX216" s="1"/>
      <c r="OY216" s="1"/>
      <c r="OZ216" s="1"/>
      <c r="PA216" s="1"/>
      <c r="PB216" s="1"/>
      <c r="PC216" s="1"/>
      <c r="PD216" s="1"/>
      <c r="PE216" s="1"/>
      <c r="PF216" s="1"/>
      <c r="PG216" s="1"/>
      <c r="PH216" s="1"/>
      <c r="PI216" s="1"/>
      <c r="PJ216" s="1"/>
      <c r="PK216" s="1"/>
      <c r="PL216" s="1"/>
      <c r="PM216" s="1"/>
      <c r="PN216" s="1"/>
      <c r="PO216" s="1"/>
      <c r="PP216" s="1"/>
      <c r="PQ216" s="1"/>
      <c r="PR216" s="1"/>
      <c r="PS216" s="1"/>
      <c r="PT216" s="1"/>
      <c r="PU216" s="1"/>
      <c r="PV216" s="1"/>
      <c r="PW216" s="1"/>
      <c r="PX216" s="1"/>
      <c r="PY216" s="1"/>
      <c r="PZ216" s="1"/>
      <c r="QA216" s="1"/>
      <c r="QB216" s="1"/>
      <c r="QC216" s="1"/>
      <c r="QD216" s="1"/>
      <c r="QE216" s="1"/>
      <c r="QF216" s="1"/>
      <c r="QG216" s="1"/>
      <c r="QH216" s="1"/>
      <c r="QI216" s="1"/>
      <c r="QJ216" s="1"/>
      <c r="QK216" s="1"/>
      <c r="QL216" s="1"/>
      <c r="QM216" s="1"/>
      <c r="QN216" s="1"/>
      <c r="QO216" s="1"/>
      <c r="QP216" s="1"/>
      <c r="QQ216" s="1"/>
      <c r="QR216" s="1"/>
      <c r="QS216" s="1"/>
      <c r="QT216" s="1"/>
      <c r="QU216" s="1"/>
      <c r="QV216" s="1"/>
      <c r="QW216" s="1"/>
      <c r="QX216" s="1"/>
      <c r="QY216" s="1"/>
      <c r="QZ216" s="1"/>
      <c r="RA216" s="1"/>
      <c r="RB216" s="1"/>
      <c r="RC216" s="1"/>
      <c r="RD216" s="1"/>
      <c r="RE216" s="1"/>
      <c r="RF216" s="1"/>
      <c r="RG216" s="1"/>
      <c r="RH216" s="1"/>
      <c r="RI216" s="1"/>
      <c r="RJ216" s="1"/>
      <c r="RK216" s="1"/>
      <c r="RL216" s="1"/>
      <c r="RM216" s="1"/>
      <c r="RN216" s="1"/>
      <c r="RO216" s="1"/>
      <c r="RP216" s="1"/>
      <c r="RQ216" s="1"/>
      <c r="RR216" s="1"/>
      <c r="RS216" s="1"/>
      <c r="RT216" s="1"/>
      <c r="RU216" s="1"/>
      <c r="RV216" s="1"/>
      <c r="RW216" s="1"/>
      <c r="RX216" s="1"/>
      <c r="RY216" s="1"/>
      <c r="RZ216" s="1"/>
      <c r="SA216" s="1"/>
      <c r="SB216" s="1"/>
      <c r="SC216" s="1"/>
      <c r="SD216" s="1"/>
      <c r="SE216" s="1"/>
      <c r="SF216" s="1"/>
      <c r="SG216" s="1"/>
      <c r="SH216" s="1"/>
      <c r="SI216" s="1"/>
      <c r="SJ216" s="1"/>
      <c r="SK216" s="1"/>
      <c r="SL216" s="1"/>
      <c r="SM216" s="1"/>
      <c r="SN216" s="1"/>
      <c r="SO216" s="1"/>
      <c r="SP216" s="1"/>
      <c r="SQ216" s="1"/>
      <c r="SR216" s="1"/>
      <c r="SS216" s="1"/>
      <c r="ST216" s="1"/>
      <c r="SU216" s="1"/>
      <c r="SV216" s="1"/>
      <c r="SW216" s="1"/>
      <c r="SX216" s="1"/>
      <c r="SY216" s="1"/>
      <c r="SZ216" s="1"/>
      <c r="TA216" s="1"/>
      <c r="TB216" s="1"/>
      <c r="TC216" s="1"/>
      <c r="TD216" s="1"/>
      <c r="TE216" s="1"/>
      <c r="TF216" s="1"/>
      <c r="TG216" s="1"/>
      <c r="TH216" s="1"/>
      <c r="TI216" s="1"/>
      <c r="TJ216" s="1"/>
      <c r="TK216" s="1"/>
      <c r="TL216" s="1"/>
      <c r="TM216" s="1"/>
      <c r="TN216" s="1"/>
      <c r="TO216" s="1"/>
      <c r="TP216" s="1"/>
      <c r="TQ216" s="1"/>
      <c r="TR216" s="1"/>
      <c r="TS216" s="1"/>
      <c r="TT216" s="1"/>
      <c r="TU216" s="1"/>
      <c r="TV216" s="1"/>
      <c r="TW216" s="1"/>
      <c r="TX216" s="1"/>
      <c r="TY216" s="1"/>
      <c r="TZ216" s="1"/>
      <c r="UA216" s="1"/>
      <c r="UB216" s="1"/>
      <c r="UC216" s="1"/>
      <c r="UD216" s="1"/>
      <c r="UE216" s="1"/>
      <c r="UF216" s="1"/>
      <c r="UG216" s="1"/>
      <c r="UH216" s="1"/>
      <c r="UI216" s="1"/>
    </row>
    <row r="217" spans="1:555" s="509" customFormat="1" ht="57" customHeight="1">
      <c r="A217" s="296">
        <v>245</v>
      </c>
      <c r="B217" s="297" t="s">
        <v>2911</v>
      </c>
      <c r="C217" s="338">
        <v>94374688</v>
      </c>
      <c r="D217" s="354" t="s">
        <v>747</v>
      </c>
      <c r="E217" s="299">
        <v>42445</v>
      </c>
      <c r="F217" s="300">
        <v>42430</v>
      </c>
      <c r="G217" s="301" t="s">
        <v>2912</v>
      </c>
      <c r="H217" s="297" t="s">
        <v>5</v>
      </c>
      <c r="I217" s="297" t="s">
        <v>101</v>
      </c>
      <c r="J217" s="299">
        <v>42558</v>
      </c>
      <c r="K217" s="300">
        <v>42552</v>
      </c>
      <c r="L217" s="301" t="s">
        <v>2913</v>
      </c>
      <c r="M217" s="297" t="s">
        <v>5</v>
      </c>
      <c r="N217" s="297" t="s">
        <v>336</v>
      </c>
      <c r="O217" s="299">
        <v>42600</v>
      </c>
      <c r="P217" s="302">
        <v>42583</v>
      </c>
      <c r="Q217" s="301" t="s">
        <v>2914</v>
      </c>
      <c r="R217" s="297" t="s">
        <v>5</v>
      </c>
      <c r="S217" s="297" t="s">
        <v>336</v>
      </c>
      <c r="T217" s="299">
        <v>43119</v>
      </c>
      <c r="U217" s="300">
        <v>43101</v>
      </c>
      <c r="V217" s="301" t="s">
        <v>980</v>
      </c>
      <c r="W217" s="297" t="s">
        <v>5</v>
      </c>
      <c r="X217" s="297" t="s">
        <v>169</v>
      </c>
      <c r="Y217" s="299">
        <v>43136</v>
      </c>
      <c r="Z217" s="300">
        <v>43132</v>
      </c>
      <c r="AA217" s="301" t="s">
        <v>2915</v>
      </c>
      <c r="AB217" s="297" t="s">
        <v>5</v>
      </c>
      <c r="AC217" s="297" t="s">
        <v>1114</v>
      </c>
      <c r="AD217" s="299">
        <v>43133</v>
      </c>
      <c r="AE217" s="300">
        <v>43132</v>
      </c>
      <c r="AF217" s="301" t="s">
        <v>2916</v>
      </c>
      <c r="AG217" s="297" t="s">
        <v>208</v>
      </c>
      <c r="AH217" s="297" t="s">
        <v>1114</v>
      </c>
      <c r="AI217" s="304"/>
      <c r="AJ217" s="300"/>
      <c r="AK217" s="301"/>
      <c r="AL217" s="297"/>
      <c r="AM217" s="297"/>
      <c r="AN217" s="297" t="s">
        <v>1734</v>
      </c>
      <c r="AO217" s="473"/>
      <c r="AP217" s="297"/>
      <c r="AQ217" s="301" t="s">
        <v>2917</v>
      </c>
      <c r="AR217" s="297" t="s">
        <v>66</v>
      </c>
      <c r="AS217" s="299">
        <v>39264</v>
      </c>
      <c r="AT217" s="299">
        <v>39813</v>
      </c>
      <c r="AU217" s="297" t="s">
        <v>2918</v>
      </c>
      <c r="AV217" s="297"/>
      <c r="AW217" s="297" t="s">
        <v>92</v>
      </c>
      <c r="AX217" s="297" t="s">
        <v>2919</v>
      </c>
      <c r="AY217" s="299">
        <v>41577</v>
      </c>
      <c r="AZ217" s="297" t="s">
        <v>2920</v>
      </c>
      <c r="BA217" s="299">
        <v>42282</v>
      </c>
      <c r="BB217" s="382">
        <v>42332</v>
      </c>
      <c r="BC217" s="297" t="s">
        <v>95</v>
      </c>
      <c r="BD217" s="297" t="s">
        <v>566</v>
      </c>
      <c r="BE217" s="297"/>
      <c r="BF217" s="301"/>
      <c r="BG217" s="301" t="s">
        <v>2921</v>
      </c>
      <c r="BH217" s="301" t="s">
        <v>2922</v>
      </c>
      <c r="BI217" s="301"/>
      <c r="BJ217" s="312">
        <v>68656968</v>
      </c>
      <c r="BK217" s="312">
        <v>68656968</v>
      </c>
      <c r="BL217" s="313">
        <v>42823718</v>
      </c>
      <c r="BM217" s="299">
        <v>43158</v>
      </c>
      <c r="BN217" s="300">
        <v>43132</v>
      </c>
      <c r="BO217" s="434" t="s">
        <v>2923</v>
      </c>
      <c r="BP217" s="397"/>
      <c r="BQ217" s="398"/>
      <c r="BR217" s="320"/>
      <c r="BS217" s="301"/>
      <c r="BT217" s="301"/>
      <c r="BU217" s="301"/>
      <c r="BV217" s="301"/>
      <c r="BW217" s="316"/>
      <c r="BX217" s="304"/>
      <c r="BY217" s="299"/>
      <c r="BZ217" s="317"/>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c r="IY217" s="1"/>
      <c r="IZ217" s="1"/>
      <c r="JA217" s="1"/>
      <c r="JB217" s="1"/>
      <c r="JC217" s="1"/>
      <c r="JD217" s="1"/>
      <c r="JE217" s="1"/>
      <c r="JF217" s="1"/>
      <c r="JG217" s="1"/>
      <c r="JH217" s="1"/>
      <c r="JI217" s="1"/>
      <c r="JJ217" s="1"/>
      <c r="JK217" s="1"/>
      <c r="JL217" s="1"/>
      <c r="JM217" s="1"/>
      <c r="JN217" s="1"/>
      <c r="JO217" s="1"/>
      <c r="JP217" s="1"/>
      <c r="JQ217" s="1"/>
      <c r="JR217" s="1"/>
      <c r="JS217" s="1"/>
      <c r="JT217" s="1"/>
      <c r="JU217" s="1"/>
      <c r="JV217" s="1"/>
      <c r="JW217" s="1"/>
      <c r="JX217" s="1"/>
      <c r="JY217" s="1"/>
      <c r="JZ217" s="1"/>
      <c r="KA217" s="1"/>
      <c r="KB217" s="1"/>
      <c r="KC217" s="1"/>
      <c r="KD217" s="1"/>
      <c r="KE217" s="1"/>
      <c r="KF217" s="1"/>
      <c r="KG217" s="1"/>
      <c r="KH217" s="1"/>
      <c r="KI217" s="1"/>
      <c r="KJ217" s="1"/>
      <c r="KK217" s="1"/>
      <c r="KL217" s="1"/>
      <c r="KM217" s="1"/>
      <c r="KN217" s="1"/>
      <c r="KO217" s="1"/>
      <c r="KP217" s="1"/>
      <c r="KQ217" s="1"/>
      <c r="KR217" s="1"/>
      <c r="KS217" s="1"/>
      <c r="KT217" s="1"/>
      <c r="KU217" s="1"/>
      <c r="KV217" s="1"/>
      <c r="KW217" s="1"/>
      <c r="KX217" s="1"/>
      <c r="KY217" s="1"/>
      <c r="KZ217" s="1"/>
      <c r="LA217" s="1"/>
      <c r="LB217" s="1"/>
      <c r="LC217" s="1"/>
      <c r="LD217" s="1"/>
      <c r="LE217" s="1"/>
      <c r="LF217" s="1"/>
      <c r="LG217" s="1"/>
      <c r="LH217" s="1"/>
      <c r="LI217" s="1"/>
      <c r="LJ217" s="1"/>
      <c r="LK217" s="1"/>
      <c r="LL217" s="1"/>
      <c r="LM217" s="1"/>
      <c r="LN217" s="1"/>
      <c r="LO217" s="1"/>
      <c r="LP217" s="1"/>
      <c r="LQ217" s="1"/>
      <c r="LR217" s="1"/>
      <c r="LS217" s="1"/>
      <c r="LT217" s="1"/>
      <c r="LU217" s="1"/>
      <c r="LV217" s="1"/>
      <c r="LW217" s="1"/>
      <c r="LX217" s="1"/>
      <c r="LY217" s="1"/>
      <c r="LZ217" s="1"/>
      <c r="MA217" s="1"/>
      <c r="MB217" s="1"/>
      <c r="MC217" s="1"/>
      <c r="MD217" s="1"/>
      <c r="ME217" s="1"/>
      <c r="MF217" s="1"/>
      <c r="MG217" s="1"/>
      <c r="MH217" s="1"/>
      <c r="MI217" s="1"/>
      <c r="MJ217" s="1"/>
      <c r="MK217" s="1"/>
      <c r="ML217" s="1"/>
      <c r="MM217" s="1"/>
      <c r="MN217" s="1"/>
      <c r="MO217" s="1"/>
      <c r="MP217" s="1"/>
      <c r="MQ217" s="1"/>
      <c r="MR217" s="1"/>
      <c r="MS217" s="1"/>
      <c r="MT217" s="1"/>
      <c r="MU217" s="1"/>
      <c r="MV217" s="1"/>
      <c r="MW217" s="1"/>
      <c r="MX217" s="1"/>
      <c r="MY217" s="1"/>
      <c r="MZ217" s="1"/>
      <c r="NA217" s="1"/>
      <c r="NB217" s="1"/>
      <c r="NC217" s="1"/>
      <c r="ND217" s="1"/>
      <c r="NE217" s="1"/>
      <c r="NF217" s="1"/>
      <c r="NG217" s="1"/>
      <c r="NH217" s="1"/>
      <c r="NI217" s="1"/>
      <c r="NJ217" s="1"/>
      <c r="NK217" s="1"/>
      <c r="NL217" s="1"/>
      <c r="NM217" s="1"/>
      <c r="NN217" s="1"/>
      <c r="NO217" s="1"/>
      <c r="NP217" s="1"/>
      <c r="NQ217" s="1"/>
      <c r="NR217" s="1"/>
      <c r="NS217" s="1"/>
      <c r="NT217" s="1"/>
      <c r="NU217" s="1"/>
      <c r="NV217" s="1"/>
      <c r="NW217" s="1"/>
      <c r="NX217" s="1"/>
      <c r="NY217" s="1"/>
      <c r="NZ217" s="1"/>
      <c r="OA217" s="1"/>
      <c r="OB217" s="1"/>
      <c r="OC217" s="1"/>
      <c r="OD217" s="1"/>
      <c r="OE217" s="1"/>
      <c r="OF217" s="1"/>
      <c r="OG217" s="1"/>
      <c r="OH217" s="1"/>
      <c r="OI217" s="1"/>
      <c r="OJ217" s="1"/>
      <c r="OK217" s="1"/>
      <c r="OL217" s="1"/>
      <c r="OM217" s="1"/>
      <c r="ON217" s="1"/>
      <c r="OO217" s="1"/>
      <c r="OP217" s="1"/>
      <c r="OQ217" s="1"/>
      <c r="OR217" s="1"/>
      <c r="OS217" s="1"/>
      <c r="OT217" s="1"/>
      <c r="OU217" s="1"/>
      <c r="OV217" s="1"/>
      <c r="OW217" s="1"/>
      <c r="OX217" s="1"/>
      <c r="OY217" s="1"/>
      <c r="OZ217" s="1"/>
      <c r="PA217" s="1"/>
      <c r="PB217" s="1"/>
      <c r="PC217" s="1"/>
      <c r="PD217" s="1"/>
      <c r="PE217" s="1"/>
      <c r="PF217" s="1"/>
      <c r="PG217" s="1"/>
      <c r="PH217" s="1"/>
      <c r="PI217" s="1"/>
      <c r="PJ217" s="1"/>
      <c r="PK217" s="1"/>
      <c r="PL217" s="1"/>
      <c r="PM217" s="1"/>
      <c r="PN217" s="1"/>
      <c r="PO217" s="1"/>
      <c r="PP217" s="1"/>
      <c r="PQ217" s="1"/>
      <c r="PR217" s="1"/>
      <c r="PS217" s="1"/>
      <c r="PT217" s="1"/>
      <c r="PU217" s="1"/>
      <c r="PV217" s="1"/>
      <c r="PW217" s="1"/>
      <c r="PX217" s="1"/>
      <c r="PY217" s="1"/>
      <c r="PZ217" s="1"/>
      <c r="QA217" s="1"/>
      <c r="QB217" s="1"/>
      <c r="QC217" s="1"/>
      <c r="QD217" s="1"/>
      <c r="QE217" s="1"/>
      <c r="QF217" s="1"/>
      <c r="QG217" s="1"/>
      <c r="QH217" s="1"/>
      <c r="QI217" s="1"/>
      <c r="QJ217" s="1"/>
      <c r="QK217" s="1"/>
      <c r="QL217" s="1"/>
      <c r="QM217" s="1"/>
      <c r="QN217" s="1"/>
      <c r="QO217" s="1"/>
      <c r="QP217" s="1"/>
      <c r="QQ217" s="1"/>
      <c r="QR217" s="1"/>
      <c r="QS217" s="1"/>
      <c r="QT217" s="1"/>
      <c r="QU217" s="1"/>
      <c r="QV217" s="1"/>
      <c r="QW217" s="1"/>
      <c r="QX217" s="1"/>
      <c r="QY217" s="1"/>
      <c r="QZ217" s="1"/>
      <c r="RA217" s="1"/>
      <c r="RB217" s="1"/>
      <c r="RC217" s="1"/>
      <c r="RD217" s="1"/>
      <c r="RE217" s="1"/>
      <c r="RF217" s="1"/>
      <c r="RG217" s="1"/>
      <c r="RH217" s="1"/>
      <c r="RI217" s="1"/>
      <c r="RJ217" s="1"/>
      <c r="RK217" s="1"/>
      <c r="RL217" s="1"/>
      <c r="RM217" s="1"/>
      <c r="RN217" s="1"/>
      <c r="RO217" s="1"/>
      <c r="RP217" s="1"/>
      <c r="RQ217" s="1"/>
      <c r="RR217" s="1"/>
      <c r="RS217" s="1"/>
      <c r="RT217" s="1"/>
      <c r="RU217" s="1"/>
      <c r="RV217" s="1"/>
      <c r="RW217" s="1"/>
      <c r="RX217" s="1"/>
      <c r="RY217" s="1"/>
      <c r="RZ217" s="1"/>
      <c r="SA217" s="1"/>
      <c r="SB217" s="1"/>
      <c r="SC217" s="1"/>
      <c r="SD217" s="1"/>
      <c r="SE217" s="1"/>
      <c r="SF217" s="1"/>
      <c r="SG217" s="1"/>
      <c r="SH217" s="1"/>
      <c r="SI217" s="1"/>
      <c r="SJ217" s="1"/>
      <c r="SK217" s="1"/>
      <c r="SL217" s="1"/>
      <c r="SM217" s="1"/>
      <c r="SN217" s="1"/>
      <c r="SO217" s="1"/>
      <c r="SP217" s="1"/>
      <c r="SQ217" s="1"/>
      <c r="SR217" s="1"/>
      <c r="SS217" s="1"/>
      <c r="ST217" s="1"/>
      <c r="SU217" s="1"/>
      <c r="SV217" s="1"/>
      <c r="SW217" s="1"/>
      <c r="SX217" s="1"/>
      <c r="SY217" s="1"/>
      <c r="SZ217" s="1"/>
      <c r="TA217" s="1"/>
      <c r="TB217" s="1"/>
      <c r="TC217" s="1"/>
      <c r="TD217" s="1"/>
      <c r="TE217" s="1"/>
      <c r="TF217" s="1"/>
      <c r="TG217" s="1"/>
      <c r="TH217" s="1"/>
      <c r="TI217" s="1"/>
      <c r="TJ217" s="1"/>
      <c r="TK217" s="1"/>
      <c r="TL217" s="1"/>
      <c r="TM217" s="1"/>
      <c r="TN217" s="1"/>
      <c r="TO217" s="1"/>
      <c r="TP217" s="1"/>
      <c r="TQ217" s="1"/>
      <c r="TR217" s="1"/>
      <c r="TS217" s="1"/>
      <c r="TT217" s="1"/>
      <c r="TU217" s="1"/>
      <c r="TV217" s="1"/>
      <c r="TW217" s="1"/>
      <c r="TX217" s="1"/>
      <c r="TY217" s="1"/>
      <c r="TZ217" s="1"/>
      <c r="UA217" s="1"/>
      <c r="UB217" s="1"/>
      <c r="UC217" s="1"/>
      <c r="UD217" s="1"/>
      <c r="UE217" s="1"/>
      <c r="UF217" s="1"/>
      <c r="UG217" s="1"/>
      <c r="UH217" s="1"/>
      <c r="UI217" s="1"/>
    </row>
    <row r="218" spans="1:555" ht="58.5" customHeight="1">
      <c r="A218" s="673">
        <v>247</v>
      </c>
      <c r="B218" s="297" t="s">
        <v>2929</v>
      </c>
      <c r="C218" s="298" t="s">
        <v>2930</v>
      </c>
      <c r="D218" s="354" t="s">
        <v>2931</v>
      </c>
      <c r="E218" s="299">
        <v>42458</v>
      </c>
      <c r="F218" s="300">
        <v>42430</v>
      </c>
      <c r="G218" s="301" t="s">
        <v>2932</v>
      </c>
      <c r="H218" s="297" t="s">
        <v>625</v>
      </c>
      <c r="I218" s="297" t="s">
        <v>183</v>
      </c>
      <c r="J218" s="299">
        <v>42643</v>
      </c>
      <c r="K218" s="300">
        <v>42614</v>
      </c>
      <c r="L218" s="301" t="s">
        <v>2933</v>
      </c>
      <c r="M218" s="297" t="s">
        <v>5</v>
      </c>
      <c r="N218" s="297" t="s">
        <v>101</v>
      </c>
      <c r="O218" s="299">
        <v>42647</v>
      </c>
      <c r="P218" s="302">
        <v>42644</v>
      </c>
      <c r="Q218" s="301" t="s">
        <v>2934</v>
      </c>
      <c r="R218" s="297" t="s">
        <v>195</v>
      </c>
      <c r="S218" s="297" t="s">
        <v>336</v>
      </c>
      <c r="T218" s="299">
        <v>43244</v>
      </c>
      <c r="U218" s="300">
        <v>43244</v>
      </c>
      <c r="V218" s="304" t="s">
        <v>2935</v>
      </c>
      <c r="W218" s="304" t="s">
        <v>63</v>
      </c>
      <c r="X218" s="304" t="s">
        <v>79</v>
      </c>
      <c r="Y218" s="305">
        <v>43325</v>
      </c>
      <c r="Z218" s="300">
        <v>43325</v>
      </c>
      <c r="AA218" s="315" t="s">
        <v>2936</v>
      </c>
      <c r="AB218" s="297" t="s">
        <v>5</v>
      </c>
      <c r="AC218" s="297" t="s">
        <v>85</v>
      </c>
      <c r="AD218" s="299">
        <v>43349</v>
      </c>
      <c r="AE218" s="300">
        <v>43349</v>
      </c>
      <c r="AF218" s="301" t="s">
        <v>2937</v>
      </c>
      <c r="AG218" s="297" t="s">
        <v>63</v>
      </c>
      <c r="AH218" s="304" t="s">
        <v>2161</v>
      </c>
      <c r="AI218" s="299" t="s">
        <v>9549</v>
      </c>
      <c r="AJ218" s="300" t="s">
        <v>9550</v>
      </c>
      <c r="AK218" s="301" t="s">
        <v>9548</v>
      </c>
      <c r="AL218" s="297" t="s">
        <v>555</v>
      </c>
      <c r="AM218" s="297" t="s">
        <v>9513</v>
      </c>
      <c r="AN218" s="297" t="s">
        <v>2938</v>
      </c>
      <c r="AO218" s="540">
        <v>42643</v>
      </c>
      <c r="AP218" s="297"/>
      <c r="AQ218" s="301" t="s">
        <v>2939</v>
      </c>
      <c r="AR218" s="297" t="s">
        <v>161</v>
      </c>
      <c r="AS218" s="299">
        <v>38861</v>
      </c>
      <c r="AT218" s="299">
        <v>39822</v>
      </c>
      <c r="AU218" s="297" t="s">
        <v>8733</v>
      </c>
      <c r="AV218" s="297"/>
      <c r="AW218" s="297" t="s">
        <v>92</v>
      </c>
      <c r="AX218" s="297" t="s">
        <v>2940</v>
      </c>
      <c r="AY218" s="299">
        <v>41687</v>
      </c>
      <c r="AZ218" s="297" t="s">
        <v>94</v>
      </c>
      <c r="BA218" s="299">
        <v>42388</v>
      </c>
      <c r="BB218" s="382">
        <v>42404</v>
      </c>
      <c r="BC218" s="297" t="s">
        <v>95</v>
      </c>
      <c r="BD218" s="297" t="s">
        <v>566</v>
      </c>
      <c r="BE218" s="297"/>
      <c r="BF218" s="301"/>
      <c r="BG218" s="301"/>
      <c r="BH218" s="301" t="s">
        <v>9830</v>
      </c>
      <c r="BI218" s="301"/>
      <c r="BJ218" s="301"/>
      <c r="BK218" s="312">
        <v>24218710</v>
      </c>
      <c r="BL218" s="313" t="s">
        <v>9831</v>
      </c>
      <c r="BM218" s="299" t="s">
        <v>9832</v>
      </c>
      <c r="BN218" s="314">
        <v>44193</v>
      </c>
      <c r="BO218" s="460"/>
      <c r="BP218" s="390"/>
      <c r="BQ218" s="297"/>
      <c r="BR218" s="303"/>
      <c r="BS218" s="301"/>
      <c r="BT218" s="301"/>
      <c r="BU218" s="301"/>
      <c r="BV218" s="301"/>
      <c r="BW218" s="316"/>
      <c r="BX218" s="304"/>
      <c r="BY218" s="299"/>
      <c r="BZ218" s="317"/>
      <c r="CA218" s="509"/>
      <c r="CB218" s="509"/>
      <c r="CC218" s="509"/>
      <c r="CD218" s="509"/>
      <c r="CE218" s="509"/>
      <c r="CF218" s="509"/>
      <c r="CG218" s="509"/>
      <c r="CH218" s="509"/>
      <c r="CI218" s="509"/>
      <c r="CJ218" s="509"/>
      <c r="CK218" s="509"/>
      <c r="CL218" s="509"/>
      <c r="CM218" s="509"/>
      <c r="CN218" s="509"/>
      <c r="CO218" s="509"/>
      <c r="CP218" s="509"/>
      <c r="CQ218" s="509"/>
      <c r="CR218" s="509"/>
      <c r="CS218" s="509"/>
      <c r="CT218" s="509"/>
      <c r="CU218" s="509"/>
      <c r="CV218" s="509"/>
      <c r="CW218" s="509"/>
      <c r="CX218" s="509"/>
      <c r="CY218" s="509"/>
      <c r="CZ218" s="509"/>
      <c r="DA218" s="509"/>
      <c r="DB218" s="509"/>
      <c r="DC218" s="509"/>
      <c r="DD218" s="509"/>
      <c r="DE218" s="509"/>
      <c r="DF218" s="509"/>
      <c r="DG218" s="509"/>
      <c r="DH218" s="509"/>
      <c r="DI218" s="509"/>
      <c r="DJ218" s="509"/>
      <c r="DK218" s="509"/>
      <c r="DL218" s="509"/>
      <c r="DM218" s="509"/>
      <c r="DN218" s="509"/>
      <c r="DO218" s="509"/>
      <c r="DP218" s="509"/>
      <c r="DQ218" s="509"/>
      <c r="DR218" s="509"/>
      <c r="DS218" s="509"/>
      <c r="DT218" s="509"/>
      <c r="DU218" s="509"/>
      <c r="DV218" s="509"/>
      <c r="DW218" s="509"/>
      <c r="DX218" s="509"/>
      <c r="DY218" s="509"/>
      <c r="DZ218" s="509"/>
      <c r="EA218" s="509"/>
      <c r="EB218" s="509"/>
      <c r="EC218" s="509"/>
      <c r="ED218" s="509"/>
      <c r="EE218" s="509"/>
      <c r="EF218" s="509"/>
      <c r="EG218" s="509"/>
      <c r="EH218" s="509"/>
      <c r="EI218" s="509"/>
      <c r="EJ218" s="509"/>
      <c r="EK218" s="509"/>
      <c r="EL218" s="509"/>
      <c r="EM218" s="509"/>
      <c r="EN218" s="509"/>
      <c r="EO218" s="509"/>
      <c r="EP218" s="509"/>
      <c r="EQ218" s="509"/>
      <c r="ER218" s="509"/>
      <c r="ES218" s="509"/>
      <c r="ET218" s="509"/>
      <c r="EU218" s="509"/>
      <c r="EV218" s="509"/>
      <c r="EW218" s="509"/>
      <c r="EX218" s="509"/>
      <c r="EY218" s="509"/>
      <c r="EZ218" s="509"/>
      <c r="FA218" s="509"/>
      <c r="FB218" s="509"/>
      <c r="FC218" s="509"/>
      <c r="FD218" s="509"/>
      <c r="FE218" s="509"/>
      <c r="FF218" s="509"/>
      <c r="FG218" s="509"/>
      <c r="FH218" s="509"/>
      <c r="FI218" s="509"/>
      <c r="FJ218" s="509"/>
      <c r="FK218" s="509"/>
      <c r="FL218" s="509"/>
      <c r="FM218" s="509"/>
      <c r="FN218" s="509"/>
      <c r="FO218" s="509"/>
      <c r="FP218" s="509"/>
      <c r="FQ218" s="509"/>
      <c r="FR218" s="509"/>
      <c r="FS218" s="509"/>
      <c r="FT218" s="509"/>
      <c r="FU218" s="509"/>
      <c r="FV218" s="509"/>
      <c r="FW218" s="509"/>
      <c r="FX218" s="509"/>
      <c r="FY218" s="509"/>
      <c r="FZ218" s="509"/>
      <c r="GA218" s="509"/>
      <c r="GB218" s="509"/>
      <c r="GC218" s="509"/>
      <c r="GD218" s="509"/>
      <c r="GE218" s="509"/>
      <c r="GF218" s="509"/>
      <c r="GG218" s="509"/>
      <c r="GH218" s="509"/>
      <c r="GI218" s="509"/>
      <c r="GJ218" s="509"/>
      <c r="GK218" s="509"/>
      <c r="GL218" s="509"/>
      <c r="GM218" s="509"/>
      <c r="GN218" s="509"/>
      <c r="GO218" s="509"/>
      <c r="GP218" s="509"/>
      <c r="GQ218" s="509"/>
      <c r="GR218" s="509"/>
      <c r="GS218" s="509"/>
      <c r="GT218" s="509"/>
      <c r="GU218" s="509"/>
      <c r="GV218" s="509"/>
      <c r="GW218" s="509"/>
      <c r="GX218" s="509"/>
      <c r="GY218" s="509"/>
      <c r="GZ218" s="509"/>
      <c r="HA218" s="509"/>
      <c r="HB218" s="509"/>
      <c r="HC218" s="509"/>
      <c r="HD218" s="509"/>
      <c r="HE218" s="509"/>
      <c r="HF218" s="509"/>
      <c r="HG218" s="509"/>
      <c r="HH218" s="509"/>
      <c r="HI218" s="509"/>
      <c r="HJ218" s="509"/>
      <c r="HK218" s="509"/>
      <c r="HL218" s="509"/>
      <c r="HM218" s="509"/>
      <c r="HN218" s="509"/>
      <c r="HO218" s="509"/>
      <c r="HP218" s="509"/>
      <c r="HQ218" s="509"/>
      <c r="HR218" s="509"/>
      <c r="HS218" s="509"/>
      <c r="HT218" s="509"/>
      <c r="HU218" s="509"/>
      <c r="HV218" s="509"/>
      <c r="HW218" s="509"/>
      <c r="HX218" s="509"/>
      <c r="HY218" s="509"/>
      <c r="HZ218" s="509"/>
      <c r="IA218" s="509"/>
      <c r="IB218" s="509"/>
      <c r="IC218" s="509"/>
      <c r="ID218" s="509"/>
      <c r="IE218" s="509"/>
      <c r="IF218" s="509"/>
      <c r="IG218" s="509"/>
      <c r="IH218" s="509"/>
      <c r="II218" s="509"/>
      <c r="IJ218" s="509"/>
      <c r="IK218" s="509"/>
      <c r="IL218" s="509"/>
      <c r="IM218" s="509"/>
      <c r="IN218" s="509"/>
      <c r="IO218" s="509"/>
      <c r="IP218" s="509"/>
      <c r="IQ218" s="509"/>
      <c r="IR218" s="509"/>
      <c r="IS218" s="509"/>
      <c r="IT218" s="509"/>
      <c r="IU218" s="509"/>
      <c r="IV218" s="509"/>
      <c r="IW218" s="509"/>
      <c r="IX218" s="509"/>
      <c r="IY218" s="509"/>
      <c r="IZ218" s="509"/>
      <c r="JA218" s="509"/>
      <c r="JB218" s="509"/>
      <c r="JC218" s="509"/>
      <c r="JD218" s="509"/>
      <c r="JE218" s="509"/>
      <c r="JF218" s="509"/>
      <c r="JG218" s="509"/>
      <c r="JH218" s="509"/>
      <c r="JI218" s="509"/>
      <c r="JJ218" s="509"/>
      <c r="JK218" s="509"/>
      <c r="JL218" s="509"/>
      <c r="JM218" s="509"/>
      <c r="JN218" s="509"/>
      <c r="JO218" s="509"/>
      <c r="JP218" s="509"/>
      <c r="JQ218" s="509"/>
      <c r="JR218" s="509"/>
      <c r="JS218" s="509"/>
      <c r="JT218" s="509"/>
      <c r="JU218" s="509"/>
      <c r="JV218" s="509"/>
      <c r="JW218" s="509"/>
      <c r="JX218" s="509"/>
      <c r="JY218" s="509"/>
      <c r="JZ218" s="509"/>
      <c r="KA218" s="509"/>
      <c r="KB218" s="509"/>
      <c r="KC218" s="509"/>
      <c r="KD218" s="509"/>
      <c r="KE218" s="509"/>
      <c r="KF218" s="509"/>
      <c r="KG218" s="509"/>
      <c r="KH218" s="509"/>
      <c r="KI218" s="509"/>
      <c r="KJ218" s="509"/>
      <c r="KK218" s="509"/>
      <c r="KL218" s="509"/>
      <c r="KM218" s="509"/>
      <c r="KN218" s="509"/>
      <c r="KO218" s="509"/>
      <c r="KP218" s="509"/>
      <c r="KQ218" s="509"/>
      <c r="KR218" s="509"/>
      <c r="KS218" s="509"/>
      <c r="KT218" s="509"/>
      <c r="KU218" s="509"/>
      <c r="KV218" s="509"/>
      <c r="KW218" s="509"/>
      <c r="KX218" s="509"/>
      <c r="KY218" s="509"/>
      <c r="KZ218" s="509"/>
      <c r="LA218" s="509"/>
      <c r="LB218" s="509"/>
      <c r="LC218" s="509"/>
      <c r="LD218" s="509"/>
      <c r="LE218" s="509"/>
      <c r="LF218" s="509"/>
      <c r="LG218" s="509"/>
      <c r="LH218" s="509"/>
      <c r="LI218" s="509"/>
      <c r="LJ218" s="509"/>
      <c r="LK218" s="509"/>
      <c r="LL218" s="509"/>
      <c r="LM218" s="509"/>
      <c r="LN218" s="509"/>
      <c r="LO218" s="509"/>
      <c r="LP218" s="509"/>
      <c r="LQ218" s="509"/>
      <c r="LR218" s="509"/>
      <c r="LS218" s="509"/>
      <c r="LT218" s="509"/>
      <c r="LU218" s="509"/>
      <c r="LV218" s="509"/>
      <c r="LW218" s="509"/>
      <c r="LX218" s="509"/>
      <c r="LY218" s="509"/>
      <c r="LZ218" s="509"/>
      <c r="MA218" s="509"/>
      <c r="MB218" s="509"/>
      <c r="MC218" s="509"/>
      <c r="MD218" s="509"/>
      <c r="ME218" s="509"/>
      <c r="MF218" s="509"/>
      <c r="MG218" s="509"/>
      <c r="MH218" s="509"/>
      <c r="MI218" s="509"/>
      <c r="MJ218" s="509"/>
      <c r="MK218" s="509"/>
      <c r="ML218" s="509"/>
      <c r="MM218" s="509"/>
      <c r="MN218" s="509"/>
      <c r="MO218" s="509"/>
      <c r="MP218" s="509"/>
      <c r="MQ218" s="509"/>
      <c r="MR218" s="509"/>
      <c r="MS218" s="509"/>
      <c r="MT218" s="509"/>
      <c r="MU218" s="509"/>
      <c r="MV218" s="509"/>
      <c r="MW218" s="509"/>
      <c r="MX218" s="509"/>
      <c r="MY218" s="509"/>
      <c r="MZ218" s="509"/>
      <c r="NA218" s="509"/>
      <c r="NB218" s="509"/>
      <c r="NC218" s="509"/>
      <c r="ND218" s="509"/>
      <c r="NE218" s="509"/>
      <c r="NF218" s="509"/>
      <c r="NG218" s="509"/>
      <c r="NH218" s="509"/>
      <c r="NI218" s="509"/>
      <c r="NJ218" s="509"/>
      <c r="NK218" s="509"/>
      <c r="NL218" s="509"/>
      <c r="NM218" s="509"/>
      <c r="NN218" s="509"/>
      <c r="NO218" s="509"/>
      <c r="NP218" s="509"/>
      <c r="NQ218" s="509"/>
      <c r="NR218" s="509"/>
      <c r="NS218" s="509"/>
      <c r="NT218" s="509"/>
      <c r="NU218" s="509"/>
      <c r="NV218" s="509"/>
      <c r="NW218" s="509"/>
      <c r="NX218" s="509"/>
      <c r="NY218" s="509"/>
      <c r="NZ218" s="509"/>
      <c r="OA218" s="509"/>
      <c r="OB218" s="509"/>
      <c r="OC218" s="509"/>
      <c r="OD218" s="509"/>
      <c r="OE218" s="509"/>
      <c r="OF218" s="509"/>
      <c r="OG218" s="509"/>
      <c r="OH218" s="509"/>
      <c r="OI218" s="509"/>
      <c r="OJ218" s="509"/>
      <c r="OK218" s="509"/>
      <c r="OL218" s="509"/>
      <c r="OM218" s="509"/>
      <c r="ON218" s="509"/>
      <c r="OO218" s="509"/>
      <c r="OP218" s="509"/>
      <c r="OQ218" s="509"/>
      <c r="OR218" s="509"/>
      <c r="OS218" s="509"/>
      <c r="OT218" s="509"/>
      <c r="OU218" s="509"/>
      <c r="OV218" s="509"/>
      <c r="OW218" s="509"/>
      <c r="OX218" s="509"/>
      <c r="OY218" s="509"/>
      <c r="OZ218" s="509"/>
      <c r="PA218" s="509"/>
      <c r="PB218" s="509"/>
      <c r="PC218" s="509"/>
      <c r="PD218" s="509"/>
      <c r="PE218" s="509"/>
      <c r="PF218" s="509"/>
      <c r="PG218" s="509"/>
      <c r="PH218" s="509"/>
      <c r="PI218" s="509"/>
      <c r="PJ218" s="509"/>
      <c r="PK218" s="509"/>
      <c r="PL218" s="509"/>
      <c r="PM218" s="509"/>
      <c r="PN218" s="509"/>
      <c r="PO218" s="509"/>
      <c r="PP218" s="509"/>
      <c r="PQ218" s="509"/>
      <c r="PR218" s="509"/>
      <c r="PS218" s="509"/>
      <c r="PT218" s="509"/>
      <c r="PU218" s="509"/>
      <c r="PV218" s="509"/>
      <c r="PW218" s="509"/>
      <c r="PX218" s="509"/>
      <c r="PY218" s="509"/>
      <c r="PZ218" s="509"/>
      <c r="QA218" s="509"/>
      <c r="QB218" s="509"/>
      <c r="QC218" s="509"/>
      <c r="QD218" s="509"/>
      <c r="QE218" s="509"/>
      <c r="QF218" s="509"/>
      <c r="QG218" s="509"/>
      <c r="QH218" s="509"/>
      <c r="QI218" s="509"/>
      <c r="QJ218" s="509"/>
      <c r="QK218" s="509"/>
      <c r="QL218" s="509"/>
      <c r="QM218" s="509"/>
      <c r="QN218" s="509"/>
      <c r="QO218" s="509"/>
      <c r="QP218" s="509"/>
      <c r="QQ218" s="509"/>
      <c r="QR218" s="509"/>
      <c r="QS218" s="509"/>
      <c r="QT218" s="509"/>
      <c r="QU218" s="509"/>
      <c r="QV218" s="509"/>
      <c r="QW218" s="509"/>
      <c r="QX218" s="509"/>
      <c r="QY218" s="509"/>
      <c r="QZ218" s="509"/>
      <c r="RA218" s="509"/>
      <c r="RB218" s="509"/>
      <c r="RC218" s="509"/>
      <c r="RD218" s="509"/>
      <c r="RE218" s="509"/>
      <c r="RF218" s="509"/>
      <c r="RG218" s="509"/>
      <c r="RH218" s="509"/>
      <c r="RI218" s="509"/>
      <c r="RJ218" s="509"/>
      <c r="RK218" s="509"/>
      <c r="RL218" s="509"/>
      <c r="RM218" s="509"/>
      <c r="RN218" s="509"/>
      <c r="RO218" s="509"/>
      <c r="RP218" s="509"/>
      <c r="RQ218" s="509"/>
      <c r="RR218" s="509"/>
      <c r="RS218" s="509"/>
      <c r="RT218" s="509"/>
      <c r="RU218" s="509"/>
      <c r="RV218" s="509"/>
      <c r="RW218" s="509"/>
      <c r="RX218" s="509"/>
      <c r="RY218" s="509"/>
      <c r="RZ218" s="509"/>
      <c r="SA218" s="509"/>
      <c r="SB218" s="509"/>
      <c r="SC218" s="509"/>
      <c r="SD218" s="509"/>
      <c r="SE218" s="509"/>
      <c r="SF218" s="509"/>
      <c r="SG218" s="509"/>
      <c r="SH218" s="509"/>
      <c r="SI218" s="509"/>
      <c r="SJ218" s="509"/>
      <c r="SK218" s="509"/>
      <c r="SL218" s="509"/>
      <c r="SM218" s="509"/>
      <c r="SN218" s="509"/>
      <c r="SO218" s="509"/>
      <c r="SP218" s="509"/>
      <c r="SQ218" s="509"/>
      <c r="SR218" s="509"/>
      <c r="SS218" s="509"/>
      <c r="ST218" s="509"/>
      <c r="SU218" s="509"/>
      <c r="SV218" s="509"/>
      <c r="SW218" s="509"/>
      <c r="SX218" s="509"/>
      <c r="SY218" s="509"/>
      <c r="SZ218" s="509"/>
      <c r="TA218" s="509"/>
      <c r="TB218" s="509"/>
      <c r="TC218" s="509"/>
      <c r="TD218" s="509"/>
      <c r="TE218" s="509"/>
      <c r="TF218" s="509"/>
      <c r="TG218" s="509"/>
      <c r="TH218" s="509"/>
      <c r="TI218" s="509"/>
      <c r="TJ218" s="509"/>
      <c r="TK218" s="509"/>
      <c r="TL218" s="509"/>
      <c r="TM218" s="509"/>
      <c r="TN218" s="509"/>
      <c r="TO218" s="509"/>
      <c r="TP218" s="509"/>
      <c r="TQ218" s="509"/>
      <c r="TR218" s="509"/>
      <c r="TS218" s="509"/>
      <c r="TT218" s="509"/>
      <c r="TU218" s="509"/>
      <c r="TV218" s="509"/>
      <c r="TW218" s="509"/>
      <c r="TX218" s="509"/>
      <c r="TY218" s="509"/>
      <c r="TZ218" s="509"/>
      <c r="UA218" s="509"/>
      <c r="UB218" s="509"/>
      <c r="UC218" s="509"/>
      <c r="UD218" s="509"/>
      <c r="UE218" s="509"/>
      <c r="UF218" s="509"/>
      <c r="UG218" s="509"/>
      <c r="UH218" s="509"/>
      <c r="UI218" s="509"/>
    </row>
    <row r="219" spans="1:555" ht="78.75" customHeight="1">
      <c r="A219" s="296">
        <v>248</v>
      </c>
      <c r="B219" s="297" t="s">
        <v>8240</v>
      </c>
      <c r="C219" s="298" t="s">
        <v>2941</v>
      </c>
      <c r="D219" s="354" t="s">
        <v>2942</v>
      </c>
      <c r="E219" s="299">
        <v>42467</v>
      </c>
      <c r="F219" s="300">
        <v>42461</v>
      </c>
      <c r="G219" s="301" t="s">
        <v>2943</v>
      </c>
      <c r="H219" s="297" t="s">
        <v>63</v>
      </c>
      <c r="I219" s="297" t="s">
        <v>131</v>
      </c>
      <c r="J219" s="299">
        <v>42538</v>
      </c>
      <c r="K219" s="300">
        <v>42522</v>
      </c>
      <c r="L219" s="301" t="s">
        <v>2944</v>
      </c>
      <c r="M219" s="297" t="s">
        <v>63</v>
      </c>
      <c r="N219" s="297" t="s">
        <v>336</v>
      </c>
      <c r="O219" s="299">
        <v>42640</v>
      </c>
      <c r="P219" s="302">
        <v>42614</v>
      </c>
      <c r="Q219" s="301" t="s">
        <v>2945</v>
      </c>
      <c r="R219" s="297" t="s">
        <v>2346</v>
      </c>
      <c r="S219" s="297" t="s">
        <v>336</v>
      </c>
      <c r="T219" s="299">
        <v>42751</v>
      </c>
      <c r="U219" s="300">
        <v>42736</v>
      </c>
      <c r="V219" s="301" t="s">
        <v>2946</v>
      </c>
      <c r="W219" s="297" t="s">
        <v>171</v>
      </c>
      <c r="X219" s="297" t="s">
        <v>2947</v>
      </c>
      <c r="Y219" s="299">
        <v>42886</v>
      </c>
      <c r="Z219" s="300">
        <v>42856</v>
      </c>
      <c r="AA219" s="301" t="s">
        <v>2948</v>
      </c>
      <c r="AB219" s="297" t="s">
        <v>63</v>
      </c>
      <c r="AC219" s="297" t="s">
        <v>2832</v>
      </c>
      <c r="AD219" s="299" t="s">
        <v>2949</v>
      </c>
      <c r="AE219" s="300" t="s">
        <v>2950</v>
      </c>
      <c r="AF219" s="301" t="s">
        <v>2951</v>
      </c>
      <c r="AG219" s="297" t="s">
        <v>2952</v>
      </c>
      <c r="AH219" s="297" t="s">
        <v>2953</v>
      </c>
      <c r="AI219" s="299" t="s">
        <v>8389</v>
      </c>
      <c r="AJ219" s="300" t="s">
        <v>8390</v>
      </c>
      <c r="AK219" s="304" t="s">
        <v>8388</v>
      </c>
      <c r="AL219" s="297" t="s">
        <v>8391</v>
      </c>
      <c r="AM219" s="304" t="s">
        <v>8392</v>
      </c>
      <c r="AN219" s="297" t="s">
        <v>1359</v>
      </c>
      <c r="AO219" s="540">
        <v>43010</v>
      </c>
      <c r="AP219" s="297"/>
      <c r="AQ219" s="301" t="s">
        <v>2954</v>
      </c>
      <c r="AR219" s="297" t="s">
        <v>161</v>
      </c>
      <c r="AS219" s="299" t="s">
        <v>67</v>
      </c>
      <c r="AT219" s="299" t="s">
        <v>67</v>
      </c>
      <c r="AU219" s="297" t="s">
        <v>2955</v>
      </c>
      <c r="AV219" s="297"/>
      <c r="AW219" s="297" t="s">
        <v>92</v>
      </c>
      <c r="AX219" s="297" t="s">
        <v>2956</v>
      </c>
      <c r="AY219" s="299">
        <v>41851</v>
      </c>
      <c r="AZ219" s="297" t="s">
        <v>1245</v>
      </c>
      <c r="BA219" s="299">
        <v>42283</v>
      </c>
      <c r="BB219" s="382">
        <v>42307</v>
      </c>
      <c r="BC219" s="303" t="s">
        <v>561</v>
      </c>
      <c r="BD219" s="303" t="s">
        <v>2690</v>
      </c>
      <c r="BE219" s="297" t="s">
        <v>2957</v>
      </c>
      <c r="BF219" s="301" t="s">
        <v>8731</v>
      </c>
      <c r="BG219" s="301"/>
      <c r="BH219" s="301" t="s">
        <v>9424</v>
      </c>
      <c r="BI219" s="301"/>
      <c r="BJ219" s="312">
        <f>+[66]MATRIZ!$K$32</f>
        <v>320778963.82308954</v>
      </c>
      <c r="BK219" s="312">
        <v>381748809</v>
      </c>
      <c r="BL219" s="313">
        <v>95877120</v>
      </c>
      <c r="BM219" s="299">
        <v>43944</v>
      </c>
      <c r="BN219" s="314">
        <v>43944</v>
      </c>
      <c r="BO219" s="460"/>
      <c r="BP219" s="390"/>
      <c r="BQ219" s="297"/>
      <c r="BR219" s="303"/>
      <c r="BS219" s="301"/>
      <c r="BT219" s="301"/>
      <c r="BU219" s="301"/>
      <c r="BV219" s="301"/>
      <c r="BW219" s="316"/>
      <c r="BX219" s="304"/>
      <c r="BY219" s="299"/>
      <c r="BZ219" s="317"/>
      <c r="CA219" s="509"/>
      <c r="CB219" s="509"/>
      <c r="CC219" s="509"/>
      <c r="CD219" s="509"/>
      <c r="CE219" s="509"/>
      <c r="CF219" s="509"/>
      <c r="CG219" s="509"/>
      <c r="CH219" s="509"/>
      <c r="CI219" s="509"/>
      <c r="CJ219" s="509"/>
      <c r="CK219" s="509"/>
      <c r="CL219" s="509"/>
      <c r="CM219" s="509"/>
      <c r="CN219" s="509"/>
      <c r="CO219" s="509"/>
      <c r="CP219" s="509"/>
      <c r="CQ219" s="509"/>
      <c r="CR219" s="509"/>
      <c r="CS219" s="509"/>
      <c r="CT219" s="509"/>
      <c r="CU219" s="509"/>
      <c r="CV219" s="509"/>
      <c r="CW219" s="509"/>
      <c r="CX219" s="509"/>
      <c r="CY219" s="509"/>
      <c r="CZ219" s="509"/>
      <c r="DA219" s="509"/>
      <c r="DB219" s="509"/>
      <c r="DC219" s="509"/>
      <c r="DD219" s="509"/>
      <c r="DE219" s="509"/>
      <c r="DF219" s="509"/>
      <c r="DG219" s="509"/>
      <c r="DH219" s="509"/>
      <c r="DI219" s="509"/>
      <c r="DJ219" s="509"/>
      <c r="DK219" s="509"/>
      <c r="DL219" s="509"/>
      <c r="DM219" s="509"/>
      <c r="DN219" s="509"/>
      <c r="DO219" s="509"/>
      <c r="DP219" s="509"/>
      <c r="DQ219" s="509"/>
      <c r="DR219" s="509"/>
      <c r="DS219" s="509"/>
      <c r="DT219" s="509"/>
      <c r="DU219" s="509"/>
      <c r="DV219" s="509"/>
      <c r="DW219" s="509"/>
      <c r="DX219" s="509"/>
      <c r="DY219" s="509"/>
      <c r="DZ219" s="509"/>
      <c r="EA219" s="509"/>
      <c r="EB219" s="509"/>
      <c r="EC219" s="509"/>
      <c r="ED219" s="509"/>
      <c r="EE219" s="509"/>
      <c r="EF219" s="509"/>
      <c r="EG219" s="509"/>
      <c r="EH219" s="509"/>
      <c r="EI219" s="509"/>
      <c r="EJ219" s="509"/>
      <c r="EK219" s="509"/>
      <c r="EL219" s="509"/>
      <c r="EM219" s="509"/>
      <c r="EN219" s="509"/>
      <c r="EO219" s="509"/>
      <c r="EP219" s="509"/>
      <c r="EQ219" s="509"/>
      <c r="ER219" s="509"/>
      <c r="ES219" s="509"/>
      <c r="ET219" s="509"/>
      <c r="EU219" s="509"/>
      <c r="EV219" s="509"/>
      <c r="EW219" s="509"/>
      <c r="EX219" s="509"/>
      <c r="EY219" s="509"/>
      <c r="EZ219" s="509"/>
      <c r="FA219" s="509"/>
      <c r="FB219" s="509"/>
      <c r="FC219" s="509"/>
      <c r="FD219" s="509"/>
      <c r="FE219" s="509"/>
      <c r="FF219" s="509"/>
      <c r="FG219" s="509"/>
      <c r="FH219" s="509"/>
      <c r="FI219" s="509"/>
      <c r="FJ219" s="509"/>
      <c r="FK219" s="509"/>
      <c r="FL219" s="509"/>
      <c r="FM219" s="509"/>
      <c r="FN219" s="509"/>
      <c r="FO219" s="509"/>
      <c r="FP219" s="509"/>
      <c r="FQ219" s="509"/>
      <c r="FR219" s="509"/>
      <c r="FS219" s="509"/>
      <c r="FT219" s="509"/>
      <c r="FU219" s="509"/>
      <c r="FV219" s="509"/>
      <c r="FW219" s="509"/>
      <c r="FX219" s="509"/>
      <c r="FY219" s="509"/>
      <c r="FZ219" s="509"/>
      <c r="GA219" s="509"/>
      <c r="GB219" s="509"/>
      <c r="GC219" s="509"/>
      <c r="GD219" s="509"/>
      <c r="GE219" s="509"/>
      <c r="GF219" s="509"/>
      <c r="GG219" s="509"/>
      <c r="GH219" s="509"/>
      <c r="GI219" s="509"/>
      <c r="GJ219" s="509"/>
      <c r="GK219" s="509"/>
      <c r="GL219" s="509"/>
      <c r="GM219" s="509"/>
      <c r="GN219" s="509"/>
      <c r="GO219" s="509"/>
      <c r="GP219" s="509"/>
      <c r="GQ219" s="509"/>
      <c r="GR219" s="509"/>
      <c r="GS219" s="509"/>
      <c r="GT219" s="509"/>
      <c r="GU219" s="509"/>
      <c r="GV219" s="509"/>
      <c r="GW219" s="509"/>
      <c r="GX219" s="509"/>
      <c r="GY219" s="509"/>
      <c r="GZ219" s="509"/>
      <c r="HA219" s="509"/>
      <c r="HB219" s="509"/>
      <c r="HC219" s="509"/>
      <c r="HD219" s="509"/>
      <c r="HE219" s="509"/>
      <c r="HF219" s="509"/>
      <c r="HG219" s="509"/>
      <c r="HH219" s="509"/>
      <c r="HI219" s="509"/>
      <c r="HJ219" s="509"/>
      <c r="HK219" s="509"/>
      <c r="HL219" s="509"/>
      <c r="HM219" s="509"/>
      <c r="HN219" s="509"/>
      <c r="HO219" s="509"/>
      <c r="HP219" s="509"/>
      <c r="HQ219" s="509"/>
      <c r="HR219" s="509"/>
      <c r="HS219" s="509"/>
      <c r="HT219" s="509"/>
      <c r="HU219" s="509"/>
      <c r="HV219" s="509"/>
      <c r="HW219" s="509"/>
      <c r="HX219" s="509"/>
      <c r="HY219" s="509"/>
      <c r="HZ219" s="509"/>
      <c r="IA219" s="509"/>
      <c r="IB219" s="509"/>
      <c r="IC219" s="509"/>
      <c r="ID219" s="509"/>
      <c r="IE219" s="509"/>
      <c r="IF219" s="509"/>
      <c r="IG219" s="509"/>
      <c r="IH219" s="509"/>
      <c r="II219" s="509"/>
      <c r="IJ219" s="509"/>
      <c r="IK219" s="509"/>
      <c r="IL219" s="509"/>
      <c r="IM219" s="509"/>
      <c r="IN219" s="509"/>
      <c r="IO219" s="509"/>
      <c r="IP219" s="509"/>
      <c r="IQ219" s="509"/>
      <c r="IR219" s="509"/>
      <c r="IS219" s="509"/>
      <c r="IT219" s="509"/>
      <c r="IU219" s="509"/>
      <c r="IV219" s="509"/>
      <c r="IW219" s="509"/>
      <c r="IX219" s="509"/>
      <c r="IY219" s="509"/>
      <c r="IZ219" s="509"/>
      <c r="JA219" s="509"/>
      <c r="JB219" s="509"/>
      <c r="JC219" s="509"/>
      <c r="JD219" s="509"/>
      <c r="JE219" s="509"/>
      <c r="JF219" s="509"/>
      <c r="JG219" s="509"/>
      <c r="JH219" s="509"/>
      <c r="JI219" s="509"/>
      <c r="JJ219" s="509"/>
      <c r="JK219" s="509"/>
      <c r="JL219" s="509"/>
      <c r="JM219" s="509"/>
      <c r="JN219" s="509"/>
      <c r="JO219" s="509"/>
      <c r="JP219" s="509"/>
      <c r="JQ219" s="509"/>
      <c r="JR219" s="509"/>
      <c r="JS219" s="509"/>
      <c r="JT219" s="509"/>
      <c r="JU219" s="509"/>
      <c r="JV219" s="509"/>
      <c r="JW219" s="509"/>
      <c r="JX219" s="509"/>
      <c r="JY219" s="509"/>
      <c r="JZ219" s="509"/>
      <c r="KA219" s="509"/>
      <c r="KB219" s="509"/>
      <c r="KC219" s="509"/>
      <c r="KD219" s="509"/>
      <c r="KE219" s="509"/>
      <c r="KF219" s="509"/>
      <c r="KG219" s="509"/>
      <c r="KH219" s="509"/>
      <c r="KI219" s="509"/>
      <c r="KJ219" s="509"/>
      <c r="KK219" s="509"/>
      <c r="KL219" s="509"/>
      <c r="KM219" s="509"/>
      <c r="KN219" s="509"/>
      <c r="KO219" s="509"/>
      <c r="KP219" s="509"/>
      <c r="KQ219" s="509"/>
      <c r="KR219" s="509"/>
      <c r="KS219" s="509"/>
      <c r="KT219" s="509"/>
      <c r="KU219" s="509"/>
      <c r="KV219" s="509"/>
      <c r="KW219" s="509"/>
      <c r="KX219" s="509"/>
      <c r="KY219" s="509"/>
      <c r="KZ219" s="509"/>
      <c r="LA219" s="509"/>
      <c r="LB219" s="509"/>
      <c r="LC219" s="509"/>
      <c r="LD219" s="509"/>
      <c r="LE219" s="509"/>
      <c r="LF219" s="509"/>
      <c r="LG219" s="509"/>
      <c r="LH219" s="509"/>
      <c r="LI219" s="509"/>
      <c r="LJ219" s="509"/>
      <c r="LK219" s="509"/>
      <c r="LL219" s="509"/>
      <c r="LM219" s="509"/>
      <c r="LN219" s="509"/>
      <c r="LO219" s="509"/>
      <c r="LP219" s="509"/>
      <c r="LQ219" s="509"/>
      <c r="LR219" s="509"/>
      <c r="LS219" s="509"/>
      <c r="LT219" s="509"/>
      <c r="LU219" s="509"/>
      <c r="LV219" s="509"/>
      <c r="LW219" s="509"/>
      <c r="LX219" s="509"/>
      <c r="LY219" s="509"/>
      <c r="LZ219" s="509"/>
      <c r="MA219" s="509"/>
      <c r="MB219" s="509"/>
      <c r="MC219" s="509"/>
      <c r="MD219" s="509"/>
      <c r="ME219" s="509"/>
      <c r="MF219" s="509"/>
      <c r="MG219" s="509"/>
      <c r="MH219" s="509"/>
      <c r="MI219" s="509"/>
      <c r="MJ219" s="509"/>
      <c r="MK219" s="509"/>
      <c r="ML219" s="509"/>
      <c r="MM219" s="509"/>
      <c r="MN219" s="509"/>
      <c r="MO219" s="509"/>
      <c r="MP219" s="509"/>
      <c r="MQ219" s="509"/>
      <c r="MR219" s="509"/>
      <c r="MS219" s="509"/>
      <c r="MT219" s="509"/>
      <c r="MU219" s="509"/>
      <c r="MV219" s="509"/>
      <c r="MW219" s="509"/>
      <c r="MX219" s="509"/>
      <c r="MY219" s="509"/>
      <c r="MZ219" s="509"/>
      <c r="NA219" s="509"/>
      <c r="NB219" s="509"/>
      <c r="NC219" s="509"/>
      <c r="ND219" s="509"/>
      <c r="NE219" s="509"/>
      <c r="NF219" s="509"/>
      <c r="NG219" s="509"/>
      <c r="NH219" s="509"/>
      <c r="NI219" s="509"/>
      <c r="NJ219" s="509"/>
      <c r="NK219" s="509"/>
      <c r="NL219" s="509"/>
      <c r="NM219" s="509"/>
      <c r="NN219" s="509"/>
      <c r="NO219" s="509"/>
      <c r="NP219" s="509"/>
      <c r="NQ219" s="509"/>
      <c r="NR219" s="509"/>
      <c r="NS219" s="509"/>
      <c r="NT219" s="509"/>
      <c r="NU219" s="509"/>
      <c r="NV219" s="509"/>
      <c r="NW219" s="509"/>
      <c r="NX219" s="509"/>
      <c r="NY219" s="509"/>
      <c r="NZ219" s="509"/>
      <c r="OA219" s="509"/>
      <c r="OB219" s="509"/>
      <c r="OC219" s="509"/>
      <c r="OD219" s="509"/>
      <c r="OE219" s="509"/>
      <c r="OF219" s="509"/>
      <c r="OG219" s="509"/>
      <c r="OH219" s="509"/>
      <c r="OI219" s="509"/>
      <c r="OJ219" s="509"/>
      <c r="OK219" s="509"/>
      <c r="OL219" s="509"/>
      <c r="OM219" s="509"/>
      <c r="ON219" s="509"/>
      <c r="OO219" s="509"/>
      <c r="OP219" s="509"/>
      <c r="OQ219" s="509"/>
      <c r="OR219" s="509"/>
      <c r="OS219" s="509"/>
      <c r="OT219" s="509"/>
      <c r="OU219" s="509"/>
      <c r="OV219" s="509"/>
      <c r="OW219" s="509"/>
      <c r="OX219" s="509"/>
      <c r="OY219" s="509"/>
      <c r="OZ219" s="509"/>
      <c r="PA219" s="509"/>
      <c r="PB219" s="509"/>
      <c r="PC219" s="509"/>
      <c r="PD219" s="509"/>
      <c r="PE219" s="509"/>
      <c r="PF219" s="509"/>
      <c r="PG219" s="509"/>
      <c r="PH219" s="509"/>
      <c r="PI219" s="509"/>
      <c r="PJ219" s="509"/>
      <c r="PK219" s="509"/>
      <c r="PL219" s="509"/>
      <c r="PM219" s="509"/>
      <c r="PN219" s="509"/>
      <c r="PO219" s="509"/>
      <c r="PP219" s="509"/>
      <c r="PQ219" s="509"/>
      <c r="PR219" s="509"/>
      <c r="PS219" s="509"/>
      <c r="PT219" s="509"/>
      <c r="PU219" s="509"/>
      <c r="PV219" s="509"/>
      <c r="PW219" s="509"/>
      <c r="PX219" s="509"/>
      <c r="PY219" s="509"/>
      <c r="PZ219" s="509"/>
      <c r="QA219" s="509"/>
      <c r="QB219" s="509"/>
      <c r="QC219" s="509"/>
      <c r="QD219" s="509"/>
      <c r="QE219" s="509"/>
      <c r="QF219" s="509"/>
      <c r="QG219" s="509"/>
      <c r="QH219" s="509"/>
      <c r="QI219" s="509"/>
      <c r="QJ219" s="509"/>
      <c r="QK219" s="509"/>
      <c r="QL219" s="509"/>
      <c r="QM219" s="509"/>
      <c r="QN219" s="509"/>
      <c r="QO219" s="509"/>
      <c r="QP219" s="509"/>
      <c r="QQ219" s="509"/>
      <c r="QR219" s="509"/>
      <c r="QS219" s="509"/>
      <c r="QT219" s="509"/>
      <c r="QU219" s="509"/>
      <c r="QV219" s="509"/>
      <c r="QW219" s="509"/>
      <c r="QX219" s="509"/>
      <c r="QY219" s="509"/>
      <c r="QZ219" s="509"/>
      <c r="RA219" s="509"/>
      <c r="RB219" s="509"/>
      <c r="RC219" s="509"/>
      <c r="RD219" s="509"/>
      <c r="RE219" s="509"/>
      <c r="RF219" s="509"/>
      <c r="RG219" s="509"/>
      <c r="RH219" s="509"/>
      <c r="RI219" s="509"/>
      <c r="RJ219" s="509"/>
      <c r="RK219" s="509"/>
      <c r="RL219" s="509"/>
      <c r="RM219" s="509"/>
      <c r="RN219" s="509"/>
      <c r="RO219" s="509"/>
      <c r="RP219" s="509"/>
      <c r="RQ219" s="509"/>
      <c r="RR219" s="509"/>
      <c r="RS219" s="509"/>
      <c r="RT219" s="509"/>
      <c r="RU219" s="509"/>
      <c r="RV219" s="509"/>
      <c r="RW219" s="509"/>
      <c r="RX219" s="509"/>
      <c r="RY219" s="509"/>
      <c r="RZ219" s="509"/>
      <c r="SA219" s="509"/>
      <c r="SB219" s="509"/>
      <c r="SC219" s="509"/>
      <c r="SD219" s="509"/>
      <c r="SE219" s="509"/>
      <c r="SF219" s="509"/>
      <c r="SG219" s="509"/>
      <c r="SH219" s="509"/>
      <c r="SI219" s="509"/>
      <c r="SJ219" s="509"/>
      <c r="SK219" s="509"/>
      <c r="SL219" s="509"/>
      <c r="SM219" s="509"/>
      <c r="SN219" s="509"/>
      <c r="SO219" s="509"/>
      <c r="SP219" s="509"/>
      <c r="SQ219" s="509"/>
      <c r="SR219" s="509"/>
      <c r="SS219" s="509"/>
      <c r="ST219" s="509"/>
      <c r="SU219" s="509"/>
      <c r="SV219" s="509"/>
      <c r="SW219" s="509"/>
      <c r="SX219" s="509"/>
      <c r="SY219" s="509"/>
      <c r="SZ219" s="509"/>
      <c r="TA219" s="509"/>
      <c r="TB219" s="509"/>
      <c r="TC219" s="509"/>
      <c r="TD219" s="509"/>
      <c r="TE219" s="509"/>
      <c r="TF219" s="509"/>
      <c r="TG219" s="509"/>
      <c r="TH219" s="509"/>
      <c r="TI219" s="509"/>
      <c r="TJ219" s="509"/>
      <c r="TK219" s="509"/>
      <c r="TL219" s="509"/>
      <c r="TM219" s="509"/>
      <c r="TN219" s="509"/>
      <c r="TO219" s="509"/>
      <c r="TP219" s="509"/>
      <c r="TQ219" s="509"/>
      <c r="TR219" s="509"/>
      <c r="TS219" s="509"/>
      <c r="TT219" s="509"/>
      <c r="TU219" s="509"/>
      <c r="TV219" s="509"/>
      <c r="TW219" s="509"/>
      <c r="TX219" s="509"/>
      <c r="TY219" s="509"/>
      <c r="TZ219" s="509"/>
      <c r="UA219" s="509"/>
      <c r="UB219" s="509"/>
      <c r="UC219" s="509"/>
      <c r="UD219" s="509"/>
      <c r="UE219" s="509"/>
      <c r="UF219" s="509"/>
      <c r="UG219" s="509"/>
      <c r="UH219" s="509"/>
      <c r="UI219" s="509"/>
    </row>
    <row r="220" spans="1:555" ht="99.75" customHeight="1">
      <c r="A220" s="296">
        <v>249</v>
      </c>
      <c r="B220" s="297" t="s">
        <v>2958</v>
      </c>
      <c r="C220" s="298">
        <v>79799716</v>
      </c>
      <c r="D220" s="354" t="s">
        <v>333</v>
      </c>
      <c r="E220" s="299">
        <v>42468</v>
      </c>
      <c r="F220" s="300">
        <v>42461</v>
      </c>
      <c r="G220" s="301" t="s">
        <v>2959</v>
      </c>
      <c r="H220" s="297" t="s">
        <v>5</v>
      </c>
      <c r="I220" s="297" t="s">
        <v>101</v>
      </c>
      <c r="J220" s="299">
        <v>42884</v>
      </c>
      <c r="K220" s="300">
        <v>42856</v>
      </c>
      <c r="L220" s="301" t="s">
        <v>2960</v>
      </c>
      <c r="M220" s="297" t="s">
        <v>625</v>
      </c>
      <c r="N220" s="297" t="s">
        <v>183</v>
      </c>
      <c r="O220" s="299"/>
      <c r="P220" s="302"/>
      <c r="Q220" s="301"/>
      <c r="R220" s="297"/>
      <c r="S220" s="297"/>
      <c r="T220" s="299"/>
      <c r="U220" s="300"/>
      <c r="V220" s="301"/>
      <c r="W220" s="297"/>
      <c r="X220" s="297"/>
      <c r="Y220" s="299"/>
      <c r="Z220" s="300"/>
      <c r="AA220" s="301"/>
      <c r="AB220" s="297"/>
      <c r="AC220" s="297"/>
      <c r="AD220" s="299"/>
      <c r="AE220" s="300"/>
      <c r="AF220" s="301"/>
      <c r="AG220" s="297"/>
      <c r="AH220" s="297"/>
      <c r="AI220" s="304"/>
      <c r="AJ220" s="300"/>
      <c r="AK220" s="301"/>
      <c r="AL220" s="297"/>
      <c r="AM220" s="297"/>
      <c r="AN220" s="297" t="s">
        <v>2961</v>
      </c>
      <c r="AO220" s="540">
        <v>42468</v>
      </c>
      <c r="AP220" s="297"/>
      <c r="AQ220" s="301" t="s">
        <v>2962</v>
      </c>
      <c r="AR220" s="297" t="s">
        <v>161</v>
      </c>
      <c r="AS220" s="299">
        <v>38358</v>
      </c>
      <c r="AT220" s="299">
        <v>40717</v>
      </c>
      <c r="AU220" s="297" t="s">
        <v>2963</v>
      </c>
      <c r="AV220" s="297"/>
      <c r="AW220" s="297" t="s">
        <v>92</v>
      </c>
      <c r="AX220" s="297" t="s">
        <v>1779</v>
      </c>
      <c r="AY220" s="299">
        <v>42110</v>
      </c>
      <c r="AZ220" s="297" t="s">
        <v>2964</v>
      </c>
      <c r="BA220" s="299">
        <v>42314</v>
      </c>
      <c r="BB220" s="382">
        <v>42331</v>
      </c>
      <c r="BC220" s="297" t="s">
        <v>95</v>
      </c>
      <c r="BD220" s="297" t="s">
        <v>566</v>
      </c>
      <c r="BE220" s="297"/>
      <c r="BF220" s="301"/>
      <c r="BG220" s="301"/>
      <c r="BH220" s="301" t="s">
        <v>9850</v>
      </c>
      <c r="BI220" s="301"/>
      <c r="BJ220" s="301"/>
      <c r="BK220" s="312">
        <v>208779172</v>
      </c>
      <c r="BL220" s="313" t="s">
        <v>9851</v>
      </c>
      <c r="BM220" s="299" t="s">
        <v>9852</v>
      </c>
      <c r="BN220" s="314">
        <v>44161</v>
      </c>
      <c r="BO220" s="460"/>
      <c r="BP220" s="390"/>
      <c r="BQ220" s="297"/>
      <c r="BR220" s="303"/>
      <c r="BS220" s="301"/>
      <c r="BT220" s="301"/>
      <c r="BU220" s="301"/>
      <c r="BV220" s="301"/>
      <c r="BW220" s="316"/>
      <c r="BX220" s="304"/>
      <c r="BY220" s="299"/>
      <c r="BZ220" s="317"/>
      <c r="CA220" s="509"/>
      <c r="CB220" s="509"/>
      <c r="CC220" s="509"/>
      <c r="CD220" s="509"/>
      <c r="CE220" s="509"/>
      <c r="CF220" s="509"/>
      <c r="CG220" s="509"/>
      <c r="CH220" s="509"/>
      <c r="CI220" s="509"/>
      <c r="CJ220" s="509"/>
      <c r="CK220" s="509"/>
      <c r="CL220" s="509"/>
      <c r="CM220" s="509"/>
      <c r="CN220" s="509"/>
      <c r="CO220" s="509"/>
      <c r="CP220" s="509"/>
      <c r="CQ220" s="509"/>
      <c r="CR220" s="509"/>
      <c r="CS220" s="509"/>
      <c r="CT220" s="509"/>
      <c r="CU220" s="509"/>
      <c r="CV220" s="509"/>
      <c r="CW220" s="509"/>
      <c r="CX220" s="509"/>
      <c r="CY220" s="509"/>
      <c r="CZ220" s="509"/>
      <c r="DA220" s="509"/>
      <c r="DB220" s="509"/>
      <c r="DC220" s="509"/>
      <c r="DD220" s="509"/>
      <c r="DE220" s="509"/>
      <c r="DF220" s="509"/>
      <c r="DG220" s="509"/>
      <c r="DH220" s="509"/>
      <c r="DI220" s="509"/>
      <c r="DJ220" s="509"/>
      <c r="DK220" s="509"/>
      <c r="DL220" s="509"/>
      <c r="DM220" s="509"/>
      <c r="DN220" s="509"/>
      <c r="DO220" s="509"/>
      <c r="DP220" s="509"/>
      <c r="DQ220" s="509"/>
      <c r="DR220" s="509"/>
      <c r="DS220" s="509"/>
      <c r="DT220" s="509"/>
      <c r="DU220" s="509"/>
      <c r="DV220" s="509"/>
      <c r="DW220" s="509"/>
      <c r="DX220" s="509"/>
      <c r="DY220" s="509"/>
      <c r="DZ220" s="509"/>
      <c r="EA220" s="509"/>
      <c r="EB220" s="509"/>
      <c r="EC220" s="509"/>
      <c r="ED220" s="509"/>
      <c r="EE220" s="509"/>
      <c r="EF220" s="509"/>
      <c r="EG220" s="509"/>
      <c r="EH220" s="509"/>
      <c r="EI220" s="509"/>
      <c r="EJ220" s="509"/>
      <c r="EK220" s="509"/>
      <c r="EL220" s="509"/>
      <c r="EM220" s="509"/>
      <c r="EN220" s="509"/>
      <c r="EO220" s="509"/>
      <c r="EP220" s="509"/>
      <c r="EQ220" s="509"/>
      <c r="ER220" s="509"/>
      <c r="ES220" s="509"/>
      <c r="ET220" s="509"/>
      <c r="EU220" s="509"/>
      <c r="EV220" s="509"/>
      <c r="EW220" s="509"/>
      <c r="EX220" s="509"/>
      <c r="EY220" s="509"/>
      <c r="EZ220" s="509"/>
      <c r="FA220" s="509"/>
      <c r="FB220" s="509"/>
      <c r="FC220" s="509"/>
      <c r="FD220" s="509"/>
      <c r="FE220" s="509"/>
      <c r="FF220" s="509"/>
      <c r="FG220" s="509"/>
      <c r="FH220" s="509"/>
      <c r="FI220" s="509"/>
      <c r="FJ220" s="509"/>
      <c r="FK220" s="509"/>
      <c r="FL220" s="509"/>
      <c r="FM220" s="509"/>
      <c r="FN220" s="509"/>
      <c r="FO220" s="509"/>
      <c r="FP220" s="509"/>
      <c r="FQ220" s="509"/>
      <c r="FR220" s="509"/>
      <c r="FS220" s="509"/>
      <c r="FT220" s="509"/>
      <c r="FU220" s="509"/>
      <c r="FV220" s="509"/>
      <c r="FW220" s="509"/>
      <c r="FX220" s="509"/>
      <c r="FY220" s="509"/>
      <c r="FZ220" s="509"/>
      <c r="GA220" s="509"/>
      <c r="GB220" s="509"/>
      <c r="GC220" s="509"/>
      <c r="GD220" s="509"/>
      <c r="GE220" s="509"/>
      <c r="GF220" s="509"/>
      <c r="GG220" s="509"/>
      <c r="GH220" s="509"/>
      <c r="GI220" s="509"/>
      <c r="GJ220" s="509"/>
      <c r="GK220" s="509"/>
      <c r="GL220" s="509"/>
      <c r="GM220" s="509"/>
      <c r="GN220" s="509"/>
      <c r="GO220" s="509"/>
      <c r="GP220" s="509"/>
      <c r="GQ220" s="509"/>
      <c r="GR220" s="509"/>
      <c r="GS220" s="509"/>
      <c r="GT220" s="509"/>
      <c r="GU220" s="509"/>
      <c r="GV220" s="509"/>
      <c r="GW220" s="509"/>
      <c r="GX220" s="509"/>
      <c r="GY220" s="509"/>
      <c r="GZ220" s="509"/>
      <c r="HA220" s="509"/>
      <c r="HB220" s="509"/>
      <c r="HC220" s="509"/>
      <c r="HD220" s="509"/>
      <c r="HE220" s="509"/>
      <c r="HF220" s="509"/>
      <c r="HG220" s="509"/>
      <c r="HH220" s="509"/>
      <c r="HI220" s="509"/>
      <c r="HJ220" s="509"/>
      <c r="HK220" s="509"/>
      <c r="HL220" s="509"/>
      <c r="HM220" s="509"/>
      <c r="HN220" s="509"/>
      <c r="HO220" s="509"/>
      <c r="HP220" s="509"/>
      <c r="HQ220" s="509"/>
      <c r="HR220" s="509"/>
      <c r="HS220" s="509"/>
      <c r="HT220" s="509"/>
      <c r="HU220" s="509"/>
      <c r="HV220" s="509"/>
      <c r="HW220" s="509"/>
      <c r="HX220" s="509"/>
      <c r="HY220" s="509"/>
      <c r="HZ220" s="509"/>
      <c r="IA220" s="509"/>
      <c r="IB220" s="509"/>
      <c r="IC220" s="509"/>
      <c r="ID220" s="509"/>
      <c r="IE220" s="509"/>
      <c r="IF220" s="509"/>
      <c r="IG220" s="509"/>
      <c r="IH220" s="509"/>
      <c r="II220" s="509"/>
      <c r="IJ220" s="509"/>
      <c r="IK220" s="509"/>
      <c r="IL220" s="509"/>
      <c r="IM220" s="509"/>
      <c r="IN220" s="509"/>
      <c r="IO220" s="509"/>
      <c r="IP220" s="509"/>
      <c r="IQ220" s="509"/>
      <c r="IR220" s="509"/>
      <c r="IS220" s="509"/>
      <c r="IT220" s="509"/>
      <c r="IU220" s="509"/>
      <c r="IV220" s="509"/>
      <c r="IW220" s="509"/>
      <c r="IX220" s="509"/>
      <c r="IY220" s="509"/>
      <c r="IZ220" s="509"/>
      <c r="JA220" s="509"/>
      <c r="JB220" s="509"/>
      <c r="JC220" s="509"/>
      <c r="JD220" s="509"/>
      <c r="JE220" s="509"/>
      <c r="JF220" s="509"/>
      <c r="JG220" s="509"/>
      <c r="JH220" s="509"/>
      <c r="JI220" s="509"/>
      <c r="JJ220" s="509"/>
      <c r="JK220" s="509"/>
      <c r="JL220" s="509"/>
      <c r="JM220" s="509"/>
      <c r="JN220" s="509"/>
      <c r="JO220" s="509"/>
      <c r="JP220" s="509"/>
      <c r="JQ220" s="509"/>
      <c r="JR220" s="509"/>
      <c r="JS220" s="509"/>
      <c r="JT220" s="509"/>
      <c r="JU220" s="509"/>
      <c r="JV220" s="509"/>
      <c r="JW220" s="509"/>
      <c r="JX220" s="509"/>
      <c r="JY220" s="509"/>
      <c r="JZ220" s="509"/>
      <c r="KA220" s="509"/>
      <c r="KB220" s="509"/>
      <c r="KC220" s="509"/>
      <c r="KD220" s="509"/>
      <c r="KE220" s="509"/>
      <c r="KF220" s="509"/>
      <c r="KG220" s="509"/>
      <c r="KH220" s="509"/>
      <c r="KI220" s="509"/>
      <c r="KJ220" s="509"/>
      <c r="KK220" s="509"/>
      <c r="KL220" s="509"/>
      <c r="KM220" s="509"/>
      <c r="KN220" s="509"/>
      <c r="KO220" s="509"/>
      <c r="KP220" s="509"/>
      <c r="KQ220" s="509"/>
      <c r="KR220" s="509"/>
      <c r="KS220" s="509"/>
      <c r="KT220" s="509"/>
      <c r="KU220" s="509"/>
      <c r="KV220" s="509"/>
      <c r="KW220" s="509"/>
      <c r="KX220" s="509"/>
      <c r="KY220" s="509"/>
      <c r="KZ220" s="509"/>
      <c r="LA220" s="509"/>
      <c r="LB220" s="509"/>
      <c r="LC220" s="509"/>
      <c r="LD220" s="509"/>
      <c r="LE220" s="509"/>
      <c r="LF220" s="509"/>
      <c r="LG220" s="509"/>
      <c r="LH220" s="509"/>
      <c r="LI220" s="509"/>
      <c r="LJ220" s="509"/>
      <c r="LK220" s="509"/>
      <c r="LL220" s="509"/>
      <c r="LM220" s="509"/>
      <c r="LN220" s="509"/>
      <c r="LO220" s="509"/>
      <c r="LP220" s="509"/>
      <c r="LQ220" s="509"/>
      <c r="LR220" s="509"/>
      <c r="LS220" s="509"/>
      <c r="LT220" s="509"/>
      <c r="LU220" s="509"/>
      <c r="LV220" s="509"/>
      <c r="LW220" s="509"/>
      <c r="LX220" s="509"/>
      <c r="LY220" s="509"/>
      <c r="LZ220" s="509"/>
      <c r="MA220" s="509"/>
      <c r="MB220" s="509"/>
      <c r="MC220" s="509"/>
      <c r="MD220" s="509"/>
      <c r="ME220" s="509"/>
      <c r="MF220" s="509"/>
      <c r="MG220" s="509"/>
      <c r="MH220" s="509"/>
      <c r="MI220" s="509"/>
      <c r="MJ220" s="509"/>
      <c r="MK220" s="509"/>
      <c r="ML220" s="509"/>
      <c r="MM220" s="509"/>
      <c r="MN220" s="509"/>
      <c r="MO220" s="509"/>
      <c r="MP220" s="509"/>
      <c r="MQ220" s="509"/>
      <c r="MR220" s="509"/>
      <c r="MS220" s="509"/>
      <c r="MT220" s="509"/>
      <c r="MU220" s="509"/>
      <c r="MV220" s="509"/>
      <c r="MW220" s="509"/>
      <c r="MX220" s="509"/>
      <c r="MY220" s="509"/>
      <c r="MZ220" s="509"/>
      <c r="NA220" s="509"/>
      <c r="NB220" s="509"/>
      <c r="NC220" s="509"/>
      <c r="ND220" s="509"/>
      <c r="NE220" s="509"/>
      <c r="NF220" s="509"/>
      <c r="NG220" s="509"/>
      <c r="NH220" s="509"/>
      <c r="NI220" s="509"/>
      <c r="NJ220" s="509"/>
      <c r="NK220" s="509"/>
      <c r="NL220" s="509"/>
      <c r="NM220" s="509"/>
      <c r="NN220" s="509"/>
      <c r="NO220" s="509"/>
      <c r="NP220" s="509"/>
      <c r="NQ220" s="509"/>
      <c r="NR220" s="509"/>
      <c r="NS220" s="509"/>
      <c r="NT220" s="509"/>
      <c r="NU220" s="509"/>
      <c r="NV220" s="509"/>
      <c r="NW220" s="509"/>
      <c r="NX220" s="509"/>
      <c r="NY220" s="509"/>
      <c r="NZ220" s="509"/>
      <c r="OA220" s="509"/>
      <c r="OB220" s="509"/>
      <c r="OC220" s="509"/>
      <c r="OD220" s="509"/>
      <c r="OE220" s="509"/>
      <c r="OF220" s="509"/>
      <c r="OG220" s="509"/>
      <c r="OH220" s="509"/>
      <c r="OI220" s="509"/>
      <c r="OJ220" s="509"/>
      <c r="OK220" s="509"/>
      <c r="OL220" s="509"/>
      <c r="OM220" s="509"/>
      <c r="ON220" s="509"/>
      <c r="OO220" s="509"/>
      <c r="OP220" s="509"/>
      <c r="OQ220" s="509"/>
      <c r="OR220" s="509"/>
      <c r="OS220" s="509"/>
      <c r="OT220" s="509"/>
      <c r="OU220" s="509"/>
      <c r="OV220" s="509"/>
      <c r="OW220" s="509"/>
      <c r="OX220" s="509"/>
      <c r="OY220" s="509"/>
      <c r="OZ220" s="509"/>
      <c r="PA220" s="509"/>
      <c r="PB220" s="509"/>
      <c r="PC220" s="509"/>
      <c r="PD220" s="509"/>
      <c r="PE220" s="509"/>
      <c r="PF220" s="509"/>
      <c r="PG220" s="509"/>
      <c r="PH220" s="509"/>
      <c r="PI220" s="509"/>
      <c r="PJ220" s="509"/>
      <c r="PK220" s="509"/>
      <c r="PL220" s="509"/>
      <c r="PM220" s="509"/>
      <c r="PN220" s="509"/>
      <c r="PO220" s="509"/>
      <c r="PP220" s="509"/>
      <c r="PQ220" s="509"/>
      <c r="PR220" s="509"/>
      <c r="PS220" s="509"/>
      <c r="PT220" s="509"/>
      <c r="PU220" s="509"/>
      <c r="PV220" s="509"/>
      <c r="PW220" s="509"/>
      <c r="PX220" s="509"/>
      <c r="PY220" s="509"/>
      <c r="PZ220" s="509"/>
      <c r="QA220" s="509"/>
      <c r="QB220" s="509"/>
      <c r="QC220" s="509"/>
      <c r="QD220" s="509"/>
      <c r="QE220" s="509"/>
      <c r="QF220" s="509"/>
      <c r="QG220" s="509"/>
      <c r="QH220" s="509"/>
      <c r="QI220" s="509"/>
      <c r="QJ220" s="509"/>
      <c r="QK220" s="509"/>
      <c r="QL220" s="509"/>
      <c r="QM220" s="509"/>
      <c r="QN220" s="509"/>
      <c r="QO220" s="509"/>
      <c r="QP220" s="509"/>
      <c r="QQ220" s="509"/>
      <c r="QR220" s="509"/>
      <c r="QS220" s="509"/>
      <c r="QT220" s="509"/>
      <c r="QU220" s="509"/>
      <c r="QV220" s="509"/>
      <c r="QW220" s="509"/>
      <c r="QX220" s="509"/>
      <c r="QY220" s="509"/>
      <c r="QZ220" s="509"/>
      <c r="RA220" s="509"/>
      <c r="RB220" s="509"/>
      <c r="RC220" s="509"/>
      <c r="RD220" s="509"/>
      <c r="RE220" s="509"/>
      <c r="RF220" s="509"/>
      <c r="RG220" s="509"/>
      <c r="RH220" s="509"/>
      <c r="RI220" s="509"/>
      <c r="RJ220" s="509"/>
      <c r="RK220" s="509"/>
      <c r="RL220" s="509"/>
      <c r="RM220" s="509"/>
      <c r="RN220" s="509"/>
      <c r="RO220" s="509"/>
      <c r="RP220" s="509"/>
      <c r="RQ220" s="509"/>
      <c r="RR220" s="509"/>
      <c r="RS220" s="509"/>
      <c r="RT220" s="509"/>
      <c r="RU220" s="509"/>
      <c r="RV220" s="509"/>
      <c r="RW220" s="509"/>
      <c r="RX220" s="509"/>
      <c r="RY220" s="509"/>
      <c r="RZ220" s="509"/>
      <c r="SA220" s="509"/>
      <c r="SB220" s="509"/>
      <c r="SC220" s="509"/>
      <c r="SD220" s="509"/>
      <c r="SE220" s="509"/>
      <c r="SF220" s="509"/>
      <c r="SG220" s="509"/>
      <c r="SH220" s="509"/>
      <c r="SI220" s="509"/>
      <c r="SJ220" s="509"/>
      <c r="SK220" s="509"/>
      <c r="SL220" s="509"/>
      <c r="SM220" s="509"/>
      <c r="SN220" s="509"/>
      <c r="SO220" s="509"/>
      <c r="SP220" s="509"/>
      <c r="SQ220" s="509"/>
      <c r="SR220" s="509"/>
      <c r="SS220" s="509"/>
      <c r="ST220" s="509"/>
      <c r="SU220" s="509"/>
      <c r="SV220" s="509"/>
      <c r="SW220" s="509"/>
      <c r="SX220" s="509"/>
      <c r="SY220" s="509"/>
      <c r="SZ220" s="509"/>
      <c r="TA220" s="509"/>
      <c r="TB220" s="509"/>
      <c r="TC220" s="509"/>
      <c r="TD220" s="509"/>
      <c r="TE220" s="509"/>
      <c r="TF220" s="509"/>
      <c r="TG220" s="509"/>
      <c r="TH220" s="509"/>
      <c r="TI220" s="509"/>
      <c r="TJ220" s="509"/>
      <c r="TK220" s="509"/>
      <c r="TL220" s="509"/>
      <c r="TM220" s="509"/>
      <c r="TN220" s="509"/>
      <c r="TO220" s="509"/>
      <c r="TP220" s="509"/>
      <c r="TQ220" s="509"/>
      <c r="TR220" s="509"/>
      <c r="TS220" s="509"/>
      <c r="TT220" s="509"/>
      <c r="TU220" s="509"/>
      <c r="TV220" s="509"/>
      <c r="TW220" s="509"/>
      <c r="TX220" s="509"/>
      <c r="TY220" s="509"/>
      <c r="TZ220" s="509"/>
      <c r="UA220" s="509"/>
      <c r="UB220" s="509"/>
      <c r="UC220" s="509"/>
      <c r="UD220" s="509"/>
      <c r="UE220" s="509"/>
      <c r="UF220" s="509"/>
      <c r="UG220" s="509"/>
      <c r="UH220" s="509"/>
      <c r="UI220" s="509"/>
    </row>
    <row r="221" spans="1:555" s="509" customFormat="1" ht="144.75" customHeight="1">
      <c r="A221" s="296">
        <v>254</v>
      </c>
      <c r="B221" s="297" t="s">
        <v>3000</v>
      </c>
      <c r="C221" s="329">
        <v>88240256</v>
      </c>
      <c r="D221" s="354" t="s">
        <v>193</v>
      </c>
      <c r="E221" s="299">
        <v>42475</v>
      </c>
      <c r="F221" s="300">
        <v>42461</v>
      </c>
      <c r="G221" s="301" t="s">
        <v>3001</v>
      </c>
      <c r="H221" s="297" t="s">
        <v>1493</v>
      </c>
      <c r="I221" s="297" t="s">
        <v>183</v>
      </c>
      <c r="J221" s="299">
        <v>42705</v>
      </c>
      <c r="K221" s="300">
        <v>42705</v>
      </c>
      <c r="L221" s="301" t="s">
        <v>3002</v>
      </c>
      <c r="M221" s="297" t="s">
        <v>63</v>
      </c>
      <c r="N221" s="297" t="s">
        <v>101</v>
      </c>
      <c r="O221" s="299">
        <v>42941</v>
      </c>
      <c r="P221" s="302">
        <v>42917</v>
      </c>
      <c r="Q221" s="301" t="s">
        <v>3003</v>
      </c>
      <c r="R221" s="297" t="s">
        <v>63</v>
      </c>
      <c r="S221" s="297" t="s">
        <v>85</v>
      </c>
      <c r="T221" s="299">
        <v>43062</v>
      </c>
      <c r="U221" s="300">
        <v>43062</v>
      </c>
      <c r="V221" s="301" t="s">
        <v>9115</v>
      </c>
      <c r="W221" s="297" t="s">
        <v>63</v>
      </c>
      <c r="X221" s="297" t="s">
        <v>8243</v>
      </c>
      <c r="Y221" s="299">
        <v>43712</v>
      </c>
      <c r="Z221" s="300">
        <v>43712</v>
      </c>
      <c r="AA221" s="301" t="s">
        <v>9144</v>
      </c>
      <c r="AB221" s="297" t="s">
        <v>208</v>
      </c>
      <c r="AC221" s="297" t="s">
        <v>8243</v>
      </c>
      <c r="AD221" s="299">
        <v>43718</v>
      </c>
      <c r="AE221" s="300">
        <v>43718</v>
      </c>
      <c r="AF221" s="301" t="s">
        <v>9147</v>
      </c>
      <c r="AG221" s="297" t="s">
        <v>63</v>
      </c>
      <c r="AH221" s="297" t="s">
        <v>8243</v>
      </c>
      <c r="AI221" s="299">
        <v>44000</v>
      </c>
      <c r="AJ221" s="302">
        <v>44000</v>
      </c>
      <c r="AK221" s="301" t="s">
        <v>9515</v>
      </c>
      <c r="AL221" s="297" t="s">
        <v>63</v>
      </c>
      <c r="AM221" s="297" t="s">
        <v>9516</v>
      </c>
      <c r="AN221" s="297" t="s">
        <v>1359</v>
      </c>
      <c r="AO221" s="540">
        <v>42941</v>
      </c>
      <c r="AP221" s="297"/>
      <c r="AQ221" s="301" t="s">
        <v>3004</v>
      </c>
      <c r="AR221" s="297" t="s">
        <v>161</v>
      </c>
      <c r="AS221" s="299">
        <v>38352</v>
      </c>
      <c r="AT221" s="299">
        <v>39813</v>
      </c>
      <c r="AU221" s="297" t="s">
        <v>3005</v>
      </c>
      <c r="AV221" s="297"/>
      <c r="AW221" s="297" t="s">
        <v>92</v>
      </c>
      <c r="AX221" s="297" t="s">
        <v>3006</v>
      </c>
      <c r="AY221" s="299">
        <v>41526</v>
      </c>
      <c r="AZ221" s="297" t="s">
        <v>2075</v>
      </c>
      <c r="BA221" s="299">
        <v>41971</v>
      </c>
      <c r="BB221" s="382">
        <v>42458</v>
      </c>
      <c r="BC221" s="297" t="s">
        <v>95</v>
      </c>
      <c r="BD221" s="297" t="s">
        <v>566</v>
      </c>
      <c r="BE221" s="297"/>
      <c r="BF221" s="301" t="s">
        <v>7349</v>
      </c>
      <c r="BG221" s="301"/>
      <c r="BH221" s="301" t="s">
        <v>9812</v>
      </c>
      <c r="BI221" s="301"/>
      <c r="BJ221" s="301"/>
      <c r="BK221" s="312">
        <v>195205947</v>
      </c>
      <c r="BL221" s="313">
        <v>379584220</v>
      </c>
      <c r="BM221" s="299">
        <v>44189</v>
      </c>
      <c r="BN221" s="314">
        <v>44189</v>
      </c>
      <c r="BO221" s="460"/>
      <c r="BP221" s="390"/>
      <c r="BQ221" s="297"/>
      <c r="BR221" s="303"/>
      <c r="BS221" s="301"/>
      <c r="BT221" s="301"/>
      <c r="BU221" s="301"/>
      <c r="BV221" s="301"/>
      <c r="BW221" s="316"/>
      <c r="BX221" s="304"/>
      <c r="BY221" s="299"/>
      <c r="BZ221" s="317"/>
    </row>
    <row r="222" spans="1:555" s="259" customFormat="1" ht="75.75" customHeight="1">
      <c r="A222" s="296">
        <v>255</v>
      </c>
      <c r="B222" s="297" t="s">
        <v>3007</v>
      </c>
      <c r="C222" s="298">
        <v>17325930</v>
      </c>
      <c r="D222" s="354" t="s">
        <v>597</v>
      </c>
      <c r="E222" s="299">
        <v>42478</v>
      </c>
      <c r="F222" s="300">
        <v>42461</v>
      </c>
      <c r="G222" s="301" t="s">
        <v>3008</v>
      </c>
      <c r="H222" s="297" t="s">
        <v>63</v>
      </c>
      <c r="I222" s="297" t="s">
        <v>183</v>
      </c>
      <c r="J222" s="299">
        <v>42478</v>
      </c>
      <c r="K222" s="300">
        <v>42461</v>
      </c>
      <c r="L222" s="301" t="s">
        <v>3009</v>
      </c>
      <c r="M222" s="297" t="s">
        <v>63</v>
      </c>
      <c r="N222" s="297" t="s">
        <v>101</v>
      </c>
      <c r="O222" s="299">
        <v>43032</v>
      </c>
      <c r="P222" s="302">
        <v>43009</v>
      </c>
      <c r="Q222" s="301" t="s">
        <v>3010</v>
      </c>
      <c r="R222" s="297" t="s">
        <v>63</v>
      </c>
      <c r="S222" s="297" t="s">
        <v>3011</v>
      </c>
      <c r="T222" s="299"/>
      <c r="U222" s="300"/>
      <c r="V222" s="301"/>
      <c r="W222" s="297"/>
      <c r="X222" s="297"/>
      <c r="Y222" s="299"/>
      <c r="Z222" s="300"/>
      <c r="AA222" s="301"/>
      <c r="AB222" s="297"/>
      <c r="AC222" s="297"/>
      <c r="AD222" s="299"/>
      <c r="AE222" s="300"/>
      <c r="AF222" s="301"/>
      <c r="AG222" s="297"/>
      <c r="AH222" s="297"/>
      <c r="AI222" s="304"/>
      <c r="AJ222" s="300"/>
      <c r="AK222" s="301"/>
      <c r="AL222" s="297"/>
      <c r="AM222" s="297"/>
      <c r="AN222" s="297" t="s">
        <v>3012</v>
      </c>
      <c r="AO222" s="554"/>
      <c r="AP222" s="297"/>
      <c r="AQ222" s="308" t="s">
        <v>3013</v>
      </c>
      <c r="AR222" s="297" t="s">
        <v>161</v>
      </c>
      <c r="AS222" s="299">
        <v>38596</v>
      </c>
      <c r="AT222" s="299">
        <v>40786</v>
      </c>
      <c r="AU222" s="297" t="s">
        <v>2970</v>
      </c>
      <c r="AV222" s="297"/>
      <c r="AW222" s="297" t="s">
        <v>69</v>
      </c>
      <c r="AX222" s="297" t="s">
        <v>2910</v>
      </c>
      <c r="AY222" s="299">
        <v>42389</v>
      </c>
      <c r="AZ222" s="297" t="s">
        <v>67</v>
      </c>
      <c r="BA222" s="299" t="s">
        <v>67</v>
      </c>
      <c r="BB222" s="382">
        <v>42389</v>
      </c>
      <c r="BC222" s="297" t="s">
        <v>95</v>
      </c>
      <c r="BD222" s="297" t="s">
        <v>566</v>
      </c>
      <c r="BE222" s="297"/>
      <c r="BF222" s="301"/>
      <c r="BG222" s="301"/>
      <c r="BH222" s="301" t="s">
        <v>9835</v>
      </c>
      <c r="BI222" s="301"/>
      <c r="BJ222" s="301"/>
      <c r="BK222" s="312">
        <v>231501285</v>
      </c>
      <c r="BL222" s="313" t="s">
        <v>9836</v>
      </c>
      <c r="BM222" s="299" t="s">
        <v>9824</v>
      </c>
      <c r="BN222" s="314">
        <v>44161</v>
      </c>
      <c r="BO222" s="460"/>
      <c r="BP222" s="390"/>
      <c r="BQ222" s="297"/>
      <c r="BR222" s="303"/>
      <c r="BS222" s="301"/>
      <c r="BT222" s="301"/>
      <c r="BU222" s="301"/>
      <c r="BV222" s="301"/>
      <c r="BW222" s="316"/>
      <c r="BX222" s="304"/>
      <c r="BY222" s="299"/>
      <c r="BZ222" s="317"/>
      <c r="CA222" s="509"/>
      <c r="CB222" s="509"/>
      <c r="CC222" s="509"/>
      <c r="CD222" s="509"/>
      <c r="CE222" s="509"/>
      <c r="CF222" s="509"/>
      <c r="CG222" s="509"/>
      <c r="CH222" s="509"/>
      <c r="CI222" s="509"/>
      <c r="CJ222" s="509"/>
      <c r="CK222" s="509"/>
      <c r="CL222" s="509"/>
      <c r="CM222" s="509"/>
      <c r="CN222" s="509"/>
      <c r="CO222" s="509"/>
      <c r="CP222" s="509"/>
      <c r="CQ222" s="509"/>
      <c r="CR222" s="509"/>
      <c r="CS222" s="509"/>
      <c r="CT222" s="509"/>
      <c r="CU222" s="509"/>
      <c r="CV222" s="509"/>
      <c r="CW222" s="509"/>
      <c r="CX222" s="509"/>
      <c r="CY222" s="509"/>
      <c r="CZ222" s="509"/>
      <c r="DA222" s="509"/>
      <c r="DB222" s="509"/>
      <c r="DC222" s="509"/>
      <c r="DD222" s="509"/>
      <c r="DE222" s="509"/>
      <c r="DF222" s="509"/>
      <c r="DG222" s="509"/>
      <c r="DH222" s="509"/>
      <c r="DI222" s="509"/>
      <c r="DJ222" s="509"/>
      <c r="DK222" s="509"/>
      <c r="DL222" s="509"/>
      <c r="DM222" s="509"/>
      <c r="DN222" s="509"/>
      <c r="DO222" s="509"/>
      <c r="DP222" s="509"/>
      <c r="DQ222" s="509"/>
      <c r="DR222" s="509"/>
      <c r="DS222" s="509"/>
      <c r="DT222" s="509"/>
      <c r="DU222" s="509"/>
      <c r="DV222" s="509"/>
      <c r="DW222" s="509"/>
      <c r="DX222" s="509"/>
      <c r="DY222" s="509"/>
      <c r="DZ222" s="509"/>
      <c r="EA222" s="509"/>
      <c r="EB222" s="509"/>
      <c r="EC222" s="509"/>
      <c r="ED222" s="509"/>
      <c r="EE222" s="509"/>
      <c r="EF222" s="509"/>
      <c r="EG222" s="509"/>
      <c r="EH222" s="509"/>
      <c r="EI222" s="509"/>
      <c r="EJ222" s="509"/>
      <c r="EK222" s="509"/>
      <c r="EL222" s="509"/>
      <c r="EM222" s="509"/>
      <c r="EN222" s="509"/>
      <c r="EO222" s="509"/>
      <c r="EP222" s="509"/>
      <c r="EQ222" s="509"/>
      <c r="ER222" s="509"/>
      <c r="ES222" s="509"/>
      <c r="ET222" s="509"/>
      <c r="EU222" s="509"/>
      <c r="EV222" s="509"/>
      <c r="EW222" s="509"/>
      <c r="EX222" s="509"/>
      <c r="EY222" s="509"/>
      <c r="EZ222" s="509"/>
      <c r="FA222" s="509"/>
      <c r="FB222" s="509"/>
      <c r="FC222" s="509"/>
      <c r="FD222" s="509"/>
      <c r="FE222" s="509"/>
      <c r="FF222" s="509"/>
      <c r="FG222" s="509"/>
      <c r="FH222" s="509"/>
      <c r="FI222" s="509"/>
      <c r="FJ222" s="509"/>
      <c r="FK222" s="509"/>
      <c r="FL222" s="509"/>
      <c r="FM222" s="509"/>
      <c r="FN222" s="509"/>
      <c r="FO222" s="509"/>
      <c r="FP222" s="509"/>
      <c r="FQ222" s="509"/>
      <c r="FR222" s="509"/>
      <c r="FS222" s="509"/>
      <c r="FT222" s="509"/>
      <c r="FU222" s="509"/>
      <c r="FV222" s="509"/>
      <c r="FW222" s="509"/>
      <c r="FX222" s="509"/>
      <c r="FY222" s="509"/>
      <c r="FZ222" s="509"/>
      <c r="GA222" s="509"/>
      <c r="GB222" s="509"/>
      <c r="GC222" s="509"/>
      <c r="GD222" s="509"/>
      <c r="GE222" s="509"/>
      <c r="GF222" s="509"/>
      <c r="GG222" s="509"/>
      <c r="GH222" s="509"/>
      <c r="GI222" s="509"/>
      <c r="GJ222" s="509"/>
      <c r="GK222" s="509"/>
      <c r="GL222" s="509"/>
      <c r="GM222" s="509"/>
      <c r="GN222" s="509"/>
      <c r="GO222" s="509"/>
      <c r="GP222" s="509"/>
      <c r="GQ222" s="509"/>
      <c r="GR222" s="509"/>
      <c r="GS222" s="509"/>
      <c r="GT222" s="509"/>
      <c r="GU222" s="509"/>
      <c r="GV222" s="509"/>
      <c r="GW222" s="509"/>
      <c r="GX222" s="509"/>
      <c r="GY222" s="509"/>
      <c r="GZ222" s="509"/>
      <c r="HA222" s="509"/>
      <c r="HB222" s="509"/>
      <c r="HC222" s="509"/>
      <c r="HD222" s="509"/>
      <c r="HE222" s="509"/>
      <c r="HF222" s="509"/>
      <c r="HG222" s="509"/>
      <c r="HH222" s="509"/>
      <c r="HI222" s="509"/>
      <c r="HJ222" s="509"/>
      <c r="HK222" s="509"/>
      <c r="HL222" s="509"/>
      <c r="HM222" s="509"/>
      <c r="HN222" s="509"/>
      <c r="HO222" s="509"/>
      <c r="HP222" s="509"/>
      <c r="HQ222" s="509"/>
      <c r="HR222" s="509"/>
      <c r="HS222" s="509"/>
      <c r="HT222" s="509"/>
      <c r="HU222" s="509"/>
      <c r="HV222" s="509"/>
      <c r="HW222" s="509"/>
      <c r="HX222" s="509"/>
      <c r="HY222" s="509"/>
      <c r="HZ222" s="509"/>
      <c r="IA222" s="509"/>
      <c r="IB222" s="509"/>
      <c r="IC222" s="509"/>
      <c r="ID222" s="509"/>
      <c r="IE222" s="509"/>
      <c r="IF222" s="509"/>
      <c r="IG222" s="509"/>
      <c r="IH222" s="509"/>
      <c r="II222" s="509"/>
      <c r="IJ222" s="509"/>
      <c r="IK222" s="509"/>
      <c r="IL222" s="509"/>
      <c r="IM222" s="509"/>
      <c r="IN222" s="509"/>
      <c r="IO222" s="509"/>
      <c r="IP222" s="509"/>
      <c r="IQ222" s="509"/>
      <c r="IR222" s="509"/>
      <c r="IS222" s="509"/>
      <c r="IT222" s="509"/>
      <c r="IU222" s="509"/>
      <c r="IV222" s="509"/>
      <c r="IW222" s="509"/>
      <c r="IX222" s="509"/>
      <c r="IY222" s="509"/>
      <c r="IZ222" s="509"/>
      <c r="JA222" s="509"/>
      <c r="JB222" s="509"/>
      <c r="JC222" s="509"/>
      <c r="JD222" s="509"/>
      <c r="JE222" s="509"/>
      <c r="JF222" s="509"/>
      <c r="JG222" s="509"/>
      <c r="JH222" s="509"/>
      <c r="JI222" s="509"/>
      <c r="JJ222" s="509"/>
      <c r="JK222" s="509"/>
      <c r="JL222" s="509"/>
      <c r="JM222" s="509"/>
      <c r="JN222" s="509"/>
      <c r="JO222" s="509"/>
      <c r="JP222" s="509"/>
      <c r="JQ222" s="509"/>
      <c r="JR222" s="509"/>
      <c r="JS222" s="509"/>
      <c r="JT222" s="509"/>
      <c r="JU222" s="509"/>
      <c r="JV222" s="509"/>
      <c r="JW222" s="509"/>
      <c r="JX222" s="509"/>
      <c r="JY222" s="509"/>
      <c r="JZ222" s="509"/>
      <c r="KA222" s="509"/>
      <c r="KB222" s="509"/>
      <c r="KC222" s="509"/>
      <c r="KD222" s="509"/>
      <c r="KE222" s="509"/>
      <c r="KF222" s="509"/>
      <c r="KG222" s="509"/>
      <c r="KH222" s="509"/>
      <c r="KI222" s="509"/>
      <c r="KJ222" s="509"/>
      <c r="KK222" s="509"/>
      <c r="KL222" s="509"/>
      <c r="KM222" s="509"/>
      <c r="KN222" s="509"/>
      <c r="KO222" s="509"/>
      <c r="KP222" s="509"/>
      <c r="KQ222" s="509"/>
      <c r="KR222" s="509"/>
      <c r="KS222" s="509"/>
      <c r="KT222" s="509"/>
      <c r="KU222" s="509"/>
      <c r="KV222" s="509"/>
      <c r="KW222" s="509"/>
      <c r="KX222" s="509"/>
      <c r="KY222" s="509"/>
      <c r="KZ222" s="509"/>
      <c r="LA222" s="509"/>
      <c r="LB222" s="509"/>
      <c r="LC222" s="509"/>
      <c r="LD222" s="509"/>
      <c r="LE222" s="509"/>
      <c r="LF222" s="509"/>
      <c r="LG222" s="509"/>
      <c r="LH222" s="509"/>
      <c r="LI222" s="509"/>
      <c r="LJ222" s="509"/>
      <c r="LK222" s="509"/>
      <c r="LL222" s="509"/>
      <c r="LM222" s="509"/>
      <c r="LN222" s="509"/>
      <c r="LO222" s="509"/>
      <c r="LP222" s="509"/>
      <c r="LQ222" s="509"/>
      <c r="LR222" s="509"/>
      <c r="LS222" s="509"/>
      <c r="LT222" s="509"/>
      <c r="LU222" s="509"/>
      <c r="LV222" s="509"/>
      <c r="LW222" s="509"/>
      <c r="LX222" s="509"/>
      <c r="LY222" s="509"/>
      <c r="LZ222" s="509"/>
      <c r="MA222" s="509"/>
      <c r="MB222" s="509"/>
      <c r="MC222" s="509"/>
      <c r="MD222" s="509"/>
      <c r="ME222" s="509"/>
      <c r="MF222" s="509"/>
      <c r="MG222" s="509"/>
      <c r="MH222" s="509"/>
      <c r="MI222" s="509"/>
      <c r="MJ222" s="509"/>
      <c r="MK222" s="509"/>
      <c r="ML222" s="509"/>
      <c r="MM222" s="509"/>
      <c r="MN222" s="509"/>
      <c r="MO222" s="509"/>
      <c r="MP222" s="509"/>
      <c r="MQ222" s="509"/>
      <c r="MR222" s="509"/>
      <c r="MS222" s="509"/>
      <c r="MT222" s="509"/>
      <c r="MU222" s="509"/>
      <c r="MV222" s="509"/>
      <c r="MW222" s="509"/>
      <c r="MX222" s="509"/>
      <c r="MY222" s="509"/>
      <c r="MZ222" s="509"/>
      <c r="NA222" s="509"/>
      <c r="NB222" s="509"/>
      <c r="NC222" s="509"/>
      <c r="ND222" s="509"/>
      <c r="NE222" s="509"/>
      <c r="NF222" s="509"/>
      <c r="NG222" s="509"/>
      <c r="NH222" s="509"/>
      <c r="NI222" s="509"/>
      <c r="NJ222" s="509"/>
      <c r="NK222" s="509"/>
      <c r="NL222" s="509"/>
      <c r="NM222" s="509"/>
      <c r="NN222" s="509"/>
      <c r="NO222" s="509"/>
      <c r="NP222" s="509"/>
      <c r="NQ222" s="509"/>
      <c r="NR222" s="509"/>
      <c r="NS222" s="509"/>
      <c r="NT222" s="509"/>
      <c r="NU222" s="509"/>
      <c r="NV222" s="509"/>
      <c r="NW222" s="509"/>
      <c r="NX222" s="509"/>
      <c r="NY222" s="509"/>
      <c r="NZ222" s="509"/>
      <c r="OA222" s="509"/>
      <c r="OB222" s="509"/>
      <c r="OC222" s="509"/>
      <c r="OD222" s="509"/>
      <c r="OE222" s="509"/>
      <c r="OF222" s="509"/>
      <c r="OG222" s="509"/>
      <c r="OH222" s="509"/>
      <c r="OI222" s="509"/>
      <c r="OJ222" s="509"/>
      <c r="OK222" s="509"/>
      <c r="OL222" s="509"/>
      <c r="OM222" s="509"/>
      <c r="ON222" s="509"/>
      <c r="OO222" s="509"/>
      <c r="OP222" s="509"/>
      <c r="OQ222" s="509"/>
      <c r="OR222" s="509"/>
      <c r="OS222" s="509"/>
      <c r="OT222" s="509"/>
      <c r="OU222" s="509"/>
      <c r="OV222" s="509"/>
      <c r="OW222" s="509"/>
      <c r="OX222" s="509"/>
      <c r="OY222" s="509"/>
      <c r="OZ222" s="509"/>
      <c r="PA222" s="509"/>
      <c r="PB222" s="509"/>
      <c r="PC222" s="509"/>
      <c r="PD222" s="509"/>
      <c r="PE222" s="509"/>
      <c r="PF222" s="509"/>
      <c r="PG222" s="509"/>
      <c r="PH222" s="509"/>
      <c r="PI222" s="509"/>
      <c r="PJ222" s="509"/>
      <c r="PK222" s="509"/>
      <c r="PL222" s="509"/>
      <c r="PM222" s="509"/>
      <c r="PN222" s="509"/>
      <c r="PO222" s="509"/>
      <c r="PP222" s="509"/>
      <c r="PQ222" s="509"/>
      <c r="PR222" s="509"/>
      <c r="PS222" s="509"/>
      <c r="PT222" s="509"/>
      <c r="PU222" s="509"/>
      <c r="PV222" s="509"/>
      <c r="PW222" s="509"/>
      <c r="PX222" s="509"/>
      <c r="PY222" s="509"/>
      <c r="PZ222" s="509"/>
      <c r="QA222" s="509"/>
      <c r="QB222" s="509"/>
      <c r="QC222" s="509"/>
      <c r="QD222" s="509"/>
      <c r="QE222" s="509"/>
      <c r="QF222" s="509"/>
      <c r="QG222" s="509"/>
      <c r="QH222" s="509"/>
      <c r="QI222" s="509"/>
      <c r="QJ222" s="509"/>
      <c r="QK222" s="509"/>
      <c r="QL222" s="509"/>
      <c r="QM222" s="509"/>
      <c r="QN222" s="509"/>
      <c r="QO222" s="509"/>
      <c r="QP222" s="509"/>
      <c r="QQ222" s="509"/>
      <c r="QR222" s="509"/>
      <c r="QS222" s="509"/>
      <c r="QT222" s="509"/>
      <c r="QU222" s="509"/>
      <c r="QV222" s="509"/>
      <c r="QW222" s="509"/>
      <c r="QX222" s="509"/>
      <c r="QY222" s="509"/>
      <c r="QZ222" s="509"/>
      <c r="RA222" s="509"/>
      <c r="RB222" s="509"/>
      <c r="RC222" s="509"/>
      <c r="RD222" s="509"/>
      <c r="RE222" s="509"/>
      <c r="RF222" s="509"/>
      <c r="RG222" s="509"/>
      <c r="RH222" s="509"/>
      <c r="RI222" s="509"/>
      <c r="RJ222" s="509"/>
      <c r="RK222" s="509"/>
      <c r="RL222" s="509"/>
      <c r="RM222" s="509"/>
      <c r="RN222" s="509"/>
      <c r="RO222" s="509"/>
      <c r="RP222" s="509"/>
      <c r="RQ222" s="509"/>
      <c r="RR222" s="509"/>
      <c r="RS222" s="509"/>
      <c r="RT222" s="509"/>
      <c r="RU222" s="509"/>
      <c r="RV222" s="509"/>
      <c r="RW222" s="509"/>
      <c r="RX222" s="509"/>
      <c r="RY222" s="509"/>
      <c r="RZ222" s="509"/>
      <c r="SA222" s="509"/>
      <c r="SB222" s="509"/>
      <c r="SC222" s="509"/>
      <c r="SD222" s="509"/>
      <c r="SE222" s="509"/>
      <c r="SF222" s="509"/>
      <c r="SG222" s="509"/>
      <c r="SH222" s="509"/>
      <c r="SI222" s="509"/>
      <c r="SJ222" s="509"/>
      <c r="SK222" s="509"/>
      <c r="SL222" s="509"/>
      <c r="SM222" s="509"/>
      <c r="SN222" s="509"/>
      <c r="SO222" s="509"/>
      <c r="SP222" s="509"/>
      <c r="SQ222" s="509"/>
      <c r="SR222" s="509"/>
      <c r="SS222" s="509"/>
      <c r="ST222" s="509"/>
      <c r="SU222" s="509"/>
      <c r="SV222" s="509"/>
      <c r="SW222" s="509"/>
      <c r="SX222" s="509"/>
      <c r="SY222" s="509"/>
      <c r="SZ222" s="509"/>
      <c r="TA222" s="509"/>
      <c r="TB222" s="509"/>
      <c r="TC222" s="509"/>
      <c r="TD222" s="509"/>
      <c r="TE222" s="509"/>
      <c r="TF222" s="509"/>
      <c r="TG222" s="509"/>
      <c r="TH222" s="509"/>
      <c r="TI222" s="509"/>
      <c r="TJ222" s="509"/>
      <c r="TK222" s="509"/>
      <c r="TL222" s="509"/>
      <c r="TM222" s="509"/>
      <c r="TN222" s="509"/>
      <c r="TO222" s="509"/>
      <c r="TP222" s="509"/>
      <c r="TQ222" s="509"/>
      <c r="TR222" s="509"/>
      <c r="TS222" s="509"/>
      <c r="TT222" s="509"/>
      <c r="TU222" s="509"/>
      <c r="TV222" s="509"/>
      <c r="TW222" s="509"/>
      <c r="TX222" s="509"/>
      <c r="TY222" s="509"/>
      <c r="TZ222" s="509"/>
      <c r="UA222" s="509"/>
      <c r="UB222" s="509"/>
      <c r="UC222" s="509"/>
      <c r="UD222" s="509"/>
      <c r="UE222" s="509"/>
      <c r="UF222" s="509"/>
      <c r="UG222" s="509"/>
      <c r="UH222" s="509"/>
      <c r="UI222" s="509"/>
    </row>
    <row r="223" spans="1:555" s="509" customFormat="1" ht="94.5">
      <c r="A223" s="296">
        <v>257</v>
      </c>
      <c r="B223" s="297" t="s">
        <v>3024</v>
      </c>
      <c r="C223" s="329">
        <v>91109435</v>
      </c>
      <c r="D223" s="354" t="s">
        <v>597</v>
      </c>
      <c r="E223" s="299">
        <v>42478</v>
      </c>
      <c r="F223" s="300">
        <v>42461</v>
      </c>
      <c r="G223" s="301" t="s">
        <v>3025</v>
      </c>
      <c r="H223" s="297" t="s">
        <v>63</v>
      </c>
      <c r="I223" s="297" t="s">
        <v>183</v>
      </c>
      <c r="J223" s="299">
        <v>42534</v>
      </c>
      <c r="K223" s="300">
        <v>42522</v>
      </c>
      <c r="L223" s="301" t="s">
        <v>3026</v>
      </c>
      <c r="M223" s="297" t="s">
        <v>1493</v>
      </c>
      <c r="N223" s="297" t="s">
        <v>183</v>
      </c>
      <c r="O223" s="299">
        <v>42559</v>
      </c>
      <c r="P223" s="302">
        <v>42552</v>
      </c>
      <c r="Q223" s="301" t="s">
        <v>3027</v>
      </c>
      <c r="R223" s="297" t="s">
        <v>63</v>
      </c>
      <c r="S223" s="297" t="s">
        <v>101</v>
      </c>
      <c r="T223" s="299">
        <v>43073</v>
      </c>
      <c r="U223" s="300">
        <v>43070</v>
      </c>
      <c r="V223" s="301" t="s">
        <v>3028</v>
      </c>
      <c r="W223" s="297" t="s">
        <v>63</v>
      </c>
      <c r="X223" s="297" t="s">
        <v>3029</v>
      </c>
      <c r="Y223" s="299">
        <v>43433</v>
      </c>
      <c r="Z223" s="300">
        <v>43433</v>
      </c>
      <c r="AA223" s="315" t="s">
        <v>7552</v>
      </c>
      <c r="AB223" s="297" t="s">
        <v>208</v>
      </c>
      <c r="AC223" s="297" t="s">
        <v>107</v>
      </c>
      <c r="AD223" s="299">
        <v>43634</v>
      </c>
      <c r="AE223" s="300">
        <v>43634</v>
      </c>
      <c r="AF223" s="301" t="s">
        <v>8892</v>
      </c>
      <c r="AG223" s="297" t="s">
        <v>208</v>
      </c>
      <c r="AH223" s="297" t="s">
        <v>8243</v>
      </c>
      <c r="AI223" s="304"/>
      <c r="AJ223" s="300"/>
      <c r="AK223" s="301"/>
      <c r="AL223" s="297"/>
      <c r="AM223" s="297"/>
      <c r="AN223" s="297" t="s">
        <v>1359</v>
      </c>
      <c r="AO223" s="540">
        <v>42559</v>
      </c>
      <c r="AP223" s="297"/>
      <c r="AQ223" s="301" t="s">
        <v>3030</v>
      </c>
      <c r="AR223" s="297" t="s">
        <v>161</v>
      </c>
      <c r="AS223" s="299">
        <v>37097</v>
      </c>
      <c r="AT223" s="299">
        <v>40161</v>
      </c>
      <c r="AU223" s="297" t="s">
        <v>7554</v>
      </c>
      <c r="AV223" s="297"/>
      <c r="AW223" s="297" t="s">
        <v>92</v>
      </c>
      <c r="AX223" s="297" t="s">
        <v>2748</v>
      </c>
      <c r="AY223" s="299">
        <v>41394</v>
      </c>
      <c r="AZ223" s="297" t="s">
        <v>94</v>
      </c>
      <c r="BA223" s="299">
        <v>42423</v>
      </c>
      <c r="BB223" s="382">
        <v>42437</v>
      </c>
      <c r="BC223" s="297" t="s">
        <v>95</v>
      </c>
      <c r="BD223" s="315" t="s">
        <v>7355</v>
      </c>
      <c r="BE223" s="297"/>
      <c r="BF223" s="301" t="s">
        <v>7445</v>
      </c>
      <c r="BG223" s="301"/>
      <c r="BH223" s="301" t="s">
        <v>9833</v>
      </c>
      <c r="BI223" s="301"/>
      <c r="BJ223" s="301"/>
      <c r="BK223" s="312">
        <v>282122140</v>
      </c>
      <c r="BL223" s="313">
        <v>379586220</v>
      </c>
      <c r="BM223" s="299">
        <v>44189</v>
      </c>
      <c r="BN223" s="314">
        <v>44189</v>
      </c>
      <c r="BO223" s="460"/>
      <c r="BP223" s="390"/>
      <c r="BQ223" s="297"/>
      <c r="BR223" s="303"/>
      <c r="BS223" s="301"/>
      <c r="BT223" s="301"/>
      <c r="BU223" s="301"/>
      <c r="BV223" s="301"/>
      <c r="BW223" s="316"/>
      <c r="BX223" s="304"/>
      <c r="BY223" s="299"/>
      <c r="BZ223" s="317"/>
    </row>
    <row r="224" spans="1:555" s="509" customFormat="1" ht="89.25" customHeight="1">
      <c r="A224" s="296">
        <v>258</v>
      </c>
      <c r="B224" s="297" t="s">
        <v>3031</v>
      </c>
      <c r="C224" s="329">
        <v>79374012</v>
      </c>
      <c r="D224" s="354" t="s">
        <v>597</v>
      </c>
      <c r="E224" s="299">
        <v>42478</v>
      </c>
      <c r="F224" s="300">
        <v>42461</v>
      </c>
      <c r="G224" s="301" t="s">
        <v>2995</v>
      </c>
      <c r="H224" s="297" t="s">
        <v>63</v>
      </c>
      <c r="I224" s="297" t="s">
        <v>183</v>
      </c>
      <c r="J224" s="299">
        <v>42562</v>
      </c>
      <c r="K224" s="300">
        <v>42552</v>
      </c>
      <c r="L224" s="301" t="s">
        <v>3032</v>
      </c>
      <c r="M224" s="297" t="s">
        <v>1493</v>
      </c>
      <c r="N224" s="297" t="s">
        <v>183</v>
      </c>
      <c r="O224" s="299">
        <v>42530</v>
      </c>
      <c r="P224" s="302">
        <v>42522</v>
      </c>
      <c r="Q224" s="301" t="s">
        <v>3033</v>
      </c>
      <c r="R224" s="297" t="s">
        <v>63</v>
      </c>
      <c r="S224" s="297" t="s">
        <v>101</v>
      </c>
      <c r="T224" s="299">
        <v>43073</v>
      </c>
      <c r="U224" s="300">
        <v>43070</v>
      </c>
      <c r="V224" s="301" t="s">
        <v>3034</v>
      </c>
      <c r="W224" s="297" t="s">
        <v>63</v>
      </c>
      <c r="X224" s="297" t="s">
        <v>3035</v>
      </c>
      <c r="Y224" s="299"/>
      <c r="Z224" s="300"/>
      <c r="AA224" s="301"/>
      <c r="AB224" s="297"/>
      <c r="AC224" s="297"/>
      <c r="AD224" s="299"/>
      <c r="AE224" s="300"/>
      <c r="AF224" s="301"/>
      <c r="AG224" s="297"/>
      <c r="AH224" s="297"/>
      <c r="AI224" s="304"/>
      <c r="AJ224" s="300"/>
      <c r="AK224" s="301"/>
      <c r="AL224" s="297"/>
      <c r="AM224" s="297"/>
      <c r="AN224" s="297" t="s">
        <v>3020</v>
      </c>
      <c r="AO224" s="540">
        <v>43073</v>
      </c>
      <c r="AP224" s="297"/>
      <c r="AQ224" s="674" t="s">
        <v>3036</v>
      </c>
      <c r="AR224" s="297" t="s">
        <v>161</v>
      </c>
      <c r="AS224" s="299">
        <v>37852</v>
      </c>
      <c r="AT224" s="299">
        <v>39994</v>
      </c>
      <c r="AU224" s="297" t="s">
        <v>3037</v>
      </c>
      <c r="AV224" s="297"/>
      <c r="AW224" s="297" t="s">
        <v>92</v>
      </c>
      <c r="AX224" s="297" t="s">
        <v>3038</v>
      </c>
      <c r="AY224" s="299">
        <v>41394</v>
      </c>
      <c r="AZ224" s="297" t="s">
        <v>3039</v>
      </c>
      <c r="BA224" s="299">
        <v>42430</v>
      </c>
      <c r="BB224" s="382">
        <v>42444</v>
      </c>
      <c r="BC224" s="297" t="s">
        <v>95</v>
      </c>
      <c r="BD224" s="297" t="s">
        <v>566</v>
      </c>
      <c r="BE224" s="297"/>
      <c r="BF224" s="301" t="s">
        <v>7411</v>
      </c>
      <c r="BG224" s="301"/>
      <c r="BH224" s="301" t="s">
        <v>9820</v>
      </c>
      <c r="BI224" s="301"/>
      <c r="BJ224" s="301"/>
      <c r="BK224" s="312">
        <v>174057147</v>
      </c>
      <c r="BL224" s="313">
        <v>379599920</v>
      </c>
      <c r="BM224" s="299">
        <v>44189</v>
      </c>
      <c r="BN224" s="314">
        <v>44189</v>
      </c>
      <c r="BO224" s="460"/>
      <c r="BP224" s="390"/>
      <c r="BQ224" s="297"/>
      <c r="BR224" s="303"/>
      <c r="BS224" s="301"/>
      <c r="BT224" s="301"/>
      <c r="BU224" s="301"/>
      <c r="BV224" s="301"/>
      <c r="BW224" s="316"/>
      <c r="BX224" s="304"/>
      <c r="BY224" s="299"/>
      <c r="BZ224" s="317"/>
    </row>
    <row r="225" spans="1:555" ht="121.5">
      <c r="A225" s="296">
        <v>262</v>
      </c>
      <c r="B225" s="297" t="s">
        <v>3083</v>
      </c>
      <c r="C225" s="298">
        <v>88357664</v>
      </c>
      <c r="D225" s="354" t="s">
        <v>193</v>
      </c>
      <c r="E225" s="299">
        <v>42489</v>
      </c>
      <c r="F225" s="300">
        <v>42461</v>
      </c>
      <c r="G225" s="301" t="s">
        <v>3084</v>
      </c>
      <c r="H225" s="297" t="s">
        <v>625</v>
      </c>
      <c r="I225" s="297" t="s">
        <v>183</v>
      </c>
      <c r="J225" s="299">
        <v>42991</v>
      </c>
      <c r="K225" s="300">
        <v>42979</v>
      </c>
      <c r="L225" s="301" t="s">
        <v>3085</v>
      </c>
      <c r="M225" s="297" t="s">
        <v>63</v>
      </c>
      <c r="N225" s="297" t="s">
        <v>79</v>
      </c>
      <c r="O225" s="299">
        <v>44000</v>
      </c>
      <c r="P225" s="302">
        <v>44000</v>
      </c>
      <c r="Q225" s="301" t="s">
        <v>9515</v>
      </c>
      <c r="R225" s="297" t="s">
        <v>63</v>
      </c>
      <c r="S225" s="297" t="s">
        <v>9516</v>
      </c>
      <c r="T225" s="299">
        <v>44054</v>
      </c>
      <c r="U225" s="300">
        <v>44054</v>
      </c>
      <c r="V225" s="301" t="s">
        <v>9595</v>
      </c>
      <c r="W225" s="297" t="s">
        <v>2637</v>
      </c>
      <c r="X225" s="297" t="s">
        <v>9596</v>
      </c>
      <c r="Y225" s="299">
        <v>44165</v>
      </c>
      <c r="Z225" s="300">
        <v>44165</v>
      </c>
      <c r="AA225" s="301" t="s">
        <v>9785</v>
      </c>
      <c r="AB225" s="297" t="s">
        <v>63</v>
      </c>
      <c r="AC225" s="297" t="s">
        <v>9543</v>
      </c>
      <c r="AD225" s="299"/>
      <c r="AE225" s="300"/>
      <c r="AF225" s="301"/>
      <c r="AG225" s="297"/>
      <c r="AH225" s="297"/>
      <c r="AI225" s="304"/>
      <c r="AJ225" s="300"/>
      <c r="AK225" s="301"/>
      <c r="AL225" s="297"/>
      <c r="AM225" s="297"/>
      <c r="AN225" s="297" t="s">
        <v>3086</v>
      </c>
      <c r="AO225" s="554"/>
      <c r="AP225" s="297"/>
      <c r="AQ225" s="301" t="s">
        <v>3087</v>
      </c>
      <c r="AR225" s="297" t="s">
        <v>161</v>
      </c>
      <c r="AS225" s="299">
        <v>38412</v>
      </c>
      <c r="AT225" s="299">
        <v>39812</v>
      </c>
      <c r="AU225" s="297" t="s">
        <v>3088</v>
      </c>
      <c r="AV225" s="297"/>
      <c r="AW225" s="297" t="s">
        <v>92</v>
      </c>
      <c r="AX225" s="297" t="s">
        <v>3089</v>
      </c>
      <c r="AY225" s="299">
        <v>41486</v>
      </c>
      <c r="AZ225" s="297" t="s">
        <v>3090</v>
      </c>
      <c r="BA225" s="299">
        <v>42318</v>
      </c>
      <c r="BB225" s="382">
        <v>42335</v>
      </c>
      <c r="BC225" s="297" t="s">
        <v>95</v>
      </c>
      <c r="BD225" s="297" t="s">
        <v>566</v>
      </c>
      <c r="BE225" s="297"/>
      <c r="BF225" s="301" t="s">
        <v>8730</v>
      </c>
      <c r="BG225" s="301"/>
      <c r="BH225" s="301" t="s">
        <v>9814</v>
      </c>
      <c r="BI225" s="301"/>
      <c r="BJ225" s="301"/>
      <c r="BK225" s="312">
        <v>145174246</v>
      </c>
      <c r="BL225" s="313" t="s">
        <v>9815</v>
      </c>
      <c r="BM225" s="299" t="s">
        <v>9816</v>
      </c>
      <c r="BN225" s="314">
        <v>44165</v>
      </c>
      <c r="BO225" s="460"/>
      <c r="BP225" s="390"/>
      <c r="BQ225" s="297"/>
      <c r="BR225" s="303"/>
      <c r="BS225" s="301"/>
      <c r="BT225" s="301"/>
      <c r="BU225" s="301"/>
      <c r="BV225" s="301"/>
      <c r="BW225" s="316"/>
      <c r="BX225" s="304"/>
      <c r="BY225" s="299"/>
      <c r="BZ225" s="317"/>
      <c r="CA225" s="509"/>
      <c r="CB225" s="509"/>
      <c r="CC225" s="509"/>
      <c r="CD225" s="509"/>
      <c r="CE225" s="509"/>
      <c r="CF225" s="509"/>
      <c r="CG225" s="509"/>
      <c r="CH225" s="509"/>
      <c r="CI225" s="509"/>
      <c r="CJ225" s="509"/>
      <c r="CK225" s="509"/>
      <c r="CL225" s="509"/>
      <c r="CM225" s="509"/>
      <c r="CN225" s="509"/>
      <c r="CO225" s="509"/>
      <c r="CP225" s="509"/>
      <c r="CQ225" s="509"/>
      <c r="CR225" s="509"/>
      <c r="CS225" s="509"/>
      <c r="CT225" s="509"/>
      <c r="CU225" s="509"/>
      <c r="CV225" s="509"/>
      <c r="CW225" s="509"/>
      <c r="CX225" s="509"/>
      <c r="CY225" s="509"/>
      <c r="CZ225" s="509"/>
      <c r="DA225" s="509"/>
      <c r="DB225" s="509"/>
      <c r="DC225" s="509"/>
      <c r="DD225" s="509"/>
      <c r="DE225" s="509"/>
      <c r="DF225" s="509"/>
      <c r="DG225" s="509"/>
      <c r="DH225" s="509"/>
      <c r="DI225" s="509"/>
      <c r="DJ225" s="509"/>
      <c r="DK225" s="509"/>
      <c r="DL225" s="509"/>
      <c r="DM225" s="509"/>
      <c r="DN225" s="509"/>
      <c r="DO225" s="509"/>
      <c r="DP225" s="509"/>
      <c r="DQ225" s="509"/>
      <c r="DR225" s="509"/>
      <c r="DS225" s="509"/>
      <c r="DT225" s="509"/>
      <c r="DU225" s="509"/>
      <c r="DV225" s="509"/>
      <c r="DW225" s="509"/>
      <c r="DX225" s="509"/>
      <c r="DY225" s="509"/>
      <c r="DZ225" s="509"/>
      <c r="EA225" s="509"/>
      <c r="EB225" s="509"/>
      <c r="EC225" s="509"/>
      <c r="ED225" s="509"/>
      <c r="EE225" s="509"/>
      <c r="EF225" s="509"/>
      <c r="EG225" s="509"/>
      <c r="EH225" s="509"/>
      <c r="EI225" s="509"/>
      <c r="EJ225" s="509"/>
      <c r="EK225" s="509"/>
      <c r="EL225" s="509"/>
      <c r="EM225" s="509"/>
      <c r="EN225" s="509"/>
      <c r="EO225" s="509"/>
      <c r="EP225" s="509"/>
      <c r="EQ225" s="509"/>
      <c r="ER225" s="509"/>
      <c r="ES225" s="509"/>
      <c r="ET225" s="509"/>
      <c r="EU225" s="509"/>
      <c r="EV225" s="509"/>
      <c r="EW225" s="509"/>
      <c r="EX225" s="509"/>
      <c r="EY225" s="509"/>
      <c r="EZ225" s="509"/>
      <c r="FA225" s="509"/>
      <c r="FB225" s="509"/>
      <c r="FC225" s="509"/>
      <c r="FD225" s="509"/>
      <c r="FE225" s="509"/>
      <c r="FF225" s="509"/>
      <c r="FG225" s="509"/>
      <c r="FH225" s="509"/>
      <c r="FI225" s="509"/>
      <c r="FJ225" s="509"/>
      <c r="FK225" s="509"/>
      <c r="FL225" s="509"/>
      <c r="FM225" s="509"/>
      <c r="FN225" s="509"/>
      <c r="FO225" s="509"/>
      <c r="FP225" s="509"/>
      <c r="FQ225" s="509"/>
      <c r="FR225" s="509"/>
      <c r="FS225" s="509"/>
      <c r="FT225" s="509"/>
      <c r="FU225" s="509"/>
      <c r="FV225" s="509"/>
      <c r="FW225" s="509"/>
      <c r="FX225" s="509"/>
      <c r="FY225" s="509"/>
      <c r="FZ225" s="509"/>
      <c r="GA225" s="509"/>
      <c r="GB225" s="509"/>
      <c r="GC225" s="509"/>
      <c r="GD225" s="509"/>
      <c r="GE225" s="509"/>
      <c r="GF225" s="509"/>
      <c r="GG225" s="509"/>
      <c r="GH225" s="509"/>
      <c r="GI225" s="509"/>
      <c r="GJ225" s="509"/>
      <c r="GK225" s="509"/>
      <c r="GL225" s="509"/>
      <c r="GM225" s="509"/>
      <c r="GN225" s="509"/>
      <c r="GO225" s="509"/>
      <c r="GP225" s="509"/>
      <c r="GQ225" s="509"/>
      <c r="GR225" s="509"/>
      <c r="GS225" s="509"/>
      <c r="GT225" s="509"/>
      <c r="GU225" s="509"/>
      <c r="GV225" s="509"/>
      <c r="GW225" s="509"/>
      <c r="GX225" s="509"/>
      <c r="GY225" s="509"/>
      <c r="GZ225" s="509"/>
      <c r="HA225" s="509"/>
      <c r="HB225" s="509"/>
      <c r="HC225" s="509"/>
      <c r="HD225" s="509"/>
      <c r="HE225" s="509"/>
      <c r="HF225" s="509"/>
      <c r="HG225" s="509"/>
      <c r="HH225" s="509"/>
      <c r="HI225" s="509"/>
      <c r="HJ225" s="509"/>
      <c r="HK225" s="509"/>
      <c r="HL225" s="509"/>
      <c r="HM225" s="509"/>
      <c r="HN225" s="509"/>
      <c r="HO225" s="509"/>
      <c r="HP225" s="509"/>
      <c r="HQ225" s="509"/>
      <c r="HR225" s="509"/>
      <c r="HS225" s="509"/>
      <c r="HT225" s="509"/>
      <c r="HU225" s="509"/>
      <c r="HV225" s="509"/>
      <c r="HW225" s="509"/>
      <c r="HX225" s="509"/>
      <c r="HY225" s="509"/>
      <c r="HZ225" s="509"/>
      <c r="IA225" s="509"/>
      <c r="IB225" s="509"/>
      <c r="IC225" s="509"/>
      <c r="ID225" s="509"/>
      <c r="IE225" s="509"/>
      <c r="IF225" s="509"/>
      <c r="IG225" s="509"/>
      <c r="IH225" s="509"/>
      <c r="II225" s="509"/>
      <c r="IJ225" s="509"/>
      <c r="IK225" s="509"/>
      <c r="IL225" s="509"/>
      <c r="IM225" s="509"/>
      <c r="IN225" s="509"/>
      <c r="IO225" s="509"/>
      <c r="IP225" s="509"/>
      <c r="IQ225" s="509"/>
      <c r="IR225" s="509"/>
      <c r="IS225" s="509"/>
      <c r="IT225" s="509"/>
      <c r="IU225" s="509"/>
      <c r="IV225" s="509"/>
      <c r="IW225" s="509"/>
      <c r="IX225" s="509"/>
      <c r="IY225" s="509"/>
      <c r="IZ225" s="509"/>
      <c r="JA225" s="509"/>
      <c r="JB225" s="509"/>
      <c r="JC225" s="509"/>
      <c r="JD225" s="509"/>
      <c r="JE225" s="509"/>
      <c r="JF225" s="509"/>
      <c r="JG225" s="509"/>
      <c r="JH225" s="509"/>
      <c r="JI225" s="509"/>
      <c r="JJ225" s="509"/>
      <c r="JK225" s="509"/>
      <c r="JL225" s="509"/>
      <c r="JM225" s="509"/>
      <c r="JN225" s="509"/>
      <c r="JO225" s="509"/>
      <c r="JP225" s="509"/>
      <c r="JQ225" s="509"/>
      <c r="JR225" s="509"/>
      <c r="JS225" s="509"/>
      <c r="JT225" s="509"/>
      <c r="JU225" s="509"/>
      <c r="JV225" s="509"/>
      <c r="JW225" s="509"/>
      <c r="JX225" s="509"/>
      <c r="JY225" s="509"/>
      <c r="JZ225" s="509"/>
      <c r="KA225" s="509"/>
      <c r="KB225" s="509"/>
      <c r="KC225" s="509"/>
      <c r="KD225" s="509"/>
      <c r="KE225" s="509"/>
      <c r="KF225" s="509"/>
      <c r="KG225" s="509"/>
      <c r="KH225" s="509"/>
      <c r="KI225" s="509"/>
      <c r="KJ225" s="509"/>
      <c r="KK225" s="509"/>
      <c r="KL225" s="509"/>
      <c r="KM225" s="509"/>
      <c r="KN225" s="509"/>
      <c r="KO225" s="509"/>
      <c r="KP225" s="509"/>
      <c r="KQ225" s="509"/>
      <c r="KR225" s="509"/>
      <c r="KS225" s="509"/>
      <c r="KT225" s="509"/>
      <c r="KU225" s="509"/>
      <c r="KV225" s="509"/>
      <c r="KW225" s="509"/>
      <c r="KX225" s="509"/>
      <c r="KY225" s="509"/>
      <c r="KZ225" s="509"/>
      <c r="LA225" s="509"/>
      <c r="LB225" s="509"/>
      <c r="LC225" s="509"/>
      <c r="LD225" s="509"/>
      <c r="LE225" s="509"/>
      <c r="LF225" s="509"/>
      <c r="LG225" s="509"/>
      <c r="LH225" s="509"/>
      <c r="LI225" s="509"/>
      <c r="LJ225" s="509"/>
      <c r="LK225" s="509"/>
      <c r="LL225" s="509"/>
      <c r="LM225" s="509"/>
      <c r="LN225" s="509"/>
      <c r="LO225" s="509"/>
      <c r="LP225" s="509"/>
      <c r="LQ225" s="509"/>
      <c r="LR225" s="509"/>
      <c r="LS225" s="509"/>
      <c r="LT225" s="509"/>
      <c r="LU225" s="509"/>
      <c r="LV225" s="509"/>
      <c r="LW225" s="509"/>
      <c r="LX225" s="509"/>
      <c r="LY225" s="509"/>
      <c r="LZ225" s="509"/>
      <c r="MA225" s="509"/>
      <c r="MB225" s="509"/>
      <c r="MC225" s="509"/>
      <c r="MD225" s="509"/>
      <c r="ME225" s="509"/>
      <c r="MF225" s="509"/>
      <c r="MG225" s="509"/>
      <c r="MH225" s="509"/>
      <c r="MI225" s="509"/>
      <c r="MJ225" s="509"/>
      <c r="MK225" s="509"/>
      <c r="ML225" s="509"/>
      <c r="MM225" s="509"/>
      <c r="MN225" s="509"/>
      <c r="MO225" s="509"/>
      <c r="MP225" s="509"/>
      <c r="MQ225" s="509"/>
      <c r="MR225" s="509"/>
      <c r="MS225" s="509"/>
      <c r="MT225" s="509"/>
      <c r="MU225" s="509"/>
      <c r="MV225" s="509"/>
      <c r="MW225" s="509"/>
      <c r="MX225" s="509"/>
      <c r="MY225" s="509"/>
      <c r="MZ225" s="509"/>
      <c r="NA225" s="509"/>
      <c r="NB225" s="509"/>
      <c r="NC225" s="509"/>
      <c r="ND225" s="509"/>
      <c r="NE225" s="509"/>
      <c r="NF225" s="509"/>
      <c r="NG225" s="509"/>
      <c r="NH225" s="509"/>
      <c r="NI225" s="509"/>
      <c r="NJ225" s="509"/>
      <c r="NK225" s="509"/>
      <c r="NL225" s="509"/>
      <c r="NM225" s="509"/>
      <c r="NN225" s="509"/>
      <c r="NO225" s="509"/>
      <c r="NP225" s="509"/>
      <c r="NQ225" s="509"/>
      <c r="NR225" s="509"/>
      <c r="NS225" s="509"/>
      <c r="NT225" s="509"/>
      <c r="NU225" s="509"/>
      <c r="NV225" s="509"/>
      <c r="NW225" s="509"/>
      <c r="NX225" s="509"/>
      <c r="NY225" s="509"/>
      <c r="NZ225" s="509"/>
      <c r="OA225" s="509"/>
      <c r="OB225" s="509"/>
      <c r="OC225" s="509"/>
      <c r="OD225" s="509"/>
      <c r="OE225" s="509"/>
      <c r="OF225" s="509"/>
      <c r="OG225" s="509"/>
      <c r="OH225" s="509"/>
      <c r="OI225" s="509"/>
      <c r="OJ225" s="509"/>
      <c r="OK225" s="509"/>
      <c r="OL225" s="509"/>
      <c r="OM225" s="509"/>
      <c r="ON225" s="509"/>
      <c r="OO225" s="509"/>
      <c r="OP225" s="509"/>
      <c r="OQ225" s="509"/>
      <c r="OR225" s="509"/>
      <c r="OS225" s="509"/>
      <c r="OT225" s="509"/>
      <c r="OU225" s="509"/>
      <c r="OV225" s="509"/>
      <c r="OW225" s="509"/>
      <c r="OX225" s="509"/>
      <c r="OY225" s="509"/>
      <c r="OZ225" s="509"/>
      <c r="PA225" s="509"/>
      <c r="PB225" s="509"/>
      <c r="PC225" s="509"/>
      <c r="PD225" s="509"/>
      <c r="PE225" s="509"/>
      <c r="PF225" s="509"/>
      <c r="PG225" s="509"/>
      <c r="PH225" s="509"/>
      <c r="PI225" s="509"/>
      <c r="PJ225" s="509"/>
      <c r="PK225" s="509"/>
      <c r="PL225" s="509"/>
      <c r="PM225" s="509"/>
      <c r="PN225" s="509"/>
      <c r="PO225" s="509"/>
      <c r="PP225" s="509"/>
      <c r="PQ225" s="509"/>
      <c r="PR225" s="509"/>
      <c r="PS225" s="509"/>
      <c r="PT225" s="509"/>
      <c r="PU225" s="509"/>
      <c r="PV225" s="509"/>
      <c r="PW225" s="509"/>
      <c r="PX225" s="509"/>
      <c r="PY225" s="509"/>
      <c r="PZ225" s="509"/>
      <c r="QA225" s="509"/>
      <c r="QB225" s="509"/>
      <c r="QC225" s="509"/>
      <c r="QD225" s="509"/>
      <c r="QE225" s="509"/>
      <c r="QF225" s="509"/>
      <c r="QG225" s="509"/>
      <c r="QH225" s="509"/>
      <c r="QI225" s="509"/>
      <c r="QJ225" s="509"/>
      <c r="QK225" s="509"/>
      <c r="QL225" s="509"/>
      <c r="QM225" s="509"/>
      <c r="QN225" s="509"/>
      <c r="QO225" s="509"/>
      <c r="QP225" s="509"/>
      <c r="QQ225" s="509"/>
      <c r="QR225" s="509"/>
      <c r="QS225" s="509"/>
      <c r="QT225" s="509"/>
      <c r="QU225" s="509"/>
      <c r="QV225" s="509"/>
      <c r="QW225" s="509"/>
      <c r="QX225" s="509"/>
      <c r="QY225" s="509"/>
      <c r="QZ225" s="509"/>
      <c r="RA225" s="509"/>
      <c r="RB225" s="509"/>
      <c r="RC225" s="509"/>
      <c r="RD225" s="509"/>
      <c r="RE225" s="509"/>
      <c r="RF225" s="509"/>
      <c r="RG225" s="509"/>
      <c r="RH225" s="509"/>
      <c r="RI225" s="509"/>
      <c r="RJ225" s="509"/>
      <c r="RK225" s="509"/>
      <c r="RL225" s="509"/>
      <c r="RM225" s="509"/>
      <c r="RN225" s="509"/>
      <c r="RO225" s="509"/>
      <c r="RP225" s="509"/>
      <c r="RQ225" s="509"/>
      <c r="RR225" s="509"/>
      <c r="RS225" s="509"/>
      <c r="RT225" s="509"/>
      <c r="RU225" s="509"/>
      <c r="RV225" s="509"/>
      <c r="RW225" s="509"/>
      <c r="RX225" s="509"/>
      <c r="RY225" s="509"/>
      <c r="RZ225" s="509"/>
      <c r="SA225" s="509"/>
      <c r="SB225" s="509"/>
      <c r="SC225" s="509"/>
      <c r="SD225" s="509"/>
      <c r="SE225" s="509"/>
      <c r="SF225" s="509"/>
      <c r="SG225" s="509"/>
      <c r="SH225" s="509"/>
      <c r="SI225" s="509"/>
      <c r="SJ225" s="509"/>
      <c r="SK225" s="509"/>
      <c r="SL225" s="509"/>
      <c r="SM225" s="509"/>
      <c r="SN225" s="509"/>
      <c r="SO225" s="509"/>
      <c r="SP225" s="509"/>
      <c r="SQ225" s="509"/>
      <c r="SR225" s="509"/>
      <c r="SS225" s="509"/>
      <c r="ST225" s="509"/>
      <c r="SU225" s="509"/>
      <c r="SV225" s="509"/>
      <c r="SW225" s="509"/>
      <c r="SX225" s="509"/>
      <c r="SY225" s="509"/>
      <c r="SZ225" s="509"/>
      <c r="TA225" s="509"/>
      <c r="TB225" s="509"/>
      <c r="TC225" s="509"/>
      <c r="TD225" s="509"/>
      <c r="TE225" s="509"/>
      <c r="TF225" s="509"/>
      <c r="TG225" s="509"/>
      <c r="TH225" s="509"/>
      <c r="TI225" s="509"/>
      <c r="TJ225" s="509"/>
      <c r="TK225" s="509"/>
      <c r="TL225" s="509"/>
      <c r="TM225" s="509"/>
      <c r="TN225" s="509"/>
      <c r="TO225" s="509"/>
      <c r="TP225" s="509"/>
      <c r="TQ225" s="509"/>
      <c r="TR225" s="509"/>
      <c r="TS225" s="509"/>
      <c r="TT225" s="509"/>
      <c r="TU225" s="509"/>
      <c r="TV225" s="509"/>
      <c r="TW225" s="509"/>
      <c r="TX225" s="509"/>
      <c r="TY225" s="509"/>
      <c r="TZ225" s="509"/>
      <c r="UA225" s="509"/>
      <c r="UB225" s="509"/>
      <c r="UC225" s="509"/>
      <c r="UD225" s="509"/>
      <c r="UE225" s="509"/>
      <c r="UF225" s="509"/>
      <c r="UG225" s="509"/>
      <c r="UH225" s="509"/>
      <c r="UI225" s="509"/>
    </row>
    <row r="226" spans="1:555" ht="135">
      <c r="A226" s="296">
        <v>263</v>
      </c>
      <c r="B226" s="297" t="s">
        <v>3091</v>
      </c>
      <c r="C226" s="339">
        <v>8433517</v>
      </c>
      <c r="D226" s="354" t="s">
        <v>333</v>
      </c>
      <c r="E226" s="299">
        <v>42489</v>
      </c>
      <c r="F226" s="300">
        <v>42461</v>
      </c>
      <c r="G226" s="301" t="s">
        <v>3092</v>
      </c>
      <c r="H226" s="297" t="s">
        <v>5</v>
      </c>
      <c r="I226" s="297" t="s">
        <v>101</v>
      </c>
      <c r="J226" s="299">
        <v>43014</v>
      </c>
      <c r="K226" s="300">
        <v>43009</v>
      </c>
      <c r="L226" s="301" t="s">
        <v>3093</v>
      </c>
      <c r="M226" s="297" t="s">
        <v>2743</v>
      </c>
      <c r="N226" s="297" t="s">
        <v>3094</v>
      </c>
      <c r="O226" s="299">
        <v>43013</v>
      </c>
      <c r="P226" s="302">
        <v>43009</v>
      </c>
      <c r="Q226" s="301" t="s">
        <v>3095</v>
      </c>
      <c r="R226" s="297" t="s">
        <v>208</v>
      </c>
      <c r="S226" s="297" t="s">
        <v>3096</v>
      </c>
      <c r="T226" s="299">
        <v>43147</v>
      </c>
      <c r="U226" s="300">
        <v>43132</v>
      </c>
      <c r="V226" s="301" t="s">
        <v>3097</v>
      </c>
      <c r="W226" s="297" t="s">
        <v>5</v>
      </c>
      <c r="X226" s="297" t="s">
        <v>1753</v>
      </c>
      <c r="Y226" s="299">
        <v>43017</v>
      </c>
      <c r="Z226" s="300">
        <v>43017</v>
      </c>
      <c r="AA226" s="301" t="s">
        <v>3098</v>
      </c>
      <c r="AB226" s="297" t="s">
        <v>208</v>
      </c>
      <c r="AC226" s="297" t="s">
        <v>3099</v>
      </c>
      <c r="AD226" s="299" t="s">
        <v>3100</v>
      </c>
      <c r="AE226" s="300" t="s">
        <v>3101</v>
      </c>
      <c r="AF226" s="301" t="s">
        <v>3102</v>
      </c>
      <c r="AG226" s="297" t="s">
        <v>3103</v>
      </c>
      <c r="AH226" s="297" t="s">
        <v>3104</v>
      </c>
      <c r="AI226" s="304"/>
      <c r="AJ226" s="300"/>
      <c r="AK226" s="301"/>
      <c r="AL226" s="297"/>
      <c r="AM226" s="297"/>
      <c r="AN226" s="297" t="s">
        <v>2961</v>
      </c>
      <c r="AO226" s="473"/>
      <c r="AP226" s="297"/>
      <c r="AQ226" s="340" t="s">
        <v>3105</v>
      </c>
      <c r="AR226" s="297" t="s">
        <v>66</v>
      </c>
      <c r="AS226" s="299">
        <v>37770</v>
      </c>
      <c r="AT226" s="299">
        <v>40543</v>
      </c>
      <c r="AU226" s="297" t="s">
        <v>3106</v>
      </c>
      <c r="AV226" s="297"/>
      <c r="AW226" s="297" t="s">
        <v>92</v>
      </c>
      <c r="AX226" s="297" t="s">
        <v>3107</v>
      </c>
      <c r="AY226" s="299">
        <v>40995</v>
      </c>
      <c r="AZ226" s="297" t="s">
        <v>2390</v>
      </c>
      <c r="BA226" s="299">
        <v>42060</v>
      </c>
      <c r="BB226" s="382">
        <v>42440</v>
      </c>
      <c r="BC226" s="297" t="s">
        <v>95</v>
      </c>
      <c r="BD226" s="297" t="s">
        <v>566</v>
      </c>
      <c r="BE226" s="297"/>
      <c r="BF226" s="301"/>
      <c r="BG226" s="301" t="s">
        <v>3108</v>
      </c>
      <c r="BH226" s="301" t="s">
        <v>3109</v>
      </c>
      <c r="BI226" s="301"/>
      <c r="BJ226" s="312">
        <v>274323408</v>
      </c>
      <c r="BK226" s="312">
        <v>274323408</v>
      </c>
      <c r="BL226" s="313">
        <v>110139818</v>
      </c>
      <c r="BM226" s="299">
        <v>43213</v>
      </c>
      <c r="BN226" s="314">
        <v>43191</v>
      </c>
      <c r="BO226" s="434" t="s">
        <v>3110</v>
      </c>
      <c r="BP226" s="397"/>
      <c r="BQ226" s="398"/>
      <c r="BR226" s="320"/>
      <c r="BS226" s="301"/>
      <c r="BT226" s="301"/>
      <c r="BU226" s="301"/>
      <c r="BV226" s="301"/>
      <c r="BW226" s="316"/>
      <c r="BX226" s="304"/>
      <c r="BY226" s="299"/>
      <c r="BZ226" s="317"/>
    </row>
    <row r="227" spans="1:555" ht="81">
      <c r="A227" s="296">
        <v>264</v>
      </c>
      <c r="B227" s="297" t="s">
        <v>3111</v>
      </c>
      <c r="C227" s="543">
        <v>93083005</v>
      </c>
      <c r="D227" s="354" t="s">
        <v>167</v>
      </c>
      <c r="E227" s="299">
        <v>42489</v>
      </c>
      <c r="F227" s="300">
        <v>42461</v>
      </c>
      <c r="G227" s="301" t="s">
        <v>3112</v>
      </c>
      <c r="H227" s="297" t="s">
        <v>1493</v>
      </c>
      <c r="I227" s="297" t="s">
        <v>183</v>
      </c>
      <c r="J227" s="299">
        <v>42544</v>
      </c>
      <c r="K227" s="300">
        <v>42522</v>
      </c>
      <c r="L227" s="301" t="s">
        <v>3113</v>
      </c>
      <c r="M227" s="297" t="s">
        <v>5</v>
      </c>
      <c r="N227" s="297" t="s">
        <v>101</v>
      </c>
      <c r="O227" s="299"/>
      <c r="P227" s="302"/>
      <c r="Q227" s="301"/>
      <c r="R227" s="297"/>
      <c r="S227" s="297"/>
      <c r="T227" s="299"/>
      <c r="U227" s="300"/>
      <c r="V227" s="301"/>
      <c r="W227" s="297"/>
      <c r="X227" s="297"/>
      <c r="Y227" s="299"/>
      <c r="Z227" s="300"/>
      <c r="AA227" s="301"/>
      <c r="AB227" s="297"/>
      <c r="AC227" s="297"/>
      <c r="AD227" s="299"/>
      <c r="AE227" s="300"/>
      <c r="AF227" s="301"/>
      <c r="AG227" s="297"/>
      <c r="AH227" s="297"/>
      <c r="AI227" s="304"/>
      <c r="AJ227" s="300"/>
      <c r="AK227" s="301"/>
      <c r="AL227" s="297"/>
      <c r="AM227" s="297"/>
      <c r="AN227" s="297" t="s">
        <v>2961</v>
      </c>
      <c r="AO227" s="540">
        <v>42564</v>
      </c>
      <c r="AP227" s="297"/>
      <c r="AQ227" s="301" t="s">
        <v>3114</v>
      </c>
      <c r="AR227" s="297" t="s">
        <v>161</v>
      </c>
      <c r="AS227" s="299">
        <v>37445</v>
      </c>
      <c r="AT227" s="299">
        <v>39794</v>
      </c>
      <c r="AU227" s="297" t="s">
        <v>3115</v>
      </c>
      <c r="AV227" s="297"/>
      <c r="AW227" s="297" t="s">
        <v>92</v>
      </c>
      <c r="AX227" s="297" t="s">
        <v>3116</v>
      </c>
      <c r="AY227" s="299">
        <v>40994</v>
      </c>
      <c r="AZ227" s="297" t="s">
        <v>3117</v>
      </c>
      <c r="BA227" s="299">
        <v>42395</v>
      </c>
      <c r="BB227" s="382">
        <v>42409</v>
      </c>
      <c r="BC227" s="297" t="s">
        <v>95</v>
      </c>
      <c r="BD227" s="297" t="s">
        <v>566</v>
      </c>
      <c r="BE227" s="297"/>
      <c r="BF227" s="301"/>
      <c r="BG227" s="301"/>
      <c r="BH227" s="301" t="s">
        <v>9838</v>
      </c>
      <c r="BI227" s="301"/>
      <c r="BJ227" s="301"/>
      <c r="BK227" s="312" t="s">
        <v>9839</v>
      </c>
      <c r="BL227" s="313" t="s">
        <v>9840</v>
      </c>
      <c r="BM227" s="299" t="s">
        <v>9841</v>
      </c>
      <c r="BN227" s="314" t="s">
        <v>9842</v>
      </c>
      <c r="BO227" s="460"/>
      <c r="BP227" s="390"/>
      <c r="BQ227" s="297"/>
      <c r="BR227" s="303"/>
      <c r="BS227" s="301"/>
      <c r="BT227" s="301"/>
      <c r="BU227" s="301"/>
      <c r="BV227" s="301"/>
      <c r="BW227" s="316"/>
      <c r="BX227" s="304"/>
      <c r="BY227" s="299"/>
      <c r="BZ227" s="317"/>
      <c r="CA227" s="509"/>
      <c r="CB227" s="509"/>
      <c r="CC227" s="509"/>
      <c r="CD227" s="509"/>
      <c r="CE227" s="509"/>
      <c r="CF227" s="509"/>
      <c r="CG227" s="509"/>
      <c r="CH227" s="509"/>
      <c r="CI227" s="509"/>
      <c r="CJ227" s="509"/>
      <c r="CK227" s="509"/>
      <c r="CL227" s="509"/>
      <c r="CM227" s="509"/>
      <c r="CN227" s="509"/>
      <c r="CO227" s="509"/>
      <c r="CP227" s="509"/>
      <c r="CQ227" s="509"/>
      <c r="CR227" s="509"/>
      <c r="CS227" s="509"/>
      <c r="CT227" s="509"/>
      <c r="CU227" s="509"/>
      <c r="CV227" s="509"/>
      <c r="CW227" s="509"/>
      <c r="CX227" s="509"/>
      <c r="CY227" s="509"/>
      <c r="CZ227" s="509"/>
      <c r="DA227" s="509"/>
      <c r="DB227" s="509"/>
      <c r="DC227" s="509"/>
      <c r="DD227" s="509"/>
      <c r="DE227" s="509"/>
      <c r="DF227" s="509"/>
      <c r="DG227" s="509"/>
      <c r="DH227" s="509"/>
      <c r="DI227" s="509"/>
      <c r="DJ227" s="509"/>
      <c r="DK227" s="509"/>
      <c r="DL227" s="509"/>
      <c r="DM227" s="509"/>
      <c r="DN227" s="509"/>
      <c r="DO227" s="509"/>
      <c r="DP227" s="509"/>
      <c r="DQ227" s="509"/>
      <c r="DR227" s="509"/>
      <c r="DS227" s="509"/>
      <c r="DT227" s="509"/>
      <c r="DU227" s="509"/>
      <c r="DV227" s="509"/>
      <c r="DW227" s="509"/>
      <c r="DX227" s="509"/>
      <c r="DY227" s="509"/>
      <c r="DZ227" s="509"/>
      <c r="EA227" s="509"/>
      <c r="EB227" s="509"/>
      <c r="EC227" s="509"/>
      <c r="ED227" s="509"/>
      <c r="EE227" s="509"/>
      <c r="EF227" s="509"/>
      <c r="EG227" s="509"/>
      <c r="EH227" s="509"/>
      <c r="EI227" s="509"/>
      <c r="EJ227" s="509"/>
      <c r="EK227" s="509"/>
      <c r="EL227" s="509"/>
      <c r="EM227" s="509"/>
      <c r="EN227" s="509"/>
      <c r="EO227" s="509"/>
      <c r="EP227" s="509"/>
      <c r="EQ227" s="509"/>
      <c r="ER227" s="509"/>
      <c r="ES227" s="509"/>
      <c r="ET227" s="509"/>
      <c r="EU227" s="509"/>
      <c r="EV227" s="509"/>
      <c r="EW227" s="509"/>
      <c r="EX227" s="509"/>
      <c r="EY227" s="509"/>
      <c r="EZ227" s="509"/>
      <c r="FA227" s="509"/>
      <c r="FB227" s="509"/>
      <c r="FC227" s="509"/>
      <c r="FD227" s="509"/>
      <c r="FE227" s="509"/>
      <c r="FF227" s="509"/>
      <c r="FG227" s="509"/>
      <c r="FH227" s="509"/>
      <c r="FI227" s="509"/>
      <c r="FJ227" s="509"/>
      <c r="FK227" s="509"/>
      <c r="FL227" s="509"/>
      <c r="FM227" s="509"/>
      <c r="FN227" s="509"/>
      <c r="FO227" s="509"/>
      <c r="FP227" s="509"/>
      <c r="FQ227" s="509"/>
      <c r="FR227" s="509"/>
      <c r="FS227" s="509"/>
      <c r="FT227" s="509"/>
      <c r="FU227" s="509"/>
      <c r="FV227" s="509"/>
      <c r="FW227" s="509"/>
      <c r="FX227" s="509"/>
      <c r="FY227" s="509"/>
      <c r="FZ227" s="509"/>
      <c r="GA227" s="509"/>
      <c r="GB227" s="509"/>
      <c r="GC227" s="509"/>
      <c r="GD227" s="509"/>
      <c r="GE227" s="509"/>
      <c r="GF227" s="509"/>
      <c r="GG227" s="509"/>
      <c r="GH227" s="509"/>
      <c r="GI227" s="509"/>
      <c r="GJ227" s="509"/>
      <c r="GK227" s="509"/>
      <c r="GL227" s="509"/>
      <c r="GM227" s="509"/>
      <c r="GN227" s="509"/>
      <c r="GO227" s="509"/>
      <c r="GP227" s="509"/>
      <c r="GQ227" s="509"/>
      <c r="GR227" s="509"/>
      <c r="GS227" s="509"/>
      <c r="GT227" s="509"/>
      <c r="GU227" s="509"/>
      <c r="GV227" s="509"/>
      <c r="GW227" s="509"/>
      <c r="GX227" s="509"/>
      <c r="GY227" s="509"/>
      <c r="GZ227" s="509"/>
      <c r="HA227" s="509"/>
      <c r="HB227" s="509"/>
      <c r="HC227" s="509"/>
      <c r="HD227" s="509"/>
      <c r="HE227" s="509"/>
      <c r="HF227" s="509"/>
      <c r="HG227" s="509"/>
      <c r="HH227" s="509"/>
      <c r="HI227" s="509"/>
      <c r="HJ227" s="509"/>
      <c r="HK227" s="509"/>
      <c r="HL227" s="509"/>
      <c r="HM227" s="509"/>
      <c r="HN227" s="509"/>
      <c r="HO227" s="509"/>
      <c r="HP227" s="509"/>
      <c r="HQ227" s="509"/>
      <c r="HR227" s="509"/>
      <c r="HS227" s="509"/>
      <c r="HT227" s="509"/>
      <c r="HU227" s="509"/>
      <c r="HV227" s="509"/>
      <c r="HW227" s="509"/>
      <c r="HX227" s="509"/>
      <c r="HY227" s="509"/>
      <c r="HZ227" s="509"/>
      <c r="IA227" s="509"/>
      <c r="IB227" s="509"/>
      <c r="IC227" s="509"/>
      <c r="ID227" s="509"/>
      <c r="IE227" s="509"/>
      <c r="IF227" s="509"/>
      <c r="IG227" s="509"/>
      <c r="IH227" s="509"/>
      <c r="II227" s="509"/>
      <c r="IJ227" s="509"/>
      <c r="IK227" s="509"/>
      <c r="IL227" s="509"/>
      <c r="IM227" s="509"/>
      <c r="IN227" s="509"/>
      <c r="IO227" s="509"/>
      <c r="IP227" s="509"/>
      <c r="IQ227" s="509"/>
      <c r="IR227" s="509"/>
      <c r="IS227" s="509"/>
      <c r="IT227" s="509"/>
      <c r="IU227" s="509"/>
      <c r="IV227" s="509"/>
      <c r="IW227" s="509"/>
      <c r="IX227" s="509"/>
      <c r="IY227" s="509"/>
      <c r="IZ227" s="509"/>
      <c r="JA227" s="509"/>
      <c r="JB227" s="509"/>
      <c r="JC227" s="509"/>
      <c r="JD227" s="509"/>
      <c r="JE227" s="509"/>
      <c r="JF227" s="509"/>
      <c r="JG227" s="509"/>
      <c r="JH227" s="509"/>
      <c r="JI227" s="509"/>
      <c r="JJ227" s="509"/>
      <c r="JK227" s="509"/>
      <c r="JL227" s="509"/>
      <c r="JM227" s="509"/>
      <c r="JN227" s="509"/>
      <c r="JO227" s="509"/>
      <c r="JP227" s="509"/>
      <c r="JQ227" s="509"/>
      <c r="JR227" s="509"/>
      <c r="JS227" s="509"/>
      <c r="JT227" s="509"/>
      <c r="JU227" s="509"/>
      <c r="JV227" s="509"/>
      <c r="JW227" s="509"/>
      <c r="JX227" s="509"/>
      <c r="JY227" s="509"/>
      <c r="JZ227" s="509"/>
      <c r="KA227" s="509"/>
      <c r="KB227" s="509"/>
      <c r="KC227" s="509"/>
      <c r="KD227" s="509"/>
      <c r="KE227" s="509"/>
      <c r="KF227" s="509"/>
      <c r="KG227" s="509"/>
      <c r="KH227" s="509"/>
      <c r="KI227" s="509"/>
      <c r="KJ227" s="509"/>
      <c r="KK227" s="509"/>
      <c r="KL227" s="509"/>
      <c r="KM227" s="509"/>
      <c r="KN227" s="509"/>
      <c r="KO227" s="509"/>
      <c r="KP227" s="509"/>
      <c r="KQ227" s="509"/>
      <c r="KR227" s="509"/>
      <c r="KS227" s="509"/>
      <c r="KT227" s="509"/>
      <c r="KU227" s="509"/>
      <c r="KV227" s="509"/>
      <c r="KW227" s="509"/>
      <c r="KX227" s="509"/>
      <c r="KY227" s="509"/>
      <c r="KZ227" s="509"/>
      <c r="LA227" s="509"/>
      <c r="LB227" s="509"/>
      <c r="LC227" s="509"/>
      <c r="LD227" s="509"/>
      <c r="LE227" s="509"/>
      <c r="LF227" s="509"/>
      <c r="LG227" s="509"/>
      <c r="LH227" s="509"/>
      <c r="LI227" s="509"/>
      <c r="LJ227" s="509"/>
      <c r="LK227" s="509"/>
      <c r="LL227" s="509"/>
      <c r="LM227" s="509"/>
      <c r="LN227" s="509"/>
      <c r="LO227" s="509"/>
      <c r="LP227" s="509"/>
      <c r="LQ227" s="509"/>
      <c r="LR227" s="509"/>
      <c r="LS227" s="509"/>
      <c r="LT227" s="509"/>
      <c r="LU227" s="509"/>
      <c r="LV227" s="509"/>
      <c r="LW227" s="509"/>
      <c r="LX227" s="509"/>
      <c r="LY227" s="509"/>
      <c r="LZ227" s="509"/>
      <c r="MA227" s="509"/>
      <c r="MB227" s="509"/>
      <c r="MC227" s="509"/>
      <c r="MD227" s="509"/>
      <c r="ME227" s="509"/>
      <c r="MF227" s="509"/>
      <c r="MG227" s="509"/>
      <c r="MH227" s="509"/>
      <c r="MI227" s="509"/>
      <c r="MJ227" s="509"/>
      <c r="MK227" s="509"/>
      <c r="ML227" s="509"/>
      <c r="MM227" s="509"/>
      <c r="MN227" s="509"/>
      <c r="MO227" s="509"/>
      <c r="MP227" s="509"/>
      <c r="MQ227" s="509"/>
      <c r="MR227" s="509"/>
      <c r="MS227" s="509"/>
      <c r="MT227" s="509"/>
      <c r="MU227" s="509"/>
      <c r="MV227" s="509"/>
      <c r="MW227" s="509"/>
      <c r="MX227" s="509"/>
      <c r="MY227" s="509"/>
      <c r="MZ227" s="509"/>
      <c r="NA227" s="509"/>
      <c r="NB227" s="509"/>
      <c r="NC227" s="509"/>
      <c r="ND227" s="509"/>
      <c r="NE227" s="509"/>
      <c r="NF227" s="509"/>
      <c r="NG227" s="509"/>
      <c r="NH227" s="509"/>
      <c r="NI227" s="509"/>
      <c r="NJ227" s="509"/>
      <c r="NK227" s="509"/>
      <c r="NL227" s="509"/>
      <c r="NM227" s="509"/>
      <c r="NN227" s="509"/>
      <c r="NO227" s="509"/>
      <c r="NP227" s="509"/>
      <c r="NQ227" s="509"/>
      <c r="NR227" s="509"/>
      <c r="NS227" s="509"/>
      <c r="NT227" s="509"/>
      <c r="NU227" s="509"/>
      <c r="NV227" s="509"/>
      <c r="NW227" s="509"/>
      <c r="NX227" s="509"/>
      <c r="NY227" s="509"/>
      <c r="NZ227" s="509"/>
      <c r="OA227" s="509"/>
      <c r="OB227" s="509"/>
      <c r="OC227" s="509"/>
      <c r="OD227" s="509"/>
      <c r="OE227" s="509"/>
      <c r="OF227" s="509"/>
      <c r="OG227" s="509"/>
      <c r="OH227" s="509"/>
      <c r="OI227" s="509"/>
      <c r="OJ227" s="509"/>
      <c r="OK227" s="509"/>
      <c r="OL227" s="509"/>
      <c r="OM227" s="509"/>
      <c r="ON227" s="509"/>
      <c r="OO227" s="509"/>
      <c r="OP227" s="509"/>
      <c r="OQ227" s="509"/>
      <c r="OR227" s="509"/>
      <c r="OS227" s="509"/>
      <c r="OT227" s="509"/>
      <c r="OU227" s="509"/>
      <c r="OV227" s="509"/>
      <c r="OW227" s="509"/>
      <c r="OX227" s="509"/>
      <c r="OY227" s="509"/>
      <c r="OZ227" s="509"/>
      <c r="PA227" s="509"/>
      <c r="PB227" s="509"/>
      <c r="PC227" s="509"/>
      <c r="PD227" s="509"/>
      <c r="PE227" s="509"/>
      <c r="PF227" s="509"/>
      <c r="PG227" s="509"/>
      <c r="PH227" s="509"/>
      <c r="PI227" s="509"/>
      <c r="PJ227" s="509"/>
      <c r="PK227" s="509"/>
      <c r="PL227" s="509"/>
      <c r="PM227" s="509"/>
      <c r="PN227" s="509"/>
      <c r="PO227" s="509"/>
      <c r="PP227" s="509"/>
      <c r="PQ227" s="509"/>
      <c r="PR227" s="509"/>
      <c r="PS227" s="509"/>
      <c r="PT227" s="509"/>
      <c r="PU227" s="509"/>
      <c r="PV227" s="509"/>
      <c r="PW227" s="509"/>
      <c r="PX227" s="509"/>
      <c r="PY227" s="509"/>
      <c r="PZ227" s="509"/>
      <c r="QA227" s="509"/>
      <c r="QB227" s="509"/>
      <c r="QC227" s="509"/>
      <c r="QD227" s="509"/>
      <c r="QE227" s="509"/>
      <c r="QF227" s="509"/>
      <c r="QG227" s="509"/>
      <c r="QH227" s="509"/>
      <c r="QI227" s="509"/>
      <c r="QJ227" s="509"/>
      <c r="QK227" s="509"/>
      <c r="QL227" s="509"/>
      <c r="QM227" s="509"/>
      <c r="QN227" s="509"/>
      <c r="QO227" s="509"/>
      <c r="QP227" s="509"/>
      <c r="QQ227" s="509"/>
      <c r="QR227" s="509"/>
      <c r="QS227" s="509"/>
      <c r="QT227" s="509"/>
      <c r="QU227" s="509"/>
      <c r="QV227" s="509"/>
      <c r="QW227" s="509"/>
      <c r="QX227" s="509"/>
      <c r="QY227" s="509"/>
      <c r="QZ227" s="509"/>
      <c r="RA227" s="509"/>
      <c r="RB227" s="509"/>
      <c r="RC227" s="509"/>
      <c r="RD227" s="509"/>
      <c r="RE227" s="509"/>
      <c r="RF227" s="509"/>
      <c r="RG227" s="509"/>
      <c r="RH227" s="509"/>
      <c r="RI227" s="509"/>
      <c r="RJ227" s="509"/>
      <c r="RK227" s="509"/>
      <c r="RL227" s="509"/>
      <c r="RM227" s="509"/>
      <c r="RN227" s="509"/>
      <c r="RO227" s="509"/>
      <c r="RP227" s="509"/>
      <c r="RQ227" s="509"/>
      <c r="RR227" s="509"/>
      <c r="RS227" s="509"/>
      <c r="RT227" s="509"/>
      <c r="RU227" s="509"/>
      <c r="RV227" s="509"/>
      <c r="RW227" s="509"/>
      <c r="RX227" s="509"/>
      <c r="RY227" s="509"/>
      <c r="RZ227" s="509"/>
      <c r="SA227" s="509"/>
      <c r="SB227" s="509"/>
      <c r="SC227" s="509"/>
      <c r="SD227" s="509"/>
      <c r="SE227" s="509"/>
      <c r="SF227" s="509"/>
      <c r="SG227" s="509"/>
      <c r="SH227" s="509"/>
      <c r="SI227" s="509"/>
      <c r="SJ227" s="509"/>
      <c r="SK227" s="509"/>
      <c r="SL227" s="509"/>
      <c r="SM227" s="509"/>
      <c r="SN227" s="509"/>
      <c r="SO227" s="509"/>
      <c r="SP227" s="509"/>
      <c r="SQ227" s="509"/>
      <c r="SR227" s="509"/>
      <c r="SS227" s="509"/>
      <c r="ST227" s="509"/>
      <c r="SU227" s="509"/>
      <c r="SV227" s="509"/>
      <c r="SW227" s="509"/>
      <c r="SX227" s="509"/>
      <c r="SY227" s="509"/>
      <c r="SZ227" s="509"/>
      <c r="TA227" s="509"/>
      <c r="TB227" s="509"/>
      <c r="TC227" s="509"/>
      <c r="TD227" s="509"/>
      <c r="TE227" s="509"/>
      <c r="TF227" s="509"/>
      <c r="TG227" s="509"/>
      <c r="TH227" s="509"/>
      <c r="TI227" s="509"/>
      <c r="TJ227" s="509"/>
      <c r="TK227" s="509"/>
      <c r="TL227" s="509"/>
      <c r="TM227" s="509"/>
      <c r="TN227" s="509"/>
      <c r="TO227" s="509"/>
      <c r="TP227" s="509"/>
      <c r="TQ227" s="509"/>
      <c r="TR227" s="509"/>
      <c r="TS227" s="509"/>
      <c r="TT227" s="509"/>
      <c r="TU227" s="509"/>
      <c r="TV227" s="509"/>
      <c r="TW227" s="509"/>
      <c r="TX227" s="509"/>
      <c r="TY227" s="509"/>
      <c r="TZ227" s="509"/>
      <c r="UA227" s="509"/>
      <c r="UB227" s="509"/>
      <c r="UC227" s="509"/>
      <c r="UD227" s="509"/>
      <c r="UE227" s="509"/>
      <c r="UF227" s="509"/>
      <c r="UG227" s="509"/>
      <c r="UH227" s="509"/>
      <c r="UI227" s="509"/>
    </row>
    <row r="228" spans="1:555" ht="142.5" customHeight="1">
      <c r="A228" s="296">
        <v>265</v>
      </c>
      <c r="B228" s="297" t="s">
        <v>3118</v>
      </c>
      <c r="C228" s="298">
        <v>79701548</v>
      </c>
      <c r="D228" s="354" t="s">
        <v>167</v>
      </c>
      <c r="E228" s="299">
        <v>42495</v>
      </c>
      <c r="F228" s="300">
        <v>42491</v>
      </c>
      <c r="G228" s="301" t="s">
        <v>3119</v>
      </c>
      <c r="H228" s="297" t="s">
        <v>1493</v>
      </c>
      <c r="I228" s="297" t="s">
        <v>183</v>
      </c>
      <c r="J228" s="299">
        <v>42593</v>
      </c>
      <c r="K228" s="300">
        <v>42583</v>
      </c>
      <c r="L228" s="301" t="s">
        <v>3120</v>
      </c>
      <c r="M228" s="297" t="s">
        <v>5</v>
      </c>
      <c r="N228" s="297" t="s">
        <v>101</v>
      </c>
      <c r="O228" s="299"/>
      <c r="P228" s="302"/>
      <c r="Q228" s="301"/>
      <c r="R228" s="297"/>
      <c r="S228" s="297"/>
      <c r="T228" s="299"/>
      <c r="U228" s="300"/>
      <c r="V228" s="301"/>
      <c r="W228" s="297"/>
      <c r="X228" s="297"/>
      <c r="Y228" s="299"/>
      <c r="Z228" s="300"/>
      <c r="AA228" s="301"/>
      <c r="AB228" s="297"/>
      <c r="AC228" s="297"/>
      <c r="AD228" s="299"/>
      <c r="AE228" s="300"/>
      <c r="AF228" s="301"/>
      <c r="AG228" s="297"/>
      <c r="AH228" s="297"/>
      <c r="AI228" s="304"/>
      <c r="AJ228" s="300"/>
      <c r="AK228" s="301"/>
      <c r="AL228" s="297"/>
      <c r="AM228" s="297"/>
      <c r="AN228" s="297" t="s">
        <v>1809</v>
      </c>
      <c r="AO228" s="473"/>
      <c r="AP228" s="297"/>
      <c r="AQ228" s="301" t="s">
        <v>3121</v>
      </c>
      <c r="AR228" s="297" t="s">
        <v>66</v>
      </c>
      <c r="AS228" s="299">
        <v>39264</v>
      </c>
      <c r="AT228" s="299">
        <v>40588</v>
      </c>
      <c r="AU228" s="297" t="s">
        <v>3122</v>
      </c>
      <c r="AV228" s="297"/>
      <c r="AW228" s="297" t="s">
        <v>69</v>
      </c>
      <c r="AX228" s="297" t="s">
        <v>3117</v>
      </c>
      <c r="AY228" s="299">
        <v>41711</v>
      </c>
      <c r="AZ228" s="297" t="s">
        <v>67</v>
      </c>
      <c r="BA228" s="299" t="s">
        <v>67</v>
      </c>
      <c r="BB228" s="382">
        <v>41779</v>
      </c>
      <c r="BC228" s="297" t="s">
        <v>95</v>
      </c>
      <c r="BD228" s="297" t="s">
        <v>1792</v>
      </c>
      <c r="BE228" s="297"/>
      <c r="BF228" s="301"/>
      <c r="BG228" s="301"/>
      <c r="BH228" s="301" t="s">
        <v>3123</v>
      </c>
      <c r="BI228" s="301"/>
      <c r="BJ228" s="312">
        <v>108446361</v>
      </c>
      <c r="BK228" s="312">
        <v>108446361</v>
      </c>
      <c r="BL228" s="313">
        <v>115472918</v>
      </c>
      <c r="BM228" s="299">
        <v>43214</v>
      </c>
      <c r="BN228" s="314">
        <v>43191</v>
      </c>
      <c r="BO228" s="434" t="s">
        <v>1043</v>
      </c>
      <c r="BP228" s="397"/>
      <c r="BQ228" s="398"/>
      <c r="BR228" s="320"/>
      <c r="BS228" s="301"/>
      <c r="BT228" s="301"/>
      <c r="BU228" s="301"/>
      <c r="BV228" s="301"/>
      <c r="BW228" s="316"/>
      <c r="BX228" s="304"/>
      <c r="BY228" s="299"/>
      <c r="BZ228" s="317"/>
    </row>
    <row r="229" spans="1:555" ht="57.75" customHeight="1">
      <c r="A229" s="296">
        <v>267</v>
      </c>
      <c r="B229" s="297" t="s">
        <v>3131</v>
      </c>
      <c r="C229" s="329">
        <v>93481693</v>
      </c>
      <c r="D229" s="354" t="s">
        <v>648</v>
      </c>
      <c r="E229" s="299">
        <v>42506</v>
      </c>
      <c r="F229" s="300">
        <v>42491</v>
      </c>
      <c r="G229" s="301" t="s">
        <v>3132</v>
      </c>
      <c r="H229" s="297" t="s">
        <v>171</v>
      </c>
      <c r="I229" s="297" t="s">
        <v>183</v>
      </c>
      <c r="J229" s="299">
        <v>42691</v>
      </c>
      <c r="K229" s="300">
        <v>42675</v>
      </c>
      <c r="L229" s="301" t="s">
        <v>3133</v>
      </c>
      <c r="M229" s="297" t="s">
        <v>5</v>
      </c>
      <c r="N229" s="297" t="s">
        <v>101</v>
      </c>
      <c r="O229" s="299">
        <v>42927</v>
      </c>
      <c r="P229" s="302">
        <v>42917</v>
      </c>
      <c r="Q229" s="301" t="s">
        <v>3134</v>
      </c>
      <c r="R229" s="297" t="s">
        <v>5</v>
      </c>
      <c r="S229" s="297" t="s">
        <v>85</v>
      </c>
      <c r="T229" s="299">
        <v>43137</v>
      </c>
      <c r="U229" s="300">
        <v>43132</v>
      </c>
      <c r="V229" s="301" t="s">
        <v>3135</v>
      </c>
      <c r="W229" s="297" t="s">
        <v>286</v>
      </c>
      <c r="X229" s="297" t="s">
        <v>107</v>
      </c>
      <c r="Y229" s="299">
        <v>43318</v>
      </c>
      <c r="Z229" s="300">
        <v>43318</v>
      </c>
      <c r="AA229" s="364" t="s">
        <v>271</v>
      </c>
      <c r="AB229" s="297" t="s">
        <v>3136</v>
      </c>
      <c r="AC229" s="297" t="s">
        <v>3137</v>
      </c>
      <c r="AD229" s="299">
        <v>43320</v>
      </c>
      <c r="AE229" s="300">
        <v>43320</v>
      </c>
      <c r="AF229" s="301" t="s">
        <v>3138</v>
      </c>
      <c r="AG229" s="297" t="s">
        <v>171</v>
      </c>
      <c r="AH229" s="297" t="s">
        <v>3139</v>
      </c>
      <c r="AI229" s="299">
        <v>43490</v>
      </c>
      <c r="AJ229" s="300">
        <v>43490</v>
      </c>
      <c r="AK229" s="301" t="s">
        <v>8090</v>
      </c>
      <c r="AL229" s="297" t="s">
        <v>171</v>
      </c>
      <c r="AM229" s="297" t="s">
        <v>8091</v>
      </c>
      <c r="AN229" s="297" t="s">
        <v>600</v>
      </c>
      <c r="AO229" s="479">
        <v>42691</v>
      </c>
      <c r="AP229" s="297"/>
      <c r="AQ229" s="301" t="s">
        <v>3140</v>
      </c>
      <c r="AR229" s="297" t="s">
        <v>161</v>
      </c>
      <c r="AS229" s="299">
        <v>38412</v>
      </c>
      <c r="AT229" s="299">
        <v>39813</v>
      </c>
      <c r="AU229" s="297" t="s">
        <v>8092</v>
      </c>
      <c r="AV229" s="297"/>
      <c r="AW229" s="297" t="s">
        <v>92</v>
      </c>
      <c r="AX229" s="297" t="s">
        <v>2274</v>
      </c>
      <c r="AY229" s="299">
        <v>42124</v>
      </c>
      <c r="AZ229" s="297" t="s">
        <v>652</v>
      </c>
      <c r="BA229" s="299">
        <v>42415</v>
      </c>
      <c r="BB229" s="382">
        <v>42426</v>
      </c>
      <c r="BC229" s="297" t="s">
        <v>95</v>
      </c>
      <c r="BD229" s="297" t="s">
        <v>566</v>
      </c>
      <c r="BE229" s="297"/>
      <c r="BF229" s="301" t="s">
        <v>7313</v>
      </c>
      <c r="BG229" s="301" t="s">
        <v>3141</v>
      </c>
      <c r="BH229" s="301" t="s">
        <v>8545</v>
      </c>
      <c r="BI229" s="301"/>
      <c r="BJ229" s="312">
        <f>[67]MATRIZ!$J$63</f>
        <v>104378098.58928154</v>
      </c>
      <c r="BK229" s="312" t="s">
        <v>8544</v>
      </c>
      <c r="BL229" s="313">
        <v>43888719</v>
      </c>
      <c r="BM229" s="299">
        <v>43530</v>
      </c>
      <c r="BN229" s="314">
        <v>43530</v>
      </c>
      <c r="BO229" s="460" t="s">
        <v>3142</v>
      </c>
      <c r="BP229" s="390" t="s">
        <v>9119</v>
      </c>
      <c r="BQ229" s="297" t="s">
        <v>9120</v>
      </c>
      <c r="BR229" s="303"/>
      <c r="BS229" s="301" t="s">
        <v>3140</v>
      </c>
      <c r="BT229" s="301"/>
      <c r="BU229" s="301"/>
      <c r="BV229" s="301"/>
      <c r="BW229" s="316"/>
      <c r="BX229" s="304"/>
      <c r="BY229" s="299"/>
      <c r="BZ229" s="317"/>
    </row>
    <row r="230" spans="1:555" s="259" customFormat="1" ht="45" customHeight="1">
      <c r="A230" s="296">
        <v>268</v>
      </c>
      <c r="B230" s="297" t="s">
        <v>3143</v>
      </c>
      <c r="C230" s="329">
        <v>79729781</v>
      </c>
      <c r="D230" s="354" t="s">
        <v>2931</v>
      </c>
      <c r="E230" s="299">
        <v>42507</v>
      </c>
      <c r="F230" s="300">
        <v>42491</v>
      </c>
      <c r="G230" s="301" t="s">
        <v>3144</v>
      </c>
      <c r="H230" s="297" t="s">
        <v>625</v>
      </c>
      <c r="I230" s="297" t="s">
        <v>183</v>
      </c>
      <c r="J230" s="299">
        <v>42643</v>
      </c>
      <c r="K230" s="300">
        <v>42614</v>
      </c>
      <c r="L230" s="301" t="s">
        <v>3145</v>
      </c>
      <c r="M230" s="297" t="s">
        <v>63</v>
      </c>
      <c r="N230" s="297" t="s">
        <v>101</v>
      </c>
      <c r="O230" s="299">
        <v>42950</v>
      </c>
      <c r="P230" s="302">
        <v>42948</v>
      </c>
      <c r="Q230" s="301" t="s">
        <v>3146</v>
      </c>
      <c r="R230" s="297" t="s">
        <v>63</v>
      </c>
      <c r="S230" s="297" t="s">
        <v>101</v>
      </c>
      <c r="T230" s="299">
        <v>42950</v>
      </c>
      <c r="U230" s="300">
        <v>42948</v>
      </c>
      <c r="V230" s="301" t="s">
        <v>3146</v>
      </c>
      <c r="W230" s="297" t="s">
        <v>63</v>
      </c>
      <c r="X230" s="297" t="s">
        <v>3147</v>
      </c>
      <c r="Y230" s="299">
        <v>43244</v>
      </c>
      <c r="Z230" s="300">
        <v>43244</v>
      </c>
      <c r="AA230" s="304" t="s">
        <v>2935</v>
      </c>
      <c r="AB230" s="297" t="s">
        <v>63</v>
      </c>
      <c r="AC230" s="297" t="s">
        <v>79</v>
      </c>
      <c r="AD230" s="299">
        <v>43349</v>
      </c>
      <c r="AE230" s="300">
        <v>43349</v>
      </c>
      <c r="AF230" s="304" t="s">
        <v>2937</v>
      </c>
      <c r="AG230" s="297" t="s">
        <v>63</v>
      </c>
      <c r="AH230" s="304" t="s">
        <v>2161</v>
      </c>
      <c r="AI230" s="299" t="s">
        <v>9533</v>
      </c>
      <c r="AJ230" s="300" t="s">
        <v>9534</v>
      </c>
      <c r="AK230" s="301" t="s">
        <v>9532</v>
      </c>
      <c r="AL230" s="297" t="s">
        <v>555</v>
      </c>
      <c r="AM230" s="297" t="s">
        <v>9513</v>
      </c>
      <c r="AN230" s="297" t="s">
        <v>3148</v>
      </c>
      <c r="AO230" s="540">
        <v>42643</v>
      </c>
      <c r="AP230" s="297"/>
      <c r="AQ230" s="301" t="s">
        <v>3149</v>
      </c>
      <c r="AR230" s="297" t="s">
        <v>161</v>
      </c>
      <c r="AS230" s="299">
        <v>37992</v>
      </c>
      <c r="AT230" s="299">
        <v>39980</v>
      </c>
      <c r="AU230" s="297" t="s">
        <v>3150</v>
      </c>
      <c r="AV230" s="297"/>
      <c r="AW230" s="297" t="s">
        <v>92</v>
      </c>
      <c r="AX230" s="297" t="s">
        <v>3151</v>
      </c>
      <c r="AY230" s="299">
        <v>41390</v>
      </c>
      <c r="AZ230" s="297" t="s">
        <v>94</v>
      </c>
      <c r="BA230" s="299">
        <v>42437</v>
      </c>
      <c r="BB230" s="382">
        <v>42458</v>
      </c>
      <c r="BC230" s="297" t="s">
        <v>95</v>
      </c>
      <c r="BD230" s="297" t="s">
        <v>566</v>
      </c>
      <c r="BE230" s="297"/>
      <c r="BF230" s="301" t="s">
        <v>7412</v>
      </c>
      <c r="BG230" s="301"/>
      <c r="BH230" s="301" t="s">
        <v>9866</v>
      </c>
      <c r="BI230" s="301"/>
      <c r="BJ230" s="301"/>
      <c r="BK230" s="312">
        <v>166095953</v>
      </c>
      <c r="BL230" s="313" t="s">
        <v>9867</v>
      </c>
      <c r="BM230" s="299" t="s">
        <v>9832</v>
      </c>
      <c r="BN230" s="314">
        <v>44193</v>
      </c>
      <c r="BO230" s="460"/>
      <c r="BP230" s="390"/>
      <c r="BQ230" s="297"/>
      <c r="BR230" s="303"/>
      <c r="BS230" s="301"/>
      <c r="BT230" s="301"/>
      <c r="BU230" s="301"/>
      <c r="BV230" s="301"/>
      <c r="BW230" s="316"/>
      <c r="BX230" s="304"/>
      <c r="BY230" s="299"/>
      <c r="BZ230" s="317"/>
      <c r="CA230" s="509"/>
      <c r="CB230" s="509"/>
      <c r="CC230" s="509"/>
      <c r="CD230" s="509"/>
      <c r="CE230" s="509"/>
      <c r="CF230" s="509"/>
      <c r="CG230" s="509"/>
      <c r="CH230" s="509"/>
      <c r="CI230" s="509"/>
      <c r="CJ230" s="509"/>
      <c r="CK230" s="509"/>
      <c r="CL230" s="509"/>
      <c r="CM230" s="509"/>
      <c r="CN230" s="509"/>
      <c r="CO230" s="509"/>
      <c r="CP230" s="509"/>
      <c r="CQ230" s="509"/>
      <c r="CR230" s="509"/>
      <c r="CS230" s="509"/>
      <c r="CT230" s="509"/>
      <c r="CU230" s="509"/>
      <c r="CV230" s="509"/>
      <c r="CW230" s="509"/>
      <c r="CX230" s="509"/>
      <c r="CY230" s="509"/>
      <c r="CZ230" s="509"/>
      <c r="DA230" s="509"/>
      <c r="DB230" s="509"/>
      <c r="DC230" s="509"/>
      <c r="DD230" s="509"/>
      <c r="DE230" s="509"/>
      <c r="DF230" s="509"/>
      <c r="DG230" s="509"/>
      <c r="DH230" s="509"/>
      <c r="DI230" s="509"/>
      <c r="DJ230" s="509"/>
      <c r="DK230" s="509"/>
      <c r="DL230" s="509"/>
      <c r="DM230" s="509"/>
      <c r="DN230" s="509"/>
      <c r="DO230" s="509"/>
      <c r="DP230" s="509"/>
      <c r="DQ230" s="509"/>
      <c r="DR230" s="509"/>
      <c r="DS230" s="509"/>
      <c r="DT230" s="509"/>
      <c r="DU230" s="509"/>
      <c r="DV230" s="509"/>
      <c r="DW230" s="509"/>
      <c r="DX230" s="509"/>
      <c r="DY230" s="509"/>
      <c r="DZ230" s="509"/>
      <c r="EA230" s="509"/>
      <c r="EB230" s="509"/>
      <c r="EC230" s="509"/>
      <c r="ED230" s="509"/>
      <c r="EE230" s="509"/>
      <c r="EF230" s="509"/>
      <c r="EG230" s="509"/>
      <c r="EH230" s="509"/>
      <c r="EI230" s="509"/>
      <c r="EJ230" s="509"/>
      <c r="EK230" s="509"/>
      <c r="EL230" s="509"/>
      <c r="EM230" s="509"/>
      <c r="EN230" s="509"/>
      <c r="EO230" s="509"/>
      <c r="EP230" s="509"/>
      <c r="EQ230" s="509"/>
      <c r="ER230" s="509"/>
      <c r="ES230" s="509"/>
      <c r="ET230" s="509"/>
      <c r="EU230" s="509"/>
      <c r="EV230" s="509"/>
      <c r="EW230" s="509"/>
      <c r="EX230" s="509"/>
      <c r="EY230" s="509"/>
      <c r="EZ230" s="509"/>
      <c r="FA230" s="509"/>
      <c r="FB230" s="509"/>
      <c r="FC230" s="509"/>
      <c r="FD230" s="509"/>
      <c r="FE230" s="509"/>
      <c r="FF230" s="509"/>
      <c r="FG230" s="509"/>
      <c r="FH230" s="509"/>
      <c r="FI230" s="509"/>
      <c r="FJ230" s="509"/>
      <c r="FK230" s="509"/>
      <c r="FL230" s="509"/>
      <c r="FM230" s="509"/>
      <c r="FN230" s="509"/>
      <c r="FO230" s="509"/>
      <c r="FP230" s="509"/>
      <c r="FQ230" s="509"/>
      <c r="FR230" s="509"/>
      <c r="FS230" s="509"/>
      <c r="FT230" s="509"/>
      <c r="FU230" s="509"/>
      <c r="FV230" s="509"/>
      <c r="FW230" s="509"/>
      <c r="FX230" s="509"/>
      <c r="FY230" s="509"/>
      <c r="FZ230" s="509"/>
      <c r="GA230" s="509"/>
      <c r="GB230" s="509"/>
      <c r="GC230" s="509"/>
      <c r="GD230" s="509"/>
      <c r="GE230" s="509"/>
      <c r="GF230" s="509"/>
      <c r="GG230" s="509"/>
      <c r="GH230" s="509"/>
      <c r="GI230" s="509"/>
      <c r="GJ230" s="509"/>
      <c r="GK230" s="509"/>
      <c r="GL230" s="509"/>
      <c r="GM230" s="509"/>
      <c r="GN230" s="509"/>
      <c r="GO230" s="509"/>
      <c r="GP230" s="509"/>
      <c r="GQ230" s="509"/>
      <c r="GR230" s="509"/>
      <c r="GS230" s="509"/>
      <c r="GT230" s="509"/>
      <c r="GU230" s="509"/>
      <c r="GV230" s="509"/>
      <c r="GW230" s="509"/>
      <c r="GX230" s="509"/>
      <c r="GY230" s="509"/>
      <c r="GZ230" s="509"/>
      <c r="HA230" s="509"/>
      <c r="HB230" s="509"/>
      <c r="HC230" s="509"/>
      <c r="HD230" s="509"/>
      <c r="HE230" s="509"/>
      <c r="HF230" s="509"/>
      <c r="HG230" s="509"/>
      <c r="HH230" s="509"/>
      <c r="HI230" s="509"/>
      <c r="HJ230" s="509"/>
      <c r="HK230" s="509"/>
      <c r="HL230" s="509"/>
      <c r="HM230" s="509"/>
      <c r="HN230" s="509"/>
      <c r="HO230" s="509"/>
      <c r="HP230" s="509"/>
      <c r="HQ230" s="509"/>
      <c r="HR230" s="509"/>
      <c r="HS230" s="509"/>
      <c r="HT230" s="509"/>
      <c r="HU230" s="509"/>
      <c r="HV230" s="509"/>
      <c r="HW230" s="509"/>
      <c r="HX230" s="509"/>
      <c r="HY230" s="509"/>
      <c r="HZ230" s="509"/>
      <c r="IA230" s="509"/>
      <c r="IB230" s="509"/>
      <c r="IC230" s="509"/>
      <c r="ID230" s="509"/>
      <c r="IE230" s="509"/>
      <c r="IF230" s="509"/>
      <c r="IG230" s="509"/>
      <c r="IH230" s="509"/>
      <c r="II230" s="509"/>
      <c r="IJ230" s="509"/>
      <c r="IK230" s="509"/>
      <c r="IL230" s="509"/>
      <c r="IM230" s="509"/>
      <c r="IN230" s="509"/>
      <c r="IO230" s="509"/>
      <c r="IP230" s="509"/>
      <c r="IQ230" s="509"/>
      <c r="IR230" s="509"/>
      <c r="IS230" s="509"/>
      <c r="IT230" s="509"/>
      <c r="IU230" s="509"/>
      <c r="IV230" s="509"/>
      <c r="IW230" s="509"/>
      <c r="IX230" s="509"/>
      <c r="IY230" s="509"/>
      <c r="IZ230" s="509"/>
      <c r="JA230" s="509"/>
      <c r="JB230" s="509"/>
      <c r="JC230" s="509"/>
      <c r="JD230" s="509"/>
      <c r="JE230" s="509"/>
      <c r="JF230" s="509"/>
      <c r="JG230" s="509"/>
      <c r="JH230" s="509"/>
      <c r="JI230" s="509"/>
      <c r="JJ230" s="509"/>
      <c r="JK230" s="509"/>
      <c r="JL230" s="509"/>
      <c r="JM230" s="509"/>
      <c r="JN230" s="509"/>
      <c r="JO230" s="509"/>
      <c r="JP230" s="509"/>
      <c r="JQ230" s="509"/>
      <c r="JR230" s="509"/>
      <c r="JS230" s="509"/>
      <c r="JT230" s="509"/>
      <c r="JU230" s="509"/>
      <c r="JV230" s="509"/>
      <c r="JW230" s="509"/>
      <c r="JX230" s="509"/>
      <c r="JY230" s="509"/>
      <c r="JZ230" s="509"/>
      <c r="KA230" s="509"/>
      <c r="KB230" s="509"/>
      <c r="KC230" s="509"/>
      <c r="KD230" s="509"/>
      <c r="KE230" s="509"/>
      <c r="KF230" s="509"/>
      <c r="KG230" s="509"/>
      <c r="KH230" s="509"/>
      <c r="KI230" s="509"/>
      <c r="KJ230" s="509"/>
      <c r="KK230" s="509"/>
      <c r="KL230" s="509"/>
      <c r="KM230" s="509"/>
      <c r="KN230" s="509"/>
      <c r="KO230" s="509"/>
      <c r="KP230" s="509"/>
      <c r="KQ230" s="509"/>
      <c r="KR230" s="509"/>
      <c r="KS230" s="509"/>
      <c r="KT230" s="509"/>
      <c r="KU230" s="509"/>
      <c r="KV230" s="509"/>
      <c r="KW230" s="509"/>
      <c r="KX230" s="509"/>
      <c r="KY230" s="509"/>
      <c r="KZ230" s="509"/>
      <c r="LA230" s="509"/>
      <c r="LB230" s="509"/>
      <c r="LC230" s="509"/>
      <c r="LD230" s="509"/>
      <c r="LE230" s="509"/>
      <c r="LF230" s="509"/>
      <c r="LG230" s="509"/>
      <c r="LH230" s="509"/>
      <c r="LI230" s="509"/>
      <c r="LJ230" s="509"/>
      <c r="LK230" s="509"/>
      <c r="LL230" s="509"/>
      <c r="LM230" s="509"/>
      <c r="LN230" s="509"/>
      <c r="LO230" s="509"/>
      <c r="LP230" s="509"/>
      <c r="LQ230" s="509"/>
      <c r="LR230" s="509"/>
      <c r="LS230" s="509"/>
      <c r="LT230" s="509"/>
      <c r="LU230" s="509"/>
      <c r="LV230" s="509"/>
      <c r="LW230" s="509"/>
      <c r="LX230" s="509"/>
      <c r="LY230" s="509"/>
      <c r="LZ230" s="509"/>
      <c r="MA230" s="509"/>
      <c r="MB230" s="509"/>
      <c r="MC230" s="509"/>
      <c r="MD230" s="509"/>
      <c r="ME230" s="509"/>
      <c r="MF230" s="509"/>
      <c r="MG230" s="509"/>
      <c r="MH230" s="509"/>
      <c r="MI230" s="509"/>
      <c r="MJ230" s="509"/>
      <c r="MK230" s="509"/>
      <c r="ML230" s="509"/>
      <c r="MM230" s="509"/>
      <c r="MN230" s="509"/>
      <c r="MO230" s="509"/>
      <c r="MP230" s="509"/>
      <c r="MQ230" s="509"/>
      <c r="MR230" s="509"/>
      <c r="MS230" s="509"/>
      <c r="MT230" s="509"/>
      <c r="MU230" s="509"/>
      <c r="MV230" s="509"/>
      <c r="MW230" s="509"/>
      <c r="MX230" s="509"/>
      <c r="MY230" s="509"/>
      <c r="MZ230" s="509"/>
      <c r="NA230" s="509"/>
      <c r="NB230" s="509"/>
      <c r="NC230" s="509"/>
      <c r="ND230" s="509"/>
      <c r="NE230" s="509"/>
      <c r="NF230" s="509"/>
      <c r="NG230" s="509"/>
      <c r="NH230" s="509"/>
      <c r="NI230" s="509"/>
      <c r="NJ230" s="509"/>
      <c r="NK230" s="509"/>
      <c r="NL230" s="509"/>
      <c r="NM230" s="509"/>
      <c r="NN230" s="509"/>
      <c r="NO230" s="509"/>
      <c r="NP230" s="509"/>
      <c r="NQ230" s="509"/>
      <c r="NR230" s="509"/>
      <c r="NS230" s="509"/>
      <c r="NT230" s="509"/>
      <c r="NU230" s="509"/>
      <c r="NV230" s="509"/>
      <c r="NW230" s="509"/>
      <c r="NX230" s="509"/>
      <c r="NY230" s="509"/>
      <c r="NZ230" s="509"/>
      <c r="OA230" s="509"/>
      <c r="OB230" s="509"/>
      <c r="OC230" s="509"/>
      <c r="OD230" s="509"/>
      <c r="OE230" s="509"/>
      <c r="OF230" s="509"/>
      <c r="OG230" s="509"/>
      <c r="OH230" s="509"/>
      <c r="OI230" s="509"/>
      <c r="OJ230" s="509"/>
      <c r="OK230" s="509"/>
      <c r="OL230" s="509"/>
      <c r="OM230" s="509"/>
      <c r="ON230" s="509"/>
      <c r="OO230" s="509"/>
      <c r="OP230" s="509"/>
      <c r="OQ230" s="509"/>
      <c r="OR230" s="509"/>
      <c r="OS230" s="509"/>
      <c r="OT230" s="509"/>
      <c r="OU230" s="509"/>
      <c r="OV230" s="509"/>
      <c r="OW230" s="509"/>
      <c r="OX230" s="509"/>
      <c r="OY230" s="509"/>
      <c r="OZ230" s="509"/>
      <c r="PA230" s="509"/>
      <c r="PB230" s="509"/>
      <c r="PC230" s="509"/>
      <c r="PD230" s="509"/>
      <c r="PE230" s="509"/>
      <c r="PF230" s="509"/>
      <c r="PG230" s="509"/>
      <c r="PH230" s="509"/>
      <c r="PI230" s="509"/>
      <c r="PJ230" s="509"/>
      <c r="PK230" s="509"/>
      <c r="PL230" s="509"/>
      <c r="PM230" s="509"/>
      <c r="PN230" s="509"/>
      <c r="PO230" s="509"/>
      <c r="PP230" s="509"/>
      <c r="PQ230" s="509"/>
      <c r="PR230" s="509"/>
      <c r="PS230" s="509"/>
      <c r="PT230" s="509"/>
      <c r="PU230" s="509"/>
      <c r="PV230" s="509"/>
      <c r="PW230" s="509"/>
      <c r="PX230" s="509"/>
      <c r="PY230" s="509"/>
      <c r="PZ230" s="509"/>
      <c r="QA230" s="509"/>
      <c r="QB230" s="509"/>
      <c r="QC230" s="509"/>
      <c r="QD230" s="509"/>
      <c r="QE230" s="509"/>
      <c r="QF230" s="509"/>
      <c r="QG230" s="509"/>
      <c r="QH230" s="509"/>
      <c r="QI230" s="509"/>
      <c r="QJ230" s="509"/>
      <c r="QK230" s="509"/>
      <c r="QL230" s="509"/>
      <c r="QM230" s="509"/>
      <c r="QN230" s="509"/>
      <c r="QO230" s="509"/>
      <c r="QP230" s="509"/>
      <c r="QQ230" s="509"/>
      <c r="QR230" s="509"/>
      <c r="QS230" s="509"/>
      <c r="QT230" s="509"/>
      <c r="QU230" s="509"/>
      <c r="QV230" s="509"/>
      <c r="QW230" s="509"/>
      <c r="QX230" s="509"/>
      <c r="QY230" s="509"/>
      <c r="QZ230" s="509"/>
      <c r="RA230" s="509"/>
      <c r="RB230" s="509"/>
      <c r="RC230" s="509"/>
      <c r="RD230" s="509"/>
      <c r="RE230" s="509"/>
      <c r="RF230" s="509"/>
      <c r="RG230" s="509"/>
      <c r="RH230" s="509"/>
      <c r="RI230" s="509"/>
      <c r="RJ230" s="509"/>
      <c r="RK230" s="509"/>
      <c r="RL230" s="509"/>
      <c r="RM230" s="509"/>
      <c r="RN230" s="509"/>
      <c r="RO230" s="509"/>
      <c r="RP230" s="509"/>
      <c r="RQ230" s="509"/>
      <c r="RR230" s="509"/>
      <c r="RS230" s="509"/>
      <c r="RT230" s="509"/>
      <c r="RU230" s="509"/>
      <c r="RV230" s="509"/>
      <c r="RW230" s="509"/>
      <c r="RX230" s="509"/>
      <c r="RY230" s="509"/>
      <c r="RZ230" s="509"/>
      <c r="SA230" s="509"/>
      <c r="SB230" s="509"/>
      <c r="SC230" s="509"/>
      <c r="SD230" s="509"/>
      <c r="SE230" s="509"/>
      <c r="SF230" s="509"/>
      <c r="SG230" s="509"/>
      <c r="SH230" s="509"/>
      <c r="SI230" s="509"/>
      <c r="SJ230" s="509"/>
      <c r="SK230" s="509"/>
      <c r="SL230" s="509"/>
      <c r="SM230" s="509"/>
      <c r="SN230" s="509"/>
      <c r="SO230" s="509"/>
      <c r="SP230" s="509"/>
      <c r="SQ230" s="509"/>
      <c r="SR230" s="509"/>
      <c r="SS230" s="509"/>
      <c r="ST230" s="509"/>
      <c r="SU230" s="509"/>
      <c r="SV230" s="509"/>
      <c r="SW230" s="509"/>
      <c r="SX230" s="509"/>
      <c r="SY230" s="509"/>
      <c r="SZ230" s="509"/>
      <c r="TA230" s="509"/>
      <c r="TB230" s="509"/>
      <c r="TC230" s="509"/>
      <c r="TD230" s="509"/>
      <c r="TE230" s="509"/>
      <c r="TF230" s="509"/>
      <c r="TG230" s="509"/>
      <c r="TH230" s="509"/>
      <c r="TI230" s="509"/>
      <c r="TJ230" s="509"/>
      <c r="TK230" s="509"/>
      <c r="TL230" s="509"/>
      <c r="TM230" s="509"/>
      <c r="TN230" s="509"/>
      <c r="TO230" s="509"/>
      <c r="TP230" s="509"/>
      <c r="TQ230" s="509"/>
      <c r="TR230" s="509"/>
      <c r="TS230" s="509"/>
      <c r="TT230" s="509"/>
      <c r="TU230" s="509"/>
      <c r="TV230" s="509"/>
      <c r="TW230" s="509"/>
      <c r="TX230" s="509"/>
      <c r="TY230" s="509"/>
      <c r="TZ230" s="509"/>
      <c r="UA230" s="509"/>
      <c r="UB230" s="509"/>
      <c r="UC230" s="509"/>
      <c r="UD230" s="509"/>
      <c r="UE230" s="509"/>
      <c r="UF230" s="509"/>
      <c r="UG230" s="509"/>
      <c r="UH230" s="509"/>
      <c r="UI230" s="509"/>
    </row>
    <row r="231" spans="1:555" ht="57" customHeight="1">
      <c r="A231" s="296">
        <v>269</v>
      </c>
      <c r="B231" s="297" t="s">
        <v>7268</v>
      </c>
      <c r="C231" s="329">
        <v>80032887</v>
      </c>
      <c r="D231" s="354" t="s">
        <v>2931</v>
      </c>
      <c r="E231" s="299">
        <v>42507</v>
      </c>
      <c r="F231" s="300">
        <v>42491</v>
      </c>
      <c r="G231" s="301" t="s">
        <v>3152</v>
      </c>
      <c r="H231" s="297" t="s">
        <v>625</v>
      </c>
      <c r="I231" s="297" t="s">
        <v>183</v>
      </c>
      <c r="J231" s="299">
        <v>42669</v>
      </c>
      <c r="K231" s="300">
        <v>42644</v>
      </c>
      <c r="L231" s="301" t="s">
        <v>3153</v>
      </c>
      <c r="M231" s="297" t="s">
        <v>63</v>
      </c>
      <c r="N231" s="297" t="s">
        <v>101</v>
      </c>
      <c r="O231" s="299">
        <v>42950</v>
      </c>
      <c r="P231" s="302">
        <v>42948</v>
      </c>
      <c r="Q231" s="301" t="s">
        <v>3154</v>
      </c>
      <c r="R231" s="297" t="s">
        <v>63</v>
      </c>
      <c r="S231" s="297" t="s">
        <v>3155</v>
      </c>
      <c r="T231" s="299">
        <v>43244</v>
      </c>
      <c r="U231" s="300">
        <v>43221</v>
      </c>
      <c r="V231" s="301" t="s">
        <v>2935</v>
      </c>
      <c r="W231" s="297" t="s">
        <v>63</v>
      </c>
      <c r="X231" s="297" t="s">
        <v>79</v>
      </c>
      <c r="Y231" s="299">
        <v>43349</v>
      </c>
      <c r="Z231" s="300">
        <v>43349</v>
      </c>
      <c r="AA231" s="301" t="s">
        <v>3156</v>
      </c>
      <c r="AB231" s="297" t="s">
        <v>63</v>
      </c>
      <c r="AC231" s="304" t="s">
        <v>2161</v>
      </c>
      <c r="AD231" s="299">
        <v>43613</v>
      </c>
      <c r="AE231" s="300">
        <v>43613</v>
      </c>
      <c r="AF231" s="301" t="s">
        <v>8776</v>
      </c>
      <c r="AG231" s="297" t="s">
        <v>63</v>
      </c>
      <c r="AH231" s="297" t="s">
        <v>8243</v>
      </c>
      <c r="AI231" s="299" t="s">
        <v>9530</v>
      </c>
      <c r="AJ231" s="300" t="s">
        <v>9531</v>
      </c>
      <c r="AK231" s="301" t="s">
        <v>9529</v>
      </c>
      <c r="AL231" s="297" t="s">
        <v>2048</v>
      </c>
      <c r="AM231" s="297" t="s">
        <v>9373</v>
      </c>
      <c r="AN231" s="297" t="s">
        <v>3157</v>
      </c>
      <c r="AO231" s="540">
        <v>42950</v>
      </c>
      <c r="AP231" s="297"/>
      <c r="AQ231" s="301" t="s">
        <v>3158</v>
      </c>
      <c r="AR231" s="297" t="s">
        <v>161</v>
      </c>
      <c r="AS231" s="299">
        <v>37992</v>
      </c>
      <c r="AT231" s="299">
        <v>39822</v>
      </c>
      <c r="AU231" s="297" t="s">
        <v>3159</v>
      </c>
      <c r="AV231" s="297"/>
      <c r="AW231" s="297" t="s">
        <v>92</v>
      </c>
      <c r="AX231" s="297" t="s">
        <v>3151</v>
      </c>
      <c r="AY231" s="299">
        <v>41390</v>
      </c>
      <c r="AZ231" s="297" t="s">
        <v>3117</v>
      </c>
      <c r="BA231" s="299">
        <v>42437</v>
      </c>
      <c r="BB231" s="382">
        <v>42458</v>
      </c>
      <c r="BC231" s="297" t="s">
        <v>95</v>
      </c>
      <c r="BD231" s="297" t="s">
        <v>566</v>
      </c>
      <c r="BE231" s="297"/>
      <c r="BF231" s="301" t="s">
        <v>7413</v>
      </c>
      <c r="BG231" s="301"/>
      <c r="BH231" s="301" t="s">
        <v>9834</v>
      </c>
      <c r="BI231" s="301"/>
      <c r="BJ231" s="301"/>
      <c r="BK231" s="312">
        <v>158408134</v>
      </c>
      <c r="BL231" s="313">
        <v>376129120</v>
      </c>
      <c r="BM231" s="299">
        <v>44188</v>
      </c>
      <c r="BN231" s="314">
        <v>44188</v>
      </c>
      <c r="BO231" s="460"/>
      <c r="BP231" s="390"/>
      <c r="BQ231" s="297"/>
      <c r="BR231" s="303"/>
      <c r="BS231" s="301"/>
      <c r="BT231" s="301"/>
      <c r="BU231" s="301"/>
      <c r="BV231" s="301"/>
      <c r="BW231" s="316"/>
      <c r="BX231" s="304"/>
      <c r="BY231" s="299"/>
      <c r="BZ231" s="317"/>
      <c r="CA231" s="509"/>
      <c r="CB231" s="509"/>
      <c r="CC231" s="509"/>
      <c r="CD231" s="509"/>
      <c r="CE231" s="509"/>
      <c r="CF231" s="509"/>
      <c r="CG231" s="509"/>
      <c r="CH231" s="509"/>
      <c r="CI231" s="509"/>
      <c r="CJ231" s="509"/>
      <c r="CK231" s="509"/>
      <c r="CL231" s="509"/>
      <c r="CM231" s="509"/>
      <c r="CN231" s="509"/>
      <c r="CO231" s="509"/>
      <c r="CP231" s="509"/>
      <c r="CQ231" s="509"/>
      <c r="CR231" s="509"/>
      <c r="CS231" s="509"/>
      <c r="CT231" s="509"/>
      <c r="CU231" s="509"/>
      <c r="CV231" s="509"/>
      <c r="CW231" s="509"/>
      <c r="CX231" s="509"/>
      <c r="CY231" s="509"/>
      <c r="CZ231" s="509"/>
      <c r="DA231" s="509"/>
      <c r="DB231" s="509"/>
      <c r="DC231" s="509"/>
      <c r="DD231" s="509"/>
      <c r="DE231" s="509"/>
      <c r="DF231" s="509"/>
      <c r="DG231" s="509"/>
      <c r="DH231" s="509"/>
      <c r="DI231" s="509"/>
      <c r="DJ231" s="509"/>
      <c r="DK231" s="509"/>
      <c r="DL231" s="509"/>
      <c r="DM231" s="509"/>
      <c r="DN231" s="509"/>
      <c r="DO231" s="509"/>
      <c r="DP231" s="509"/>
      <c r="DQ231" s="509"/>
      <c r="DR231" s="509"/>
      <c r="DS231" s="509"/>
      <c r="DT231" s="509"/>
      <c r="DU231" s="509"/>
      <c r="DV231" s="509"/>
      <c r="DW231" s="509"/>
      <c r="DX231" s="509"/>
      <c r="DY231" s="509"/>
      <c r="DZ231" s="509"/>
      <c r="EA231" s="509"/>
      <c r="EB231" s="509"/>
      <c r="EC231" s="509"/>
      <c r="ED231" s="509"/>
      <c r="EE231" s="509"/>
      <c r="EF231" s="509"/>
      <c r="EG231" s="509"/>
      <c r="EH231" s="509"/>
      <c r="EI231" s="509"/>
      <c r="EJ231" s="509"/>
      <c r="EK231" s="509"/>
      <c r="EL231" s="509"/>
      <c r="EM231" s="509"/>
      <c r="EN231" s="509"/>
      <c r="EO231" s="509"/>
      <c r="EP231" s="509"/>
      <c r="EQ231" s="509"/>
      <c r="ER231" s="509"/>
      <c r="ES231" s="509"/>
      <c r="ET231" s="509"/>
      <c r="EU231" s="509"/>
      <c r="EV231" s="509"/>
      <c r="EW231" s="509"/>
      <c r="EX231" s="509"/>
      <c r="EY231" s="509"/>
      <c r="EZ231" s="509"/>
      <c r="FA231" s="509"/>
      <c r="FB231" s="509"/>
      <c r="FC231" s="509"/>
      <c r="FD231" s="509"/>
      <c r="FE231" s="509"/>
      <c r="FF231" s="509"/>
      <c r="FG231" s="509"/>
      <c r="FH231" s="509"/>
      <c r="FI231" s="509"/>
      <c r="FJ231" s="509"/>
      <c r="FK231" s="509"/>
      <c r="FL231" s="509"/>
      <c r="FM231" s="509"/>
      <c r="FN231" s="509"/>
      <c r="FO231" s="509"/>
      <c r="FP231" s="509"/>
      <c r="FQ231" s="509"/>
      <c r="FR231" s="509"/>
      <c r="FS231" s="509"/>
      <c r="FT231" s="509"/>
      <c r="FU231" s="509"/>
      <c r="FV231" s="509"/>
      <c r="FW231" s="509"/>
      <c r="FX231" s="509"/>
      <c r="FY231" s="509"/>
      <c r="FZ231" s="509"/>
      <c r="GA231" s="509"/>
      <c r="GB231" s="509"/>
      <c r="GC231" s="509"/>
      <c r="GD231" s="509"/>
      <c r="GE231" s="509"/>
      <c r="GF231" s="509"/>
      <c r="GG231" s="509"/>
      <c r="GH231" s="509"/>
      <c r="GI231" s="509"/>
      <c r="GJ231" s="509"/>
      <c r="GK231" s="509"/>
      <c r="GL231" s="509"/>
      <c r="GM231" s="509"/>
      <c r="GN231" s="509"/>
      <c r="GO231" s="509"/>
      <c r="GP231" s="509"/>
      <c r="GQ231" s="509"/>
      <c r="GR231" s="509"/>
      <c r="GS231" s="509"/>
      <c r="GT231" s="509"/>
      <c r="GU231" s="509"/>
      <c r="GV231" s="509"/>
      <c r="GW231" s="509"/>
      <c r="GX231" s="509"/>
      <c r="GY231" s="509"/>
      <c r="GZ231" s="509"/>
      <c r="HA231" s="509"/>
      <c r="HB231" s="509"/>
      <c r="HC231" s="509"/>
      <c r="HD231" s="509"/>
      <c r="HE231" s="509"/>
      <c r="HF231" s="509"/>
      <c r="HG231" s="509"/>
      <c r="HH231" s="509"/>
      <c r="HI231" s="509"/>
      <c r="HJ231" s="509"/>
      <c r="HK231" s="509"/>
      <c r="HL231" s="509"/>
      <c r="HM231" s="509"/>
      <c r="HN231" s="509"/>
      <c r="HO231" s="509"/>
      <c r="HP231" s="509"/>
      <c r="HQ231" s="509"/>
      <c r="HR231" s="509"/>
      <c r="HS231" s="509"/>
      <c r="HT231" s="509"/>
      <c r="HU231" s="509"/>
      <c r="HV231" s="509"/>
      <c r="HW231" s="509"/>
      <c r="HX231" s="509"/>
      <c r="HY231" s="509"/>
      <c r="HZ231" s="509"/>
      <c r="IA231" s="509"/>
      <c r="IB231" s="509"/>
      <c r="IC231" s="509"/>
      <c r="ID231" s="509"/>
      <c r="IE231" s="509"/>
      <c r="IF231" s="509"/>
      <c r="IG231" s="509"/>
      <c r="IH231" s="509"/>
      <c r="II231" s="509"/>
      <c r="IJ231" s="509"/>
      <c r="IK231" s="509"/>
      <c r="IL231" s="509"/>
      <c r="IM231" s="509"/>
      <c r="IN231" s="509"/>
      <c r="IO231" s="509"/>
      <c r="IP231" s="509"/>
      <c r="IQ231" s="509"/>
      <c r="IR231" s="509"/>
      <c r="IS231" s="509"/>
      <c r="IT231" s="509"/>
      <c r="IU231" s="509"/>
      <c r="IV231" s="509"/>
      <c r="IW231" s="509"/>
      <c r="IX231" s="509"/>
      <c r="IY231" s="509"/>
      <c r="IZ231" s="509"/>
      <c r="JA231" s="509"/>
      <c r="JB231" s="509"/>
      <c r="JC231" s="509"/>
      <c r="JD231" s="509"/>
      <c r="JE231" s="509"/>
      <c r="JF231" s="509"/>
      <c r="JG231" s="509"/>
      <c r="JH231" s="509"/>
      <c r="JI231" s="509"/>
      <c r="JJ231" s="509"/>
      <c r="JK231" s="509"/>
      <c r="JL231" s="509"/>
      <c r="JM231" s="509"/>
      <c r="JN231" s="509"/>
      <c r="JO231" s="509"/>
      <c r="JP231" s="509"/>
      <c r="JQ231" s="509"/>
      <c r="JR231" s="509"/>
      <c r="JS231" s="509"/>
      <c r="JT231" s="509"/>
      <c r="JU231" s="509"/>
      <c r="JV231" s="509"/>
      <c r="JW231" s="509"/>
      <c r="JX231" s="509"/>
      <c r="JY231" s="509"/>
      <c r="JZ231" s="509"/>
      <c r="KA231" s="509"/>
      <c r="KB231" s="509"/>
      <c r="KC231" s="509"/>
      <c r="KD231" s="509"/>
      <c r="KE231" s="509"/>
      <c r="KF231" s="509"/>
      <c r="KG231" s="509"/>
      <c r="KH231" s="509"/>
      <c r="KI231" s="509"/>
      <c r="KJ231" s="509"/>
      <c r="KK231" s="509"/>
      <c r="KL231" s="509"/>
      <c r="KM231" s="509"/>
      <c r="KN231" s="509"/>
      <c r="KO231" s="509"/>
      <c r="KP231" s="509"/>
      <c r="KQ231" s="509"/>
      <c r="KR231" s="509"/>
      <c r="KS231" s="509"/>
      <c r="KT231" s="509"/>
      <c r="KU231" s="509"/>
      <c r="KV231" s="509"/>
      <c r="KW231" s="509"/>
      <c r="KX231" s="509"/>
      <c r="KY231" s="509"/>
      <c r="KZ231" s="509"/>
      <c r="LA231" s="509"/>
      <c r="LB231" s="509"/>
      <c r="LC231" s="509"/>
      <c r="LD231" s="509"/>
      <c r="LE231" s="509"/>
      <c r="LF231" s="509"/>
      <c r="LG231" s="509"/>
      <c r="LH231" s="509"/>
      <c r="LI231" s="509"/>
      <c r="LJ231" s="509"/>
      <c r="LK231" s="509"/>
      <c r="LL231" s="509"/>
      <c r="LM231" s="509"/>
      <c r="LN231" s="509"/>
      <c r="LO231" s="509"/>
      <c r="LP231" s="509"/>
      <c r="LQ231" s="509"/>
      <c r="LR231" s="509"/>
      <c r="LS231" s="509"/>
      <c r="LT231" s="509"/>
      <c r="LU231" s="509"/>
      <c r="LV231" s="509"/>
      <c r="LW231" s="509"/>
      <c r="LX231" s="509"/>
      <c r="LY231" s="509"/>
      <c r="LZ231" s="509"/>
      <c r="MA231" s="509"/>
      <c r="MB231" s="509"/>
      <c r="MC231" s="509"/>
      <c r="MD231" s="509"/>
      <c r="ME231" s="509"/>
      <c r="MF231" s="509"/>
      <c r="MG231" s="509"/>
      <c r="MH231" s="509"/>
      <c r="MI231" s="509"/>
      <c r="MJ231" s="509"/>
      <c r="MK231" s="509"/>
      <c r="ML231" s="509"/>
      <c r="MM231" s="509"/>
      <c r="MN231" s="509"/>
      <c r="MO231" s="509"/>
      <c r="MP231" s="509"/>
      <c r="MQ231" s="509"/>
      <c r="MR231" s="509"/>
      <c r="MS231" s="509"/>
      <c r="MT231" s="509"/>
      <c r="MU231" s="509"/>
      <c r="MV231" s="509"/>
      <c r="MW231" s="509"/>
      <c r="MX231" s="509"/>
      <c r="MY231" s="509"/>
      <c r="MZ231" s="509"/>
      <c r="NA231" s="509"/>
      <c r="NB231" s="509"/>
      <c r="NC231" s="509"/>
      <c r="ND231" s="509"/>
      <c r="NE231" s="509"/>
      <c r="NF231" s="509"/>
      <c r="NG231" s="509"/>
      <c r="NH231" s="509"/>
      <c r="NI231" s="509"/>
      <c r="NJ231" s="509"/>
      <c r="NK231" s="509"/>
      <c r="NL231" s="509"/>
      <c r="NM231" s="509"/>
      <c r="NN231" s="509"/>
      <c r="NO231" s="509"/>
      <c r="NP231" s="509"/>
      <c r="NQ231" s="509"/>
      <c r="NR231" s="509"/>
      <c r="NS231" s="509"/>
      <c r="NT231" s="509"/>
      <c r="NU231" s="509"/>
      <c r="NV231" s="509"/>
      <c r="NW231" s="509"/>
      <c r="NX231" s="509"/>
      <c r="NY231" s="509"/>
      <c r="NZ231" s="509"/>
      <c r="OA231" s="509"/>
      <c r="OB231" s="509"/>
      <c r="OC231" s="509"/>
      <c r="OD231" s="509"/>
      <c r="OE231" s="509"/>
      <c r="OF231" s="509"/>
      <c r="OG231" s="509"/>
      <c r="OH231" s="509"/>
      <c r="OI231" s="509"/>
      <c r="OJ231" s="509"/>
      <c r="OK231" s="509"/>
      <c r="OL231" s="509"/>
      <c r="OM231" s="509"/>
      <c r="ON231" s="509"/>
      <c r="OO231" s="509"/>
      <c r="OP231" s="509"/>
      <c r="OQ231" s="509"/>
      <c r="OR231" s="509"/>
      <c r="OS231" s="509"/>
      <c r="OT231" s="509"/>
      <c r="OU231" s="509"/>
      <c r="OV231" s="509"/>
      <c r="OW231" s="509"/>
      <c r="OX231" s="509"/>
      <c r="OY231" s="509"/>
      <c r="OZ231" s="509"/>
      <c r="PA231" s="509"/>
      <c r="PB231" s="509"/>
      <c r="PC231" s="509"/>
      <c r="PD231" s="509"/>
      <c r="PE231" s="509"/>
      <c r="PF231" s="509"/>
      <c r="PG231" s="509"/>
      <c r="PH231" s="509"/>
      <c r="PI231" s="509"/>
      <c r="PJ231" s="509"/>
      <c r="PK231" s="509"/>
      <c r="PL231" s="509"/>
      <c r="PM231" s="509"/>
      <c r="PN231" s="509"/>
      <c r="PO231" s="509"/>
      <c r="PP231" s="509"/>
      <c r="PQ231" s="509"/>
      <c r="PR231" s="509"/>
      <c r="PS231" s="509"/>
      <c r="PT231" s="509"/>
      <c r="PU231" s="509"/>
      <c r="PV231" s="509"/>
      <c r="PW231" s="509"/>
      <c r="PX231" s="509"/>
      <c r="PY231" s="509"/>
      <c r="PZ231" s="509"/>
      <c r="QA231" s="509"/>
      <c r="QB231" s="509"/>
      <c r="QC231" s="509"/>
      <c r="QD231" s="509"/>
      <c r="QE231" s="509"/>
      <c r="QF231" s="509"/>
      <c r="QG231" s="509"/>
      <c r="QH231" s="509"/>
      <c r="QI231" s="509"/>
      <c r="QJ231" s="509"/>
      <c r="QK231" s="509"/>
      <c r="QL231" s="509"/>
      <c r="QM231" s="509"/>
      <c r="QN231" s="509"/>
      <c r="QO231" s="509"/>
      <c r="QP231" s="509"/>
      <c r="QQ231" s="509"/>
      <c r="QR231" s="509"/>
      <c r="QS231" s="509"/>
      <c r="QT231" s="509"/>
      <c r="QU231" s="509"/>
      <c r="QV231" s="509"/>
      <c r="QW231" s="509"/>
      <c r="QX231" s="509"/>
      <c r="QY231" s="509"/>
      <c r="QZ231" s="509"/>
      <c r="RA231" s="509"/>
      <c r="RB231" s="509"/>
      <c r="RC231" s="509"/>
      <c r="RD231" s="509"/>
      <c r="RE231" s="509"/>
      <c r="RF231" s="509"/>
      <c r="RG231" s="509"/>
      <c r="RH231" s="509"/>
      <c r="RI231" s="509"/>
      <c r="RJ231" s="509"/>
      <c r="RK231" s="509"/>
      <c r="RL231" s="509"/>
      <c r="RM231" s="509"/>
      <c r="RN231" s="509"/>
      <c r="RO231" s="509"/>
      <c r="RP231" s="509"/>
      <c r="RQ231" s="509"/>
      <c r="RR231" s="509"/>
      <c r="RS231" s="509"/>
      <c r="RT231" s="509"/>
      <c r="RU231" s="509"/>
      <c r="RV231" s="509"/>
      <c r="RW231" s="509"/>
      <c r="RX231" s="509"/>
      <c r="RY231" s="509"/>
      <c r="RZ231" s="509"/>
      <c r="SA231" s="509"/>
      <c r="SB231" s="509"/>
      <c r="SC231" s="509"/>
      <c r="SD231" s="509"/>
      <c r="SE231" s="509"/>
      <c r="SF231" s="509"/>
      <c r="SG231" s="509"/>
      <c r="SH231" s="509"/>
      <c r="SI231" s="509"/>
      <c r="SJ231" s="509"/>
      <c r="SK231" s="509"/>
      <c r="SL231" s="509"/>
      <c r="SM231" s="509"/>
      <c r="SN231" s="509"/>
      <c r="SO231" s="509"/>
      <c r="SP231" s="509"/>
      <c r="SQ231" s="509"/>
      <c r="SR231" s="509"/>
      <c r="SS231" s="509"/>
      <c r="ST231" s="509"/>
      <c r="SU231" s="509"/>
      <c r="SV231" s="509"/>
      <c r="SW231" s="509"/>
      <c r="SX231" s="509"/>
      <c r="SY231" s="509"/>
      <c r="SZ231" s="509"/>
      <c r="TA231" s="509"/>
      <c r="TB231" s="509"/>
      <c r="TC231" s="509"/>
      <c r="TD231" s="509"/>
      <c r="TE231" s="509"/>
      <c r="TF231" s="509"/>
      <c r="TG231" s="509"/>
      <c r="TH231" s="509"/>
      <c r="TI231" s="509"/>
      <c r="TJ231" s="509"/>
      <c r="TK231" s="509"/>
      <c r="TL231" s="509"/>
      <c r="TM231" s="509"/>
      <c r="TN231" s="509"/>
      <c r="TO231" s="509"/>
      <c r="TP231" s="509"/>
      <c r="TQ231" s="509"/>
      <c r="TR231" s="509"/>
      <c r="TS231" s="509"/>
      <c r="TT231" s="509"/>
      <c r="TU231" s="509"/>
      <c r="TV231" s="509"/>
      <c r="TW231" s="509"/>
      <c r="TX231" s="509"/>
      <c r="TY231" s="509"/>
      <c r="TZ231" s="509"/>
      <c r="UA231" s="509"/>
      <c r="UB231" s="509"/>
      <c r="UC231" s="509"/>
      <c r="UD231" s="509"/>
      <c r="UE231" s="509"/>
      <c r="UF231" s="509"/>
      <c r="UG231" s="509"/>
      <c r="UH231" s="509"/>
      <c r="UI231" s="509"/>
    </row>
    <row r="232" spans="1:555" ht="48.75" customHeight="1">
      <c r="A232" s="296">
        <v>270</v>
      </c>
      <c r="B232" s="297" t="s">
        <v>3160</v>
      </c>
      <c r="C232" s="329">
        <v>79863413</v>
      </c>
      <c r="D232" s="354" t="s">
        <v>167</v>
      </c>
      <c r="E232" s="299">
        <v>42508</v>
      </c>
      <c r="F232" s="300">
        <v>42491</v>
      </c>
      <c r="G232" s="301" t="s">
        <v>3161</v>
      </c>
      <c r="H232" s="297" t="s">
        <v>625</v>
      </c>
      <c r="I232" s="297" t="s">
        <v>183</v>
      </c>
      <c r="J232" s="299">
        <v>42593</v>
      </c>
      <c r="K232" s="300">
        <v>42583</v>
      </c>
      <c r="L232" s="301" t="s">
        <v>3162</v>
      </c>
      <c r="M232" s="297" t="s">
        <v>5</v>
      </c>
      <c r="N232" s="297" t="s">
        <v>101</v>
      </c>
      <c r="O232" s="299"/>
      <c r="P232" s="302"/>
      <c r="Q232" s="301"/>
      <c r="R232" s="297"/>
      <c r="S232" s="297"/>
      <c r="T232" s="299"/>
      <c r="U232" s="300"/>
      <c r="V232" s="301"/>
      <c r="W232" s="297"/>
      <c r="X232" s="297"/>
      <c r="Y232" s="299"/>
      <c r="Z232" s="300"/>
      <c r="AA232" s="360"/>
      <c r="AB232" s="297"/>
      <c r="AC232" s="297"/>
      <c r="AD232" s="299"/>
      <c r="AE232" s="300"/>
      <c r="AF232" s="301"/>
      <c r="AG232" s="297"/>
      <c r="AH232" s="297"/>
      <c r="AI232" s="304"/>
      <c r="AJ232" s="300"/>
      <c r="AK232" s="301"/>
      <c r="AL232" s="297"/>
      <c r="AM232" s="297"/>
      <c r="AN232" s="297" t="s">
        <v>2105</v>
      </c>
      <c r="AO232" s="540">
        <v>42593</v>
      </c>
      <c r="AP232" s="297"/>
      <c r="AQ232" s="301" t="s">
        <v>3163</v>
      </c>
      <c r="AR232" s="297" t="s">
        <v>161</v>
      </c>
      <c r="AS232" s="299">
        <v>37238</v>
      </c>
      <c r="AT232" s="299">
        <v>40694</v>
      </c>
      <c r="AU232" s="297" t="s">
        <v>3164</v>
      </c>
      <c r="AV232" s="297"/>
      <c r="AW232" s="297" t="s">
        <v>92</v>
      </c>
      <c r="AX232" s="297" t="s">
        <v>1148</v>
      </c>
      <c r="AY232" s="299">
        <v>41577</v>
      </c>
      <c r="AZ232" s="297" t="s">
        <v>94</v>
      </c>
      <c r="BA232" s="299">
        <v>42437</v>
      </c>
      <c r="BB232" s="382">
        <v>42458</v>
      </c>
      <c r="BC232" s="297" t="s">
        <v>95</v>
      </c>
      <c r="BD232" s="297" t="s">
        <v>566</v>
      </c>
      <c r="BE232" s="297"/>
      <c r="BF232" s="301" t="s">
        <v>7412</v>
      </c>
      <c r="BG232" s="301"/>
      <c r="BH232" s="301" t="s">
        <v>9870</v>
      </c>
      <c r="BI232" s="301"/>
      <c r="BJ232" s="301"/>
      <c r="BK232" s="312" t="s">
        <v>9871</v>
      </c>
      <c r="BL232" s="313" t="s">
        <v>9872</v>
      </c>
      <c r="BM232" s="299" t="s">
        <v>9873</v>
      </c>
      <c r="BN232" s="314" t="s">
        <v>9874</v>
      </c>
      <c r="BO232" s="460"/>
      <c r="BP232" s="390"/>
      <c r="BQ232" s="297"/>
      <c r="BR232" s="303"/>
      <c r="BS232" s="301"/>
      <c r="BT232" s="301"/>
      <c r="BU232" s="301"/>
      <c r="BV232" s="301"/>
      <c r="BW232" s="316"/>
      <c r="BX232" s="304"/>
      <c r="BY232" s="299"/>
      <c r="BZ232" s="317"/>
      <c r="CA232" s="509"/>
      <c r="CB232" s="509"/>
      <c r="CC232" s="509"/>
      <c r="CD232" s="509"/>
      <c r="CE232" s="509"/>
      <c r="CF232" s="509"/>
      <c r="CG232" s="509"/>
      <c r="CH232" s="509"/>
      <c r="CI232" s="509"/>
      <c r="CJ232" s="509"/>
      <c r="CK232" s="509"/>
      <c r="CL232" s="509"/>
      <c r="CM232" s="509"/>
      <c r="CN232" s="509"/>
      <c r="CO232" s="509"/>
      <c r="CP232" s="509"/>
      <c r="CQ232" s="509"/>
      <c r="CR232" s="509"/>
      <c r="CS232" s="509"/>
      <c r="CT232" s="509"/>
      <c r="CU232" s="509"/>
      <c r="CV232" s="509"/>
      <c r="CW232" s="509"/>
      <c r="CX232" s="509"/>
      <c r="CY232" s="509"/>
      <c r="CZ232" s="509"/>
      <c r="DA232" s="509"/>
      <c r="DB232" s="509"/>
      <c r="DC232" s="509"/>
      <c r="DD232" s="509"/>
      <c r="DE232" s="509"/>
      <c r="DF232" s="509"/>
      <c r="DG232" s="509"/>
      <c r="DH232" s="509"/>
      <c r="DI232" s="509"/>
      <c r="DJ232" s="509"/>
      <c r="DK232" s="509"/>
      <c r="DL232" s="509"/>
      <c r="DM232" s="509"/>
      <c r="DN232" s="509"/>
      <c r="DO232" s="509"/>
      <c r="DP232" s="509"/>
      <c r="DQ232" s="509"/>
      <c r="DR232" s="509"/>
      <c r="DS232" s="509"/>
      <c r="DT232" s="509"/>
      <c r="DU232" s="509"/>
      <c r="DV232" s="509"/>
      <c r="DW232" s="509"/>
      <c r="DX232" s="509"/>
      <c r="DY232" s="509"/>
      <c r="DZ232" s="509"/>
      <c r="EA232" s="509"/>
      <c r="EB232" s="509"/>
      <c r="EC232" s="509"/>
      <c r="ED232" s="509"/>
      <c r="EE232" s="509"/>
      <c r="EF232" s="509"/>
      <c r="EG232" s="509"/>
      <c r="EH232" s="509"/>
      <c r="EI232" s="509"/>
      <c r="EJ232" s="509"/>
      <c r="EK232" s="509"/>
      <c r="EL232" s="509"/>
      <c r="EM232" s="509"/>
      <c r="EN232" s="509"/>
      <c r="EO232" s="509"/>
      <c r="EP232" s="509"/>
      <c r="EQ232" s="509"/>
      <c r="ER232" s="509"/>
      <c r="ES232" s="509"/>
      <c r="ET232" s="509"/>
      <c r="EU232" s="509"/>
      <c r="EV232" s="509"/>
      <c r="EW232" s="509"/>
      <c r="EX232" s="509"/>
      <c r="EY232" s="509"/>
      <c r="EZ232" s="509"/>
      <c r="FA232" s="509"/>
      <c r="FB232" s="509"/>
      <c r="FC232" s="509"/>
      <c r="FD232" s="509"/>
      <c r="FE232" s="509"/>
      <c r="FF232" s="509"/>
      <c r="FG232" s="509"/>
      <c r="FH232" s="509"/>
      <c r="FI232" s="509"/>
      <c r="FJ232" s="509"/>
      <c r="FK232" s="509"/>
      <c r="FL232" s="509"/>
      <c r="FM232" s="509"/>
      <c r="FN232" s="509"/>
      <c r="FO232" s="509"/>
      <c r="FP232" s="509"/>
      <c r="FQ232" s="509"/>
      <c r="FR232" s="509"/>
      <c r="FS232" s="509"/>
      <c r="FT232" s="509"/>
      <c r="FU232" s="509"/>
      <c r="FV232" s="509"/>
      <c r="FW232" s="509"/>
      <c r="FX232" s="509"/>
      <c r="FY232" s="509"/>
      <c r="FZ232" s="509"/>
      <c r="GA232" s="509"/>
      <c r="GB232" s="509"/>
      <c r="GC232" s="509"/>
      <c r="GD232" s="509"/>
      <c r="GE232" s="509"/>
      <c r="GF232" s="509"/>
      <c r="GG232" s="509"/>
      <c r="GH232" s="509"/>
      <c r="GI232" s="509"/>
      <c r="GJ232" s="509"/>
      <c r="GK232" s="509"/>
      <c r="GL232" s="509"/>
      <c r="GM232" s="509"/>
      <c r="GN232" s="509"/>
      <c r="GO232" s="509"/>
      <c r="GP232" s="509"/>
      <c r="GQ232" s="509"/>
      <c r="GR232" s="509"/>
      <c r="GS232" s="509"/>
      <c r="GT232" s="509"/>
      <c r="GU232" s="509"/>
      <c r="GV232" s="509"/>
      <c r="GW232" s="509"/>
      <c r="GX232" s="509"/>
      <c r="GY232" s="509"/>
      <c r="GZ232" s="509"/>
      <c r="HA232" s="509"/>
      <c r="HB232" s="509"/>
      <c r="HC232" s="509"/>
      <c r="HD232" s="509"/>
      <c r="HE232" s="509"/>
      <c r="HF232" s="509"/>
      <c r="HG232" s="509"/>
      <c r="HH232" s="509"/>
      <c r="HI232" s="509"/>
      <c r="HJ232" s="509"/>
      <c r="HK232" s="509"/>
      <c r="HL232" s="509"/>
      <c r="HM232" s="509"/>
      <c r="HN232" s="509"/>
      <c r="HO232" s="509"/>
      <c r="HP232" s="509"/>
      <c r="HQ232" s="509"/>
      <c r="HR232" s="509"/>
      <c r="HS232" s="509"/>
      <c r="HT232" s="509"/>
      <c r="HU232" s="509"/>
      <c r="HV232" s="509"/>
      <c r="HW232" s="509"/>
      <c r="HX232" s="509"/>
      <c r="HY232" s="509"/>
      <c r="HZ232" s="509"/>
      <c r="IA232" s="509"/>
      <c r="IB232" s="509"/>
      <c r="IC232" s="509"/>
      <c r="ID232" s="509"/>
      <c r="IE232" s="509"/>
      <c r="IF232" s="509"/>
      <c r="IG232" s="509"/>
      <c r="IH232" s="509"/>
      <c r="II232" s="509"/>
      <c r="IJ232" s="509"/>
      <c r="IK232" s="509"/>
      <c r="IL232" s="509"/>
      <c r="IM232" s="509"/>
      <c r="IN232" s="509"/>
      <c r="IO232" s="509"/>
      <c r="IP232" s="509"/>
      <c r="IQ232" s="509"/>
      <c r="IR232" s="509"/>
      <c r="IS232" s="509"/>
      <c r="IT232" s="509"/>
      <c r="IU232" s="509"/>
      <c r="IV232" s="509"/>
      <c r="IW232" s="509"/>
      <c r="IX232" s="509"/>
      <c r="IY232" s="509"/>
      <c r="IZ232" s="509"/>
      <c r="JA232" s="509"/>
      <c r="JB232" s="509"/>
      <c r="JC232" s="509"/>
      <c r="JD232" s="509"/>
      <c r="JE232" s="509"/>
      <c r="JF232" s="509"/>
      <c r="JG232" s="509"/>
      <c r="JH232" s="509"/>
      <c r="JI232" s="509"/>
      <c r="JJ232" s="509"/>
      <c r="JK232" s="509"/>
      <c r="JL232" s="509"/>
      <c r="JM232" s="509"/>
      <c r="JN232" s="509"/>
      <c r="JO232" s="509"/>
      <c r="JP232" s="509"/>
      <c r="JQ232" s="509"/>
      <c r="JR232" s="509"/>
      <c r="JS232" s="509"/>
      <c r="JT232" s="509"/>
      <c r="JU232" s="509"/>
      <c r="JV232" s="509"/>
      <c r="JW232" s="509"/>
      <c r="JX232" s="509"/>
      <c r="JY232" s="509"/>
      <c r="JZ232" s="509"/>
      <c r="KA232" s="509"/>
      <c r="KB232" s="509"/>
      <c r="KC232" s="509"/>
      <c r="KD232" s="509"/>
      <c r="KE232" s="509"/>
      <c r="KF232" s="509"/>
      <c r="KG232" s="509"/>
      <c r="KH232" s="509"/>
      <c r="KI232" s="509"/>
      <c r="KJ232" s="509"/>
      <c r="KK232" s="509"/>
      <c r="KL232" s="509"/>
      <c r="KM232" s="509"/>
      <c r="KN232" s="509"/>
      <c r="KO232" s="509"/>
      <c r="KP232" s="509"/>
      <c r="KQ232" s="509"/>
      <c r="KR232" s="509"/>
      <c r="KS232" s="509"/>
      <c r="KT232" s="509"/>
      <c r="KU232" s="509"/>
      <c r="KV232" s="509"/>
      <c r="KW232" s="509"/>
      <c r="KX232" s="509"/>
      <c r="KY232" s="509"/>
      <c r="KZ232" s="509"/>
      <c r="LA232" s="509"/>
      <c r="LB232" s="509"/>
      <c r="LC232" s="509"/>
      <c r="LD232" s="509"/>
      <c r="LE232" s="509"/>
      <c r="LF232" s="509"/>
      <c r="LG232" s="509"/>
      <c r="LH232" s="509"/>
      <c r="LI232" s="509"/>
      <c r="LJ232" s="509"/>
      <c r="LK232" s="509"/>
      <c r="LL232" s="509"/>
      <c r="LM232" s="509"/>
      <c r="LN232" s="509"/>
      <c r="LO232" s="509"/>
      <c r="LP232" s="509"/>
      <c r="LQ232" s="509"/>
      <c r="LR232" s="509"/>
      <c r="LS232" s="509"/>
      <c r="LT232" s="509"/>
      <c r="LU232" s="509"/>
      <c r="LV232" s="509"/>
      <c r="LW232" s="509"/>
      <c r="LX232" s="509"/>
      <c r="LY232" s="509"/>
      <c r="LZ232" s="509"/>
      <c r="MA232" s="509"/>
      <c r="MB232" s="509"/>
      <c r="MC232" s="509"/>
      <c r="MD232" s="509"/>
      <c r="ME232" s="509"/>
      <c r="MF232" s="509"/>
      <c r="MG232" s="509"/>
      <c r="MH232" s="509"/>
      <c r="MI232" s="509"/>
      <c r="MJ232" s="509"/>
      <c r="MK232" s="509"/>
      <c r="ML232" s="509"/>
      <c r="MM232" s="509"/>
      <c r="MN232" s="509"/>
      <c r="MO232" s="509"/>
      <c r="MP232" s="509"/>
      <c r="MQ232" s="509"/>
      <c r="MR232" s="509"/>
      <c r="MS232" s="509"/>
      <c r="MT232" s="509"/>
      <c r="MU232" s="509"/>
      <c r="MV232" s="509"/>
      <c r="MW232" s="509"/>
      <c r="MX232" s="509"/>
      <c r="MY232" s="509"/>
      <c r="MZ232" s="509"/>
      <c r="NA232" s="509"/>
      <c r="NB232" s="509"/>
      <c r="NC232" s="509"/>
      <c r="ND232" s="509"/>
      <c r="NE232" s="509"/>
      <c r="NF232" s="509"/>
      <c r="NG232" s="509"/>
      <c r="NH232" s="509"/>
      <c r="NI232" s="509"/>
      <c r="NJ232" s="509"/>
      <c r="NK232" s="509"/>
      <c r="NL232" s="509"/>
      <c r="NM232" s="509"/>
      <c r="NN232" s="509"/>
      <c r="NO232" s="509"/>
      <c r="NP232" s="509"/>
      <c r="NQ232" s="509"/>
      <c r="NR232" s="509"/>
      <c r="NS232" s="509"/>
      <c r="NT232" s="509"/>
      <c r="NU232" s="509"/>
      <c r="NV232" s="509"/>
      <c r="NW232" s="509"/>
      <c r="NX232" s="509"/>
      <c r="NY232" s="509"/>
      <c r="NZ232" s="509"/>
      <c r="OA232" s="509"/>
      <c r="OB232" s="509"/>
      <c r="OC232" s="509"/>
      <c r="OD232" s="509"/>
      <c r="OE232" s="509"/>
      <c r="OF232" s="509"/>
      <c r="OG232" s="509"/>
      <c r="OH232" s="509"/>
      <c r="OI232" s="509"/>
      <c r="OJ232" s="509"/>
      <c r="OK232" s="509"/>
      <c r="OL232" s="509"/>
      <c r="OM232" s="509"/>
      <c r="ON232" s="509"/>
      <c r="OO232" s="509"/>
      <c r="OP232" s="509"/>
      <c r="OQ232" s="509"/>
      <c r="OR232" s="509"/>
      <c r="OS232" s="509"/>
      <c r="OT232" s="509"/>
      <c r="OU232" s="509"/>
      <c r="OV232" s="509"/>
      <c r="OW232" s="509"/>
      <c r="OX232" s="509"/>
      <c r="OY232" s="509"/>
      <c r="OZ232" s="509"/>
      <c r="PA232" s="509"/>
      <c r="PB232" s="509"/>
      <c r="PC232" s="509"/>
      <c r="PD232" s="509"/>
      <c r="PE232" s="509"/>
      <c r="PF232" s="509"/>
      <c r="PG232" s="509"/>
      <c r="PH232" s="509"/>
      <c r="PI232" s="509"/>
      <c r="PJ232" s="509"/>
      <c r="PK232" s="509"/>
      <c r="PL232" s="509"/>
      <c r="PM232" s="509"/>
      <c r="PN232" s="509"/>
      <c r="PO232" s="509"/>
      <c r="PP232" s="509"/>
      <c r="PQ232" s="509"/>
      <c r="PR232" s="509"/>
      <c r="PS232" s="509"/>
      <c r="PT232" s="509"/>
      <c r="PU232" s="509"/>
      <c r="PV232" s="509"/>
      <c r="PW232" s="509"/>
      <c r="PX232" s="509"/>
      <c r="PY232" s="509"/>
      <c r="PZ232" s="509"/>
      <c r="QA232" s="509"/>
      <c r="QB232" s="509"/>
      <c r="QC232" s="509"/>
      <c r="QD232" s="509"/>
      <c r="QE232" s="509"/>
      <c r="QF232" s="509"/>
      <c r="QG232" s="509"/>
      <c r="QH232" s="509"/>
      <c r="QI232" s="509"/>
      <c r="QJ232" s="509"/>
      <c r="QK232" s="509"/>
      <c r="QL232" s="509"/>
      <c r="QM232" s="509"/>
      <c r="QN232" s="509"/>
      <c r="QO232" s="509"/>
      <c r="QP232" s="509"/>
      <c r="QQ232" s="509"/>
      <c r="QR232" s="509"/>
      <c r="QS232" s="509"/>
      <c r="QT232" s="509"/>
      <c r="QU232" s="509"/>
      <c r="QV232" s="509"/>
      <c r="QW232" s="509"/>
      <c r="QX232" s="509"/>
      <c r="QY232" s="509"/>
      <c r="QZ232" s="509"/>
      <c r="RA232" s="509"/>
      <c r="RB232" s="509"/>
      <c r="RC232" s="509"/>
      <c r="RD232" s="509"/>
      <c r="RE232" s="509"/>
      <c r="RF232" s="509"/>
      <c r="RG232" s="509"/>
      <c r="RH232" s="509"/>
      <c r="RI232" s="509"/>
      <c r="RJ232" s="509"/>
      <c r="RK232" s="509"/>
      <c r="RL232" s="509"/>
      <c r="RM232" s="509"/>
      <c r="RN232" s="509"/>
      <c r="RO232" s="509"/>
      <c r="RP232" s="509"/>
      <c r="RQ232" s="509"/>
      <c r="RR232" s="509"/>
      <c r="RS232" s="509"/>
      <c r="RT232" s="509"/>
      <c r="RU232" s="509"/>
      <c r="RV232" s="509"/>
      <c r="RW232" s="509"/>
      <c r="RX232" s="509"/>
      <c r="RY232" s="509"/>
      <c r="RZ232" s="509"/>
      <c r="SA232" s="509"/>
      <c r="SB232" s="509"/>
      <c r="SC232" s="509"/>
      <c r="SD232" s="509"/>
      <c r="SE232" s="509"/>
      <c r="SF232" s="509"/>
      <c r="SG232" s="509"/>
      <c r="SH232" s="509"/>
      <c r="SI232" s="509"/>
      <c r="SJ232" s="509"/>
      <c r="SK232" s="509"/>
      <c r="SL232" s="509"/>
      <c r="SM232" s="509"/>
      <c r="SN232" s="509"/>
      <c r="SO232" s="509"/>
      <c r="SP232" s="509"/>
      <c r="SQ232" s="509"/>
      <c r="SR232" s="509"/>
      <c r="SS232" s="509"/>
      <c r="ST232" s="509"/>
      <c r="SU232" s="509"/>
      <c r="SV232" s="509"/>
      <c r="SW232" s="509"/>
      <c r="SX232" s="509"/>
      <c r="SY232" s="509"/>
      <c r="SZ232" s="509"/>
      <c r="TA232" s="509"/>
      <c r="TB232" s="509"/>
      <c r="TC232" s="509"/>
      <c r="TD232" s="509"/>
      <c r="TE232" s="509"/>
      <c r="TF232" s="509"/>
      <c r="TG232" s="509"/>
      <c r="TH232" s="509"/>
      <c r="TI232" s="509"/>
      <c r="TJ232" s="509"/>
      <c r="TK232" s="509"/>
      <c r="TL232" s="509"/>
      <c r="TM232" s="509"/>
      <c r="TN232" s="509"/>
      <c r="TO232" s="509"/>
      <c r="TP232" s="509"/>
      <c r="TQ232" s="509"/>
      <c r="TR232" s="509"/>
      <c r="TS232" s="509"/>
      <c r="TT232" s="509"/>
      <c r="TU232" s="509"/>
      <c r="TV232" s="509"/>
      <c r="TW232" s="509"/>
      <c r="TX232" s="509"/>
      <c r="TY232" s="509"/>
      <c r="TZ232" s="509"/>
      <c r="UA232" s="509"/>
      <c r="UB232" s="509"/>
      <c r="UC232" s="509"/>
      <c r="UD232" s="509"/>
      <c r="UE232" s="509"/>
      <c r="UF232" s="509"/>
      <c r="UG232" s="509"/>
      <c r="UH232" s="509"/>
      <c r="UI232" s="509"/>
    </row>
    <row r="233" spans="1:555" ht="53.25" customHeight="1">
      <c r="A233" s="296">
        <v>271</v>
      </c>
      <c r="B233" s="297" t="s">
        <v>3165</v>
      </c>
      <c r="C233" s="338">
        <v>13555468</v>
      </c>
      <c r="D233" s="354" t="s">
        <v>167</v>
      </c>
      <c r="E233" s="299">
        <v>42508</v>
      </c>
      <c r="F233" s="300">
        <v>42491</v>
      </c>
      <c r="G233" s="301" t="s">
        <v>3166</v>
      </c>
      <c r="H233" s="297" t="s">
        <v>625</v>
      </c>
      <c r="I233" s="297" t="s">
        <v>183</v>
      </c>
      <c r="J233" s="299">
        <v>42667</v>
      </c>
      <c r="K233" s="300">
        <v>42644</v>
      </c>
      <c r="L233" s="301" t="s">
        <v>3167</v>
      </c>
      <c r="M233" s="297" t="s">
        <v>5</v>
      </c>
      <c r="N233" s="297" t="s">
        <v>101</v>
      </c>
      <c r="O233" s="299"/>
      <c r="P233" s="302"/>
      <c r="Q233" s="301"/>
      <c r="R233" s="297"/>
      <c r="S233" s="297"/>
      <c r="T233" s="299"/>
      <c r="U233" s="300"/>
      <c r="V233" s="301"/>
      <c r="W233" s="297"/>
      <c r="X233" s="297"/>
      <c r="Y233" s="299"/>
      <c r="Z233" s="300"/>
      <c r="AA233" s="301"/>
      <c r="AB233" s="297"/>
      <c r="AC233" s="297"/>
      <c r="AD233" s="299"/>
      <c r="AE233" s="300"/>
      <c r="AF233" s="301"/>
      <c r="AG233" s="297"/>
      <c r="AH233" s="297"/>
      <c r="AI233" s="304"/>
      <c r="AJ233" s="300"/>
      <c r="AK233" s="301"/>
      <c r="AL233" s="297"/>
      <c r="AM233" s="297"/>
      <c r="AN233" s="297" t="s">
        <v>2151</v>
      </c>
      <c r="AO233" s="540">
        <v>42667</v>
      </c>
      <c r="AP233" s="297"/>
      <c r="AQ233" s="301" t="s">
        <v>3168</v>
      </c>
      <c r="AR233" s="297" t="s">
        <v>161</v>
      </c>
      <c r="AS233" s="299">
        <v>37834</v>
      </c>
      <c r="AT233" s="299">
        <v>40055</v>
      </c>
      <c r="AU233" s="297" t="s">
        <v>3169</v>
      </c>
      <c r="AV233" s="297"/>
      <c r="AW233" s="297" t="s">
        <v>92</v>
      </c>
      <c r="AX233" s="297" t="s">
        <v>187</v>
      </c>
      <c r="AY233" s="299">
        <v>41425</v>
      </c>
      <c r="AZ233" s="297" t="s">
        <v>94</v>
      </c>
      <c r="BA233" s="299">
        <v>42430</v>
      </c>
      <c r="BB233" s="382">
        <v>42444</v>
      </c>
      <c r="BC233" s="297" t="s">
        <v>95</v>
      </c>
      <c r="BD233" s="297" t="s">
        <v>566</v>
      </c>
      <c r="BE233" s="297"/>
      <c r="BF233" s="301" t="s">
        <v>7321</v>
      </c>
      <c r="BG233" s="301"/>
      <c r="BH233" s="301" t="s">
        <v>9853</v>
      </c>
      <c r="BI233" s="301"/>
      <c r="BJ233" s="301"/>
      <c r="BK233" s="312">
        <v>203548724</v>
      </c>
      <c r="BL233" s="313">
        <v>379604220</v>
      </c>
      <c r="BM233" s="299">
        <v>44189</v>
      </c>
      <c r="BN233" s="314">
        <v>44189</v>
      </c>
      <c r="BO233" s="460"/>
      <c r="BP233" s="390"/>
      <c r="BQ233" s="297"/>
      <c r="BR233" s="303"/>
      <c r="BS233" s="301"/>
      <c r="BT233" s="301"/>
      <c r="BU233" s="301"/>
      <c r="BV233" s="301"/>
      <c r="BW233" s="316"/>
      <c r="BX233" s="304"/>
      <c r="BY233" s="299"/>
      <c r="BZ233" s="317"/>
      <c r="CA233" s="509"/>
      <c r="CB233" s="509"/>
      <c r="CC233" s="509"/>
      <c r="CD233" s="509"/>
      <c r="CE233" s="509"/>
      <c r="CF233" s="509"/>
      <c r="CG233" s="509"/>
      <c r="CH233" s="509"/>
      <c r="CI233" s="509"/>
      <c r="CJ233" s="509"/>
      <c r="CK233" s="509"/>
      <c r="CL233" s="509"/>
      <c r="CM233" s="509"/>
      <c r="CN233" s="509"/>
      <c r="CO233" s="509"/>
      <c r="CP233" s="509"/>
      <c r="CQ233" s="509"/>
      <c r="CR233" s="509"/>
      <c r="CS233" s="509"/>
      <c r="CT233" s="509"/>
      <c r="CU233" s="509"/>
      <c r="CV233" s="509"/>
      <c r="CW233" s="509"/>
      <c r="CX233" s="509"/>
      <c r="CY233" s="509"/>
      <c r="CZ233" s="509"/>
      <c r="DA233" s="509"/>
      <c r="DB233" s="509"/>
      <c r="DC233" s="509"/>
      <c r="DD233" s="509"/>
      <c r="DE233" s="509"/>
      <c r="DF233" s="509"/>
      <c r="DG233" s="509"/>
      <c r="DH233" s="509"/>
      <c r="DI233" s="509"/>
      <c r="DJ233" s="509"/>
      <c r="DK233" s="509"/>
      <c r="DL233" s="509"/>
      <c r="DM233" s="509"/>
      <c r="DN233" s="509"/>
      <c r="DO233" s="509"/>
      <c r="DP233" s="509"/>
      <c r="DQ233" s="509"/>
      <c r="DR233" s="509"/>
      <c r="DS233" s="509"/>
      <c r="DT233" s="509"/>
      <c r="DU233" s="509"/>
      <c r="DV233" s="509"/>
      <c r="DW233" s="509"/>
      <c r="DX233" s="509"/>
      <c r="DY233" s="509"/>
      <c r="DZ233" s="509"/>
      <c r="EA233" s="509"/>
      <c r="EB233" s="509"/>
      <c r="EC233" s="509"/>
      <c r="ED233" s="509"/>
      <c r="EE233" s="509"/>
      <c r="EF233" s="509"/>
      <c r="EG233" s="509"/>
      <c r="EH233" s="509"/>
      <c r="EI233" s="509"/>
      <c r="EJ233" s="509"/>
      <c r="EK233" s="509"/>
      <c r="EL233" s="509"/>
      <c r="EM233" s="509"/>
      <c r="EN233" s="509"/>
      <c r="EO233" s="509"/>
      <c r="EP233" s="509"/>
      <c r="EQ233" s="509"/>
      <c r="ER233" s="509"/>
      <c r="ES233" s="509"/>
      <c r="ET233" s="509"/>
      <c r="EU233" s="509"/>
      <c r="EV233" s="509"/>
      <c r="EW233" s="509"/>
      <c r="EX233" s="509"/>
      <c r="EY233" s="509"/>
      <c r="EZ233" s="509"/>
      <c r="FA233" s="509"/>
      <c r="FB233" s="509"/>
      <c r="FC233" s="509"/>
      <c r="FD233" s="509"/>
      <c r="FE233" s="509"/>
      <c r="FF233" s="509"/>
      <c r="FG233" s="509"/>
      <c r="FH233" s="509"/>
      <c r="FI233" s="509"/>
      <c r="FJ233" s="509"/>
      <c r="FK233" s="509"/>
      <c r="FL233" s="509"/>
      <c r="FM233" s="509"/>
      <c r="FN233" s="509"/>
      <c r="FO233" s="509"/>
      <c r="FP233" s="509"/>
      <c r="FQ233" s="509"/>
      <c r="FR233" s="509"/>
      <c r="FS233" s="509"/>
      <c r="FT233" s="509"/>
      <c r="FU233" s="509"/>
      <c r="FV233" s="509"/>
      <c r="FW233" s="509"/>
      <c r="FX233" s="509"/>
      <c r="FY233" s="509"/>
      <c r="FZ233" s="509"/>
      <c r="GA233" s="509"/>
      <c r="GB233" s="509"/>
      <c r="GC233" s="509"/>
      <c r="GD233" s="509"/>
      <c r="GE233" s="509"/>
      <c r="GF233" s="509"/>
      <c r="GG233" s="509"/>
      <c r="GH233" s="509"/>
      <c r="GI233" s="509"/>
      <c r="GJ233" s="509"/>
      <c r="GK233" s="509"/>
      <c r="GL233" s="509"/>
      <c r="GM233" s="509"/>
      <c r="GN233" s="509"/>
      <c r="GO233" s="509"/>
      <c r="GP233" s="509"/>
      <c r="GQ233" s="509"/>
      <c r="GR233" s="509"/>
      <c r="GS233" s="509"/>
      <c r="GT233" s="509"/>
      <c r="GU233" s="509"/>
      <c r="GV233" s="509"/>
      <c r="GW233" s="509"/>
      <c r="GX233" s="509"/>
      <c r="GY233" s="509"/>
      <c r="GZ233" s="509"/>
      <c r="HA233" s="509"/>
      <c r="HB233" s="509"/>
      <c r="HC233" s="509"/>
      <c r="HD233" s="509"/>
      <c r="HE233" s="509"/>
      <c r="HF233" s="509"/>
      <c r="HG233" s="509"/>
      <c r="HH233" s="509"/>
      <c r="HI233" s="509"/>
      <c r="HJ233" s="509"/>
      <c r="HK233" s="509"/>
      <c r="HL233" s="509"/>
      <c r="HM233" s="509"/>
      <c r="HN233" s="509"/>
      <c r="HO233" s="509"/>
      <c r="HP233" s="509"/>
      <c r="HQ233" s="509"/>
      <c r="HR233" s="509"/>
      <c r="HS233" s="509"/>
      <c r="HT233" s="509"/>
      <c r="HU233" s="509"/>
      <c r="HV233" s="509"/>
      <c r="HW233" s="509"/>
      <c r="HX233" s="509"/>
      <c r="HY233" s="509"/>
      <c r="HZ233" s="509"/>
      <c r="IA233" s="509"/>
      <c r="IB233" s="509"/>
      <c r="IC233" s="509"/>
      <c r="ID233" s="509"/>
      <c r="IE233" s="509"/>
      <c r="IF233" s="509"/>
      <c r="IG233" s="509"/>
      <c r="IH233" s="509"/>
      <c r="II233" s="509"/>
      <c r="IJ233" s="509"/>
      <c r="IK233" s="509"/>
      <c r="IL233" s="509"/>
      <c r="IM233" s="509"/>
      <c r="IN233" s="509"/>
      <c r="IO233" s="509"/>
      <c r="IP233" s="509"/>
      <c r="IQ233" s="509"/>
      <c r="IR233" s="509"/>
      <c r="IS233" s="509"/>
      <c r="IT233" s="509"/>
      <c r="IU233" s="509"/>
      <c r="IV233" s="509"/>
      <c r="IW233" s="509"/>
      <c r="IX233" s="509"/>
      <c r="IY233" s="509"/>
      <c r="IZ233" s="509"/>
      <c r="JA233" s="509"/>
      <c r="JB233" s="509"/>
      <c r="JC233" s="509"/>
      <c r="JD233" s="509"/>
      <c r="JE233" s="509"/>
      <c r="JF233" s="509"/>
      <c r="JG233" s="509"/>
      <c r="JH233" s="509"/>
      <c r="JI233" s="509"/>
      <c r="JJ233" s="509"/>
      <c r="JK233" s="509"/>
      <c r="JL233" s="509"/>
      <c r="JM233" s="509"/>
      <c r="JN233" s="509"/>
      <c r="JO233" s="509"/>
      <c r="JP233" s="509"/>
      <c r="JQ233" s="509"/>
      <c r="JR233" s="509"/>
      <c r="JS233" s="509"/>
      <c r="JT233" s="509"/>
      <c r="JU233" s="509"/>
      <c r="JV233" s="509"/>
      <c r="JW233" s="509"/>
      <c r="JX233" s="509"/>
      <c r="JY233" s="509"/>
      <c r="JZ233" s="509"/>
      <c r="KA233" s="509"/>
      <c r="KB233" s="509"/>
      <c r="KC233" s="509"/>
      <c r="KD233" s="509"/>
      <c r="KE233" s="509"/>
      <c r="KF233" s="509"/>
      <c r="KG233" s="509"/>
      <c r="KH233" s="509"/>
      <c r="KI233" s="509"/>
      <c r="KJ233" s="509"/>
      <c r="KK233" s="509"/>
      <c r="KL233" s="509"/>
      <c r="KM233" s="509"/>
      <c r="KN233" s="509"/>
      <c r="KO233" s="509"/>
      <c r="KP233" s="509"/>
      <c r="KQ233" s="509"/>
      <c r="KR233" s="509"/>
      <c r="KS233" s="509"/>
      <c r="KT233" s="509"/>
      <c r="KU233" s="509"/>
      <c r="KV233" s="509"/>
      <c r="KW233" s="509"/>
      <c r="KX233" s="509"/>
      <c r="KY233" s="509"/>
      <c r="KZ233" s="509"/>
      <c r="LA233" s="509"/>
      <c r="LB233" s="509"/>
      <c r="LC233" s="509"/>
      <c r="LD233" s="509"/>
      <c r="LE233" s="509"/>
      <c r="LF233" s="509"/>
      <c r="LG233" s="509"/>
      <c r="LH233" s="509"/>
      <c r="LI233" s="509"/>
      <c r="LJ233" s="509"/>
      <c r="LK233" s="509"/>
      <c r="LL233" s="509"/>
      <c r="LM233" s="509"/>
      <c r="LN233" s="509"/>
      <c r="LO233" s="509"/>
      <c r="LP233" s="509"/>
      <c r="LQ233" s="509"/>
      <c r="LR233" s="509"/>
      <c r="LS233" s="509"/>
      <c r="LT233" s="509"/>
      <c r="LU233" s="509"/>
      <c r="LV233" s="509"/>
      <c r="LW233" s="509"/>
      <c r="LX233" s="509"/>
      <c r="LY233" s="509"/>
      <c r="LZ233" s="509"/>
      <c r="MA233" s="509"/>
      <c r="MB233" s="509"/>
      <c r="MC233" s="509"/>
      <c r="MD233" s="509"/>
      <c r="ME233" s="509"/>
      <c r="MF233" s="509"/>
      <c r="MG233" s="509"/>
      <c r="MH233" s="509"/>
      <c r="MI233" s="509"/>
      <c r="MJ233" s="509"/>
      <c r="MK233" s="509"/>
      <c r="ML233" s="509"/>
      <c r="MM233" s="509"/>
      <c r="MN233" s="509"/>
      <c r="MO233" s="509"/>
      <c r="MP233" s="509"/>
      <c r="MQ233" s="509"/>
      <c r="MR233" s="509"/>
      <c r="MS233" s="509"/>
      <c r="MT233" s="509"/>
      <c r="MU233" s="509"/>
      <c r="MV233" s="509"/>
      <c r="MW233" s="509"/>
      <c r="MX233" s="509"/>
      <c r="MY233" s="509"/>
      <c r="MZ233" s="509"/>
      <c r="NA233" s="509"/>
      <c r="NB233" s="509"/>
      <c r="NC233" s="509"/>
      <c r="ND233" s="509"/>
      <c r="NE233" s="509"/>
      <c r="NF233" s="509"/>
      <c r="NG233" s="509"/>
      <c r="NH233" s="509"/>
      <c r="NI233" s="509"/>
      <c r="NJ233" s="509"/>
      <c r="NK233" s="509"/>
      <c r="NL233" s="509"/>
      <c r="NM233" s="509"/>
      <c r="NN233" s="509"/>
      <c r="NO233" s="509"/>
      <c r="NP233" s="509"/>
      <c r="NQ233" s="509"/>
      <c r="NR233" s="509"/>
      <c r="NS233" s="509"/>
      <c r="NT233" s="509"/>
      <c r="NU233" s="509"/>
      <c r="NV233" s="509"/>
      <c r="NW233" s="509"/>
      <c r="NX233" s="509"/>
      <c r="NY233" s="509"/>
      <c r="NZ233" s="509"/>
      <c r="OA233" s="509"/>
      <c r="OB233" s="509"/>
      <c r="OC233" s="509"/>
      <c r="OD233" s="509"/>
      <c r="OE233" s="509"/>
      <c r="OF233" s="509"/>
      <c r="OG233" s="509"/>
      <c r="OH233" s="509"/>
      <c r="OI233" s="509"/>
      <c r="OJ233" s="509"/>
      <c r="OK233" s="509"/>
      <c r="OL233" s="509"/>
      <c r="OM233" s="509"/>
      <c r="ON233" s="509"/>
      <c r="OO233" s="509"/>
      <c r="OP233" s="509"/>
      <c r="OQ233" s="509"/>
      <c r="OR233" s="509"/>
      <c r="OS233" s="509"/>
      <c r="OT233" s="509"/>
      <c r="OU233" s="509"/>
      <c r="OV233" s="509"/>
      <c r="OW233" s="509"/>
      <c r="OX233" s="509"/>
      <c r="OY233" s="509"/>
      <c r="OZ233" s="509"/>
      <c r="PA233" s="509"/>
      <c r="PB233" s="509"/>
      <c r="PC233" s="509"/>
      <c r="PD233" s="509"/>
      <c r="PE233" s="509"/>
      <c r="PF233" s="509"/>
      <c r="PG233" s="509"/>
      <c r="PH233" s="509"/>
      <c r="PI233" s="509"/>
      <c r="PJ233" s="509"/>
      <c r="PK233" s="509"/>
      <c r="PL233" s="509"/>
      <c r="PM233" s="509"/>
      <c r="PN233" s="509"/>
      <c r="PO233" s="509"/>
      <c r="PP233" s="509"/>
      <c r="PQ233" s="509"/>
      <c r="PR233" s="509"/>
      <c r="PS233" s="509"/>
      <c r="PT233" s="509"/>
      <c r="PU233" s="509"/>
      <c r="PV233" s="509"/>
      <c r="PW233" s="509"/>
      <c r="PX233" s="509"/>
      <c r="PY233" s="509"/>
      <c r="PZ233" s="509"/>
      <c r="QA233" s="509"/>
      <c r="QB233" s="509"/>
      <c r="QC233" s="509"/>
      <c r="QD233" s="509"/>
      <c r="QE233" s="509"/>
      <c r="QF233" s="509"/>
      <c r="QG233" s="509"/>
      <c r="QH233" s="509"/>
      <c r="QI233" s="509"/>
      <c r="QJ233" s="509"/>
      <c r="QK233" s="509"/>
      <c r="QL233" s="509"/>
      <c r="QM233" s="509"/>
      <c r="QN233" s="509"/>
      <c r="QO233" s="509"/>
      <c r="QP233" s="509"/>
      <c r="QQ233" s="509"/>
      <c r="QR233" s="509"/>
      <c r="QS233" s="509"/>
      <c r="QT233" s="509"/>
      <c r="QU233" s="509"/>
      <c r="QV233" s="509"/>
      <c r="QW233" s="509"/>
      <c r="QX233" s="509"/>
      <c r="QY233" s="509"/>
      <c r="QZ233" s="509"/>
      <c r="RA233" s="509"/>
      <c r="RB233" s="509"/>
      <c r="RC233" s="509"/>
      <c r="RD233" s="509"/>
      <c r="RE233" s="509"/>
      <c r="RF233" s="509"/>
      <c r="RG233" s="509"/>
      <c r="RH233" s="509"/>
      <c r="RI233" s="509"/>
      <c r="RJ233" s="509"/>
      <c r="RK233" s="509"/>
      <c r="RL233" s="509"/>
      <c r="RM233" s="509"/>
      <c r="RN233" s="509"/>
      <c r="RO233" s="509"/>
      <c r="RP233" s="509"/>
      <c r="RQ233" s="509"/>
      <c r="RR233" s="509"/>
      <c r="RS233" s="509"/>
      <c r="RT233" s="509"/>
      <c r="RU233" s="509"/>
      <c r="RV233" s="509"/>
      <c r="RW233" s="509"/>
      <c r="RX233" s="509"/>
      <c r="RY233" s="509"/>
      <c r="RZ233" s="509"/>
      <c r="SA233" s="509"/>
      <c r="SB233" s="509"/>
      <c r="SC233" s="509"/>
      <c r="SD233" s="509"/>
      <c r="SE233" s="509"/>
      <c r="SF233" s="509"/>
      <c r="SG233" s="509"/>
      <c r="SH233" s="509"/>
      <c r="SI233" s="509"/>
      <c r="SJ233" s="509"/>
      <c r="SK233" s="509"/>
      <c r="SL233" s="509"/>
      <c r="SM233" s="509"/>
      <c r="SN233" s="509"/>
      <c r="SO233" s="509"/>
      <c r="SP233" s="509"/>
      <c r="SQ233" s="509"/>
      <c r="SR233" s="509"/>
      <c r="SS233" s="509"/>
      <c r="ST233" s="509"/>
      <c r="SU233" s="509"/>
      <c r="SV233" s="509"/>
      <c r="SW233" s="509"/>
      <c r="SX233" s="509"/>
      <c r="SY233" s="509"/>
      <c r="SZ233" s="509"/>
      <c r="TA233" s="509"/>
      <c r="TB233" s="509"/>
      <c r="TC233" s="509"/>
      <c r="TD233" s="509"/>
      <c r="TE233" s="509"/>
      <c r="TF233" s="509"/>
      <c r="TG233" s="509"/>
      <c r="TH233" s="509"/>
      <c r="TI233" s="509"/>
      <c r="TJ233" s="509"/>
      <c r="TK233" s="509"/>
      <c r="TL233" s="509"/>
      <c r="TM233" s="509"/>
      <c r="TN233" s="509"/>
      <c r="TO233" s="509"/>
      <c r="TP233" s="509"/>
      <c r="TQ233" s="509"/>
      <c r="TR233" s="509"/>
      <c r="TS233" s="509"/>
      <c r="TT233" s="509"/>
      <c r="TU233" s="509"/>
      <c r="TV233" s="509"/>
      <c r="TW233" s="509"/>
      <c r="TX233" s="509"/>
      <c r="TY233" s="509"/>
      <c r="TZ233" s="509"/>
      <c r="UA233" s="509"/>
      <c r="UB233" s="509"/>
      <c r="UC233" s="509"/>
      <c r="UD233" s="509"/>
      <c r="UE233" s="509"/>
      <c r="UF233" s="509"/>
      <c r="UG233" s="509"/>
      <c r="UH233" s="509"/>
      <c r="UI233" s="509"/>
    </row>
    <row r="234" spans="1:555" ht="54" customHeight="1">
      <c r="A234" s="296">
        <v>273</v>
      </c>
      <c r="B234" s="297" t="s">
        <v>3178</v>
      </c>
      <c r="C234" s="338">
        <v>80150159</v>
      </c>
      <c r="D234" s="354" t="s">
        <v>193</v>
      </c>
      <c r="E234" s="299">
        <v>42508</v>
      </c>
      <c r="F234" s="300">
        <v>42491</v>
      </c>
      <c r="G234" s="301" t="s">
        <v>3179</v>
      </c>
      <c r="H234" s="297" t="s">
        <v>625</v>
      </c>
      <c r="I234" s="297" t="s">
        <v>183</v>
      </c>
      <c r="J234" s="299">
        <v>42674</v>
      </c>
      <c r="K234" s="300">
        <v>42644</v>
      </c>
      <c r="L234" s="301" t="s">
        <v>3180</v>
      </c>
      <c r="M234" s="297" t="s">
        <v>63</v>
      </c>
      <c r="N234" s="297" t="s">
        <v>101</v>
      </c>
      <c r="O234" s="299">
        <v>44000</v>
      </c>
      <c r="P234" s="302">
        <v>44000</v>
      </c>
      <c r="Q234" s="301" t="s">
        <v>9515</v>
      </c>
      <c r="R234" s="297" t="s">
        <v>63</v>
      </c>
      <c r="S234" s="297" t="s">
        <v>9516</v>
      </c>
      <c r="T234" s="299">
        <v>44183</v>
      </c>
      <c r="U234" s="300">
        <v>44183</v>
      </c>
      <c r="V234" s="301" t="s">
        <v>9798</v>
      </c>
      <c r="W234" s="297" t="s">
        <v>63</v>
      </c>
      <c r="X234" s="297" t="s">
        <v>9543</v>
      </c>
      <c r="Y234" s="299"/>
      <c r="Z234" s="300"/>
      <c r="AA234" s="301"/>
      <c r="AB234" s="297"/>
      <c r="AC234" s="297"/>
      <c r="AD234" s="299"/>
      <c r="AE234" s="300"/>
      <c r="AF234" s="301"/>
      <c r="AG234" s="297"/>
      <c r="AH234" s="297"/>
      <c r="AI234" s="304"/>
      <c r="AJ234" s="300"/>
      <c r="AK234" s="301"/>
      <c r="AL234" s="297"/>
      <c r="AM234" s="297"/>
      <c r="AN234" s="297" t="s">
        <v>2968</v>
      </c>
      <c r="AO234" s="540">
        <v>42669</v>
      </c>
      <c r="AP234" s="297"/>
      <c r="AQ234" s="301" t="s">
        <v>3181</v>
      </c>
      <c r="AR234" s="297" t="s">
        <v>161</v>
      </c>
      <c r="AS234" s="299">
        <v>38351</v>
      </c>
      <c r="AT234" s="299">
        <v>39568</v>
      </c>
      <c r="AU234" s="297" t="s">
        <v>3182</v>
      </c>
      <c r="AV234" s="297"/>
      <c r="AW234" s="297" t="s">
        <v>92</v>
      </c>
      <c r="AX234" s="297" t="s">
        <v>3183</v>
      </c>
      <c r="AY234" s="299">
        <v>41355</v>
      </c>
      <c r="AZ234" s="297" t="s">
        <v>94</v>
      </c>
      <c r="BA234" s="299">
        <v>42411</v>
      </c>
      <c r="BB234" s="382">
        <v>42472</v>
      </c>
      <c r="BC234" s="297" t="s">
        <v>95</v>
      </c>
      <c r="BD234" s="297" t="s">
        <v>566</v>
      </c>
      <c r="BE234" s="297"/>
      <c r="BF234" s="301" t="s">
        <v>7321</v>
      </c>
      <c r="BG234" s="301"/>
      <c r="BH234" s="301" t="s">
        <v>9844</v>
      </c>
      <c r="BI234" s="301"/>
      <c r="BJ234" s="301"/>
      <c r="BK234" s="312">
        <v>161302495</v>
      </c>
      <c r="BL234" s="313">
        <v>391766320</v>
      </c>
      <c r="BM234" s="299">
        <v>44195</v>
      </c>
      <c r="BN234" s="314">
        <v>44166</v>
      </c>
      <c r="BO234" s="460"/>
      <c r="BP234" s="390"/>
      <c r="BQ234" s="297"/>
      <c r="BR234" s="303"/>
      <c r="BS234" s="301"/>
      <c r="BT234" s="301"/>
      <c r="BU234" s="301"/>
      <c r="BV234" s="301"/>
      <c r="BW234" s="316"/>
      <c r="BX234" s="304"/>
      <c r="BY234" s="299"/>
      <c r="BZ234" s="317"/>
      <c r="CA234" s="509"/>
      <c r="CB234" s="509"/>
      <c r="CC234" s="509"/>
      <c r="CD234" s="509"/>
      <c r="CE234" s="509"/>
      <c r="CF234" s="509"/>
      <c r="CG234" s="509"/>
      <c r="CH234" s="509"/>
      <c r="CI234" s="509"/>
      <c r="CJ234" s="509"/>
      <c r="CK234" s="509"/>
      <c r="CL234" s="509"/>
      <c r="CM234" s="509"/>
      <c r="CN234" s="509"/>
      <c r="CO234" s="509"/>
      <c r="CP234" s="509"/>
      <c r="CQ234" s="509"/>
      <c r="CR234" s="509"/>
      <c r="CS234" s="509"/>
      <c r="CT234" s="509"/>
      <c r="CU234" s="509"/>
      <c r="CV234" s="509"/>
      <c r="CW234" s="509"/>
      <c r="CX234" s="509"/>
      <c r="CY234" s="509"/>
      <c r="CZ234" s="509"/>
      <c r="DA234" s="509"/>
      <c r="DB234" s="509"/>
      <c r="DC234" s="509"/>
      <c r="DD234" s="509"/>
      <c r="DE234" s="509"/>
      <c r="DF234" s="509"/>
      <c r="DG234" s="509"/>
      <c r="DH234" s="509"/>
      <c r="DI234" s="509"/>
      <c r="DJ234" s="509"/>
      <c r="DK234" s="509"/>
      <c r="DL234" s="509"/>
      <c r="DM234" s="509"/>
      <c r="DN234" s="509"/>
      <c r="DO234" s="509"/>
      <c r="DP234" s="509"/>
      <c r="DQ234" s="509"/>
      <c r="DR234" s="509"/>
      <c r="DS234" s="509"/>
      <c r="DT234" s="509"/>
      <c r="DU234" s="509"/>
      <c r="DV234" s="509"/>
      <c r="DW234" s="509"/>
      <c r="DX234" s="509"/>
      <c r="DY234" s="509"/>
      <c r="DZ234" s="509"/>
      <c r="EA234" s="509"/>
      <c r="EB234" s="509"/>
      <c r="EC234" s="509"/>
      <c r="ED234" s="509"/>
      <c r="EE234" s="509"/>
      <c r="EF234" s="509"/>
      <c r="EG234" s="509"/>
      <c r="EH234" s="509"/>
      <c r="EI234" s="509"/>
      <c r="EJ234" s="509"/>
      <c r="EK234" s="509"/>
      <c r="EL234" s="509"/>
      <c r="EM234" s="509"/>
      <c r="EN234" s="509"/>
      <c r="EO234" s="509"/>
      <c r="EP234" s="509"/>
      <c r="EQ234" s="509"/>
      <c r="ER234" s="509"/>
      <c r="ES234" s="509"/>
      <c r="ET234" s="509"/>
      <c r="EU234" s="509"/>
      <c r="EV234" s="509"/>
      <c r="EW234" s="509"/>
      <c r="EX234" s="509"/>
      <c r="EY234" s="509"/>
      <c r="EZ234" s="509"/>
      <c r="FA234" s="509"/>
      <c r="FB234" s="509"/>
      <c r="FC234" s="509"/>
      <c r="FD234" s="509"/>
      <c r="FE234" s="509"/>
      <c r="FF234" s="509"/>
      <c r="FG234" s="509"/>
      <c r="FH234" s="509"/>
      <c r="FI234" s="509"/>
      <c r="FJ234" s="509"/>
      <c r="FK234" s="509"/>
      <c r="FL234" s="509"/>
      <c r="FM234" s="509"/>
      <c r="FN234" s="509"/>
      <c r="FO234" s="509"/>
      <c r="FP234" s="509"/>
      <c r="FQ234" s="509"/>
      <c r="FR234" s="509"/>
      <c r="FS234" s="509"/>
      <c r="FT234" s="509"/>
      <c r="FU234" s="509"/>
      <c r="FV234" s="509"/>
      <c r="FW234" s="509"/>
      <c r="FX234" s="509"/>
      <c r="FY234" s="509"/>
      <c r="FZ234" s="509"/>
      <c r="GA234" s="509"/>
      <c r="GB234" s="509"/>
      <c r="GC234" s="509"/>
      <c r="GD234" s="509"/>
      <c r="GE234" s="509"/>
      <c r="GF234" s="509"/>
      <c r="GG234" s="509"/>
      <c r="GH234" s="509"/>
      <c r="GI234" s="509"/>
      <c r="GJ234" s="509"/>
      <c r="GK234" s="509"/>
      <c r="GL234" s="509"/>
      <c r="GM234" s="509"/>
      <c r="GN234" s="509"/>
      <c r="GO234" s="509"/>
      <c r="GP234" s="509"/>
      <c r="GQ234" s="509"/>
      <c r="GR234" s="509"/>
      <c r="GS234" s="509"/>
      <c r="GT234" s="509"/>
      <c r="GU234" s="509"/>
      <c r="GV234" s="509"/>
      <c r="GW234" s="509"/>
      <c r="GX234" s="509"/>
      <c r="GY234" s="509"/>
      <c r="GZ234" s="509"/>
      <c r="HA234" s="509"/>
      <c r="HB234" s="509"/>
      <c r="HC234" s="509"/>
      <c r="HD234" s="509"/>
      <c r="HE234" s="509"/>
      <c r="HF234" s="509"/>
      <c r="HG234" s="509"/>
      <c r="HH234" s="509"/>
      <c r="HI234" s="509"/>
      <c r="HJ234" s="509"/>
      <c r="HK234" s="509"/>
      <c r="HL234" s="509"/>
      <c r="HM234" s="509"/>
      <c r="HN234" s="509"/>
      <c r="HO234" s="509"/>
      <c r="HP234" s="509"/>
      <c r="HQ234" s="509"/>
      <c r="HR234" s="509"/>
      <c r="HS234" s="509"/>
      <c r="HT234" s="509"/>
      <c r="HU234" s="509"/>
      <c r="HV234" s="509"/>
      <c r="HW234" s="509"/>
      <c r="HX234" s="509"/>
      <c r="HY234" s="509"/>
      <c r="HZ234" s="509"/>
      <c r="IA234" s="509"/>
      <c r="IB234" s="509"/>
      <c r="IC234" s="509"/>
      <c r="ID234" s="509"/>
      <c r="IE234" s="509"/>
      <c r="IF234" s="509"/>
      <c r="IG234" s="509"/>
      <c r="IH234" s="509"/>
      <c r="II234" s="509"/>
      <c r="IJ234" s="509"/>
      <c r="IK234" s="509"/>
      <c r="IL234" s="509"/>
      <c r="IM234" s="509"/>
      <c r="IN234" s="509"/>
      <c r="IO234" s="509"/>
      <c r="IP234" s="509"/>
      <c r="IQ234" s="509"/>
      <c r="IR234" s="509"/>
      <c r="IS234" s="509"/>
      <c r="IT234" s="509"/>
      <c r="IU234" s="509"/>
      <c r="IV234" s="509"/>
      <c r="IW234" s="509"/>
      <c r="IX234" s="509"/>
      <c r="IY234" s="509"/>
      <c r="IZ234" s="509"/>
      <c r="JA234" s="509"/>
      <c r="JB234" s="509"/>
      <c r="JC234" s="509"/>
      <c r="JD234" s="509"/>
      <c r="JE234" s="509"/>
      <c r="JF234" s="509"/>
      <c r="JG234" s="509"/>
      <c r="JH234" s="509"/>
      <c r="JI234" s="509"/>
      <c r="JJ234" s="509"/>
      <c r="JK234" s="509"/>
      <c r="JL234" s="509"/>
      <c r="JM234" s="509"/>
      <c r="JN234" s="509"/>
      <c r="JO234" s="509"/>
      <c r="JP234" s="509"/>
      <c r="JQ234" s="509"/>
      <c r="JR234" s="509"/>
      <c r="JS234" s="509"/>
      <c r="JT234" s="509"/>
      <c r="JU234" s="509"/>
      <c r="JV234" s="509"/>
      <c r="JW234" s="509"/>
      <c r="JX234" s="509"/>
      <c r="JY234" s="509"/>
      <c r="JZ234" s="509"/>
      <c r="KA234" s="509"/>
      <c r="KB234" s="509"/>
      <c r="KC234" s="509"/>
      <c r="KD234" s="509"/>
      <c r="KE234" s="509"/>
      <c r="KF234" s="509"/>
      <c r="KG234" s="509"/>
      <c r="KH234" s="509"/>
      <c r="KI234" s="509"/>
      <c r="KJ234" s="509"/>
      <c r="KK234" s="509"/>
      <c r="KL234" s="509"/>
      <c r="KM234" s="509"/>
      <c r="KN234" s="509"/>
      <c r="KO234" s="509"/>
      <c r="KP234" s="509"/>
      <c r="KQ234" s="509"/>
      <c r="KR234" s="509"/>
      <c r="KS234" s="509"/>
      <c r="KT234" s="509"/>
      <c r="KU234" s="509"/>
      <c r="KV234" s="509"/>
      <c r="KW234" s="509"/>
      <c r="KX234" s="509"/>
      <c r="KY234" s="509"/>
      <c r="KZ234" s="509"/>
      <c r="LA234" s="509"/>
      <c r="LB234" s="509"/>
      <c r="LC234" s="509"/>
      <c r="LD234" s="509"/>
      <c r="LE234" s="509"/>
      <c r="LF234" s="509"/>
      <c r="LG234" s="509"/>
      <c r="LH234" s="509"/>
      <c r="LI234" s="509"/>
      <c r="LJ234" s="509"/>
      <c r="LK234" s="509"/>
      <c r="LL234" s="509"/>
      <c r="LM234" s="509"/>
      <c r="LN234" s="509"/>
      <c r="LO234" s="509"/>
      <c r="LP234" s="509"/>
      <c r="LQ234" s="509"/>
      <c r="LR234" s="509"/>
      <c r="LS234" s="509"/>
      <c r="LT234" s="509"/>
      <c r="LU234" s="509"/>
      <c r="LV234" s="509"/>
      <c r="LW234" s="509"/>
      <c r="LX234" s="509"/>
      <c r="LY234" s="509"/>
      <c r="LZ234" s="509"/>
      <c r="MA234" s="509"/>
      <c r="MB234" s="509"/>
      <c r="MC234" s="509"/>
      <c r="MD234" s="509"/>
      <c r="ME234" s="509"/>
      <c r="MF234" s="509"/>
      <c r="MG234" s="509"/>
      <c r="MH234" s="509"/>
      <c r="MI234" s="509"/>
      <c r="MJ234" s="509"/>
      <c r="MK234" s="509"/>
      <c r="ML234" s="509"/>
      <c r="MM234" s="509"/>
      <c r="MN234" s="509"/>
      <c r="MO234" s="509"/>
      <c r="MP234" s="509"/>
      <c r="MQ234" s="509"/>
      <c r="MR234" s="509"/>
      <c r="MS234" s="509"/>
      <c r="MT234" s="509"/>
      <c r="MU234" s="509"/>
      <c r="MV234" s="509"/>
      <c r="MW234" s="509"/>
      <c r="MX234" s="509"/>
      <c r="MY234" s="509"/>
      <c r="MZ234" s="509"/>
      <c r="NA234" s="509"/>
      <c r="NB234" s="509"/>
      <c r="NC234" s="509"/>
      <c r="ND234" s="509"/>
      <c r="NE234" s="509"/>
      <c r="NF234" s="509"/>
      <c r="NG234" s="509"/>
      <c r="NH234" s="509"/>
      <c r="NI234" s="509"/>
      <c r="NJ234" s="509"/>
      <c r="NK234" s="509"/>
      <c r="NL234" s="509"/>
      <c r="NM234" s="509"/>
      <c r="NN234" s="509"/>
      <c r="NO234" s="509"/>
      <c r="NP234" s="509"/>
      <c r="NQ234" s="509"/>
      <c r="NR234" s="509"/>
      <c r="NS234" s="509"/>
      <c r="NT234" s="509"/>
      <c r="NU234" s="509"/>
      <c r="NV234" s="509"/>
      <c r="NW234" s="509"/>
      <c r="NX234" s="509"/>
      <c r="NY234" s="509"/>
      <c r="NZ234" s="509"/>
      <c r="OA234" s="509"/>
      <c r="OB234" s="509"/>
      <c r="OC234" s="509"/>
      <c r="OD234" s="509"/>
      <c r="OE234" s="509"/>
      <c r="OF234" s="509"/>
      <c r="OG234" s="509"/>
      <c r="OH234" s="509"/>
      <c r="OI234" s="509"/>
      <c r="OJ234" s="509"/>
      <c r="OK234" s="509"/>
      <c r="OL234" s="509"/>
      <c r="OM234" s="509"/>
      <c r="ON234" s="509"/>
      <c r="OO234" s="509"/>
      <c r="OP234" s="509"/>
      <c r="OQ234" s="509"/>
      <c r="OR234" s="509"/>
      <c r="OS234" s="509"/>
      <c r="OT234" s="509"/>
      <c r="OU234" s="509"/>
      <c r="OV234" s="509"/>
      <c r="OW234" s="509"/>
      <c r="OX234" s="509"/>
      <c r="OY234" s="509"/>
      <c r="OZ234" s="509"/>
      <c r="PA234" s="509"/>
      <c r="PB234" s="509"/>
      <c r="PC234" s="509"/>
      <c r="PD234" s="509"/>
      <c r="PE234" s="509"/>
      <c r="PF234" s="509"/>
      <c r="PG234" s="509"/>
      <c r="PH234" s="509"/>
      <c r="PI234" s="509"/>
      <c r="PJ234" s="509"/>
      <c r="PK234" s="509"/>
      <c r="PL234" s="509"/>
      <c r="PM234" s="509"/>
      <c r="PN234" s="509"/>
      <c r="PO234" s="509"/>
      <c r="PP234" s="509"/>
      <c r="PQ234" s="509"/>
      <c r="PR234" s="509"/>
      <c r="PS234" s="509"/>
      <c r="PT234" s="509"/>
      <c r="PU234" s="509"/>
      <c r="PV234" s="509"/>
      <c r="PW234" s="509"/>
      <c r="PX234" s="509"/>
      <c r="PY234" s="509"/>
      <c r="PZ234" s="509"/>
      <c r="QA234" s="509"/>
      <c r="QB234" s="509"/>
      <c r="QC234" s="509"/>
      <c r="QD234" s="509"/>
      <c r="QE234" s="509"/>
      <c r="QF234" s="509"/>
      <c r="QG234" s="509"/>
      <c r="QH234" s="509"/>
      <c r="QI234" s="509"/>
      <c r="QJ234" s="509"/>
      <c r="QK234" s="509"/>
      <c r="QL234" s="509"/>
      <c r="QM234" s="509"/>
      <c r="QN234" s="509"/>
      <c r="QO234" s="509"/>
      <c r="QP234" s="509"/>
      <c r="QQ234" s="509"/>
      <c r="QR234" s="509"/>
      <c r="QS234" s="509"/>
      <c r="QT234" s="509"/>
      <c r="QU234" s="509"/>
      <c r="QV234" s="509"/>
      <c r="QW234" s="509"/>
      <c r="QX234" s="509"/>
      <c r="QY234" s="509"/>
      <c r="QZ234" s="509"/>
      <c r="RA234" s="509"/>
      <c r="RB234" s="509"/>
      <c r="RC234" s="509"/>
      <c r="RD234" s="509"/>
      <c r="RE234" s="509"/>
      <c r="RF234" s="509"/>
      <c r="RG234" s="509"/>
      <c r="RH234" s="509"/>
      <c r="RI234" s="509"/>
      <c r="RJ234" s="509"/>
      <c r="RK234" s="509"/>
      <c r="RL234" s="509"/>
      <c r="RM234" s="509"/>
      <c r="RN234" s="509"/>
      <c r="RO234" s="509"/>
      <c r="RP234" s="509"/>
      <c r="RQ234" s="509"/>
      <c r="RR234" s="509"/>
      <c r="RS234" s="509"/>
      <c r="RT234" s="509"/>
      <c r="RU234" s="509"/>
      <c r="RV234" s="509"/>
      <c r="RW234" s="509"/>
      <c r="RX234" s="509"/>
      <c r="RY234" s="509"/>
      <c r="RZ234" s="509"/>
      <c r="SA234" s="509"/>
      <c r="SB234" s="509"/>
      <c r="SC234" s="509"/>
      <c r="SD234" s="509"/>
      <c r="SE234" s="509"/>
      <c r="SF234" s="509"/>
      <c r="SG234" s="509"/>
      <c r="SH234" s="509"/>
      <c r="SI234" s="509"/>
      <c r="SJ234" s="509"/>
      <c r="SK234" s="509"/>
      <c r="SL234" s="509"/>
      <c r="SM234" s="509"/>
      <c r="SN234" s="509"/>
      <c r="SO234" s="509"/>
      <c r="SP234" s="509"/>
      <c r="SQ234" s="509"/>
      <c r="SR234" s="509"/>
      <c r="SS234" s="509"/>
      <c r="ST234" s="509"/>
      <c r="SU234" s="509"/>
      <c r="SV234" s="509"/>
      <c r="SW234" s="509"/>
      <c r="SX234" s="509"/>
      <c r="SY234" s="509"/>
      <c r="SZ234" s="509"/>
      <c r="TA234" s="509"/>
      <c r="TB234" s="509"/>
      <c r="TC234" s="509"/>
      <c r="TD234" s="509"/>
      <c r="TE234" s="509"/>
      <c r="TF234" s="509"/>
      <c r="TG234" s="509"/>
      <c r="TH234" s="509"/>
      <c r="TI234" s="509"/>
      <c r="TJ234" s="509"/>
      <c r="TK234" s="509"/>
      <c r="TL234" s="509"/>
      <c r="TM234" s="509"/>
      <c r="TN234" s="509"/>
      <c r="TO234" s="509"/>
      <c r="TP234" s="509"/>
      <c r="TQ234" s="509"/>
      <c r="TR234" s="509"/>
      <c r="TS234" s="509"/>
      <c r="TT234" s="509"/>
      <c r="TU234" s="509"/>
      <c r="TV234" s="509"/>
      <c r="TW234" s="509"/>
      <c r="TX234" s="509"/>
      <c r="TY234" s="509"/>
      <c r="TZ234" s="509"/>
      <c r="UA234" s="509"/>
      <c r="UB234" s="509"/>
      <c r="UC234" s="509"/>
      <c r="UD234" s="509"/>
      <c r="UE234" s="509"/>
      <c r="UF234" s="509"/>
      <c r="UG234" s="509"/>
      <c r="UH234" s="509"/>
      <c r="UI234" s="509"/>
    </row>
    <row r="235" spans="1:555" ht="56.25" customHeight="1">
      <c r="A235" s="296">
        <v>274</v>
      </c>
      <c r="B235" s="297" t="s">
        <v>3184</v>
      </c>
      <c r="C235" s="329">
        <v>6281331</v>
      </c>
      <c r="D235" s="354" t="s">
        <v>677</v>
      </c>
      <c r="E235" s="299">
        <v>42510</v>
      </c>
      <c r="F235" s="300">
        <v>42491</v>
      </c>
      <c r="G235" s="301" t="s">
        <v>3185</v>
      </c>
      <c r="H235" s="297" t="s">
        <v>1974</v>
      </c>
      <c r="I235" s="297" t="s">
        <v>183</v>
      </c>
      <c r="J235" s="299">
        <v>42565</v>
      </c>
      <c r="K235" s="300">
        <v>42552</v>
      </c>
      <c r="L235" s="301" t="s">
        <v>3186</v>
      </c>
      <c r="M235" s="297" t="s">
        <v>5</v>
      </c>
      <c r="N235" s="297" t="s">
        <v>101</v>
      </c>
      <c r="O235" s="299">
        <v>43237</v>
      </c>
      <c r="P235" s="302">
        <v>43221</v>
      </c>
      <c r="Q235" s="301" t="s">
        <v>800</v>
      </c>
      <c r="R235" s="297" t="s">
        <v>63</v>
      </c>
      <c r="S235" s="297" t="s">
        <v>107</v>
      </c>
      <c r="T235" s="299"/>
      <c r="U235" s="300"/>
      <c r="V235" s="301"/>
      <c r="W235" s="297"/>
      <c r="X235" s="297"/>
      <c r="Y235" s="299"/>
      <c r="Z235" s="300"/>
      <c r="AA235" s="301"/>
      <c r="AB235" s="297"/>
      <c r="AC235" s="297"/>
      <c r="AD235" s="299"/>
      <c r="AE235" s="300"/>
      <c r="AF235" s="301"/>
      <c r="AG235" s="297"/>
      <c r="AH235" s="297"/>
      <c r="AI235" s="304"/>
      <c r="AJ235" s="300"/>
      <c r="AK235" s="301"/>
      <c r="AL235" s="297"/>
      <c r="AM235" s="297"/>
      <c r="AN235" s="325" t="s">
        <v>3187</v>
      </c>
      <c r="AO235" s="475"/>
      <c r="AP235" s="325"/>
      <c r="AQ235" s="301" t="s">
        <v>3188</v>
      </c>
      <c r="AR235" s="297" t="s">
        <v>66</v>
      </c>
      <c r="AS235" s="299">
        <v>37844</v>
      </c>
      <c r="AT235" s="299">
        <v>39582</v>
      </c>
      <c r="AU235" s="297" t="s">
        <v>3189</v>
      </c>
      <c r="AV235" s="297"/>
      <c r="AW235" s="297" t="s">
        <v>92</v>
      </c>
      <c r="AX235" s="297" t="s">
        <v>2665</v>
      </c>
      <c r="AY235" s="299">
        <v>41726</v>
      </c>
      <c r="AZ235" s="297" t="s">
        <v>576</v>
      </c>
      <c r="BA235" s="299">
        <v>42446</v>
      </c>
      <c r="BB235" s="382">
        <v>42482</v>
      </c>
      <c r="BC235" s="297" t="s">
        <v>95</v>
      </c>
      <c r="BD235" s="297" t="s">
        <v>566</v>
      </c>
      <c r="BE235" s="297"/>
      <c r="BF235" s="301"/>
      <c r="BG235" s="301"/>
      <c r="BH235" s="301" t="s">
        <v>3190</v>
      </c>
      <c r="BI235" s="301"/>
      <c r="BJ235" s="312">
        <v>103636682</v>
      </c>
      <c r="BK235" s="312">
        <v>103636682</v>
      </c>
      <c r="BL235" s="313">
        <v>2905218</v>
      </c>
      <c r="BM235" s="299">
        <v>43115</v>
      </c>
      <c r="BN235" s="314">
        <v>43101</v>
      </c>
      <c r="BO235" s="434" t="s">
        <v>1366</v>
      </c>
      <c r="BP235" s="397"/>
      <c r="BQ235" s="398"/>
      <c r="BR235" s="320"/>
      <c r="BS235" s="301"/>
      <c r="BT235" s="301"/>
      <c r="BU235" s="301"/>
      <c r="BV235" s="301"/>
      <c r="BW235" s="316"/>
      <c r="BX235" s="304"/>
      <c r="BY235" s="299"/>
      <c r="BZ235" s="317"/>
    </row>
    <row r="236" spans="1:555" ht="61.5" customHeight="1">
      <c r="A236" s="296">
        <v>275</v>
      </c>
      <c r="B236" s="297" t="s">
        <v>3191</v>
      </c>
      <c r="C236" s="298">
        <v>6254214</v>
      </c>
      <c r="D236" s="354" t="s">
        <v>1153</v>
      </c>
      <c r="E236" s="299">
        <v>42515</v>
      </c>
      <c r="F236" s="300">
        <v>42491</v>
      </c>
      <c r="G236" s="301" t="s">
        <v>3192</v>
      </c>
      <c r="H236" s="297" t="s">
        <v>5</v>
      </c>
      <c r="I236" s="297" t="s">
        <v>101</v>
      </c>
      <c r="J236" s="299">
        <v>43005</v>
      </c>
      <c r="K236" s="300">
        <v>42979</v>
      </c>
      <c r="L236" s="301" t="s">
        <v>3193</v>
      </c>
      <c r="M236" s="297" t="s">
        <v>625</v>
      </c>
      <c r="N236" s="297" t="s">
        <v>3194</v>
      </c>
      <c r="O236" s="299">
        <v>43006</v>
      </c>
      <c r="P236" s="302">
        <v>42979</v>
      </c>
      <c r="Q236" s="301" t="s">
        <v>3195</v>
      </c>
      <c r="R236" s="297" t="s">
        <v>625</v>
      </c>
      <c r="S236" s="297" t="s">
        <v>3194</v>
      </c>
      <c r="T236" s="299"/>
      <c r="U236" s="300"/>
      <c r="V236" s="301"/>
      <c r="W236" s="297"/>
      <c r="X236" s="297"/>
      <c r="Y236" s="299"/>
      <c r="Z236" s="300"/>
      <c r="AA236" s="301"/>
      <c r="AB236" s="297"/>
      <c r="AC236" s="297"/>
      <c r="AD236" s="299"/>
      <c r="AE236" s="300"/>
      <c r="AF236" s="301"/>
      <c r="AG236" s="297"/>
      <c r="AH236" s="297"/>
      <c r="AI236" s="304"/>
      <c r="AJ236" s="300"/>
      <c r="AK236" s="301"/>
      <c r="AL236" s="297"/>
      <c r="AM236" s="297"/>
      <c r="AN236" s="297" t="s">
        <v>600</v>
      </c>
      <c r="AO236" s="473"/>
      <c r="AP236" s="297"/>
      <c r="AQ236" s="301" t="s">
        <v>3196</v>
      </c>
      <c r="AR236" s="297" t="s">
        <v>66</v>
      </c>
      <c r="AS236" s="299">
        <v>39645</v>
      </c>
      <c r="AT236" s="299">
        <v>40724</v>
      </c>
      <c r="AU236" s="297" t="s">
        <v>3197</v>
      </c>
      <c r="AV236" s="297"/>
      <c r="AW236" s="297" t="s">
        <v>92</v>
      </c>
      <c r="AX236" s="297" t="s">
        <v>2398</v>
      </c>
      <c r="AY236" s="299">
        <v>42327</v>
      </c>
      <c r="AZ236" s="297" t="s">
        <v>67</v>
      </c>
      <c r="BA236" s="299" t="s">
        <v>67</v>
      </c>
      <c r="BB236" s="382">
        <v>42326</v>
      </c>
      <c r="BC236" s="297" t="s">
        <v>95</v>
      </c>
      <c r="BD236" s="297" t="s">
        <v>566</v>
      </c>
      <c r="BE236" s="297"/>
      <c r="BF236" s="301" t="s">
        <v>988</v>
      </c>
      <c r="BG236" s="301" t="s">
        <v>3198</v>
      </c>
      <c r="BH236" s="301" t="s">
        <v>3199</v>
      </c>
      <c r="BI236" s="301"/>
      <c r="BJ236" s="312">
        <v>84974281</v>
      </c>
      <c r="BK236" s="312">
        <v>84974281</v>
      </c>
      <c r="BL236" s="313" t="s">
        <v>3200</v>
      </c>
      <c r="BM236" s="299">
        <v>43112</v>
      </c>
      <c r="BN236" s="314">
        <v>43101</v>
      </c>
      <c r="BO236" s="460" t="s">
        <v>3201</v>
      </c>
      <c r="BP236" s="390"/>
      <c r="BQ236" s="297"/>
      <c r="BR236" s="303"/>
      <c r="BS236" s="301"/>
      <c r="BT236" s="301"/>
      <c r="BU236" s="301"/>
      <c r="BV236" s="301"/>
      <c r="BW236" s="316"/>
      <c r="BX236" s="304"/>
      <c r="BY236" s="299"/>
      <c r="BZ236" s="317"/>
    </row>
    <row r="237" spans="1:555" s="509" customFormat="1" ht="73.5" customHeight="1">
      <c r="A237" s="296">
        <v>276</v>
      </c>
      <c r="B237" s="297" t="s">
        <v>3202</v>
      </c>
      <c r="C237" s="338">
        <v>6646916</v>
      </c>
      <c r="D237" s="354" t="s">
        <v>1153</v>
      </c>
      <c r="E237" s="299">
        <v>42515</v>
      </c>
      <c r="F237" s="300">
        <v>42491</v>
      </c>
      <c r="G237" s="301" t="s">
        <v>3203</v>
      </c>
      <c r="H237" s="297" t="s">
        <v>5</v>
      </c>
      <c r="I237" s="297" t="s">
        <v>101</v>
      </c>
      <c r="J237" s="299"/>
      <c r="K237" s="300"/>
      <c r="L237" s="301"/>
      <c r="M237" s="297"/>
      <c r="N237" s="297"/>
      <c r="O237" s="299"/>
      <c r="P237" s="302"/>
      <c r="Q237" s="301"/>
      <c r="R237" s="297"/>
      <c r="S237" s="297"/>
      <c r="T237" s="299"/>
      <c r="U237" s="300"/>
      <c r="V237" s="301"/>
      <c r="W237" s="297"/>
      <c r="X237" s="297"/>
      <c r="Y237" s="299"/>
      <c r="Z237" s="300"/>
      <c r="AA237" s="301"/>
      <c r="AB237" s="297"/>
      <c r="AC237" s="297"/>
      <c r="AD237" s="299"/>
      <c r="AE237" s="300"/>
      <c r="AF237" s="301"/>
      <c r="AG237" s="297"/>
      <c r="AH237" s="297"/>
      <c r="AI237" s="304"/>
      <c r="AJ237" s="300"/>
      <c r="AK237" s="301"/>
      <c r="AL237" s="297"/>
      <c r="AM237" s="297"/>
      <c r="AN237" s="325" t="s">
        <v>3204</v>
      </c>
      <c r="AO237" s="475"/>
      <c r="AP237" s="325"/>
      <c r="AQ237" s="301" t="s">
        <v>3205</v>
      </c>
      <c r="AR237" s="297" t="s">
        <v>66</v>
      </c>
      <c r="AS237" s="299">
        <v>38898</v>
      </c>
      <c r="AT237" s="299">
        <v>39318</v>
      </c>
      <c r="AU237" s="297" t="s">
        <v>3206</v>
      </c>
      <c r="AV237" s="297"/>
      <c r="AW237" s="297" t="s">
        <v>92</v>
      </c>
      <c r="AX237" s="297" t="s">
        <v>3207</v>
      </c>
      <c r="AY237" s="299">
        <v>41729</v>
      </c>
      <c r="AZ237" s="297" t="s">
        <v>2398</v>
      </c>
      <c r="BA237" s="299">
        <v>42290</v>
      </c>
      <c r="BB237" s="382">
        <v>42303</v>
      </c>
      <c r="BC237" s="297" t="s">
        <v>95</v>
      </c>
      <c r="BD237" s="297" t="s">
        <v>566</v>
      </c>
      <c r="BE237" s="297"/>
      <c r="BF237" s="301"/>
      <c r="BG237" s="301" t="s">
        <v>3208</v>
      </c>
      <c r="BH237" s="301" t="s">
        <v>3209</v>
      </c>
      <c r="BI237" s="301"/>
      <c r="BJ237" s="312">
        <v>52631818</v>
      </c>
      <c r="BK237" s="312">
        <v>52631818</v>
      </c>
      <c r="BL237" s="313" t="s">
        <v>3210</v>
      </c>
      <c r="BM237" s="299">
        <v>43112</v>
      </c>
      <c r="BN237" s="314">
        <v>43101</v>
      </c>
      <c r="BO237" s="460" t="s">
        <v>3211</v>
      </c>
      <c r="BP237" s="390">
        <v>7040600</v>
      </c>
      <c r="BQ237" s="297" t="s">
        <v>7473</v>
      </c>
      <c r="BR237" s="303"/>
      <c r="BS237" s="301"/>
      <c r="BT237" s="301"/>
      <c r="BU237" s="301"/>
      <c r="BV237" s="301"/>
      <c r="BW237" s="316"/>
      <c r="BX237" s="304"/>
      <c r="BY237" s="299"/>
      <c r="BZ237" s="317"/>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c r="IY237" s="1"/>
      <c r="IZ237" s="1"/>
      <c r="JA237" s="1"/>
      <c r="JB237" s="1"/>
      <c r="JC237" s="1"/>
      <c r="JD237" s="1"/>
      <c r="JE237" s="1"/>
      <c r="JF237" s="1"/>
      <c r="JG237" s="1"/>
      <c r="JH237" s="1"/>
      <c r="JI237" s="1"/>
      <c r="JJ237" s="1"/>
      <c r="JK237" s="1"/>
      <c r="JL237" s="1"/>
      <c r="JM237" s="1"/>
      <c r="JN237" s="1"/>
      <c r="JO237" s="1"/>
      <c r="JP237" s="1"/>
      <c r="JQ237" s="1"/>
      <c r="JR237" s="1"/>
      <c r="JS237" s="1"/>
      <c r="JT237" s="1"/>
      <c r="JU237" s="1"/>
      <c r="JV237" s="1"/>
      <c r="JW237" s="1"/>
      <c r="JX237" s="1"/>
      <c r="JY237" s="1"/>
      <c r="JZ237" s="1"/>
      <c r="KA237" s="1"/>
      <c r="KB237" s="1"/>
      <c r="KC237" s="1"/>
      <c r="KD237" s="1"/>
      <c r="KE237" s="1"/>
      <c r="KF237" s="1"/>
      <c r="KG237" s="1"/>
      <c r="KH237" s="1"/>
      <c r="KI237" s="1"/>
      <c r="KJ237" s="1"/>
      <c r="KK237" s="1"/>
      <c r="KL237" s="1"/>
      <c r="KM237" s="1"/>
      <c r="KN237" s="1"/>
      <c r="KO237" s="1"/>
      <c r="KP237" s="1"/>
      <c r="KQ237" s="1"/>
      <c r="KR237" s="1"/>
      <c r="KS237" s="1"/>
      <c r="KT237" s="1"/>
      <c r="KU237" s="1"/>
      <c r="KV237" s="1"/>
      <c r="KW237" s="1"/>
      <c r="KX237" s="1"/>
      <c r="KY237" s="1"/>
      <c r="KZ237" s="1"/>
      <c r="LA237" s="1"/>
      <c r="LB237" s="1"/>
      <c r="LC237" s="1"/>
      <c r="LD237" s="1"/>
      <c r="LE237" s="1"/>
      <c r="LF237" s="1"/>
      <c r="LG237" s="1"/>
      <c r="LH237" s="1"/>
      <c r="LI237" s="1"/>
      <c r="LJ237" s="1"/>
      <c r="LK237" s="1"/>
      <c r="LL237" s="1"/>
      <c r="LM237" s="1"/>
      <c r="LN237" s="1"/>
      <c r="LO237" s="1"/>
      <c r="LP237" s="1"/>
      <c r="LQ237" s="1"/>
      <c r="LR237" s="1"/>
      <c r="LS237" s="1"/>
      <c r="LT237" s="1"/>
      <c r="LU237" s="1"/>
      <c r="LV237" s="1"/>
      <c r="LW237" s="1"/>
      <c r="LX237" s="1"/>
      <c r="LY237" s="1"/>
      <c r="LZ237" s="1"/>
      <c r="MA237" s="1"/>
      <c r="MB237" s="1"/>
      <c r="MC237" s="1"/>
      <c r="MD237" s="1"/>
      <c r="ME237" s="1"/>
      <c r="MF237" s="1"/>
      <c r="MG237" s="1"/>
      <c r="MH237" s="1"/>
      <c r="MI237" s="1"/>
      <c r="MJ237" s="1"/>
      <c r="MK237" s="1"/>
      <c r="ML237" s="1"/>
      <c r="MM237" s="1"/>
      <c r="MN237" s="1"/>
      <c r="MO237" s="1"/>
      <c r="MP237" s="1"/>
      <c r="MQ237" s="1"/>
      <c r="MR237" s="1"/>
      <c r="MS237" s="1"/>
      <c r="MT237" s="1"/>
      <c r="MU237" s="1"/>
      <c r="MV237" s="1"/>
      <c r="MW237" s="1"/>
      <c r="MX237" s="1"/>
      <c r="MY237" s="1"/>
      <c r="MZ237" s="1"/>
      <c r="NA237" s="1"/>
      <c r="NB237" s="1"/>
      <c r="NC237" s="1"/>
      <c r="ND237" s="1"/>
      <c r="NE237" s="1"/>
      <c r="NF237" s="1"/>
      <c r="NG237" s="1"/>
      <c r="NH237" s="1"/>
      <c r="NI237" s="1"/>
      <c r="NJ237" s="1"/>
      <c r="NK237" s="1"/>
      <c r="NL237" s="1"/>
      <c r="NM237" s="1"/>
      <c r="NN237" s="1"/>
      <c r="NO237" s="1"/>
      <c r="NP237" s="1"/>
      <c r="NQ237" s="1"/>
      <c r="NR237" s="1"/>
      <c r="NS237" s="1"/>
      <c r="NT237" s="1"/>
      <c r="NU237" s="1"/>
      <c r="NV237" s="1"/>
      <c r="NW237" s="1"/>
      <c r="NX237" s="1"/>
      <c r="NY237" s="1"/>
      <c r="NZ237" s="1"/>
      <c r="OA237" s="1"/>
      <c r="OB237" s="1"/>
      <c r="OC237" s="1"/>
      <c r="OD237" s="1"/>
      <c r="OE237" s="1"/>
      <c r="OF237" s="1"/>
      <c r="OG237" s="1"/>
      <c r="OH237" s="1"/>
      <c r="OI237" s="1"/>
      <c r="OJ237" s="1"/>
      <c r="OK237" s="1"/>
      <c r="OL237" s="1"/>
      <c r="OM237" s="1"/>
      <c r="ON237" s="1"/>
      <c r="OO237" s="1"/>
      <c r="OP237" s="1"/>
      <c r="OQ237" s="1"/>
      <c r="OR237" s="1"/>
      <c r="OS237" s="1"/>
      <c r="OT237" s="1"/>
      <c r="OU237" s="1"/>
      <c r="OV237" s="1"/>
      <c r="OW237" s="1"/>
      <c r="OX237" s="1"/>
      <c r="OY237" s="1"/>
      <c r="OZ237" s="1"/>
      <c r="PA237" s="1"/>
      <c r="PB237" s="1"/>
      <c r="PC237" s="1"/>
      <c r="PD237" s="1"/>
      <c r="PE237" s="1"/>
      <c r="PF237" s="1"/>
      <c r="PG237" s="1"/>
      <c r="PH237" s="1"/>
      <c r="PI237" s="1"/>
      <c r="PJ237" s="1"/>
      <c r="PK237" s="1"/>
      <c r="PL237" s="1"/>
      <c r="PM237" s="1"/>
      <c r="PN237" s="1"/>
      <c r="PO237" s="1"/>
      <c r="PP237" s="1"/>
      <c r="PQ237" s="1"/>
      <c r="PR237" s="1"/>
      <c r="PS237" s="1"/>
      <c r="PT237" s="1"/>
      <c r="PU237" s="1"/>
      <c r="PV237" s="1"/>
      <c r="PW237" s="1"/>
      <c r="PX237" s="1"/>
      <c r="PY237" s="1"/>
      <c r="PZ237" s="1"/>
      <c r="QA237" s="1"/>
      <c r="QB237" s="1"/>
      <c r="QC237" s="1"/>
      <c r="QD237" s="1"/>
      <c r="QE237" s="1"/>
      <c r="QF237" s="1"/>
      <c r="QG237" s="1"/>
      <c r="QH237" s="1"/>
      <c r="QI237" s="1"/>
      <c r="QJ237" s="1"/>
      <c r="QK237" s="1"/>
      <c r="QL237" s="1"/>
      <c r="QM237" s="1"/>
      <c r="QN237" s="1"/>
      <c r="QO237" s="1"/>
      <c r="QP237" s="1"/>
      <c r="QQ237" s="1"/>
      <c r="QR237" s="1"/>
      <c r="QS237" s="1"/>
      <c r="QT237" s="1"/>
      <c r="QU237" s="1"/>
      <c r="QV237" s="1"/>
      <c r="QW237" s="1"/>
      <c r="QX237" s="1"/>
      <c r="QY237" s="1"/>
      <c r="QZ237" s="1"/>
      <c r="RA237" s="1"/>
      <c r="RB237" s="1"/>
      <c r="RC237" s="1"/>
      <c r="RD237" s="1"/>
      <c r="RE237" s="1"/>
      <c r="RF237" s="1"/>
      <c r="RG237" s="1"/>
      <c r="RH237" s="1"/>
      <c r="RI237" s="1"/>
      <c r="RJ237" s="1"/>
      <c r="RK237" s="1"/>
      <c r="RL237" s="1"/>
      <c r="RM237" s="1"/>
      <c r="RN237" s="1"/>
      <c r="RO237" s="1"/>
      <c r="RP237" s="1"/>
      <c r="RQ237" s="1"/>
      <c r="RR237" s="1"/>
      <c r="RS237" s="1"/>
      <c r="RT237" s="1"/>
      <c r="RU237" s="1"/>
      <c r="RV237" s="1"/>
      <c r="RW237" s="1"/>
      <c r="RX237" s="1"/>
      <c r="RY237" s="1"/>
      <c r="RZ237" s="1"/>
      <c r="SA237" s="1"/>
      <c r="SB237" s="1"/>
      <c r="SC237" s="1"/>
      <c r="SD237" s="1"/>
      <c r="SE237" s="1"/>
      <c r="SF237" s="1"/>
      <c r="SG237" s="1"/>
      <c r="SH237" s="1"/>
      <c r="SI237" s="1"/>
      <c r="SJ237" s="1"/>
      <c r="SK237" s="1"/>
      <c r="SL237" s="1"/>
      <c r="SM237" s="1"/>
      <c r="SN237" s="1"/>
      <c r="SO237" s="1"/>
      <c r="SP237" s="1"/>
      <c r="SQ237" s="1"/>
      <c r="SR237" s="1"/>
      <c r="SS237" s="1"/>
      <c r="ST237" s="1"/>
      <c r="SU237" s="1"/>
      <c r="SV237" s="1"/>
      <c r="SW237" s="1"/>
      <c r="SX237" s="1"/>
      <c r="SY237" s="1"/>
      <c r="SZ237" s="1"/>
      <c r="TA237" s="1"/>
      <c r="TB237" s="1"/>
      <c r="TC237" s="1"/>
      <c r="TD237" s="1"/>
      <c r="TE237" s="1"/>
      <c r="TF237" s="1"/>
      <c r="TG237" s="1"/>
      <c r="TH237" s="1"/>
      <c r="TI237" s="1"/>
      <c r="TJ237" s="1"/>
      <c r="TK237" s="1"/>
      <c r="TL237" s="1"/>
      <c r="TM237" s="1"/>
      <c r="TN237" s="1"/>
      <c r="TO237" s="1"/>
      <c r="TP237" s="1"/>
      <c r="TQ237" s="1"/>
      <c r="TR237" s="1"/>
      <c r="TS237" s="1"/>
      <c r="TT237" s="1"/>
      <c r="TU237" s="1"/>
      <c r="TV237" s="1"/>
      <c r="TW237" s="1"/>
      <c r="TX237" s="1"/>
      <c r="TY237" s="1"/>
      <c r="TZ237" s="1"/>
      <c r="UA237" s="1"/>
      <c r="UB237" s="1"/>
      <c r="UC237" s="1"/>
      <c r="UD237" s="1"/>
      <c r="UE237" s="1"/>
      <c r="UF237" s="1"/>
      <c r="UG237" s="1"/>
      <c r="UH237" s="1"/>
      <c r="UI237" s="1"/>
    </row>
    <row r="238" spans="1:555" s="509" customFormat="1" ht="60" customHeight="1">
      <c r="A238" s="296">
        <v>277</v>
      </c>
      <c r="B238" s="297" t="s">
        <v>3212</v>
      </c>
      <c r="C238" s="338">
        <v>16864604</v>
      </c>
      <c r="D238" s="354" t="s">
        <v>1153</v>
      </c>
      <c r="E238" s="299">
        <v>42515</v>
      </c>
      <c r="F238" s="300">
        <v>42491</v>
      </c>
      <c r="G238" s="301" t="s">
        <v>3213</v>
      </c>
      <c r="H238" s="297" t="s">
        <v>5</v>
      </c>
      <c r="I238" s="297" t="s">
        <v>101</v>
      </c>
      <c r="J238" s="299">
        <v>42990</v>
      </c>
      <c r="K238" s="300">
        <v>42979</v>
      </c>
      <c r="L238" s="301" t="s">
        <v>3214</v>
      </c>
      <c r="M238" s="297" t="s">
        <v>5</v>
      </c>
      <c r="N238" s="297" t="s">
        <v>3215</v>
      </c>
      <c r="O238" s="299"/>
      <c r="P238" s="302"/>
      <c r="Q238" s="301"/>
      <c r="R238" s="297"/>
      <c r="S238" s="297"/>
      <c r="T238" s="299"/>
      <c r="U238" s="300"/>
      <c r="V238" s="301"/>
      <c r="W238" s="297"/>
      <c r="X238" s="297"/>
      <c r="Y238" s="299"/>
      <c r="Z238" s="300"/>
      <c r="AA238" s="301"/>
      <c r="AB238" s="297"/>
      <c r="AC238" s="297"/>
      <c r="AD238" s="299"/>
      <c r="AE238" s="300"/>
      <c r="AF238" s="301"/>
      <c r="AG238" s="297"/>
      <c r="AH238" s="297"/>
      <c r="AI238" s="304"/>
      <c r="AJ238" s="300"/>
      <c r="AK238" s="301"/>
      <c r="AL238" s="297"/>
      <c r="AM238" s="297"/>
      <c r="AN238" s="325" t="s">
        <v>3216</v>
      </c>
      <c r="AO238" s="475"/>
      <c r="AP238" s="325"/>
      <c r="AQ238" s="301" t="s">
        <v>3217</v>
      </c>
      <c r="AR238" s="297" t="s">
        <v>66</v>
      </c>
      <c r="AS238" s="299">
        <v>39833</v>
      </c>
      <c r="AT238" s="299">
        <v>40724</v>
      </c>
      <c r="AU238" s="297" t="s">
        <v>3218</v>
      </c>
      <c r="AV238" s="297"/>
      <c r="AW238" s="297" t="s">
        <v>92</v>
      </c>
      <c r="AX238" s="297" t="s">
        <v>3219</v>
      </c>
      <c r="AY238" s="299">
        <v>42236</v>
      </c>
      <c r="AZ238" s="297" t="s">
        <v>67</v>
      </c>
      <c r="BA238" s="299" t="s">
        <v>67</v>
      </c>
      <c r="BB238" s="382">
        <v>42285</v>
      </c>
      <c r="BC238" s="297" t="s">
        <v>95</v>
      </c>
      <c r="BD238" s="297" t="s">
        <v>566</v>
      </c>
      <c r="BE238" s="297"/>
      <c r="BF238" s="301" t="s">
        <v>3220</v>
      </c>
      <c r="BG238" s="301" t="s">
        <v>3221</v>
      </c>
      <c r="BH238" s="301" t="s">
        <v>3222</v>
      </c>
      <c r="BI238" s="301"/>
      <c r="BJ238" s="312">
        <v>74270523</v>
      </c>
      <c r="BK238" s="312">
        <v>74270523</v>
      </c>
      <c r="BL238" s="313" t="s">
        <v>3223</v>
      </c>
      <c r="BM238" s="299">
        <v>43112</v>
      </c>
      <c r="BN238" s="314">
        <v>43101</v>
      </c>
      <c r="BO238" s="460" t="s">
        <v>3224</v>
      </c>
      <c r="BP238" s="390"/>
      <c r="BQ238" s="297"/>
      <c r="BR238" s="303"/>
      <c r="BS238" s="301"/>
      <c r="BT238" s="301"/>
      <c r="BU238" s="301"/>
      <c r="BV238" s="301"/>
      <c r="BW238" s="316"/>
      <c r="BX238" s="304"/>
      <c r="BY238" s="299"/>
      <c r="BZ238" s="317"/>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c r="IY238" s="1"/>
      <c r="IZ238" s="1"/>
      <c r="JA238" s="1"/>
      <c r="JB238" s="1"/>
      <c r="JC238" s="1"/>
      <c r="JD238" s="1"/>
      <c r="JE238" s="1"/>
      <c r="JF238" s="1"/>
      <c r="JG238" s="1"/>
      <c r="JH238" s="1"/>
      <c r="JI238" s="1"/>
      <c r="JJ238" s="1"/>
      <c r="JK238" s="1"/>
      <c r="JL238" s="1"/>
      <c r="JM238" s="1"/>
      <c r="JN238" s="1"/>
      <c r="JO238" s="1"/>
      <c r="JP238" s="1"/>
      <c r="JQ238" s="1"/>
      <c r="JR238" s="1"/>
      <c r="JS238" s="1"/>
      <c r="JT238" s="1"/>
      <c r="JU238" s="1"/>
      <c r="JV238" s="1"/>
      <c r="JW238" s="1"/>
      <c r="JX238" s="1"/>
      <c r="JY238" s="1"/>
      <c r="JZ238" s="1"/>
      <c r="KA238" s="1"/>
      <c r="KB238" s="1"/>
      <c r="KC238" s="1"/>
      <c r="KD238" s="1"/>
      <c r="KE238" s="1"/>
      <c r="KF238" s="1"/>
      <c r="KG238" s="1"/>
      <c r="KH238" s="1"/>
      <c r="KI238" s="1"/>
      <c r="KJ238" s="1"/>
      <c r="KK238" s="1"/>
      <c r="KL238" s="1"/>
      <c r="KM238" s="1"/>
      <c r="KN238" s="1"/>
      <c r="KO238" s="1"/>
      <c r="KP238" s="1"/>
      <c r="KQ238" s="1"/>
      <c r="KR238" s="1"/>
      <c r="KS238" s="1"/>
      <c r="KT238" s="1"/>
      <c r="KU238" s="1"/>
      <c r="KV238" s="1"/>
      <c r="KW238" s="1"/>
      <c r="KX238" s="1"/>
      <c r="KY238" s="1"/>
      <c r="KZ238" s="1"/>
      <c r="LA238" s="1"/>
      <c r="LB238" s="1"/>
      <c r="LC238" s="1"/>
      <c r="LD238" s="1"/>
      <c r="LE238" s="1"/>
      <c r="LF238" s="1"/>
      <c r="LG238" s="1"/>
      <c r="LH238" s="1"/>
      <c r="LI238" s="1"/>
      <c r="LJ238" s="1"/>
      <c r="LK238" s="1"/>
      <c r="LL238" s="1"/>
      <c r="LM238" s="1"/>
      <c r="LN238" s="1"/>
      <c r="LO238" s="1"/>
      <c r="LP238" s="1"/>
      <c r="LQ238" s="1"/>
      <c r="LR238" s="1"/>
      <c r="LS238" s="1"/>
      <c r="LT238" s="1"/>
      <c r="LU238" s="1"/>
      <c r="LV238" s="1"/>
      <c r="LW238" s="1"/>
      <c r="LX238" s="1"/>
      <c r="LY238" s="1"/>
      <c r="LZ238" s="1"/>
      <c r="MA238" s="1"/>
      <c r="MB238" s="1"/>
      <c r="MC238" s="1"/>
      <c r="MD238" s="1"/>
      <c r="ME238" s="1"/>
      <c r="MF238" s="1"/>
      <c r="MG238" s="1"/>
      <c r="MH238" s="1"/>
      <c r="MI238" s="1"/>
      <c r="MJ238" s="1"/>
      <c r="MK238" s="1"/>
      <c r="ML238" s="1"/>
      <c r="MM238" s="1"/>
      <c r="MN238" s="1"/>
      <c r="MO238" s="1"/>
      <c r="MP238" s="1"/>
      <c r="MQ238" s="1"/>
      <c r="MR238" s="1"/>
      <c r="MS238" s="1"/>
      <c r="MT238" s="1"/>
      <c r="MU238" s="1"/>
      <c r="MV238" s="1"/>
      <c r="MW238" s="1"/>
      <c r="MX238" s="1"/>
      <c r="MY238" s="1"/>
      <c r="MZ238" s="1"/>
      <c r="NA238" s="1"/>
      <c r="NB238" s="1"/>
      <c r="NC238" s="1"/>
      <c r="ND238" s="1"/>
      <c r="NE238" s="1"/>
      <c r="NF238" s="1"/>
      <c r="NG238" s="1"/>
      <c r="NH238" s="1"/>
      <c r="NI238" s="1"/>
      <c r="NJ238" s="1"/>
      <c r="NK238" s="1"/>
      <c r="NL238" s="1"/>
      <c r="NM238" s="1"/>
      <c r="NN238" s="1"/>
      <c r="NO238" s="1"/>
      <c r="NP238" s="1"/>
      <c r="NQ238" s="1"/>
      <c r="NR238" s="1"/>
      <c r="NS238" s="1"/>
      <c r="NT238" s="1"/>
      <c r="NU238" s="1"/>
      <c r="NV238" s="1"/>
      <c r="NW238" s="1"/>
      <c r="NX238" s="1"/>
      <c r="NY238" s="1"/>
      <c r="NZ238" s="1"/>
      <c r="OA238" s="1"/>
      <c r="OB238" s="1"/>
      <c r="OC238" s="1"/>
      <c r="OD238" s="1"/>
      <c r="OE238" s="1"/>
      <c r="OF238" s="1"/>
      <c r="OG238" s="1"/>
      <c r="OH238" s="1"/>
      <c r="OI238" s="1"/>
      <c r="OJ238" s="1"/>
      <c r="OK238" s="1"/>
      <c r="OL238" s="1"/>
      <c r="OM238" s="1"/>
      <c r="ON238" s="1"/>
      <c r="OO238" s="1"/>
      <c r="OP238" s="1"/>
      <c r="OQ238" s="1"/>
      <c r="OR238" s="1"/>
      <c r="OS238" s="1"/>
      <c r="OT238" s="1"/>
      <c r="OU238" s="1"/>
      <c r="OV238" s="1"/>
      <c r="OW238" s="1"/>
      <c r="OX238" s="1"/>
      <c r="OY238" s="1"/>
      <c r="OZ238" s="1"/>
      <c r="PA238" s="1"/>
      <c r="PB238" s="1"/>
      <c r="PC238" s="1"/>
      <c r="PD238" s="1"/>
      <c r="PE238" s="1"/>
      <c r="PF238" s="1"/>
      <c r="PG238" s="1"/>
      <c r="PH238" s="1"/>
      <c r="PI238" s="1"/>
      <c r="PJ238" s="1"/>
      <c r="PK238" s="1"/>
      <c r="PL238" s="1"/>
      <c r="PM238" s="1"/>
      <c r="PN238" s="1"/>
      <c r="PO238" s="1"/>
      <c r="PP238" s="1"/>
      <c r="PQ238" s="1"/>
      <c r="PR238" s="1"/>
      <c r="PS238" s="1"/>
      <c r="PT238" s="1"/>
      <c r="PU238" s="1"/>
      <c r="PV238" s="1"/>
      <c r="PW238" s="1"/>
      <c r="PX238" s="1"/>
      <c r="PY238" s="1"/>
      <c r="PZ238" s="1"/>
      <c r="QA238" s="1"/>
      <c r="QB238" s="1"/>
      <c r="QC238" s="1"/>
      <c r="QD238" s="1"/>
      <c r="QE238" s="1"/>
      <c r="QF238" s="1"/>
      <c r="QG238" s="1"/>
      <c r="QH238" s="1"/>
      <c r="QI238" s="1"/>
      <c r="QJ238" s="1"/>
      <c r="QK238" s="1"/>
      <c r="QL238" s="1"/>
      <c r="QM238" s="1"/>
      <c r="QN238" s="1"/>
      <c r="QO238" s="1"/>
      <c r="QP238" s="1"/>
      <c r="QQ238" s="1"/>
      <c r="QR238" s="1"/>
      <c r="QS238" s="1"/>
      <c r="QT238" s="1"/>
      <c r="QU238" s="1"/>
      <c r="QV238" s="1"/>
      <c r="QW238" s="1"/>
      <c r="QX238" s="1"/>
      <c r="QY238" s="1"/>
      <c r="QZ238" s="1"/>
      <c r="RA238" s="1"/>
      <c r="RB238" s="1"/>
      <c r="RC238" s="1"/>
      <c r="RD238" s="1"/>
      <c r="RE238" s="1"/>
      <c r="RF238" s="1"/>
      <c r="RG238" s="1"/>
      <c r="RH238" s="1"/>
      <c r="RI238" s="1"/>
      <c r="RJ238" s="1"/>
      <c r="RK238" s="1"/>
      <c r="RL238" s="1"/>
      <c r="RM238" s="1"/>
      <c r="RN238" s="1"/>
      <c r="RO238" s="1"/>
      <c r="RP238" s="1"/>
      <c r="RQ238" s="1"/>
      <c r="RR238" s="1"/>
      <c r="RS238" s="1"/>
      <c r="RT238" s="1"/>
      <c r="RU238" s="1"/>
      <c r="RV238" s="1"/>
      <c r="RW238" s="1"/>
      <c r="RX238" s="1"/>
      <c r="RY238" s="1"/>
      <c r="RZ238" s="1"/>
      <c r="SA238" s="1"/>
      <c r="SB238" s="1"/>
      <c r="SC238" s="1"/>
      <c r="SD238" s="1"/>
      <c r="SE238" s="1"/>
      <c r="SF238" s="1"/>
      <c r="SG238" s="1"/>
      <c r="SH238" s="1"/>
      <c r="SI238" s="1"/>
      <c r="SJ238" s="1"/>
      <c r="SK238" s="1"/>
      <c r="SL238" s="1"/>
      <c r="SM238" s="1"/>
      <c r="SN238" s="1"/>
      <c r="SO238" s="1"/>
      <c r="SP238" s="1"/>
      <c r="SQ238" s="1"/>
      <c r="SR238" s="1"/>
      <c r="SS238" s="1"/>
      <c r="ST238" s="1"/>
      <c r="SU238" s="1"/>
      <c r="SV238" s="1"/>
      <c r="SW238" s="1"/>
      <c r="SX238" s="1"/>
      <c r="SY238" s="1"/>
      <c r="SZ238" s="1"/>
      <c r="TA238" s="1"/>
      <c r="TB238" s="1"/>
      <c r="TC238" s="1"/>
      <c r="TD238" s="1"/>
      <c r="TE238" s="1"/>
      <c r="TF238" s="1"/>
      <c r="TG238" s="1"/>
      <c r="TH238" s="1"/>
      <c r="TI238" s="1"/>
      <c r="TJ238" s="1"/>
      <c r="TK238" s="1"/>
      <c r="TL238" s="1"/>
      <c r="TM238" s="1"/>
      <c r="TN238" s="1"/>
      <c r="TO238" s="1"/>
      <c r="TP238" s="1"/>
      <c r="TQ238" s="1"/>
      <c r="TR238" s="1"/>
      <c r="TS238" s="1"/>
      <c r="TT238" s="1"/>
      <c r="TU238" s="1"/>
      <c r="TV238" s="1"/>
      <c r="TW238" s="1"/>
      <c r="TX238" s="1"/>
      <c r="TY238" s="1"/>
      <c r="TZ238" s="1"/>
      <c r="UA238" s="1"/>
      <c r="UB238" s="1"/>
      <c r="UC238" s="1"/>
      <c r="UD238" s="1"/>
      <c r="UE238" s="1"/>
      <c r="UF238" s="1"/>
      <c r="UG238" s="1"/>
      <c r="UH238" s="1"/>
      <c r="UI238" s="1"/>
    </row>
    <row r="239" spans="1:555" s="509" customFormat="1" ht="135">
      <c r="A239" s="296">
        <v>280</v>
      </c>
      <c r="B239" s="297" t="s">
        <v>3251</v>
      </c>
      <c r="C239" s="329">
        <v>8777728</v>
      </c>
      <c r="D239" s="354" t="s">
        <v>3252</v>
      </c>
      <c r="E239" s="299">
        <v>42529</v>
      </c>
      <c r="F239" s="300">
        <v>42522</v>
      </c>
      <c r="G239" s="301" t="s">
        <v>3253</v>
      </c>
      <c r="H239" s="297" t="s">
        <v>5</v>
      </c>
      <c r="I239" s="297" t="s">
        <v>101</v>
      </c>
      <c r="J239" s="299">
        <v>43069</v>
      </c>
      <c r="K239" s="300">
        <v>43040</v>
      </c>
      <c r="L239" s="301" t="s">
        <v>3254</v>
      </c>
      <c r="M239" s="297" t="s">
        <v>5</v>
      </c>
      <c r="N239" s="297" t="s">
        <v>169</v>
      </c>
      <c r="O239" s="305">
        <v>43551</v>
      </c>
      <c r="P239" s="300">
        <v>43551</v>
      </c>
      <c r="Q239" s="315" t="s">
        <v>8412</v>
      </c>
      <c r="R239" s="315" t="s">
        <v>5</v>
      </c>
      <c r="S239" s="315" t="s">
        <v>85</v>
      </c>
      <c r="T239" s="299">
        <v>43809</v>
      </c>
      <c r="U239" s="300">
        <v>43809</v>
      </c>
      <c r="V239" s="301" t="s">
        <v>9305</v>
      </c>
      <c r="W239" s="297" t="s">
        <v>5</v>
      </c>
      <c r="X239" s="297" t="s">
        <v>8243</v>
      </c>
      <c r="Y239" s="299"/>
      <c r="Z239" s="300"/>
      <c r="AA239" s="301"/>
      <c r="AB239" s="297"/>
      <c r="AC239" s="297"/>
      <c r="AD239" s="299"/>
      <c r="AE239" s="300"/>
      <c r="AF239" s="301"/>
      <c r="AG239" s="297"/>
      <c r="AH239" s="297"/>
      <c r="AI239" s="304"/>
      <c r="AJ239" s="300"/>
      <c r="AK239" s="301"/>
      <c r="AL239" s="297"/>
      <c r="AM239" s="297"/>
      <c r="AN239" s="297" t="s">
        <v>3255</v>
      </c>
      <c r="AO239" s="554"/>
      <c r="AP239" s="297"/>
      <c r="AQ239" s="301" t="s">
        <v>3256</v>
      </c>
      <c r="AR239" s="297" t="s">
        <v>161</v>
      </c>
      <c r="AS239" s="299">
        <v>39448</v>
      </c>
      <c r="AT239" s="299">
        <v>40862</v>
      </c>
      <c r="AU239" s="297" t="s">
        <v>3257</v>
      </c>
      <c r="AV239" s="297"/>
      <c r="AW239" s="297" t="s">
        <v>92</v>
      </c>
      <c r="AX239" s="297" t="s">
        <v>3258</v>
      </c>
      <c r="AY239" s="299">
        <v>41478</v>
      </c>
      <c r="AZ239" s="297" t="s">
        <v>3259</v>
      </c>
      <c r="BA239" s="299">
        <v>42209</v>
      </c>
      <c r="BB239" s="382">
        <v>42262</v>
      </c>
      <c r="BC239" s="297" t="s">
        <v>95</v>
      </c>
      <c r="BD239" s="297" t="s">
        <v>566</v>
      </c>
      <c r="BE239" s="297"/>
      <c r="BF239" s="301" t="s">
        <v>3260</v>
      </c>
      <c r="BG239" s="301"/>
      <c r="BH239" s="301" t="s">
        <v>9434</v>
      </c>
      <c r="BI239" s="301"/>
      <c r="BJ239" s="312">
        <f>+[68]MATRIZ!$J$51</f>
        <v>160903.8624907335</v>
      </c>
      <c r="BK239" s="312">
        <v>11827812</v>
      </c>
      <c r="BL239" s="313">
        <v>72023220</v>
      </c>
      <c r="BM239" s="299">
        <v>43921</v>
      </c>
      <c r="BN239" s="314">
        <v>43921</v>
      </c>
      <c r="BO239" s="460"/>
      <c r="BP239" s="390" t="s">
        <v>9399</v>
      </c>
      <c r="BQ239" s="297" t="s">
        <v>9400</v>
      </c>
      <c r="BR239" s="303"/>
      <c r="BS239" s="301"/>
      <c r="BT239" s="301"/>
      <c r="BU239" s="301"/>
      <c r="BV239" s="301"/>
      <c r="BW239" s="316"/>
      <c r="BX239" s="304"/>
      <c r="BY239" s="299"/>
      <c r="BZ239" s="317"/>
    </row>
    <row r="240" spans="1:555" s="259" customFormat="1" ht="53.25" customHeight="1">
      <c r="A240" s="296">
        <v>281</v>
      </c>
      <c r="B240" s="297" t="s">
        <v>3261</v>
      </c>
      <c r="C240" s="329">
        <v>72201647</v>
      </c>
      <c r="D240" s="354" t="s">
        <v>3252</v>
      </c>
      <c r="E240" s="299">
        <v>42529</v>
      </c>
      <c r="F240" s="300">
        <v>42522</v>
      </c>
      <c r="G240" s="301" t="s">
        <v>3262</v>
      </c>
      <c r="H240" s="297" t="s">
        <v>5</v>
      </c>
      <c r="I240" s="297" t="s">
        <v>101</v>
      </c>
      <c r="J240" s="305">
        <v>43551</v>
      </c>
      <c r="K240" s="300">
        <v>43551</v>
      </c>
      <c r="L240" s="315" t="s">
        <v>8412</v>
      </c>
      <c r="M240" s="315" t="s">
        <v>5</v>
      </c>
      <c r="N240" s="315" t="s">
        <v>85</v>
      </c>
      <c r="O240" s="299">
        <v>43809</v>
      </c>
      <c r="P240" s="302">
        <v>43809</v>
      </c>
      <c r="Q240" s="301" t="s">
        <v>9305</v>
      </c>
      <c r="R240" s="297" t="s">
        <v>5</v>
      </c>
      <c r="S240" s="297" t="s">
        <v>8243</v>
      </c>
      <c r="T240" s="299">
        <v>43923</v>
      </c>
      <c r="U240" s="300">
        <v>43923</v>
      </c>
      <c r="V240" s="301" t="s">
        <v>9500</v>
      </c>
      <c r="W240" s="297" t="s">
        <v>5</v>
      </c>
      <c r="X240" s="297" t="s">
        <v>8243</v>
      </c>
      <c r="Y240" s="299"/>
      <c r="Z240" s="300"/>
      <c r="AA240" s="301"/>
      <c r="AB240" s="297"/>
      <c r="AC240" s="297"/>
      <c r="AD240" s="299"/>
      <c r="AE240" s="300"/>
      <c r="AF240" s="301"/>
      <c r="AG240" s="297"/>
      <c r="AH240" s="297"/>
      <c r="AI240" s="304"/>
      <c r="AJ240" s="300"/>
      <c r="AK240" s="301"/>
      <c r="AL240" s="297"/>
      <c r="AM240" s="297"/>
      <c r="AN240" s="297" t="s">
        <v>600</v>
      </c>
      <c r="AO240" s="540">
        <v>42977</v>
      </c>
      <c r="AP240" s="297"/>
      <c r="AQ240" s="301" t="s">
        <v>3263</v>
      </c>
      <c r="AR240" s="297" t="s">
        <v>161</v>
      </c>
      <c r="AS240" s="299">
        <v>39814</v>
      </c>
      <c r="AT240" s="299">
        <v>40589</v>
      </c>
      <c r="AU240" s="297" t="s">
        <v>3264</v>
      </c>
      <c r="AV240" s="297"/>
      <c r="AW240" s="297" t="s">
        <v>92</v>
      </c>
      <c r="AX240" s="297" t="s">
        <v>3265</v>
      </c>
      <c r="AY240" s="299">
        <v>41702</v>
      </c>
      <c r="AZ240" s="297" t="s">
        <v>8705</v>
      </c>
      <c r="BA240" s="299">
        <v>42209</v>
      </c>
      <c r="BB240" s="382">
        <v>42227</v>
      </c>
      <c r="BC240" s="297" t="s">
        <v>95</v>
      </c>
      <c r="BD240" s="297" t="s">
        <v>566</v>
      </c>
      <c r="BE240" s="297"/>
      <c r="BF240" s="301" t="s">
        <v>8736</v>
      </c>
      <c r="BG240" s="301"/>
      <c r="BH240" s="301" t="s">
        <v>9433</v>
      </c>
      <c r="BI240" s="301"/>
      <c r="BJ240" s="312">
        <f>+[69]MATRIZ!$J$58</f>
        <v>64586610.319622204</v>
      </c>
      <c r="BK240" s="312">
        <v>72689772</v>
      </c>
      <c r="BL240" s="313">
        <v>84578920</v>
      </c>
      <c r="BM240" s="299">
        <v>43934</v>
      </c>
      <c r="BN240" s="314">
        <v>43934</v>
      </c>
      <c r="BO240" s="460"/>
      <c r="BP240" s="390"/>
      <c r="BQ240" s="297"/>
      <c r="BR240" s="303"/>
      <c r="BS240" s="301"/>
      <c r="BT240" s="301"/>
      <c r="BU240" s="301"/>
      <c r="BV240" s="301"/>
      <c r="BW240" s="316"/>
      <c r="BX240" s="304"/>
      <c r="BY240" s="299"/>
      <c r="BZ240" s="317"/>
      <c r="CA240" s="509"/>
      <c r="CB240" s="509"/>
      <c r="CC240" s="509"/>
      <c r="CD240" s="509"/>
      <c r="CE240" s="509"/>
      <c r="CF240" s="509"/>
      <c r="CG240" s="509"/>
      <c r="CH240" s="509"/>
      <c r="CI240" s="509"/>
      <c r="CJ240" s="509"/>
      <c r="CK240" s="509"/>
      <c r="CL240" s="509"/>
      <c r="CM240" s="509"/>
      <c r="CN240" s="509"/>
      <c r="CO240" s="509"/>
      <c r="CP240" s="509"/>
      <c r="CQ240" s="509"/>
      <c r="CR240" s="509"/>
      <c r="CS240" s="509"/>
      <c r="CT240" s="509"/>
      <c r="CU240" s="509"/>
      <c r="CV240" s="509"/>
      <c r="CW240" s="509"/>
      <c r="CX240" s="509"/>
      <c r="CY240" s="509"/>
      <c r="CZ240" s="509"/>
      <c r="DA240" s="509"/>
      <c r="DB240" s="509"/>
      <c r="DC240" s="509"/>
      <c r="DD240" s="509"/>
      <c r="DE240" s="509"/>
      <c r="DF240" s="509"/>
      <c r="DG240" s="509"/>
      <c r="DH240" s="509"/>
      <c r="DI240" s="509"/>
      <c r="DJ240" s="509"/>
      <c r="DK240" s="509"/>
      <c r="DL240" s="509"/>
      <c r="DM240" s="509"/>
      <c r="DN240" s="509"/>
      <c r="DO240" s="509"/>
      <c r="DP240" s="509"/>
      <c r="DQ240" s="509"/>
      <c r="DR240" s="509"/>
      <c r="DS240" s="509"/>
      <c r="DT240" s="509"/>
      <c r="DU240" s="509"/>
      <c r="DV240" s="509"/>
      <c r="DW240" s="509"/>
      <c r="DX240" s="509"/>
      <c r="DY240" s="509"/>
      <c r="DZ240" s="509"/>
      <c r="EA240" s="509"/>
      <c r="EB240" s="509"/>
      <c r="EC240" s="509"/>
      <c r="ED240" s="509"/>
      <c r="EE240" s="509"/>
      <c r="EF240" s="509"/>
      <c r="EG240" s="509"/>
      <c r="EH240" s="509"/>
      <c r="EI240" s="509"/>
      <c r="EJ240" s="509"/>
      <c r="EK240" s="509"/>
      <c r="EL240" s="509"/>
      <c r="EM240" s="509"/>
      <c r="EN240" s="509"/>
      <c r="EO240" s="509"/>
      <c r="EP240" s="509"/>
      <c r="EQ240" s="509"/>
      <c r="ER240" s="509"/>
      <c r="ES240" s="509"/>
      <c r="ET240" s="509"/>
      <c r="EU240" s="509"/>
      <c r="EV240" s="509"/>
      <c r="EW240" s="509"/>
      <c r="EX240" s="509"/>
      <c r="EY240" s="509"/>
      <c r="EZ240" s="509"/>
      <c r="FA240" s="509"/>
      <c r="FB240" s="509"/>
      <c r="FC240" s="509"/>
      <c r="FD240" s="509"/>
      <c r="FE240" s="509"/>
      <c r="FF240" s="509"/>
      <c r="FG240" s="509"/>
      <c r="FH240" s="509"/>
      <c r="FI240" s="509"/>
      <c r="FJ240" s="509"/>
      <c r="FK240" s="509"/>
      <c r="FL240" s="509"/>
      <c r="FM240" s="509"/>
      <c r="FN240" s="509"/>
      <c r="FO240" s="509"/>
      <c r="FP240" s="509"/>
      <c r="FQ240" s="509"/>
      <c r="FR240" s="509"/>
      <c r="FS240" s="509"/>
      <c r="FT240" s="509"/>
      <c r="FU240" s="509"/>
      <c r="FV240" s="509"/>
      <c r="FW240" s="509"/>
      <c r="FX240" s="509"/>
      <c r="FY240" s="509"/>
      <c r="FZ240" s="509"/>
      <c r="GA240" s="509"/>
      <c r="GB240" s="509"/>
      <c r="GC240" s="509"/>
      <c r="GD240" s="509"/>
      <c r="GE240" s="509"/>
      <c r="GF240" s="509"/>
      <c r="GG240" s="509"/>
      <c r="GH240" s="509"/>
      <c r="GI240" s="509"/>
      <c r="GJ240" s="509"/>
      <c r="GK240" s="509"/>
      <c r="GL240" s="509"/>
      <c r="GM240" s="509"/>
      <c r="GN240" s="509"/>
      <c r="GO240" s="509"/>
      <c r="GP240" s="509"/>
      <c r="GQ240" s="509"/>
      <c r="GR240" s="509"/>
      <c r="GS240" s="509"/>
      <c r="GT240" s="509"/>
      <c r="GU240" s="509"/>
      <c r="GV240" s="509"/>
      <c r="GW240" s="509"/>
      <c r="GX240" s="509"/>
      <c r="GY240" s="509"/>
      <c r="GZ240" s="509"/>
      <c r="HA240" s="509"/>
      <c r="HB240" s="509"/>
      <c r="HC240" s="509"/>
      <c r="HD240" s="509"/>
      <c r="HE240" s="509"/>
      <c r="HF240" s="509"/>
      <c r="HG240" s="509"/>
      <c r="HH240" s="509"/>
      <c r="HI240" s="509"/>
      <c r="HJ240" s="509"/>
      <c r="HK240" s="509"/>
      <c r="HL240" s="509"/>
      <c r="HM240" s="509"/>
      <c r="HN240" s="509"/>
      <c r="HO240" s="509"/>
      <c r="HP240" s="509"/>
      <c r="HQ240" s="509"/>
      <c r="HR240" s="509"/>
      <c r="HS240" s="509"/>
      <c r="HT240" s="509"/>
      <c r="HU240" s="509"/>
      <c r="HV240" s="509"/>
      <c r="HW240" s="509"/>
      <c r="HX240" s="509"/>
      <c r="HY240" s="509"/>
      <c r="HZ240" s="509"/>
      <c r="IA240" s="509"/>
      <c r="IB240" s="509"/>
      <c r="IC240" s="509"/>
      <c r="ID240" s="509"/>
      <c r="IE240" s="509"/>
      <c r="IF240" s="509"/>
      <c r="IG240" s="509"/>
      <c r="IH240" s="509"/>
      <c r="II240" s="509"/>
      <c r="IJ240" s="509"/>
      <c r="IK240" s="509"/>
      <c r="IL240" s="509"/>
      <c r="IM240" s="509"/>
      <c r="IN240" s="509"/>
      <c r="IO240" s="509"/>
      <c r="IP240" s="509"/>
      <c r="IQ240" s="509"/>
      <c r="IR240" s="509"/>
      <c r="IS240" s="509"/>
      <c r="IT240" s="509"/>
      <c r="IU240" s="509"/>
      <c r="IV240" s="509"/>
      <c r="IW240" s="509"/>
      <c r="IX240" s="509"/>
      <c r="IY240" s="509"/>
      <c r="IZ240" s="509"/>
      <c r="JA240" s="509"/>
      <c r="JB240" s="509"/>
      <c r="JC240" s="509"/>
      <c r="JD240" s="509"/>
      <c r="JE240" s="509"/>
      <c r="JF240" s="509"/>
      <c r="JG240" s="509"/>
      <c r="JH240" s="509"/>
      <c r="JI240" s="509"/>
      <c r="JJ240" s="509"/>
      <c r="JK240" s="509"/>
      <c r="JL240" s="509"/>
      <c r="JM240" s="509"/>
      <c r="JN240" s="509"/>
      <c r="JO240" s="509"/>
      <c r="JP240" s="509"/>
      <c r="JQ240" s="509"/>
      <c r="JR240" s="509"/>
      <c r="JS240" s="509"/>
      <c r="JT240" s="509"/>
      <c r="JU240" s="509"/>
      <c r="JV240" s="509"/>
      <c r="JW240" s="509"/>
      <c r="JX240" s="509"/>
      <c r="JY240" s="509"/>
      <c r="JZ240" s="509"/>
      <c r="KA240" s="509"/>
      <c r="KB240" s="509"/>
      <c r="KC240" s="509"/>
      <c r="KD240" s="509"/>
      <c r="KE240" s="509"/>
      <c r="KF240" s="509"/>
      <c r="KG240" s="509"/>
      <c r="KH240" s="509"/>
      <c r="KI240" s="509"/>
      <c r="KJ240" s="509"/>
      <c r="KK240" s="509"/>
      <c r="KL240" s="509"/>
      <c r="KM240" s="509"/>
      <c r="KN240" s="509"/>
      <c r="KO240" s="509"/>
      <c r="KP240" s="509"/>
      <c r="KQ240" s="509"/>
      <c r="KR240" s="509"/>
      <c r="KS240" s="509"/>
      <c r="KT240" s="509"/>
      <c r="KU240" s="509"/>
      <c r="KV240" s="509"/>
      <c r="KW240" s="509"/>
      <c r="KX240" s="509"/>
      <c r="KY240" s="509"/>
      <c r="KZ240" s="509"/>
      <c r="LA240" s="509"/>
      <c r="LB240" s="509"/>
      <c r="LC240" s="509"/>
      <c r="LD240" s="509"/>
      <c r="LE240" s="509"/>
      <c r="LF240" s="509"/>
      <c r="LG240" s="509"/>
      <c r="LH240" s="509"/>
      <c r="LI240" s="509"/>
      <c r="LJ240" s="509"/>
      <c r="LK240" s="509"/>
      <c r="LL240" s="509"/>
      <c r="LM240" s="509"/>
      <c r="LN240" s="509"/>
      <c r="LO240" s="509"/>
      <c r="LP240" s="509"/>
      <c r="LQ240" s="509"/>
      <c r="LR240" s="509"/>
      <c r="LS240" s="509"/>
      <c r="LT240" s="509"/>
      <c r="LU240" s="509"/>
      <c r="LV240" s="509"/>
      <c r="LW240" s="509"/>
      <c r="LX240" s="509"/>
      <c r="LY240" s="509"/>
      <c r="LZ240" s="509"/>
      <c r="MA240" s="509"/>
      <c r="MB240" s="509"/>
      <c r="MC240" s="509"/>
      <c r="MD240" s="509"/>
      <c r="ME240" s="509"/>
      <c r="MF240" s="509"/>
      <c r="MG240" s="509"/>
      <c r="MH240" s="509"/>
      <c r="MI240" s="509"/>
      <c r="MJ240" s="509"/>
      <c r="MK240" s="509"/>
      <c r="ML240" s="509"/>
      <c r="MM240" s="509"/>
      <c r="MN240" s="509"/>
      <c r="MO240" s="509"/>
      <c r="MP240" s="509"/>
      <c r="MQ240" s="509"/>
      <c r="MR240" s="509"/>
      <c r="MS240" s="509"/>
      <c r="MT240" s="509"/>
      <c r="MU240" s="509"/>
      <c r="MV240" s="509"/>
      <c r="MW240" s="509"/>
      <c r="MX240" s="509"/>
      <c r="MY240" s="509"/>
      <c r="MZ240" s="509"/>
      <c r="NA240" s="509"/>
      <c r="NB240" s="509"/>
      <c r="NC240" s="509"/>
      <c r="ND240" s="509"/>
      <c r="NE240" s="509"/>
      <c r="NF240" s="509"/>
      <c r="NG240" s="509"/>
      <c r="NH240" s="509"/>
      <c r="NI240" s="509"/>
      <c r="NJ240" s="509"/>
      <c r="NK240" s="509"/>
      <c r="NL240" s="509"/>
      <c r="NM240" s="509"/>
      <c r="NN240" s="509"/>
      <c r="NO240" s="509"/>
      <c r="NP240" s="509"/>
      <c r="NQ240" s="509"/>
      <c r="NR240" s="509"/>
      <c r="NS240" s="509"/>
      <c r="NT240" s="509"/>
      <c r="NU240" s="509"/>
      <c r="NV240" s="509"/>
      <c r="NW240" s="509"/>
      <c r="NX240" s="509"/>
      <c r="NY240" s="509"/>
      <c r="NZ240" s="509"/>
      <c r="OA240" s="509"/>
      <c r="OB240" s="509"/>
      <c r="OC240" s="509"/>
      <c r="OD240" s="509"/>
      <c r="OE240" s="509"/>
      <c r="OF240" s="509"/>
      <c r="OG240" s="509"/>
      <c r="OH240" s="509"/>
      <c r="OI240" s="509"/>
      <c r="OJ240" s="509"/>
      <c r="OK240" s="509"/>
      <c r="OL240" s="509"/>
      <c r="OM240" s="509"/>
      <c r="ON240" s="509"/>
      <c r="OO240" s="509"/>
      <c r="OP240" s="509"/>
      <c r="OQ240" s="509"/>
      <c r="OR240" s="509"/>
      <c r="OS240" s="509"/>
      <c r="OT240" s="509"/>
      <c r="OU240" s="509"/>
      <c r="OV240" s="509"/>
      <c r="OW240" s="509"/>
      <c r="OX240" s="509"/>
      <c r="OY240" s="509"/>
      <c r="OZ240" s="509"/>
      <c r="PA240" s="509"/>
      <c r="PB240" s="509"/>
      <c r="PC240" s="509"/>
      <c r="PD240" s="509"/>
      <c r="PE240" s="509"/>
      <c r="PF240" s="509"/>
      <c r="PG240" s="509"/>
      <c r="PH240" s="509"/>
      <c r="PI240" s="509"/>
      <c r="PJ240" s="509"/>
      <c r="PK240" s="509"/>
      <c r="PL240" s="509"/>
      <c r="PM240" s="509"/>
      <c r="PN240" s="509"/>
      <c r="PO240" s="509"/>
      <c r="PP240" s="509"/>
      <c r="PQ240" s="509"/>
      <c r="PR240" s="509"/>
      <c r="PS240" s="509"/>
      <c r="PT240" s="509"/>
      <c r="PU240" s="509"/>
      <c r="PV240" s="509"/>
      <c r="PW240" s="509"/>
      <c r="PX240" s="509"/>
      <c r="PY240" s="509"/>
      <c r="PZ240" s="509"/>
      <c r="QA240" s="509"/>
      <c r="QB240" s="509"/>
      <c r="QC240" s="509"/>
      <c r="QD240" s="509"/>
      <c r="QE240" s="509"/>
      <c r="QF240" s="509"/>
      <c r="QG240" s="509"/>
      <c r="QH240" s="509"/>
      <c r="QI240" s="509"/>
      <c r="QJ240" s="509"/>
      <c r="QK240" s="509"/>
      <c r="QL240" s="509"/>
      <c r="QM240" s="509"/>
      <c r="QN240" s="509"/>
      <c r="QO240" s="509"/>
      <c r="QP240" s="509"/>
      <c r="QQ240" s="509"/>
      <c r="QR240" s="509"/>
      <c r="QS240" s="509"/>
      <c r="QT240" s="509"/>
      <c r="QU240" s="509"/>
      <c r="QV240" s="509"/>
      <c r="QW240" s="509"/>
      <c r="QX240" s="509"/>
      <c r="QY240" s="509"/>
      <c r="QZ240" s="509"/>
      <c r="RA240" s="509"/>
      <c r="RB240" s="509"/>
      <c r="RC240" s="509"/>
      <c r="RD240" s="509"/>
      <c r="RE240" s="509"/>
      <c r="RF240" s="509"/>
      <c r="RG240" s="509"/>
      <c r="RH240" s="509"/>
      <c r="RI240" s="509"/>
      <c r="RJ240" s="509"/>
      <c r="RK240" s="509"/>
      <c r="RL240" s="509"/>
      <c r="RM240" s="509"/>
      <c r="RN240" s="509"/>
      <c r="RO240" s="509"/>
      <c r="RP240" s="509"/>
      <c r="RQ240" s="509"/>
      <c r="RR240" s="509"/>
      <c r="RS240" s="509"/>
      <c r="RT240" s="509"/>
      <c r="RU240" s="509"/>
      <c r="RV240" s="509"/>
      <c r="RW240" s="509"/>
      <c r="RX240" s="509"/>
      <c r="RY240" s="509"/>
      <c r="RZ240" s="509"/>
      <c r="SA240" s="509"/>
      <c r="SB240" s="509"/>
      <c r="SC240" s="509"/>
      <c r="SD240" s="509"/>
      <c r="SE240" s="509"/>
      <c r="SF240" s="509"/>
      <c r="SG240" s="509"/>
      <c r="SH240" s="509"/>
      <c r="SI240" s="509"/>
      <c r="SJ240" s="509"/>
      <c r="SK240" s="509"/>
      <c r="SL240" s="509"/>
      <c r="SM240" s="509"/>
      <c r="SN240" s="509"/>
      <c r="SO240" s="509"/>
      <c r="SP240" s="509"/>
      <c r="SQ240" s="509"/>
      <c r="SR240" s="509"/>
      <c r="SS240" s="509"/>
      <c r="ST240" s="509"/>
      <c r="SU240" s="509"/>
      <c r="SV240" s="509"/>
      <c r="SW240" s="509"/>
      <c r="SX240" s="509"/>
      <c r="SY240" s="509"/>
      <c r="SZ240" s="509"/>
      <c r="TA240" s="509"/>
      <c r="TB240" s="509"/>
      <c r="TC240" s="509"/>
      <c r="TD240" s="509"/>
      <c r="TE240" s="509"/>
      <c r="TF240" s="509"/>
      <c r="TG240" s="509"/>
      <c r="TH240" s="509"/>
      <c r="TI240" s="509"/>
      <c r="TJ240" s="509"/>
      <c r="TK240" s="509"/>
      <c r="TL240" s="509"/>
      <c r="TM240" s="509"/>
      <c r="TN240" s="509"/>
      <c r="TO240" s="509"/>
      <c r="TP240" s="509"/>
      <c r="TQ240" s="509"/>
      <c r="TR240" s="509"/>
      <c r="TS240" s="509"/>
      <c r="TT240" s="509"/>
      <c r="TU240" s="509"/>
      <c r="TV240" s="509"/>
      <c r="TW240" s="509"/>
      <c r="TX240" s="509"/>
      <c r="TY240" s="509"/>
      <c r="TZ240" s="509"/>
      <c r="UA240" s="509"/>
      <c r="UB240" s="509"/>
      <c r="UC240" s="509"/>
      <c r="UD240" s="509"/>
      <c r="UE240" s="509"/>
      <c r="UF240" s="509"/>
      <c r="UG240" s="509"/>
      <c r="UH240" s="509"/>
      <c r="UI240" s="509"/>
    </row>
    <row r="241" spans="1:555" ht="60" customHeight="1">
      <c r="A241" s="296">
        <v>282</v>
      </c>
      <c r="B241" s="297" t="s">
        <v>3266</v>
      </c>
      <c r="C241" s="298" t="s">
        <v>3267</v>
      </c>
      <c r="D241" s="354" t="s">
        <v>3268</v>
      </c>
      <c r="E241" s="299">
        <v>42529</v>
      </c>
      <c r="F241" s="300">
        <v>42522</v>
      </c>
      <c r="G241" s="301" t="s">
        <v>3269</v>
      </c>
      <c r="H241" s="297" t="s">
        <v>5</v>
      </c>
      <c r="I241" s="297" t="s">
        <v>101</v>
      </c>
      <c r="J241" s="299">
        <v>42550</v>
      </c>
      <c r="K241" s="300">
        <v>42550</v>
      </c>
      <c r="L241" s="301" t="s">
        <v>3270</v>
      </c>
      <c r="M241" s="297"/>
      <c r="N241" s="297"/>
      <c r="O241" s="299"/>
      <c r="P241" s="302"/>
      <c r="Q241" s="301"/>
      <c r="R241" s="297"/>
      <c r="S241" s="297"/>
      <c r="T241" s="299"/>
      <c r="U241" s="300"/>
      <c r="V241" s="301"/>
      <c r="W241" s="297"/>
      <c r="X241" s="297"/>
      <c r="Y241" s="299"/>
      <c r="Z241" s="300"/>
      <c r="AA241" s="301"/>
      <c r="AB241" s="297"/>
      <c r="AC241" s="297"/>
      <c r="AD241" s="341"/>
      <c r="AE241" s="300"/>
      <c r="AF241" s="301"/>
      <c r="AG241" s="297"/>
      <c r="AH241" s="297"/>
      <c r="AI241" s="304"/>
      <c r="AJ241" s="300"/>
      <c r="AK241" s="301"/>
      <c r="AL241" s="297"/>
      <c r="AM241" s="297"/>
      <c r="AN241" s="297"/>
      <c r="AO241" s="473"/>
      <c r="AP241" s="297"/>
      <c r="AQ241" s="301" t="s">
        <v>3271</v>
      </c>
      <c r="AR241" s="297" t="s">
        <v>66</v>
      </c>
      <c r="AS241" s="299" t="s">
        <v>67</v>
      </c>
      <c r="AT241" s="299" t="s">
        <v>67</v>
      </c>
      <c r="AU241" s="297" t="s">
        <v>3272</v>
      </c>
      <c r="AV241" s="297"/>
      <c r="AW241" s="297" t="s">
        <v>69</v>
      </c>
      <c r="AX241" s="297" t="s">
        <v>3273</v>
      </c>
      <c r="AY241" s="299">
        <v>42405</v>
      </c>
      <c r="AZ241" s="297" t="s">
        <v>67</v>
      </c>
      <c r="BA241" s="299" t="s">
        <v>67</v>
      </c>
      <c r="BB241" s="382">
        <v>42446</v>
      </c>
      <c r="BC241" s="297" t="s">
        <v>71</v>
      </c>
      <c r="BD241" s="297"/>
      <c r="BE241" s="297"/>
      <c r="BF241" s="301" t="s">
        <v>3274</v>
      </c>
      <c r="BG241" s="301" t="s">
        <v>67</v>
      </c>
      <c r="BH241" s="301" t="s">
        <v>830</v>
      </c>
      <c r="BI241" s="301" t="s">
        <v>830</v>
      </c>
      <c r="BJ241" s="312">
        <v>9496900</v>
      </c>
      <c r="BK241" s="312"/>
      <c r="BL241" s="313" t="s">
        <v>67</v>
      </c>
      <c r="BM241" s="299" t="s">
        <v>67</v>
      </c>
      <c r="BN241" s="314" t="s">
        <v>67</v>
      </c>
      <c r="BO241" s="460"/>
      <c r="BP241" s="390"/>
      <c r="BQ241" s="297"/>
      <c r="BR241" s="303"/>
      <c r="BS241" s="301"/>
      <c r="BT241" s="301"/>
      <c r="BU241" s="301"/>
      <c r="BV241" s="301"/>
      <c r="BW241" s="316"/>
      <c r="BX241" s="304"/>
      <c r="BY241" s="299"/>
      <c r="BZ241" s="317"/>
    </row>
    <row r="242" spans="1:555" s="509" customFormat="1" ht="47.25" customHeight="1">
      <c r="A242" s="296">
        <v>284</v>
      </c>
      <c r="B242" s="297" t="s">
        <v>3287</v>
      </c>
      <c r="C242" s="329">
        <v>80437950</v>
      </c>
      <c r="D242" s="354" t="s">
        <v>193</v>
      </c>
      <c r="E242" s="299">
        <v>42530</v>
      </c>
      <c r="F242" s="300">
        <v>42522</v>
      </c>
      <c r="G242" s="301" t="s">
        <v>3288</v>
      </c>
      <c r="H242" s="297" t="s">
        <v>625</v>
      </c>
      <c r="I242" s="297" t="s">
        <v>183</v>
      </c>
      <c r="J242" s="299">
        <v>42669</v>
      </c>
      <c r="K242" s="300">
        <v>42644</v>
      </c>
      <c r="L242" s="301" t="s">
        <v>3289</v>
      </c>
      <c r="M242" s="297" t="s">
        <v>63</v>
      </c>
      <c r="N242" s="297" t="s">
        <v>101</v>
      </c>
      <c r="O242" s="299">
        <v>42940</v>
      </c>
      <c r="P242" s="302">
        <v>42917</v>
      </c>
      <c r="Q242" s="301" t="s">
        <v>3290</v>
      </c>
      <c r="R242" s="297" t="s">
        <v>3291</v>
      </c>
      <c r="S242" s="297" t="s">
        <v>85</v>
      </c>
      <c r="T242" s="299">
        <v>43067</v>
      </c>
      <c r="U242" s="300">
        <v>43067</v>
      </c>
      <c r="V242" s="301" t="s">
        <v>3292</v>
      </c>
      <c r="W242" s="297" t="s">
        <v>3293</v>
      </c>
      <c r="X242" s="297" t="s">
        <v>107</v>
      </c>
      <c r="Y242" s="305" t="s">
        <v>9719</v>
      </c>
      <c r="Z242" s="300" t="s">
        <v>9720</v>
      </c>
      <c r="AA242" s="315" t="s">
        <v>9717</v>
      </c>
      <c r="AB242" s="297" t="s">
        <v>9718</v>
      </c>
      <c r="AC242" s="315" t="s">
        <v>9721</v>
      </c>
      <c r="AD242" s="299">
        <v>44000</v>
      </c>
      <c r="AE242" s="302">
        <v>44000</v>
      </c>
      <c r="AF242" s="301" t="s">
        <v>9515</v>
      </c>
      <c r="AG242" s="297" t="s">
        <v>63</v>
      </c>
      <c r="AH242" s="297" t="s">
        <v>9516</v>
      </c>
      <c r="AI242" s="299" t="s">
        <v>9792</v>
      </c>
      <c r="AJ242" s="300" t="s">
        <v>9793</v>
      </c>
      <c r="AK242" s="301" t="s">
        <v>9791</v>
      </c>
      <c r="AL242" s="297" t="s">
        <v>9794</v>
      </c>
      <c r="AM242" s="297" t="s">
        <v>9795</v>
      </c>
      <c r="AN242" s="297" t="s">
        <v>3297</v>
      </c>
      <c r="AO242" s="540">
        <v>42940</v>
      </c>
      <c r="AP242" s="297"/>
      <c r="AQ242" s="301" t="s">
        <v>3298</v>
      </c>
      <c r="AR242" s="297" t="s">
        <v>161</v>
      </c>
      <c r="AS242" s="299">
        <v>37772</v>
      </c>
      <c r="AT242" s="299">
        <v>39847</v>
      </c>
      <c r="AU242" s="297" t="s">
        <v>3299</v>
      </c>
      <c r="AV242" s="297"/>
      <c r="AW242" s="297" t="s">
        <v>92</v>
      </c>
      <c r="AX242" s="297" t="s">
        <v>3300</v>
      </c>
      <c r="AY242" s="299">
        <v>41106</v>
      </c>
      <c r="AZ242" s="297" t="s">
        <v>94</v>
      </c>
      <c r="BA242" s="299">
        <v>42444</v>
      </c>
      <c r="BB242" s="382">
        <v>42465</v>
      </c>
      <c r="BC242" s="297" t="s">
        <v>95</v>
      </c>
      <c r="BD242" s="297" t="s">
        <v>566</v>
      </c>
      <c r="BE242" s="297"/>
      <c r="BF242" s="301" t="s">
        <v>7443</v>
      </c>
      <c r="BG242" s="301"/>
      <c r="BH242" s="301" t="s">
        <v>9854</v>
      </c>
      <c r="BI242" s="301"/>
      <c r="BJ242" s="301"/>
      <c r="BK242" s="312">
        <v>188307799</v>
      </c>
      <c r="BL242" s="313" t="s">
        <v>9855</v>
      </c>
      <c r="BM242" s="299" t="s">
        <v>9856</v>
      </c>
      <c r="BN242" s="314">
        <v>44195</v>
      </c>
      <c r="BO242" s="460"/>
      <c r="BP242" s="390"/>
      <c r="BQ242" s="297"/>
      <c r="BR242" s="303"/>
      <c r="BS242" s="301"/>
      <c r="BT242" s="301"/>
      <c r="BU242" s="301"/>
      <c r="BV242" s="301"/>
      <c r="BW242" s="316"/>
      <c r="BX242" s="304"/>
      <c r="BY242" s="299"/>
      <c r="BZ242" s="317"/>
    </row>
    <row r="243" spans="1:555" ht="148.5">
      <c r="A243" s="296">
        <v>285</v>
      </c>
      <c r="B243" s="297" t="s">
        <v>3301</v>
      </c>
      <c r="C243" s="298">
        <v>12549972</v>
      </c>
      <c r="D243" s="354" t="s">
        <v>3302</v>
      </c>
      <c r="E243" s="299">
        <v>42534</v>
      </c>
      <c r="F243" s="300">
        <v>42534</v>
      </c>
      <c r="G243" s="301" t="s">
        <v>3303</v>
      </c>
      <c r="H243" s="297" t="s">
        <v>195</v>
      </c>
      <c r="I243" s="297" t="s">
        <v>1751</v>
      </c>
      <c r="J243" s="299">
        <v>43208</v>
      </c>
      <c r="K243" s="300">
        <v>43191</v>
      </c>
      <c r="L243" s="301" t="s">
        <v>3304</v>
      </c>
      <c r="M243" s="297" t="s">
        <v>63</v>
      </c>
      <c r="N243" s="297" t="s">
        <v>169</v>
      </c>
      <c r="O243" s="305">
        <v>43556</v>
      </c>
      <c r="P243" s="300">
        <v>43556</v>
      </c>
      <c r="Q243" s="315" t="s">
        <v>8428</v>
      </c>
      <c r="R243" s="304" t="s">
        <v>63</v>
      </c>
      <c r="S243" s="299" t="s">
        <v>85</v>
      </c>
      <c r="T243" s="299">
        <v>43558</v>
      </c>
      <c r="U243" s="300">
        <v>43558</v>
      </c>
      <c r="V243" s="301" t="s">
        <v>8486</v>
      </c>
      <c r="W243" s="297" t="s">
        <v>63</v>
      </c>
      <c r="X243" s="297" t="s">
        <v>8411</v>
      </c>
      <c r="Y243" s="299">
        <v>43600</v>
      </c>
      <c r="Z243" s="300">
        <v>43600</v>
      </c>
      <c r="AA243" s="301" t="s">
        <v>8685</v>
      </c>
      <c r="AB243" s="297" t="s">
        <v>63</v>
      </c>
      <c r="AC243" s="297" t="s">
        <v>85</v>
      </c>
      <c r="AD243" s="299">
        <v>43601</v>
      </c>
      <c r="AE243" s="300">
        <v>43601</v>
      </c>
      <c r="AF243" s="301" t="s">
        <v>8759</v>
      </c>
      <c r="AG243" s="297" t="s">
        <v>63</v>
      </c>
      <c r="AH243" s="297" t="s">
        <v>85</v>
      </c>
      <c r="AI243" s="322"/>
      <c r="AJ243" s="300"/>
      <c r="AK243" s="301"/>
      <c r="AL243" s="297"/>
      <c r="AM243" s="297"/>
      <c r="AN243" s="297" t="s">
        <v>3255</v>
      </c>
      <c r="AO243" s="554"/>
      <c r="AP243" s="297"/>
      <c r="AQ243" s="301" t="s">
        <v>3305</v>
      </c>
      <c r="AR243" s="297" t="s">
        <v>161</v>
      </c>
      <c r="AS243" s="299" t="s">
        <v>67</v>
      </c>
      <c r="AT243" s="299" t="s">
        <v>67</v>
      </c>
      <c r="AU243" s="297" t="s">
        <v>8760</v>
      </c>
      <c r="AV243" s="297"/>
      <c r="AW243" s="297" t="s">
        <v>69</v>
      </c>
      <c r="AX243" s="297" t="s">
        <v>1803</v>
      </c>
      <c r="AY243" s="299">
        <v>41610</v>
      </c>
      <c r="AZ243" s="297" t="s">
        <v>2171</v>
      </c>
      <c r="BA243" s="299">
        <v>42078</v>
      </c>
      <c r="BB243" s="382">
        <v>42135</v>
      </c>
      <c r="BC243" s="303" t="s">
        <v>912</v>
      </c>
      <c r="BD243" s="303" t="s">
        <v>566</v>
      </c>
      <c r="BE243" s="297"/>
      <c r="BF243" s="301"/>
      <c r="BG243" s="301"/>
      <c r="BH243" s="301" t="s">
        <v>8867</v>
      </c>
      <c r="BI243" s="301"/>
      <c r="BJ243" s="312">
        <f>+'[70]MATRIZ '!$J$63</f>
        <v>44798875.90217828</v>
      </c>
      <c r="BK243" s="312">
        <v>44798876</v>
      </c>
      <c r="BL243" s="313">
        <v>170664319</v>
      </c>
      <c r="BM243" s="299">
        <v>43648</v>
      </c>
      <c r="BN243" s="314">
        <v>43648</v>
      </c>
      <c r="BO243" s="460"/>
      <c r="BP243" s="390"/>
      <c r="BQ243" s="297"/>
      <c r="BR243" s="303"/>
      <c r="BS243" s="301"/>
      <c r="BT243" s="301"/>
      <c r="BU243" s="301"/>
      <c r="BV243" s="301"/>
      <c r="BW243" s="316"/>
      <c r="BX243" s="304"/>
      <c r="BY243" s="299"/>
      <c r="BZ243" s="317"/>
    </row>
    <row r="244" spans="1:555" ht="55.5" customHeight="1">
      <c r="A244" s="296">
        <v>287</v>
      </c>
      <c r="B244" s="297" t="s">
        <v>3312</v>
      </c>
      <c r="C244" s="329">
        <v>5837707</v>
      </c>
      <c r="D244" s="354" t="s">
        <v>3313</v>
      </c>
      <c r="E244" s="299">
        <v>42537</v>
      </c>
      <c r="F244" s="300">
        <v>42522</v>
      </c>
      <c r="G244" s="308" t="s">
        <v>3314</v>
      </c>
      <c r="H244" s="297" t="s">
        <v>1493</v>
      </c>
      <c r="I244" s="297" t="s">
        <v>183</v>
      </c>
      <c r="J244" s="299">
        <v>42537</v>
      </c>
      <c r="K244" s="300">
        <v>42522</v>
      </c>
      <c r="L244" s="301" t="s">
        <v>3315</v>
      </c>
      <c r="M244" s="297" t="s">
        <v>5</v>
      </c>
      <c r="N244" s="297" t="s">
        <v>101</v>
      </c>
      <c r="O244" s="299">
        <v>42654</v>
      </c>
      <c r="P244" s="300">
        <v>42644</v>
      </c>
      <c r="Q244" s="301" t="s">
        <v>3316</v>
      </c>
      <c r="R244" s="297" t="s">
        <v>5</v>
      </c>
      <c r="S244" s="297" t="s">
        <v>336</v>
      </c>
      <c r="T244" s="299">
        <v>43445</v>
      </c>
      <c r="U244" s="300">
        <v>43445</v>
      </c>
      <c r="V244" s="301" t="s">
        <v>7966</v>
      </c>
      <c r="W244" s="297" t="s">
        <v>171</v>
      </c>
      <c r="X244" s="297" t="s">
        <v>3886</v>
      </c>
      <c r="Y244" s="299">
        <v>43768</v>
      </c>
      <c r="Z244" s="300">
        <v>43768</v>
      </c>
      <c r="AA244" s="301" t="s">
        <v>9225</v>
      </c>
      <c r="AB244" s="297" t="s">
        <v>208</v>
      </c>
      <c r="AC244" s="297" t="s">
        <v>9226</v>
      </c>
      <c r="AD244" s="299"/>
      <c r="AE244" s="300"/>
      <c r="AF244" s="301"/>
      <c r="AG244" s="297"/>
      <c r="AH244" s="297"/>
      <c r="AI244" s="322"/>
      <c r="AJ244" s="300"/>
      <c r="AK244" s="301"/>
      <c r="AL244" s="297"/>
      <c r="AM244" s="297"/>
      <c r="AN244" s="297" t="s">
        <v>3317</v>
      </c>
      <c r="AO244" s="479">
        <v>42654</v>
      </c>
      <c r="AP244" s="297"/>
      <c r="AQ244" s="301" t="s">
        <v>3318</v>
      </c>
      <c r="AR244" s="297" t="s">
        <v>161</v>
      </c>
      <c r="AS244" s="299">
        <v>38352</v>
      </c>
      <c r="AT244" s="299">
        <v>40633</v>
      </c>
      <c r="AU244" s="297" t="s">
        <v>3319</v>
      </c>
      <c r="AV244" s="297"/>
      <c r="AW244" s="297" t="s">
        <v>92</v>
      </c>
      <c r="AX244" s="297" t="s">
        <v>3320</v>
      </c>
      <c r="AY244" s="299">
        <v>42062</v>
      </c>
      <c r="AZ244" s="297" t="s">
        <v>652</v>
      </c>
      <c r="BA244" s="299">
        <v>42488</v>
      </c>
      <c r="BB244" s="382">
        <v>42503</v>
      </c>
      <c r="BC244" s="297" t="s">
        <v>95</v>
      </c>
      <c r="BD244" s="297" t="s">
        <v>566</v>
      </c>
      <c r="BE244" s="297"/>
      <c r="BF244" s="301" t="s">
        <v>8039</v>
      </c>
      <c r="BG244" s="308"/>
      <c r="BH244" s="301" t="s">
        <v>9229</v>
      </c>
      <c r="BI244" s="308"/>
      <c r="BJ244" s="312">
        <f>[71]MATRIZ!$J$82</f>
        <v>231280602.32809886</v>
      </c>
      <c r="BK244" s="312" t="s">
        <v>9182</v>
      </c>
      <c r="BL244" s="313" t="s">
        <v>9183</v>
      </c>
      <c r="BM244" s="299" t="s">
        <v>9184</v>
      </c>
      <c r="BN244" s="314" t="s">
        <v>9185</v>
      </c>
      <c r="BO244" s="531" t="s">
        <v>8550</v>
      </c>
      <c r="BP244" s="390"/>
      <c r="BQ244" s="297"/>
      <c r="BR244" s="303"/>
      <c r="BS244" s="301" t="s">
        <v>8061</v>
      </c>
      <c r="BT244" s="301"/>
      <c r="BU244" s="301"/>
      <c r="BV244" s="301"/>
      <c r="BW244" s="316"/>
      <c r="BX244" s="304"/>
      <c r="BY244" s="299"/>
      <c r="BZ244" s="317"/>
    </row>
    <row r="245" spans="1:555" ht="66.75" customHeight="1">
      <c r="A245" s="296">
        <v>291</v>
      </c>
      <c r="B245" s="297" t="s">
        <v>3339</v>
      </c>
      <c r="C245" s="298">
        <v>17336828</v>
      </c>
      <c r="D245" s="354" t="s">
        <v>1525</v>
      </c>
      <c r="E245" s="299">
        <v>42556</v>
      </c>
      <c r="F245" s="300">
        <v>42552</v>
      </c>
      <c r="G245" s="301" t="s">
        <v>3340</v>
      </c>
      <c r="H245" s="297" t="s">
        <v>5</v>
      </c>
      <c r="I245" s="297" t="s">
        <v>101</v>
      </c>
      <c r="J245" s="299">
        <v>42964</v>
      </c>
      <c r="K245" s="300">
        <v>42948</v>
      </c>
      <c r="L245" s="301" t="s">
        <v>3341</v>
      </c>
      <c r="M245" s="297" t="s">
        <v>5</v>
      </c>
      <c r="N245" s="297" t="s">
        <v>2080</v>
      </c>
      <c r="O245" s="299">
        <v>42503</v>
      </c>
      <c r="P245" s="302">
        <v>42491</v>
      </c>
      <c r="Q245" s="301" t="s">
        <v>3342</v>
      </c>
      <c r="R245" s="297" t="s">
        <v>152</v>
      </c>
      <c r="S245" s="297" t="s">
        <v>3343</v>
      </c>
      <c r="T245" s="299">
        <v>42696</v>
      </c>
      <c r="U245" s="300">
        <v>42675</v>
      </c>
      <c r="V245" s="301" t="s">
        <v>3344</v>
      </c>
      <c r="W245" s="297" t="s">
        <v>208</v>
      </c>
      <c r="X245" s="297" t="s">
        <v>107</v>
      </c>
      <c r="Y245" s="299">
        <v>43070</v>
      </c>
      <c r="Z245" s="300">
        <v>43070</v>
      </c>
      <c r="AA245" s="301" t="s">
        <v>3345</v>
      </c>
      <c r="AB245" s="297" t="s">
        <v>3346</v>
      </c>
      <c r="AC245" s="297" t="s">
        <v>3347</v>
      </c>
      <c r="AD245" s="299" t="s">
        <v>3348</v>
      </c>
      <c r="AE245" s="300" t="s">
        <v>3349</v>
      </c>
      <c r="AF245" s="301" t="s">
        <v>3350</v>
      </c>
      <c r="AG245" s="297" t="s">
        <v>3351</v>
      </c>
      <c r="AH245" s="297" t="s">
        <v>3352</v>
      </c>
      <c r="AI245" s="305" t="s">
        <v>9711</v>
      </c>
      <c r="AJ245" s="300" t="s">
        <v>9712</v>
      </c>
      <c r="AK245" s="308" t="s">
        <v>9710</v>
      </c>
      <c r="AL245" s="297" t="s">
        <v>9713</v>
      </c>
      <c r="AM245" s="303" t="s">
        <v>9714</v>
      </c>
      <c r="AN245" s="297" t="s">
        <v>3353</v>
      </c>
      <c r="AO245" s="540">
        <v>42808</v>
      </c>
      <c r="AP245" s="297"/>
      <c r="AQ245" s="301" t="s">
        <v>3354</v>
      </c>
      <c r="AR245" s="297" t="s">
        <v>161</v>
      </c>
      <c r="AS245" s="299">
        <v>38108</v>
      </c>
      <c r="AT245" s="299">
        <v>40165</v>
      </c>
      <c r="AU245" s="297" t="s">
        <v>8089</v>
      </c>
      <c r="AV245" s="297"/>
      <c r="AW245" s="297" t="s">
        <v>92</v>
      </c>
      <c r="AX245" s="297" t="s">
        <v>3355</v>
      </c>
      <c r="AY245" s="299">
        <v>41504</v>
      </c>
      <c r="AZ245" s="297" t="s">
        <v>736</v>
      </c>
      <c r="BA245" s="299">
        <v>42267</v>
      </c>
      <c r="BB245" s="382">
        <v>42396</v>
      </c>
      <c r="BC245" s="297" t="s">
        <v>95</v>
      </c>
      <c r="BD245" s="297" t="s">
        <v>566</v>
      </c>
      <c r="BE245" s="297"/>
      <c r="BF245" s="301"/>
      <c r="BG245" s="301"/>
      <c r="BH245" s="301" t="s">
        <v>9822</v>
      </c>
      <c r="BI245" s="301"/>
      <c r="BJ245" s="301"/>
      <c r="BK245" s="312">
        <v>196873064</v>
      </c>
      <c r="BL245" s="313" t="s">
        <v>9823</v>
      </c>
      <c r="BM245" s="299" t="s">
        <v>9824</v>
      </c>
      <c r="BN245" s="314">
        <v>44161</v>
      </c>
      <c r="BO245" s="460"/>
      <c r="BP245" s="390"/>
      <c r="BQ245" s="297"/>
      <c r="BR245" s="303"/>
      <c r="BS245" s="301"/>
      <c r="BT245" s="301"/>
      <c r="BU245" s="301"/>
      <c r="BV245" s="301"/>
      <c r="BW245" s="316"/>
      <c r="BX245" s="304"/>
      <c r="BY245" s="299"/>
      <c r="BZ245" s="317"/>
      <c r="CA245" s="509"/>
      <c r="CB245" s="509"/>
      <c r="CC245" s="509"/>
      <c r="CD245" s="509"/>
      <c r="CE245" s="509"/>
      <c r="CF245" s="509"/>
      <c r="CG245" s="509"/>
      <c r="CH245" s="509"/>
      <c r="CI245" s="509"/>
      <c r="CJ245" s="509"/>
      <c r="CK245" s="509"/>
      <c r="CL245" s="509"/>
      <c r="CM245" s="509"/>
      <c r="CN245" s="509"/>
      <c r="CO245" s="509"/>
      <c r="CP245" s="509"/>
      <c r="CQ245" s="509"/>
      <c r="CR245" s="509"/>
      <c r="CS245" s="509"/>
      <c r="CT245" s="509"/>
      <c r="CU245" s="509"/>
      <c r="CV245" s="509"/>
      <c r="CW245" s="509"/>
      <c r="CX245" s="509"/>
      <c r="CY245" s="509"/>
      <c r="CZ245" s="509"/>
      <c r="DA245" s="509"/>
      <c r="DB245" s="509"/>
      <c r="DC245" s="509"/>
      <c r="DD245" s="509"/>
      <c r="DE245" s="509"/>
      <c r="DF245" s="509"/>
      <c r="DG245" s="509"/>
      <c r="DH245" s="509"/>
      <c r="DI245" s="509"/>
      <c r="DJ245" s="509"/>
      <c r="DK245" s="509"/>
      <c r="DL245" s="509"/>
      <c r="DM245" s="509"/>
      <c r="DN245" s="509"/>
      <c r="DO245" s="509"/>
      <c r="DP245" s="509"/>
      <c r="DQ245" s="509"/>
      <c r="DR245" s="509"/>
      <c r="DS245" s="509"/>
      <c r="DT245" s="509"/>
      <c r="DU245" s="509"/>
      <c r="DV245" s="509"/>
      <c r="DW245" s="509"/>
      <c r="DX245" s="509"/>
      <c r="DY245" s="509"/>
      <c r="DZ245" s="509"/>
      <c r="EA245" s="509"/>
      <c r="EB245" s="509"/>
      <c r="EC245" s="509"/>
      <c r="ED245" s="509"/>
      <c r="EE245" s="509"/>
      <c r="EF245" s="509"/>
      <c r="EG245" s="509"/>
      <c r="EH245" s="509"/>
      <c r="EI245" s="509"/>
      <c r="EJ245" s="509"/>
      <c r="EK245" s="509"/>
      <c r="EL245" s="509"/>
      <c r="EM245" s="509"/>
      <c r="EN245" s="509"/>
      <c r="EO245" s="509"/>
      <c r="EP245" s="509"/>
      <c r="EQ245" s="509"/>
      <c r="ER245" s="509"/>
      <c r="ES245" s="509"/>
      <c r="ET245" s="509"/>
      <c r="EU245" s="509"/>
      <c r="EV245" s="509"/>
      <c r="EW245" s="509"/>
      <c r="EX245" s="509"/>
      <c r="EY245" s="509"/>
      <c r="EZ245" s="509"/>
      <c r="FA245" s="509"/>
      <c r="FB245" s="509"/>
      <c r="FC245" s="509"/>
      <c r="FD245" s="509"/>
      <c r="FE245" s="509"/>
      <c r="FF245" s="509"/>
      <c r="FG245" s="509"/>
      <c r="FH245" s="509"/>
      <c r="FI245" s="509"/>
      <c r="FJ245" s="509"/>
      <c r="FK245" s="509"/>
      <c r="FL245" s="509"/>
      <c r="FM245" s="509"/>
      <c r="FN245" s="509"/>
      <c r="FO245" s="509"/>
      <c r="FP245" s="509"/>
      <c r="FQ245" s="509"/>
      <c r="FR245" s="509"/>
      <c r="FS245" s="509"/>
      <c r="FT245" s="509"/>
      <c r="FU245" s="509"/>
      <c r="FV245" s="509"/>
      <c r="FW245" s="509"/>
      <c r="FX245" s="509"/>
      <c r="FY245" s="509"/>
      <c r="FZ245" s="509"/>
      <c r="GA245" s="509"/>
      <c r="GB245" s="509"/>
      <c r="GC245" s="509"/>
      <c r="GD245" s="509"/>
      <c r="GE245" s="509"/>
      <c r="GF245" s="509"/>
      <c r="GG245" s="509"/>
      <c r="GH245" s="509"/>
      <c r="GI245" s="509"/>
      <c r="GJ245" s="509"/>
      <c r="GK245" s="509"/>
      <c r="GL245" s="509"/>
      <c r="GM245" s="509"/>
      <c r="GN245" s="509"/>
      <c r="GO245" s="509"/>
      <c r="GP245" s="509"/>
      <c r="GQ245" s="509"/>
      <c r="GR245" s="509"/>
      <c r="GS245" s="509"/>
      <c r="GT245" s="509"/>
      <c r="GU245" s="509"/>
      <c r="GV245" s="509"/>
      <c r="GW245" s="509"/>
      <c r="GX245" s="509"/>
      <c r="GY245" s="509"/>
      <c r="GZ245" s="509"/>
      <c r="HA245" s="509"/>
      <c r="HB245" s="509"/>
      <c r="HC245" s="509"/>
      <c r="HD245" s="509"/>
      <c r="HE245" s="509"/>
      <c r="HF245" s="509"/>
      <c r="HG245" s="509"/>
      <c r="HH245" s="509"/>
      <c r="HI245" s="509"/>
      <c r="HJ245" s="509"/>
      <c r="HK245" s="509"/>
      <c r="HL245" s="509"/>
      <c r="HM245" s="509"/>
      <c r="HN245" s="509"/>
      <c r="HO245" s="509"/>
      <c r="HP245" s="509"/>
      <c r="HQ245" s="509"/>
      <c r="HR245" s="509"/>
      <c r="HS245" s="509"/>
      <c r="HT245" s="509"/>
      <c r="HU245" s="509"/>
      <c r="HV245" s="509"/>
      <c r="HW245" s="509"/>
      <c r="HX245" s="509"/>
      <c r="HY245" s="509"/>
      <c r="HZ245" s="509"/>
      <c r="IA245" s="509"/>
      <c r="IB245" s="509"/>
      <c r="IC245" s="509"/>
      <c r="ID245" s="509"/>
      <c r="IE245" s="509"/>
      <c r="IF245" s="509"/>
      <c r="IG245" s="509"/>
      <c r="IH245" s="509"/>
      <c r="II245" s="509"/>
      <c r="IJ245" s="509"/>
      <c r="IK245" s="509"/>
      <c r="IL245" s="509"/>
      <c r="IM245" s="509"/>
      <c r="IN245" s="509"/>
      <c r="IO245" s="509"/>
      <c r="IP245" s="509"/>
      <c r="IQ245" s="509"/>
      <c r="IR245" s="509"/>
      <c r="IS245" s="509"/>
      <c r="IT245" s="509"/>
      <c r="IU245" s="509"/>
      <c r="IV245" s="509"/>
      <c r="IW245" s="509"/>
      <c r="IX245" s="509"/>
      <c r="IY245" s="509"/>
      <c r="IZ245" s="509"/>
      <c r="JA245" s="509"/>
      <c r="JB245" s="509"/>
      <c r="JC245" s="509"/>
      <c r="JD245" s="509"/>
      <c r="JE245" s="509"/>
      <c r="JF245" s="509"/>
      <c r="JG245" s="509"/>
      <c r="JH245" s="509"/>
      <c r="JI245" s="509"/>
      <c r="JJ245" s="509"/>
      <c r="JK245" s="509"/>
      <c r="JL245" s="509"/>
      <c r="JM245" s="509"/>
      <c r="JN245" s="509"/>
      <c r="JO245" s="509"/>
      <c r="JP245" s="509"/>
      <c r="JQ245" s="509"/>
      <c r="JR245" s="509"/>
      <c r="JS245" s="509"/>
      <c r="JT245" s="509"/>
      <c r="JU245" s="509"/>
      <c r="JV245" s="509"/>
      <c r="JW245" s="509"/>
      <c r="JX245" s="509"/>
      <c r="JY245" s="509"/>
      <c r="JZ245" s="509"/>
      <c r="KA245" s="509"/>
      <c r="KB245" s="509"/>
      <c r="KC245" s="509"/>
      <c r="KD245" s="509"/>
      <c r="KE245" s="509"/>
      <c r="KF245" s="509"/>
      <c r="KG245" s="509"/>
      <c r="KH245" s="509"/>
      <c r="KI245" s="509"/>
      <c r="KJ245" s="509"/>
      <c r="KK245" s="509"/>
      <c r="KL245" s="509"/>
      <c r="KM245" s="509"/>
      <c r="KN245" s="509"/>
      <c r="KO245" s="509"/>
      <c r="KP245" s="509"/>
      <c r="KQ245" s="509"/>
      <c r="KR245" s="509"/>
      <c r="KS245" s="509"/>
      <c r="KT245" s="509"/>
      <c r="KU245" s="509"/>
      <c r="KV245" s="509"/>
      <c r="KW245" s="509"/>
      <c r="KX245" s="509"/>
      <c r="KY245" s="509"/>
      <c r="KZ245" s="509"/>
      <c r="LA245" s="509"/>
      <c r="LB245" s="509"/>
      <c r="LC245" s="509"/>
      <c r="LD245" s="509"/>
      <c r="LE245" s="509"/>
      <c r="LF245" s="509"/>
      <c r="LG245" s="509"/>
      <c r="LH245" s="509"/>
      <c r="LI245" s="509"/>
      <c r="LJ245" s="509"/>
      <c r="LK245" s="509"/>
      <c r="LL245" s="509"/>
      <c r="LM245" s="509"/>
      <c r="LN245" s="509"/>
      <c r="LO245" s="509"/>
      <c r="LP245" s="509"/>
      <c r="LQ245" s="509"/>
      <c r="LR245" s="509"/>
      <c r="LS245" s="509"/>
      <c r="LT245" s="509"/>
      <c r="LU245" s="509"/>
      <c r="LV245" s="509"/>
      <c r="LW245" s="509"/>
      <c r="LX245" s="509"/>
      <c r="LY245" s="509"/>
      <c r="LZ245" s="509"/>
      <c r="MA245" s="509"/>
      <c r="MB245" s="509"/>
      <c r="MC245" s="509"/>
      <c r="MD245" s="509"/>
      <c r="ME245" s="509"/>
      <c r="MF245" s="509"/>
      <c r="MG245" s="509"/>
      <c r="MH245" s="509"/>
      <c r="MI245" s="509"/>
      <c r="MJ245" s="509"/>
      <c r="MK245" s="509"/>
      <c r="ML245" s="509"/>
      <c r="MM245" s="509"/>
      <c r="MN245" s="509"/>
      <c r="MO245" s="509"/>
      <c r="MP245" s="509"/>
      <c r="MQ245" s="509"/>
      <c r="MR245" s="509"/>
      <c r="MS245" s="509"/>
      <c r="MT245" s="509"/>
      <c r="MU245" s="509"/>
      <c r="MV245" s="509"/>
      <c r="MW245" s="509"/>
      <c r="MX245" s="509"/>
      <c r="MY245" s="509"/>
      <c r="MZ245" s="509"/>
      <c r="NA245" s="509"/>
      <c r="NB245" s="509"/>
      <c r="NC245" s="509"/>
      <c r="ND245" s="509"/>
      <c r="NE245" s="509"/>
      <c r="NF245" s="509"/>
      <c r="NG245" s="509"/>
      <c r="NH245" s="509"/>
      <c r="NI245" s="509"/>
      <c r="NJ245" s="509"/>
      <c r="NK245" s="509"/>
      <c r="NL245" s="509"/>
      <c r="NM245" s="509"/>
      <c r="NN245" s="509"/>
      <c r="NO245" s="509"/>
      <c r="NP245" s="509"/>
      <c r="NQ245" s="509"/>
      <c r="NR245" s="509"/>
      <c r="NS245" s="509"/>
      <c r="NT245" s="509"/>
      <c r="NU245" s="509"/>
      <c r="NV245" s="509"/>
      <c r="NW245" s="509"/>
      <c r="NX245" s="509"/>
      <c r="NY245" s="509"/>
      <c r="NZ245" s="509"/>
      <c r="OA245" s="509"/>
      <c r="OB245" s="509"/>
      <c r="OC245" s="509"/>
      <c r="OD245" s="509"/>
      <c r="OE245" s="509"/>
      <c r="OF245" s="509"/>
      <c r="OG245" s="509"/>
      <c r="OH245" s="509"/>
      <c r="OI245" s="509"/>
      <c r="OJ245" s="509"/>
      <c r="OK245" s="509"/>
      <c r="OL245" s="509"/>
      <c r="OM245" s="509"/>
      <c r="ON245" s="509"/>
      <c r="OO245" s="509"/>
      <c r="OP245" s="509"/>
      <c r="OQ245" s="509"/>
      <c r="OR245" s="509"/>
      <c r="OS245" s="509"/>
      <c r="OT245" s="509"/>
      <c r="OU245" s="509"/>
      <c r="OV245" s="509"/>
      <c r="OW245" s="509"/>
      <c r="OX245" s="509"/>
      <c r="OY245" s="509"/>
      <c r="OZ245" s="509"/>
      <c r="PA245" s="509"/>
      <c r="PB245" s="509"/>
      <c r="PC245" s="509"/>
      <c r="PD245" s="509"/>
      <c r="PE245" s="509"/>
      <c r="PF245" s="509"/>
      <c r="PG245" s="509"/>
      <c r="PH245" s="509"/>
      <c r="PI245" s="509"/>
      <c r="PJ245" s="509"/>
      <c r="PK245" s="509"/>
      <c r="PL245" s="509"/>
      <c r="PM245" s="509"/>
      <c r="PN245" s="509"/>
      <c r="PO245" s="509"/>
      <c r="PP245" s="509"/>
      <c r="PQ245" s="509"/>
      <c r="PR245" s="509"/>
      <c r="PS245" s="509"/>
      <c r="PT245" s="509"/>
      <c r="PU245" s="509"/>
      <c r="PV245" s="509"/>
      <c r="PW245" s="509"/>
      <c r="PX245" s="509"/>
      <c r="PY245" s="509"/>
      <c r="PZ245" s="509"/>
      <c r="QA245" s="509"/>
      <c r="QB245" s="509"/>
      <c r="QC245" s="509"/>
      <c r="QD245" s="509"/>
      <c r="QE245" s="509"/>
      <c r="QF245" s="509"/>
      <c r="QG245" s="509"/>
      <c r="QH245" s="509"/>
      <c r="QI245" s="509"/>
      <c r="QJ245" s="509"/>
      <c r="QK245" s="509"/>
      <c r="QL245" s="509"/>
      <c r="QM245" s="509"/>
      <c r="QN245" s="509"/>
      <c r="QO245" s="509"/>
      <c r="QP245" s="509"/>
      <c r="QQ245" s="509"/>
      <c r="QR245" s="509"/>
      <c r="QS245" s="509"/>
      <c r="QT245" s="509"/>
      <c r="QU245" s="509"/>
      <c r="QV245" s="509"/>
      <c r="QW245" s="509"/>
      <c r="QX245" s="509"/>
      <c r="QY245" s="509"/>
      <c r="QZ245" s="509"/>
      <c r="RA245" s="509"/>
      <c r="RB245" s="509"/>
      <c r="RC245" s="509"/>
      <c r="RD245" s="509"/>
      <c r="RE245" s="509"/>
      <c r="RF245" s="509"/>
      <c r="RG245" s="509"/>
      <c r="RH245" s="509"/>
      <c r="RI245" s="509"/>
      <c r="RJ245" s="509"/>
      <c r="RK245" s="509"/>
      <c r="RL245" s="509"/>
      <c r="RM245" s="509"/>
      <c r="RN245" s="509"/>
      <c r="RO245" s="509"/>
      <c r="RP245" s="509"/>
      <c r="RQ245" s="509"/>
      <c r="RR245" s="509"/>
      <c r="RS245" s="509"/>
      <c r="RT245" s="509"/>
      <c r="RU245" s="509"/>
      <c r="RV245" s="509"/>
      <c r="RW245" s="509"/>
      <c r="RX245" s="509"/>
      <c r="RY245" s="509"/>
      <c r="RZ245" s="509"/>
      <c r="SA245" s="509"/>
      <c r="SB245" s="509"/>
      <c r="SC245" s="509"/>
      <c r="SD245" s="509"/>
      <c r="SE245" s="509"/>
      <c r="SF245" s="509"/>
      <c r="SG245" s="509"/>
      <c r="SH245" s="509"/>
      <c r="SI245" s="509"/>
      <c r="SJ245" s="509"/>
      <c r="SK245" s="509"/>
      <c r="SL245" s="509"/>
      <c r="SM245" s="509"/>
      <c r="SN245" s="509"/>
      <c r="SO245" s="509"/>
      <c r="SP245" s="509"/>
      <c r="SQ245" s="509"/>
      <c r="SR245" s="509"/>
      <c r="SS245" s="509"/>
      <c r="ST245" s="509"/>
      <c r="SU245" s="509"/>
      <c r="SV245" s="509"/>
      <c r="SW245" s="509"/>
      <c r="SX245" s="509"/>
      <c r="SY245" s="509"/>
      <c r="SZ245" s="509"/>
      <c r="TA245" s="509"/>
      <c r="TB245" s="509"/>
      <c r="TC245" s="509"/>
      <c r="TD245" s="509"/>
      <c r="TE245" s="509"/>
      <c r="TF245" s="509"/>
      <c r="TG245" s="509"/>
      <c r="TH245" s="509"/>
      <c r="TI245" s="509"/>
      <c r="TJ245" s="509"/>
      <c r="TK245" s="509"/>
      <c r="TL245" s="509"/>
      <c r="TM245" s="509"/>
      <c r="TN245" s="509"/>
      <c r="TO245" s="509"/>
      <c r="TP245" s="509"/>
      <c r="TQ245" s="509"/>
      <c r="TR245" s="509"/>
      <c r="TS245" s="509"/>
      <c r="TT245" s="509"/>
      <c r="TU245" s="509"/>
      <c r="TV245" s="509"/>
      <c r="TW245" s="509"/>
      <c r="TX245" s="509"/>
      <c r="TY245" s="509"/>
      <c r="TZ245" s="509"/>
      <c r="UA245" s="509"/>
      <c r="UB245" s="509"/>
      <c r="UC245" s="509"/>
      <c r="UD245" s="509"/>
      <c r="UE245" s="509"/>
      <c r="UF245" s="509"/>
      <c r="UG245" s="509"/>
      <c r="UH245" s="509"/>
      <c r="UI245" s="509"/>
    </row>
    <row r="246" spans="1:555" ht="175.5">
      <c r="A246" s="296">
        <v>293</v>
      </c>
      <c r="B246" s="297" t="s">
        <v>3362</v>
      </c>
      <c r="C246" s="298">
        <v>79716914</v>
      </c>
      <c r="D246" s="354" t="s">
        <v>2931</v>
      </c>
      <c r="E246" s="299">
        <v>42558</v>
      </c>
      <c r="F246" s="300">
        <v>42552</v>
      </c>
      <c r="G246" s="301" t="s">
        <v>3363</v>
      </c>
      <c r="H246" s="297" t="s">
        <v>63</v>
      </c>
      <c r="I246" s="297" t="s">
        <v>101</v>
      </c>
      <c r="J246" s="299">
        <v>42874</v>
      </c>
      <c r="K246" s="300">
        <v>42856</v>
      </c>
      <c r="L246" s="301" t="s">
        <v>3364</v>
      </c>
      <c r="M246" s="297" t="s">
        <v>5</v>
      </c>
      <c r="N246" s="297" t="s">
        <v>3365</v>
      </c>
      <c r="O246" s="299">
        <v>43244</v>
      </c>
      <c r="P246" s="302">
        <v>43244</v>
      </c>
      <c r="Q246" s="304" t="s">
        <v>2935</v>
      </c>
      <c r="R246" s="304" t="s">
        <v>63</v>
      </c>
      <c r="S246" s="304" t="s">
        <v>79</v>
      </c>
      <c r="T246" s="299">
        <v>43349</v>
      </c>
      <c r="U246" s="300">
        <v>43349</v>
      </c>
      <c r="V246" s="304" t="s">
        <v>2937</v>
      </c>
      <c r="W246" s="297" t="s">
        <v>63</v>
      </c>
      <c r="X246" s="304" t="s">
        <v>3366</v>
      </c>
      <c r="Y246" s="299">
        <v>43613</v>
      </c>
      <c r="Z246" s="300">
        <v>43613</v>
      </c>
      <c r="AA246" s="301" t="s">
        <v>8776</v>
      </c>
      <c r="AB246" s="297" t="s">
        <v>63</v>
      </c>
      <c r="AC246" s="297" t="s">
        <v>8243</v>
      </c>
      <c r="AD246" s="299">
        <v>43843</v>
      </c>
      <c r="AE246" s="300">
        <v>43843</v>
      </c>
      <c r="AF246" s="301" t="s">
        <v>9375</v>
      </c>
      <c r="AG246" s="297" t="s">
        <v>63</v>
      </c>
      <c r="AH246" s="297" t="s">
        <v>8243</v>
      </c>
      <c r="AI246" s="299">
        <v>44006</v>
      </c>
      <c r="AJ246" s="300">
        <v>44006</v>
      </c>
      <c r="AK246" s="301" t="s">
        <v>9528</v>
      </c>
      <c r="AL246" s="297" t="s">
        <v>63</v>
      </c>
      <c r="AM246" s="297" t="s">
        <v>9511</v>
      </c>
      <c r="AN246" s="297" t="s">
        <v>3367</v>
      </c>
      <c r="AO246" s="540">
        <v>42874</v>
      </c>
      <c r="AP246" s="297"/>
      <c r="AQ246" s="301" t="s">
        <v>3368</v>
      </c>
      <c r="AR246" s="297" t="s">
        <v>161</v>
      </c>
      <c r="AS246" s="299">
        <v>38147</v>
      </c>
      <c r="AT246" s="299">
        <v>39822</v>
      </c>
      <c r="AU246" s="297" t="s">
        <v>3369</v>
      </c>
      <c r="AV246" s="297"/>
      <c r="AW246" s="297" t="s">
        <v>92</v>
      </c>
      <c r="AX246" s="297" t="s">
        <v>3370</v>
      </c>
      <c r="AY246" s="299">
        <v>41470</v>
      </c>
      <c r="AZ246" s="297" t="s">
        <v>94</v>
      </c>
      <c r="BA246" s="299">
        <v>42326</v>
      </c>
      <c r="BB246" s="382">
        <v>42342</v>
      </c>
      <c r="BC246" s="297" t="s">
        <v>95</v>
      </c>
      <c r="BD246" s="297" t="s">
        <v>566</v>
      </c>
      <c r="BE246" s="297"/>
      <c r="BF246" s="301"/>
      <c r="BG246" s="308"/>
      <c r="BH246" s="301" t="s">
        <v>9818</v>
      </c>
      <c r="BI246" s="301"/>
      <c r="BJ246" s="301"/>
      <c r="BK246" s="312">
        <v>195358348</v>
      </c>
      <c r="BL246" s="313" t="s">
        <v>9819</v>
      </c>
      <c r="BM246" s="299" t="s">
        <v>9816</v>
      </c>
      <c r="BN246" s="314">
        <v>44165</v>
      </c>
      <c r="BO246" s="460"/>
      <c r="BP246" s="390"/>
      <c r="BQ246" s="297"/>
      <c r="BR246" s="303"/>
      <c r="BS246" s="301"/>
      <c r="BT246" s="301"/>
      <c r="BU246" s="301"/>
      <c r="BV246" s="301"/>
      <c r="BW246" s="316"/>
      <c r="BX246" s="304"/>
      <c r="BY246" s="299"/>
      <c r="BZ246" s="317"/>
      <c r="CA246" s="509"/>
      <c r="CB246" s="509"/>
      <c r="CC246" s="509"/>
      <c r="CD246" s="509"/>
      <c r="CE246" s="509"/>
      <c r="CF246" s="509"/>
      <c r="CG246" s="509"/>
      <c r="CH246" s="509"/>
      <c r="CI246" s="509"/>
      <c r="CJ246" s="509"/>
      <c r="CK246" s="509"/>
      <c r="CL246" s="509"/>
      <c r="CM246" s="509"/>
      <c r="CN246" s="509"/>
      <c r="CO246" s="509"/>
      <c r="CP246" s="509"/>
      <c r="CQ246" s="509"/>
      <c r="CR246" s="509"/>
      <c r="CS246" s="509"/>
      <c r="CT246" s="509"/>
      <c r="CU246" s="509"/>
      <c r="CV246" s="509"/>
      <c r="CW246" s="509"/>
      <c r="CX246" s="509"/>
      <c r="CY246" s="509"/>
      <c r="CZ246" s="509"/>
      <c r="DA246" s="509"/>
      <c r="DB246" s="509"/>
      <c r="DC246" s="509"/>
      <c r="DD246" s="509"/>
      <c r="DE246" s="509"/>
      <c r="DF246" s="509"/>
      <c r="DG246" s="509"/>
      <c r="DH246" s="509"/>
      <c r="DI246" s="509"/>
      <c r="DJ246" s="509"/>
      <c r="DK246" s="509"/>
      <c r="DL246" s="509"/>
      <c r="DM246" s="509"/>
      <c r="DN246" s="509"/>
      <c r="DO246" s="509"/>
      <c r="DP246" s="509"/>
      <c r="DQ246" s="509"/>
      <c r="DR246" s="509"/>
      <c r="DS246" s="509"/>
      <c r="DT246" s="509"/>
      <c r="DU246" s="509"/>
      <c r="DV246" s="509"/>
      <c r="DW246" s="509"/>
      <c r="DX246" s="509"/>
      <c r="DY246" s="509"/>
      <c r="DZ246" s="509"/>
      <c r="EA246" s="509"/>
      <c r="EB246" s="509"/>
      <c r="EC246" s="509"/>
      <c r="ED246" s="509"/>
      <c r="EE246" s="509"/>
      <c r="EF246" s="509"/>
      <c r="EG246" s="509"/>
      <c r="EH246" s="509"/>
      <c r="EI246" s="509"/>
      <c r="EJ246" s="509"/>
      <c r="EK246" s="509"/>
      <c r="EL246" s="509"/>
      <c r="EM246" s="509"/>
      <c r="EN246" s="509"/>
      <c r="EO246" s="509"/>
      <c r="EP246" s="509"/>
      <c r="EQ246" s="509"/>
      <c r="ER246" s="509"/>
      <c r="ES246" s="509"/>
      <c r="ET246" s="509"/>
      <c r="EU246" s="509"/>
      <c r="EV246" s="509"/>
      <c r="EW246" s="509"/>
      <c r="EX246" s="509"/>
      <c r="EY246" s="509"/>
      <c r="EZ246" s="509"/>
      <c r="FA246" s="509"/>
      <c r="FB246" s="509"/>
      <c r="FC246" s="509"/>
      <c r="FD246" s="509"/>
      <c r="FE246" s="509"/>
      <c r="FF246" s="509"/>
      <c r="FG246" s="509"/>
      <c r="FH246" s="509"/>
      <c r="FI246" s="509"/>
      <c r="FJ246" s="509"/>
      <c r="FK246" s="509"/>
      <c r="FL246" s="509"/>
      <c r="FM246" s="509"/>
      <c r="FN246" s="509"/>
      <c r="FO246" s="509"/>
      <c r="FP246" s="509"/>
      <c r="FQ246" s="509"/>
      <c r="FR246" s="509"/>
      <c r="FS246" s="509"/>
      <c r="FT246" s="509"/>
      <c r="FU246" s="509"/>
      <c r="FV246" s="509"/>
      <c r="FW246" s="509"/>
      <c r="FX246" s="509"/>
      <c r="FY246" s="509"/>
      <c r="FZ246" s="509"/>
      <c r="GA246" s="509"/>
      <c r="GB246" s="509"/>
      <c r="GC246" s="509"/>
      <c r="GD246" s="509"/>
      <c r="GE246" s="509"/>
      <c r="GF246" s="509"/>
      <c r="GG246" s="509"/>
      <c r="GH246" s="509"/>
      <c r="GI246" s="509"/>
      <c r="GJ246" s="509"/>
      <c r="GK246" s="509"/>
      <c r="GL246" s="509"/>
      <c r="GM246" s="509"/>
      <c r="GN246" s="509"/>
      <c r="GO246" s="509"/>
      <c r="GP246" s="509"/>
      <c r="GQ246" s="509"/>
      <c r="GR246" s="509"/>
      <c r="GS246" s="509"/>
      <c r="GT246" s="509"/>
      <c r="GU246" s="509"/>
      <c r="GV246" s="509"/>
      <c r="GW246" s="509"/>
      <c r="GX246" s="509"/>
      <c r="GY246" s="509"/>
      <c r="GZ246" s="509"/>
      <c r="HA246" s="509"/>
      <c r="HB246" s="509"/>
      <c r="HC246" s="509"/>
      <c r="HD246" s="509"/>
      <c r="HE246" s="509"/>
      <c r="HF246" s="509"/>
      <c r="HG246" s="509"/>
      <c r="HH246" s="509"/>
      <c r="HI246" s="509"/>
      <c r="HJ246" s="509"/>
      <c r="HK246" s="509"/>
      <c r="HL246" s="509"/>
      <c r="HM246" s="509"/>
      <c r="HN246" s="509"/>
      <c r="HO246" s="509"/>
      <c r="HP246" s="509"/>
      <c r="HQ246" s="509"/>
      <c r="HR246" s="509"/>
      <c r="HS246" s="509"/>
      <c r="HT246" s="509"/>
      <c r="HU246" s="509"/>
      <c r="HV246" s="509"/>
      <c r="HW246" s="509"/>
      <c r="HX246" s="509"/>
      <c r="HY246" s="509"/>
      <c r="HZ246" s="509"/>
      <c r="IA246" s="509"/>
      <c r="IB246" s="509"/>
      <c r="IC246" s="509"/>
      <c r="ID246" s="509"/>
      <c r="IE246" s="509"/>
      <c r="IF246" s="509"/>
      <c r="IG246" s="509"/>
      <c r="IH246" s="509"/>
      <c r="II246" s="509"/>
      <c r="IJ246" s="509"/>
      <c r="IK246" s="509"/>
      <c r="IL246" s="509"/>
      <c r="IM246" s="509"/>
      <c r="IN246" s="509"/>
      <c r="IO246" s="509"/>
      <c r="IP246" s="509"/>
      <c r="IQ246" s="509"/>
      <c r="IR246" s="509"/>
      <c r="IS246" s="509"/>
      <c r="IT246" s="509"/>
      <c r="IU246" s="509"/>
      <c r="IV246" s="509"/>
      <c r="IW246" s="509"/>
      <c r="IX246" s="509"/>
      <c r="IY246" s="509"/>
      <c r="IZ246" s="509"/>
      <c r="JA246" s="509"/>
      <c r="JB246" s="509"/>
      <c r="JC246" s="509"/>
      <c r="JD246" s="509"/>
      <c r="JE246" s="509"/>
      <c r="JF246" s="509"/>
      <c r="JG246" s="509"/>
      <c r="JH246" s="509"/>
      <c r="JI246" s="509"/>
      <c r="JJ246" s="509"/>
      <c r="JK246" s="509"/>
      <c r="JL246" s="509"/>
      <c r="JM246" s="509"/>
      <c r="JN246" s="509"/>
      <c r="JO246" s="509"/>
      <c r="JP246" s="509"/>
      <c r="JQ246" s="509"/>
      <c r="JR246" s="509"/>
      <c r="JS246" s="509"/>
      <c r="JT246" s="509"/>
      <c r="JU246" s="509"/>
      <c r="JV246" s="509"/>
      <c r="JW246" s="509"/>
      <c r="JX246" s="509"/>
      <c r="JY246" s="509"/>
      <c r="JZ246" s="509"/>
      <c r="KA246" s="509"/>
      <c r="KB246" s="509"/>
      <c r="KC246" s="509"/>
      <c r="KD246" s="509"/>
      <c r="KE246" s="509"/>
      <c r="KF246" s="509"/>
      <c r="KG246" s="509"/>
      <c r="KH246" s="509"/>
      <c r="KI246" s="509"/>
      <c r="KJ246" s="509"/>
      <c r="KK246" s="509"/>
      <c r="KL246" s="509"/>
      <c r="KM246" s="509"/>
      <c r="KN246" s="509"/>
      <c r="KO246" s="509"/>
      <c r="KP246" s="509"/>
      <c r="KQ246" s="509"/>
      <c r="KR246" s="509"/>
      <c r="KS246" s="509"/>
      <c r="KT246" s="509"/>
      <c r="KU246" s="509"/>
      <c r="KV246" s="509"/>
      <c r="KW246" s="509"/>
      <c r="KX246" s="509"/>
      <c r="KY246" s="509"/>
      <c r="KZ246" s="509"/>
      <c r="LA246" s="509"/>
      <c r="LB246" s="509"/>
      <c r="LC246" s="509"/>
      <c r="LD246" s="509"/>
      <c r="LE246" s="509"/>
      <c r="LF246" s="509"/>
      <c r="LG246" s="509"/>
      <c r="LH246" s="509"/>
      <c r="LI246" s="509"/>
      <c r="LJ246" s="509"/>
      <c r="LK246" s="509"/>
      <c r="LL246" s="509"/>
      <c r="LM246" s="509"/>
      <c r="LN246" s="509"/>
      <c r="LO246" s="509"/>
      <c r="LP246" s="509"/>
      <c r="LQ246" s="509"/>
      <c r="LR246" s="509"/>
      <c r="LS246" s="509"/>
      <c r="LT246" s="509"/>
      <c r="LU246" s="509"/>
      <c r="LV246" s="509"/>
      <c r="LW246" s="509"/>
      <c r="LX246" s="509"/>
      <c r="LY246" s="509"/>
      <c r="LZ246" s="509"/>
      <c r="MA246" s="509"/>
      <c r="MB246" s="509"/>
      <c r="MC246" s="509"/>
      <c r="MD246" s="509"/>
      <c r="ME246" s="509"/>
      <c r="MF246" s="509"/>
      <c r="MG246" s="509"/>
      <c r="MH246" s="509"/>
      <c r="MI246" s="509"/>
      <c r="MJ246" s="509"/>
      <c r="MK246" s="509"/>
      <c r="ML246" s="509"/>
      <c r="MM246" s="509"/>
      <c r="MN246" s="509"/>
      <c r="MO246" s="509"/>
      <c r="MP246" s="509"/>
      <c r="MQ246" s="509"/>
      <c r="MR246" s="509"/>
      <c r="MS246" s="509"/>
      <c r="MT246" s="509"/>
      <c r="MU246" s="509"/>
      <c r="MV246" s="509"/>
      <c r="MW246" s="509"/>
      <c r="MX246" s="509"/>
      <c r="MY246" s="509"/>
      <c r="MZ246" s="509"/>
      <c r="NA246" s="509"/>
      <c r="NB246" s="509"/>
      <c r="NC246" s="509"/>
      <c r="ND246" s="509"/>
      <c r="NE246" s="509"/>
      <c r="NF246" s="509"/>
      <c r="NG246" s="509"/>
      <c r="NH246" s="509"/>
      <c r="NI246" s="509"/>
      <c r="NJ246" s="509"/>
      <c r="NK246" s="509"/>
      <c r="NL246" s="509"/>
      <c r="NM246" s="509"/>
      <c r="NN246" s="509"/>
      <c r="NO246" s="509"/>
      <c r="NP246" s="509"/>
      <c r="NQ246" s="509"/>
      <c r="NR246" s="509"/>
      <c r="NS246" s="509"/>
      <c r="NT246" s="509"/>
      <c r="NU246" s="509"/>
      <c r="NV246" s="509"/>
      <c r="NW246" s="509"/>
      <c r="NX246" s="509"/>
      <c r="NY246" s="509"/>
      <c r="NZ246" s="509"/>
      <c r="OA246" s="509"/>
      <c r="OB246" s="509"/>
      <c r="OC246" s="509"/>
      <c r="OD246" s="509"/>
      <c r="OE246" s="509"/>
      <c r="OF246" s="509"/>
      <c r="OG246" s="509"/>
      <c r="OH246" s="509"/>
      <c r="OI246" s="509"/>
      <c r="OJ246" s="509"/>
      <c r="OK246" s="509"/>
      <c r="OL246" s="509"/>
      <c r="OM246" s="509"/>
      <c r="ON246" s="509"/>
      <c r="OO246" s="509"/>
      <c r="OP246" s="509"/>
      <c r="OQ246" s="509"/>
      <c r="OR246" s="509"/>
      <c r="OS246" s="509"/>
      <c r="OT246" s="509"/>
      <c r="OU246" s="509"/>
      <c r="OV246" s="509"/>
      <c r="OW246" s="509"/>
      <c r="OX246" s="509"/>
      <c r="OY246" s="509"/>
      <c r="OZ246" s="509"/>
      <c r="PA246" s="509"/>
      <c r="PB246" s="509"/>
      <c r="PC246" s="509"/>
      <c r="PD246" s="509"/>
      <c r="PE246" s="509"/>
      <c r="PF246" s="509"/>
      <c r="PG246" s="509"/>
      <c r="PH246" s="509"/>
      <c r="PI246" s="509"/>
      <c r="PJ246" s="509"/>
      <c r="PK246" s="509"/>
      <c r="PL246" s="509"/>
      <c r="PM246" s="509"/>
      <c r="PN246" s="509"/>
      <c r="PO246" s="509"/>
      <c r="PP246" s="509"/>
      <c r="PQ246" s="509"/>
      <c r="PR246" s="509"/>
      <c r="PS246" s="509"/>
      <c r="PT246" s="509"/>
      <c r="PU246" s="509"/>
      <c r="PV246" s="509"/>
      <c r="PW246" s="509"/>
      <c r="PX246" s="509"/>
      <c r="PY246" s="509"/>
      <c r="PZ246" s="509"/>
      <c r="QA246" s="509"/>
      <c r="QB246" s="509"/>
      <c r="QC246" s="509"/>
      <c r="QD246" s="509"/>
      <c r="QE246" s="509"/>
      <c r="QF246" s="509"/>
      <c r="QG246" s="509"/>
      <c r="QH246" s="509"/>
      <c r="QI246" s="509"/>
      <c r="QJ246" s="509"/>
      <c r="QK246" s="509"/>
      <c r="QL246" s="509"/>
      <c r="QM246" s="509"/>
      <c r="QN246" s="509"/>
      <c r="QO246" s="509"/>
      <c r="QP246" s="509"/>
      <c r="QQ246" s="509"/>
      <c r="QR246" s="509"/>
      <c r="QS246" s="509"/>
      <c r="QT246" s="509"/>
      <c r="QU246" s="509"/>
      <c r="QV246" s="509"/>
      <c r="QW246" s="509"/>
      <c r="QX246" s="509"/>
      <c r="QY246" s="509"/>
      <c r="QZ246" s="509"/>
      <c r="RA246" s="509"/>
      <c r="RB246" s="509"/>
      <c r="RC246" s="509"/>
      <c r="RD246" s="509"/>
      <c r="RE246" s="509"/>
      <c r="RF246" s="509"/>
      <c r="RG246" s="509"/>
      <c r="RH246" s="509"/>
      <c r="RI246" s="509"/>
      <c r="RJ246" s="509"/>
      <c r="RK246" s="509"/>
      <c r="RL246" s="509"/>
      <c r="RM246" s="509"/>
      <c r="RN246" s="509"/>
      <c r="RO246" s="509"/>
      <c r="RP246" s="509"/>
      <c r="RQ246" s="509"/>
      <c r="RR246" s="509"/>
      <c r="RS246" s="509"/>
      <c r="RT246" s="509"/>
      <c r="RU246" s="509"/>
      <c r="RV246" s="509"/>
      <c r="RW246" s="509"/>
      <c r="RX246" s="509"/>
      <c r="RY246" s="509"/>
      <c r="RZ246" s="509"/>
      <c r="SA246" s="509"/>
      <c r="SB246" s="509"/>
      <c r="SC246" s="509"/>
      <c r="SD246" s="509"/>
      <c r="SE246" s="509"/>
      <c r="SF246" s="509"/>
      <c r="SG246" s="509"/>
      <c r="SH246" s="509"/>
      <c r="SI246" s="509"/>
      <c r="SJ246" s="509"/>
      <c r="SK246" s="509"/>
      <c r="SL246" s="509"/>
      <c r="SM246" s="509"/>
      <c r="SN246" s="509"/>
      <c r="SO246" s="509"/>
      <c r="SP246" s="509"/>
      <c r="SQ246" s="509"/>
      <c r="SR246" s="509"/>
      <c r="SS246" s="509"/>
      <c r="ST246" s="509"/>
      <c r="SU246" s="509"/>
      <c r="SV246" s="509"/>
      <c r="SW246" s="509"/>
      <c r="SX246" s="509"/>
      <c r="SY246" s="509"/>
      <c r="SZ246" s="509"/>
      <c r="TA246" s="509"/>
      <c r="TB246" s="509"/>
      <c r="TC246" s="509"/>
      <c r="TD246" s="509"/>
      <c r="TE246" s="509"/>
      <c r="TF246" s="509"/>
      <c r="TG246" s="509"/>
      <c r="TH246" s="509"/>
      <c r="TI246" s="509"/>
      <c r="TJ246" s="509"/>
      <c r="TK246" s="509"/>
      <c r="TL246" s="509"/>
      <c r="TM246" s="509"/>
      <c r="TN246" s="509"/>
      <c r="TO246" s="509"/>
      <c r="TP246" s="509"/>
      <c r="TQ246" s="509"/>
      <c r="TR246" s="509"/>
      <c r="TS246" s="509"/>
      <c r="TT246" s="509"/>
      <c r="TU246" s="509"/>
      <c r="TV246" s="509"/>
      <c r="TW246" s="509"/>
      <c r="TX246" s="509"/>
      <c r="TY246" s="509"/>
      <c r="TZ246" s="509"/>
      <c r="UA246" s="509"/>
      <c r="UB246" s="509"/>
      <c r="UC246" s="509"/>
      <c r="UD246" s="509"/>
      <c r="UE246" s="509"/>
      <c r="UF246" s="509"/>
      <c r="UG246" s="509"/>
      <c r="UH246" s="509"/>
      <c r="UI246" s="509"/>
    </row>
    <row r="247" spans="1:555" ht="72.75" customHeight="1">
      <c r="A247" s="296">
        <v>295</v>
      </c>
      <c r="B247" s="297" t="s">
        <v>3381</v>
      </c>
      <c r="C247" s="298">
        <v>79325332</v>
      </c>
      <c r="D247" s="354" t="s">
        <v>3482</v>
      </c>
      <c r="E247" s="299">
        <v>42558</v>
      </c>
      <c r="F247" s="300">
        <v>42552</v>
      </c>
      <c r="G247" s="301" t="s">
        <v>3382</v>
      </c>
      <c r="H247" s="297" t="s">
        <v>625</v>
      </c>
      <c r="I247" s="297" t="s">
        <v>183</v>
      </c>
      <c r="J247" s="299">
        <v>42566</v>
      </c>
      <c r="K247" s="300">
        <v>42552</v>
      </c>
      <c r="L247" s="301" t="s">
        <v>3383</v>
      </c>
      <c r="M247" s="297" t="s">
        <v>195</v>
      </c>
      <c r="N247" s="297" t="s">
        <v>183</v>
      </c>
      <c r="O247" s="299">
        <v>42683</v>
      </c>
      <c r="P247" s="302">
        <v>42675</v>
      </c>
      <c r="Q247" s="301" t="s">
        <v>3384</v>
      </c>
      <c r="R247" s="297" t="s">
        <v>171</v>
      </c>
      <c r="S247" s="297" t="s">
        <v>183</v>
      </c>
      <c r="T247" s="299">
        <v>42762</v>
      </c>
      <c r="U247" s="300">
        <v>42736</v>
      </c>
      <c r="V247" s="301" t="s">
        <v>3385</v>
      </c>
      <c r="W247" s="297" t="s">
        <v>208</v>
      </c>
      <c r="X247" s="297" t="s">
        <v>101</v>
      </c>
      <c r="Y247" s="299">
        <v>42762</v>
      </c>
      <c r="Z247" s="300">
        <v>42736</v>
      </c>
      <c r="AA247" s="301" t="s">
        <v>3385</v>
      </c>
      <c r="AB247" s="297" t="s">
        <v>208</v>
      </c>
      <c r="AC247" s="297" t="s">
        <v>336</v>
      </c>
      <c r="AD247" s="299"/>
      <c r="AE247" s="300"/>
      <c r="AF247" s="301"/>
      <c r="AG247" s="297"/>
      <c r="AH247" s="297"/>
      <c r="AI247" s="322"/>
      <c r="AJ247" s="300"/>
      <c r="AK247" s="301"/>
      <c r="AL247" s="297"/>
      <c r="AM247" s="297"/>
      <c r="AN247" s="297" t="s">
        <v>3386</v>
      </c>
      <c r="AO247" s="473"/>
      <c r="AP247" s="297"/>
      <c r="AQ247" s="301" t="s">
        <v>3387</v>
      </c>
      <c r="AR247" s="297" t="s">
        <v>66</v>
      </c>
      <c r="AS247" s="299">
        <v>32528</v>
      </c>
      <c r="AT247" s="299">
        <v>40755</v>
      </c>
      <c r="AU247" s="297" t="s">
        <v>3388</v>
      </c>
      <c r="AV247" s="297"/>
      <c r="AW247" s="297" t="s">
        <v>69</v>
      </c>
      <c r="AX247" s="297" t="s">
        <v>3389</v>
      </c>
      <c r="AY247" s="299">
        <v>42216</v>
      </c>
      <c r="AZ247" s="297" t="s">
        <v>94</v>
      </c>
      <c r="BA247" s="299">
        <v>42530</v>
      </c>
      <c r="BB247" s="382">
        <v>42537</v>
      </c>
      <c r="BC247" s="303" t="s">
        <v>912</v>
      </c>
      <c r="BD247" s="303" t="s">
        <v>566</v>
      </c>
      <c r="BE247" s="297"/>
      <c r="BF247" s="301"/>
      <c r="BG247" s="308"/>
      <c r="BH247" s="301" t="s">
        <v>3390</v>
      </c>
      <c r="BI247" s="308"/>
      <c r="BJ247" s="312">
        <v>7746189</v>
      </c>
      <c r="BK247" s="312">
        <v>7746189</v>
      </c>
      <c r="BL247" s="313">
        <v>115249318</v>
      </c>
      <c r="BM247" s="299">
        <v>43216</v>
      </c>
      <c r="BN247" s="314">
        <v>43191</v>
      </c>
      <c r="BO247" s="460" t="s">
        <v>3391</v>
      </c>
      <c r="BP247" s="390"/>
      <c r="BQ247" s="297"/>
      <c r="BR247" s="303"/>
      <c r="BS247" s="301"/>
      <c r="BT247" s="301"/>
      <c r="BU247" s="301"/>
      <c r="BV247" s="301"/>
      <c r="BW247" s="316"/>
      <c r="BX247" s="304"/>
      <c r="BY247" s="299"/>
      <c r="BZ247" s="317"/>
    </row>
    <row r="248" spans="1:555" s="259" customFormat="1" ht="72" customHeight="1">
      <c r="A248" s="894">
        <v>297</v>
      </c>
      <c r="B248" s="895" t="s">
        <v>3399</v>
      </c>
      <c r="C248" s="896">
        <v>80246234</v>
      </c>
      <c r="D248" s="897" t="s">
        <v>167</v>
      </c>
      <c r="E248" s="898">
        <v>42559</v>
      </c>
      <c r="F248" s="899">
        <v>42552</v>
      </c>
      <c r="G248" s="900" t="s">
        <v>3400</v>
      </c>
      <c r="H248" s="895" t="s">
        <v>625</v>
      </c>
      <c r="I248" s="895" t="s">
        <v>183</v>
      </c>
      <c r="J248" s="898">
        <v>42570</v>
      </c>
      <c r="K248" s="899">
        <v>42552</v>
      </c>
      <c r="L248" s="900" t="s">
        <v>3401</v>
      </c>
      <c r="M248" s="895" t="s">
        <v>195</v>
      </c>
      <c r="N248" s="895" t="s">
        <v>336</v>
      </c>
      <c r="O248" s="898">
        <v>42585</v>
      </c>
      <c r="P248" s="901">
        <v>42583</v>
      </c>
      <c r="Q248" s="900" t="s">
        <v>3402</v>
      </c>
      <c r="R248" s="895" t="s">
        <v>171</v>
      </c>
      <c r="S248" s="895" t="s">
        <v>1544</v>
      </c>
      <c r="T248" s="898">
        <v>42622</v>
      </c>
      <c r="U248" s="899">
        <v>42614</v>
      </c>
      <c r="V248" s="900" t="s">
        <v>3403</v>
      </c>
      <c r="W248" s="895" t="s">
        <v>171</v>
      </c>
      <c r="X248" s="895" t="s">
        <v>1544</v>
      </c>
      <c r="Y248" s="898">
        <v>42831</v>
      </c>
      <c r="Z248" s="899">
        <v>42826</v>
      </c>
      <c r="AA248" s="900" t="s">
        <v>3404</v>
      </c>
      <c r="AB248" s="895" t="s">
        <v>5</v>
      </c>
      <c r="AC248" s="895" t="s">
        <v>79</v>
      </c>
      <c r="AD248" s="898">
        <v>43207</v>
      </c>
      <c r="AE248" s="899">
        <v>43191</v>
      </c>
      <c r="AF248" s="900" t="s">
        <v>3405</v>
      </c>
      <c r="AG248" s="895" t="s">
        <v>1480</v>
      </c>
      <c r="AH248" s="895" t="s">
        <v>3406</v>
      </c>
      <c r="AI248" s="898">
        <v>43838</v>
      </c>
      <c r="AJ248" s="899">
        <v>43838</v>
      </c>
      <c r="AK248" s="900" t="s">
        <v>9365</v>
      </c>
      <c r="AL248" s="895" t="s">
        <v>208</v>
      </c>
      <c r="AM248" s="895" t="s">
        <v>8243</v>
      </c>
      <c r="AN248" s="895" t="s">
        <v>3407</v>
      </c>
      <c r="AO248" s="902">
        <v>42831</v>
      </c>
      <c r="AP248" s="895"/>
      <c r="AQ248" s="900" t="s">
        <v>3408</v>
      </c>
      <c r="AR248" s="895" t="s">
        <v>161</v>
      </c>
      <c r="AS248" s="898">
        <v>38496</v>
      </c>
      <c r="AT248" s="898">
        <v>40862</v>
      </c>
      <c r="AU248" s="895" t="s">
        <v>3409</v>
      </c>
      <c r="AV248" s="895"/>
      <c r="AW248" s="895" t="s">
        <v>69</v>
      </c>
      <c r="AX248" s="895" t="s">
        <v>3410</v>
      </c>
      <c r="AY248" s="898">
        <v>42178</v>
      </c>
      <c r="AZ248" s="895" t="s">
        <v>94</v>
      </c>
      <c r="BA248" s="898">
        <v>42474</v>
      </c>
      <c r="BB248" s="898">
        <v>42480</v>
      </c>
      <c r="BC248" s="895" t="s">
        <v>95</v>
      </c>
      <c r="BD248" s="895" t="s">
        <v>566</v>
      </c>
      <c r="BE248" s="895"/>
      <c r="BF248" s="900" t="s">
        <v>7443</v>
      </c>
      <c r="BG248" s="903"/>
      <c r="BH248" s="690" t="s">
        <v>9875</v>
      </c>
      <c r="BI248" s="900"/>
      <c r="BJ248" s="900"/>
      <c r="BK248" s="904">
        <v>268954461</v>
      </c>
      <c r="BL248" s="905">
        <v>392685320</v>
      </c>
      <c r="BM248" s="898">
        <v>44195</v>
      </c>
      <c r="BN248" s="906">
        <v>44195</v>
      </c>
      <c r="BO248" s="699" t="s">
        <v>10562</v>
      </c>
      <c r="BP248" s="700" t="s">
        <v>67</v>
      </c>
      <c r="BQ248" s="686" t="s">
        <v>67</v>
      </c>
      <c r="BR248" s="907"/>
      <c r="BS248" s="900"/>
      <c r="BT248" s="900"/>
      <c r="BU248" s="900"/>
      <c r="BV248" s="900"/>
      <c r="BW248" s="908"/>
      <c r="BX248" s="909"/>
      <c r="BY248" s="898"/>
      <c r="BZ248" s="910"/>
      <c r="CA248" s="509"/>
      <c r="CB248" s="509"/>
      <c r="CC248" s="509"/>
      <c r="CD248" s="509"/>
      <c r="CE248" s="509"/>
      <c r="CF248" s="509"/>
      <c r="CG248" s="509"/>
      <c r="CH248" s="509"/>
      <c r="CI248" s="509"/>
      <c r="CJ248" s="509"/>
      <c r="CK248" s="509"/>
      <c r="CL248" s="509"/>
      <c r="CM248" s="509"/>
      <c r="CN248" s="509"/>
      <c r="CO248" s="509"/>
      <c r="CP248" s="509"/>
      <c r="CQ248" s="509"/>
      <c r="CR248" s="509"/>
      <c r="CS248" s="509"/>
      <c r="CT248" s="509"/>
      <c r="CU248" s="509"/>
      <c r="CV248" s="509"/>
      <c r="CW248" s="509"/>
      <c r="CX248" s="509"/>
      <c r="CY248" s="509"/>
      <c r="CZ248" s="509"/>
      <c r="DA248" s="509"/>
      <c r="DB248" s="509"/>
      <c r="DC248" s="509"/>
      <c r="DD248" s="509"/>
      <c r="DE248" s="509"/>
      <c r="DF248" s="509"/>
      <c r="DG248" s="509"/>
      <c r="DH248" s="509"/>
      <c r="DI248" s="509"/>
      <c r="DJ248" s="509"/>
      <c r="DK248" s="509"/>
      <c r="DL248" s="509"/>
      <c r="DM248" s="509"/>
      <c r="DN248" s="509"/>
      <c r="DO248" s="509"/>
      <c r="DP248" s="509"/>
      <c r="DQ248" s="509"/>
      <c r="DR248" s="509"/>
      <c r="DS248" s="509"/>
      <c r="DT248" s="509"/>
      <c r="DU248" s="509"/>
      <c r="DV248" s="509"/>
      <c r="DW248" s="509"/>
      <c r="DX248" s="509"/>
      <c r="DY248" s="509"/>
      <c r="DZ248" s="509"/>
      <c r="EA248" s="509"/>
      <c r="EB248" s="509"/>
      <c r="EC248" s="509"/>
      <c r="ED248" s="509"/>
      <c r="EE248" s="509"/>
      <c r="EF248" s="509"/>
      <c r="EG248" s="509"/>
      <c r="EH248" s="509"/>
      <c r="EI248" s="509"/>
      <c r="EJ248" s="509"/>
      <c r="EK248" s="509"/>
      <c r="EL248" s="509"/>
      <c r="EM248" s="509"/>
      <c r="EN248" s="509"/>
      <c r="EO248" s="509"/>
      <c r="EP248" s="509"/>
      <c r="EQ248" s="509"/>
      <c r="ER248" s="509"/>
      <c r="ES248" s="509"/>
      <c r="ET248" s="509"/>
      <c r="EU248" s="509"/>
      <c r="EV248" s="509"/>
      <c r="EW248" s="509"/>
      <c r="EX248" s="509"/>
      <c r="EY248" s="509"/>
      <c r="EZ248" s="509"/>
      <c r="FA248" s="509"/>
      <c r="FB248" s="509"/>
      <c r="FC248" s="509"/>
      <c r="FD248" s="509"/>
      <c r="FE248" s="509"/>
      <c r="FF248" s="509"/>
      <c r="FG248" s="509"/>
      <c r="FH248" s="509"/>
      <c r="FI248" s="509"/>
      <c r="FJ248" s="509"/>
      <c r="FK248" s="509"/>
      <c r="FL248" s="509"/>
      <c r="FM248" s="509"/>
      <c r="FN248" s="509"/>
      <c r="FO248" s="509"/>
      <c r="FP248" s="509"/>
      <c r="FQ248" s="509"/>
      <c r="FR248" s="509"/>
      <c r="FS248" s="509"/>
      <c r="FT248" s="509"/>
      <c r="FU248" s="509"/>
      <c r="FV248" s="509"/>
      <c r="FW248" s="509"/>
      <c r="FX248" s="509"/>
      <c r="FY248" s="509"/>
      <c r="FZ248" s="509"/>
      <c r="GA248" s="509"/>
      <c r="GB248" s="509"/>
      <c r="GC248" s="509"/>
      <c r="GD248" s="509"/>
      <c r="GE248" s="509"/>
      <c r="GF248" s="509"/>
      <c r="GG248" s="509"/>
      <c r="GH248" s="509"/>
      <c r="GI248" s="509"/>
      <c r="GJ248" s="509"/>
      <c r="GK248" s="509"/>
      <c r="GL248" s="509"/>
      <c r="GM248" s="509"/>
      <c r="GN248" s="509"/>
      <c r="GO248" s="509"/>
      <c r="GP248" s="509"/>
      <c r="GQ248" s="509"/>
      <c r="GR248" s="509"/>
      <c r="GS248" s="509"/>
      <c r="GT248" s="509"/>
      <c r="GU248" s="509"/>
      <c r="GV248" s="509"/>
      <c r="GW248" s="509"/>
      <c r="GX248" s="509"/>
      <c r="GY248" s="509"/>
      <c r="GZ248" s="509"/>
      <c r="HA248" s="509"/>
      <c r="HB248" s="509"/>
      <c r="HC248" s="509"/>
      <c r="HD248" s="509"/>
      <c r="HE248" s="509"/>
      <c r="HF248" s="509"/>
      <c r="HG248" s="509"/>
      <c r="HH248" s="509"/>
      <c r="HI248" s="509"/>
      <c r="HJ248" s="509"/>
      <c r="HK248" s="509"/>
      <c r="HL248" s="509"/>
      <c r="HM248" s="509"/>
      <c r="HN248" s="509"/>
      <c r="HO248" s="509"/>
      <c r="HP248" s="509"/>
      <c r="HQ248" s="509"/>
      <c r="HR248" s="509"/>
      <c r="HS248" s="509"/>
      <c r="HT248" s="509"/>
      <c r="HU248" s="509"/>
      <c r="HV248" s="509"/>
      <c r="HW248" s="509"/>
      <c r="HX248" s="509"/>
      <c r="HY248" s="509"/>
      <c r="HZ248" s="509"/>
      <c r="IA248" s="509"/>
      <c r="IB248" s="509"/>
      <c r="IC248" s="509"/>
      <c r="ID248" s="509"/>
      <c r="IE248" s="509"/>
      <c r="IF248" s="509"/>
      <c r="IG248" s="509"/>
      <c r="IH248" s="509"/>
      <c r="II248" s="509"/>
      <c r="IJ248" s="509"/>
      <c r="IK248" s="509"/>
      <c r="IL248" s="509"/>
      <c r="IM248" s="509"/>
      <c r="IN248" s="509"/>
      <c r="IO248" s="509"/>
      <c r="IP248" s="509"/>
      <c r="IQ248" s="509"/>
      <c r="IR248" s="509"/>
      <c r="IS248" s="509"/>
      <c r="IT248" s="509"/>
      <c r="IU248" s="509"/>
      <c r="IV248" s="509"/>
      <c r="IW248" s="509"/>
      <c r="IX248" s="509"/>
      <c r="IY248" s="509"/>
      <c r="IZ248" s="509"/>
      <c r="JA248" s="509"/>
      <c r="JB248" s="509"/>
      <c r="JC248" s="509"/>
      <c r="JD248" s="509"/>
      <c r="JE248" s="509"/>
      <c r="JF248" s="509"/>
      <c r="JG248" s="509"/>
      <c r="JH248" s="509"/>
      <c r="JI248" s="509"/>
      <c r="JJ248" s="509"/>
      <c r="JK248" s="509"/>
      <c r="JL248" s="509"/>
      <c r="JM248" s="509"/>
      <c r="JN248" s="509"/>
      <c r="JO248" s="509"/>
      <c r="JP248" s="509"/>
      <c r="JQ248" s="509"/>
      <c r="JR248" s="509"/>
      <c r="JS248" s="509"/>
      <c r="JT248" s="509"/>
      <c r="JU248" s="509"/>
      <c r="JV248" s="509"/>
      <c r="JW248" s="509"/>
      <c r="JX248" s="509"/>
      <c r="JY248" s="509"/>
      <c r="JZ248" s="509"/>
      <c r="KA248" s="509"/>
      <c r="KB248" s="509"/>
      <c r="KC248" s="509"/>
      <c r="KD248" s="509"/>
      <c r="KE248" s="509"/>
      <c r="KF248" s="509"/>
      <c r="KG248" s="509"/>
      <c r="KH248" s="509"/>
      <c r="KI248" s="509"/>
      <c r="KJ248" s="509"/>
      <c r="KK248" s="509"/>
      <c r="KL248" s="509"/>
      <c r="KM248" s="509"/>
      <c r="KN248" s="509"/>
      <c r="KO248" s="509"/>
      <c r="KP248" s="509"/>
      <c r="KQ248" s="509"/>
      <c r="KR248" s="509"/>
      <c r="KS248" s="509"/>
      <c r="KT248" s="509"/>
      <c r="KU248" s="509"/>
      <c r="KV248" s="509"/>
      <c r="KW248" s="509"/>
      <c r="KX248" s="509"/>
      <c r="KY248" s="509"/>
      <c r="KZ248" s="509"/>
      <c r="LA248" s="509"/>
      <c r="LB248" s="509"/>
      <c r="LC248" s="509"/>
      <c r="LD248" s="509"/>
      <c r="LE248" s="509"/>
      <c r="LF248" s="509"/>
      <c r="LG248" s="509"/>
      <c r="LH248" s="509"/>
      <c r="LI248" s="509"/>
      <c r="LJ248" s="509"/>
      <c r="LK248" s="509"/>
      <c r="LL248" s="509"/>
      <c r="LM248" s="509"/>
      <c r="LN248" s="509"/>
      <c r="LO248" s="509"/>
      <c r="LP248" s="509"/>
      <c r="LQ248" s="509"/>
      <c r="LR248" s="509"/>
      <c r="LS248" s="509"/>
      <c r="LT248" s="509"/>
      <c r="LU248" s="509"/>
      <c r="LV248" s="509"/>
      <c r="LW248" s="509"/>
      <c r="LX248" s="509"/>
      <c r="LY248" s="509"/>
      <c r="LZ248" s="509"/>
      <c r="MA248" s="509"/>
      <c r="MB248" s="509"/>
      <c r="MC248" s="509"/>
      <c r="MD248" s="509"/>
      <c r="ME248" s="509"/>
      <c r="MF248" s="509"/>
      <c r="MG248" s="509"/>
      <c r="MH248" s="509"/>
      <c r="MI248" s="509"/>
      <c r="MJ248" s="509"/>
      <c r="MK248" s="509"/>
      <c r="ML248" s="509"/>
      <c r="MM248" s="509"/>
      <c r="MN248" s="509"/>
      <c r="MO248" s="509"/>
      <c r="MP248" s="509"/>
      <c r="MQ248" s="509"/>
      <c r="MR248" s="509"/>
      <c r="MS248" s="509"/>
      <c r="MT248" s="509"/>
      <c r="MU248" s="509"/>
      <c r="MV248" s="509"/>
      <c r="MW248" s="509"/>
      <c r="MX248" s="509"/>
      <c r="MY248" s="509"/>
      <c r="MZ248" s="509"/>
      <c r="NA248" s="509"/>
      <c r="NB248" s="509"/>
      <c r="NC248" s="509"/>
      <c r="ND248" s="509"/>
      <c r="NE248" s="509"/>
      <c r="NF248" s="509"/>
      <c r="NG248" s="509"/>
      <c r="NH248" s="509"/>
      <c r="NI248" s="509"/>
      <c r="NJ248" s="509"/>
      <c r="NK248" s="509"/>
      <c r="NL248" s="509"/>
      <c r="NM248" s="509"/>
      <c r="NN248" s="509"/>
      <c r="NO248" s="509"/>
      <c r="NP248" s="509"/>
      <c r="NQ248" s="509"/>
      <c r="NR248" s="509"/>
      <c r="NS248" s="509"/>
      <c r="NT248" s="509"/>
      <c r="NU248" s="509"/>
      <c r="NV248" s="509"/>
      <c r="NW248" s="509"/>
      <c r="NX248" s="509"/>
      <c r="NY248" s="509"/>
      <c r="NZ248" s="509"/>
      <c r="OA248" s="509"/>
      <c r="OB248" s="509"/>
      <c r="OC248" s="509"/>
      <c r="OD248" s="509"/>
      <c r="OE248" s="509"/>
      <c r="OF248" s="509"/>
      <c r="OG248" s="509"/>
      <c r="OH248" s="509"/>
      <c r="OI248" s="509"/>
      <c r="OJ248" s="509"/>
      <c r="OK248" s="509"/>
      <c r="OL248" s="509"/>
      <c r="OM248" s="509"/>
      <c r="ON248" s="509"/>
      <c r="OO248" s="509"/>
      <c r="OP248" s="509"/>
      <c r="OQ248" s="509"/>
      <c r="OR248" s="509"/>
      <c r="OS248" s="509"/>
      <c r="OT248" s="509"/>
      <c r="OU248" s="509"/>
      <c r="OV248" s="509"/>
      <c r="OW248" s="509"/>
      <c r="OX248" s="509"/>
      <c r="OY248" s="509"/>
      <c r="OZ248" s="509"/>
      <c r="PA248" s="509"/>
      <c r="PB248" s="509"/>
      <c r="PC248" s="509"/>
      <c r="PD248" s="509"/>
      <c r="PE248" s="509"/>
      <c r="PF248" s="509"/>
      <c r="PG248" s="509"/>
      <c r="PH248" s="509"/>
      <c r="PI248" s="509"/>
      <c r="PJ248" s="509"/>
      <c r="PK248" s="509"/>
      <c r="PL248" s="509"/>
      <c r="PM248" s="509"/>
      <c r="PN248" s="509"/>
      <c r="PO248" s="509"/>
      <c r="PP248" s="509"/>
      <c r="PQ248" s="509"/>
      <c r="PR248" s="509"/>
      <c r="PS248" s="509"/>
      <c r="PT248" s="509"/>
      <c r="PU248" s="509"/>
      <c r="PV248" s="509"/>
      <c r="PW248" s="509"/>
      <c r="PX248" s="509"/>
      <c r="PY248" s="509"/>
      <c r="PZ248" s="509"/>
      <c r="QA248" s="509"/>
      <c r="QB248" s="509"/>
      <c r="QC248" s="509"/>
      <c r="QD248" s="509"/>
      <c r="QE248" s="509"/>
      <c r="QF248" s="509"/>
      <c r="QG248" s="509"/>
      <c r="QH248" s="509"/>
      <c r="QI248" s="509"/>
      <c r="QJ248" s="509"/>
      <c r="QK248" s="509"/>
      <c r="QL248" s="509"/>
      <c r="QM248" s="509"/>
      <c r="QN248" s="509"/>
      <c r="QO248" s="509"/>
      <c r="QP248" s="509"/>
      <c r="QQ248" s="509"/>
      <c r="QR248" s="509"/>
      <c r="QS248" s="509"/>
      <c r="QT248" s="509"/>
      <c r="QU248" s="509"/>
      <c r="QV248" s="509"/>
      <c r="QW248" s="509"/>
      <c r="QX248" s="509"/>
      <c r="QY248" s="509"/>
      <c r="QZ248" s="509"/>
      <c r="RA248" s="509"/>
      <c r="RB248" s="509"/>
      <c r="RC248" s="509"/>
      <c r="RD248" s="509"/>
      <c r="RE248" s="509"/>
      <c r="RF248" s="509"/>
      <c r="RG248" s="509"/>
      <c r="RH248" s="509"/>
      <c r="RI248" s="509"/>
      <c r="RJ248" s="509"/>
      <c r="RK248" s="509"/>
      <c r="RL248" s="509"/>
      <c r="RM248" s="509"/>
      <c r="RN248" s="509"/>
      <c r="RO248" s="509"/>
      <c r="RP248" s="509"/>
      <c r="RQ248" s="509"/>
      <c r="RR248" s="509"/>
      <c r="RS248" s="509"/>
      <c r="RT248" s="509"/>
      <c r="RU248" s="509"/>
      <c r="RV248" s="509"/>
      <c r="RW248" s="509"/>
      <c r="RX248" s="509"/>
      <c r="RY248" s="509"/>
      <c r="RZ248" s="509"/>
      <c r="SA248" s="509"/>
      <c r="SB248" s="509"/>
      <c r="SC248" s="509"/>
      <c r="SD248" s="509"/>
      <c r="SE248" s="509"/>
      <c r="SF248" s="509"/>
      <c r="SG248" s="509"/>
      <c r="SH248" s="509"/>
      <c r="SI248" s="509"/>
      <c r="SJ248" s="509"/>
      <c r="SK248" s="509"/>
      <c r="SL248" s="509"/>
      <c r="SM248" s="509"/>
      <c r="SN248" s="509"/>
      <c r="SO248" s="509"/>
      <c r="SP248" s="509"/>
      <c r="SQ248" s="509"/>
      <c r="SR248" s="509"/>
      <c r="SS248" s="509"/>
      <c r="ST248" s="509"/>
      <c r="SU248" s="509"/>
      <c r="SV248" s="509"/>
      <c r="SW248" s="509"/>
      <c r="SX248" s="509"/>
      <c r="SY248" s="509"/>
      <c r="SZ248" s="509"/>
      <c r="TA248" s="509"/>
      <c r="TB248" s="509"/>
      <c r="TC248" s="509"/>
      <c r="TD248" s="509"/>
      <c r="TE248" s="509"/>
      <c r="TF248" s="509"/>
      <c r="TG248" s="509"/>
      <c r="TH248" s="509"/>
      <c r="TI248" s="509"/>
      <c r="TJ248" s="509"/>
      <c r="TK248" s="509"/>
      <c r="TL248" s="509"/>
      <c r="TM248" s="509"/>
      <c r="TN248" s="509"/>
      <c r="TO248" s="509"/>
      <c r="TP248" s="509"/>
      <c r="TQ248" s="509"/>
      <c r="TR248" s="509"/>
      <c r="TS248" s="509"/>
      <c r="TT248" s="509"/>
      <c r="TU248" s="509"/>
      <c r="TV248" s="509"/>
      <c r="TW248" s="509"/>
      <c r="TX248" s="509"/>
      <c r="TY248" s="509"/>
      <c r="TZ248" s="509"/>
      <c r="UA248" s="509"/>
      <c r="UB248" s="509"/>
      <c r="UC248" s="509"/>
      <c r="UD248" s="509"/>
      <c r="UE248" s="509"/>
      <c r="UF248" s="509"/>
      <c r="UG248" s="509"/>
      <c r="UH248" s="509"/>
      <c r="UI248" s="509"/>
    </row>
    <row r="249" spans="1:555" ht="85.5" customHeight="1">
      <c r="A249" s="296">
        <v>298</v>
      </c>
      <c r="B249" s="297" t="s">
        <v>3411</v>
      </c>
      <c r="C249" s="329">
        <v>73141871</v>
      </c>
      <c r="D249" s="354" t="s">
        <v>167</v>
      </c>
      <c r="E249" s="299">
        <v>42559</v>
      </c>
      <c r="F249" s="300">
        <v>42552</v>
      </c>
      <c r="G249" s="301" t="s">
        <v>3412</v>
      </c>
      <c r="H249" s="297" t="s">
        <v>1974</v>
      </c>
      <c r="I249" s="297" t="s">
        <v>183</v>
      </c>
      <c r="J249" s="299">
        <v>42614</v>
      </c>
      <c r="K249" s="300">
        <v>42614</v>
      </c>
      <c r="L249" s="301" t="s">
        <v>3413</v>
      </c>
      <c r="M249" s="297" t="s">
        <v>503</v>
      </c>
      <c r="N249" s="297" t="s">
        <v>1082</v>
      </c>
      <c r="O249" s="299">
        <v>42705</v>
      </c>
      <c r="P249" s="302">
        <v>42705</v>
      </c>
      <c r="Q249" s="301" t="s">
        <v>3414</v>
      </c>
      <c r="R249" s="297" t="s">
        <v>5</v>
      </c>
      <c r="S249" s="297" t="s">
        <v>101</v>
      </c>
      <c r="T249" s="299"/>
      <c r="U249" s="300"/>
      <c r="V249" s="301"/>
      <c r="W249" s="297"/>
      <c r="X249" s="297"/>
      <c r="Y249" s="299"/>
      <c r="Z249" s="300"/>
      <c r="AA249" s="301"/>
      <c r="AB249" s="297"/>
      <c r="AC249" s="297"/>
      <c r="AD249" s="299"/>
      <c r="AE249" s="300"/>
      <c r="AF249" s="301"/>
      <c r="AG249" s="297"/>
      <c r="AH249" s="297"/>
      <c r="AI249" s="322"/>
      <c r="AJ249" s="300"/>
      <c r="AK249" s="301"/>
      <c r="AL249" s="297"/>
      <c r="AM249" s="297"/>
      <c r="AN249" s="297" t="s">
        <v>3336</v>
      </c>
      <c r="AO249" s="540">
        <v>42705</v>
      </c>
      <c r="AP249" s="297"/>
      <c r="AQ249" s="301" t="s">
        <v>3415</v>
      </c>
      <c r="AR249" s="297" t="s">
        <v>161</v>
      </c>
      <c r="AS249" s="299">
        <v>38596</v>
      </c>
      <c r="AT249" s="299">
        <v>39794</v>
      </c>
      <c r="AU249" s="297" t="s">
        <v>3416</v>
      </c>
      <c r="AV249" s="297"/>
      <c r="AW249" s="297" t="s">
        <v>92</v>
      </c>
      <c r="AX249" s="297" t="s">
        <v>3417</v>
      </c>
      <c r="AY249" s="299">
        <v>42570</v>
      </c>
      <c r="AZ249" s="297" t="s">
        <v>576</v>
      </c>
      <c r="BA249" s="299">
        <v>42487</v>
      </c>
      <c r="BB249" s="382">
        <v>42517</v>
      </c>
      <c r="BC249" s="297" t="s">
        <v>95</v>
      </c>
      <c r="BD249" s="297" t="s">
        <v>566</v>
      </c>
      <c r="BE249" s="297"/>
      <c r="BF249" s="301" t="s">
        <v>7315</v>
      </c>
      <c r="BG249" s="308"/>
      <c r="BH249" s="301" t="s">
        <v>9862</v>
      </c>
      <c r="BI249" s="301"/>
      <c r="BJ249" s="301"/>
      <c r="BK249" s="312">
        <v>170157065</v>
      </c>
      <c r="BL249" s="313">
        <v>391732820</v>
      </c>
      <c r="BM249" s="299">
        <v>44195</v>
      </c>
      <c r="BN249" s="314">
        <v>44166</v>
      </c>
      <c r="BO249" s="460"/>
      <c r="BP249" s="390"/>
      <c r="BQ249" s="297"/>
      <c r="BR249" s="303"/>
      <c r="BS249" s="301"/>
      <c r="BT249" s="301"/>
      <c r="BU249" s="301"/>
      <c r="BV249" s="301"/>
      <c r="BW249" s="316"/>
      <c r="BX249" s="304"/>
      <c r="BY249" s="299"/>
      <c r="BZ249" s="317"/>
      <c r="CA249" s="509"/>
      <c r="CB249" s="509"/>
      <c r="CC249" s="509"/>
      <c r="CD249" s="509"/>
      <c r="CE249" s="509"/>
      <c r="CF249" s="509"/>
      <c r="CG249" s="509"/>
      <c r="CH249" s="509"/>
      <c r="CI249" s="509"/>
      <c r="CJ249" s="509"/>
      <c r="CK249" s="509"/>
      <c r="CL249" s="509"/>
      <c r="CM249" s="509"/>
      <c r="CN249" s="509"/>
      <c r="CO249" s="509"/>
      <c r="CP249" s="509"/>
      <c r="CQ249" s="509"/>
      <c r="CR249" s="509"/>
      <c r="CS249" s="509"/>
      <c r="CT249" s="509"/>
      <c r="CU249" s="509"/>
      <c r="CV249" s="509"/>
      <c r="CW249" s="509"/>
      <c r="CX249" s="509"/>
      <c r="CY249" s="509"/>
      <c r="CZ249" s="509"/>
      <c r="DA249" s="509"/>
      <c r="DB249" s="509"/>
      <c r="DC249" s="509"/>
      <c r="DD249" s="509"/>
      <c r="DE249" s="509"/>
      <c r="DF249" s="509"/>
      <c r="DG249" s="509"/>
      <c r="DH249" s="509"/>
      <c r="DI249" s="509"/>
      <c r="DJ249" s="509"/>
      <c r="DK249" s="509"/>
      <c r="DL249" s="509"/>
      <c r="DM249" s="509"/>
      <c r="DN249" s="509"/>
      <c r="DO249" s="509"/>
      <c r="DP249" s="509"/>
      <c r="DQ249" s="509"/>
      <c r="DR249" s="509"/>
      <c r="DS249" s="509"/>
      <c r="DT249" s="509"/>
      <c r="DU249" s="509"/>
      <c r="DV249" s="509"/>
      <c r="DW249" s="509"/>
      <c r="DX249" s="509"/>
      <c r="DY249" s="509"/>
      <c r="DZ249" s="509"/>
      <c r="EA249" s="509"/>
      <c r="EB249" s="509"/>
      <c r="EC249" s="509"/>
      <c r="ED249" s="509"/>
      <c r="EE249" s="509"/>
      <c r="EF249" s="509"/>
      <c r="EG249" s="509"/>
      <c r="EH249" s="509"/>
      <c r="EI249" s="509"/>
      <c r="EJ249" s="509"/>
      <c r="EK249" s="509"/>
      <c r="EL249" s="509"/>
      <c r="EM249" s="509"/>
      <c r="EN249" s="509"/>
      <c r="EO249" s="509"/>
      <c r="EP249" s="509"/>
      <c r="EQ249" s="509"/>
      <c r="ER249" s="509"/>
      <c r="ES249" s="509"/>
      <c r="ET249" s="509"/>
      <c r="EU249" s="509"/>
      <c r="EV249" s="509"/>
      <c r="EW249" s="509"/>
      <c r="EX249" s="509"/>
      <c r="EY249" s="509"/>
      <c r="EZ249" s="509"/>
      <c r="FA249" s="509"/>
      <c r="FB249" s="509"/>
      <c r="FC249" s="509"/>
      <c r="FD249" s="509"/>
      <c r="FE249" s="509"/>
      <c r="FF249" s="509"/>
      <c r="FG249" s="509"/>
      <c r="FH249" s="509"/>
      <c r="FI249" s="509"/>
      <c r="FJ249" s="509"/>
      <c r="FK249" s="509"/>
      <c r="FL249" s="509"/>
      <c r="FM249" s="509"/>
      <c r="FN249" s="509"/>
      <c r="FO249" s="509"/>
      <c r="FP249" s="509"/>
      <c r="FQ249" s="509"/>
      <c r="FR249" s="509"/>
      <c r="FS249" s="509"/>
      <c r="FT249" s="509"/>
      <c r="FU249" s="509"/>
      <c r="FV249" s="509"/>
      <c r="FW249" s="509"/>
      <c r="FX249" s="509"/>
      <c r="FY249" s="509"/>
      <c r="FZ249" s="509"/>
      <c r="GA249" s="509"/>
      <c r="GB249" s="509"/>
      <c r="GC249" s="509"/>
      <c r="GD249" s="509"/>
      <c r="GE249" s="509"/>
      <c r="GF249" s="509"/>
      <c r="GG249" s="509"/>
      <c r="GH249" s="509"/>
      <c r="GI249" s="509"/>
      <c r="GJ249" s="509"/>
      <c r="GK249" s="509"/>
      <c r="GL249" s="509"/>
      <c r="GM249" s="509"/>
      <c r="GN249" s="509"/>
      <c r="GO249" s="509"/>
      <c r="GP249" s="509"/>
      <c r="GQ249" s="509"/>
      <c r="GR249" s="509"/>
      <c r="GS249" s="509"/>
      <c r="GT249" s="509"/>
      <c r="GU249" s="509"/>
      <c r="GV249" s="509"/>
      <c r="GW249" s="509"/>
      <c r="GX249" s="509"/>
      <c r="GY249" s="509"/>
      <c r="GZ249" s="509"/>
      <c r="HA249" s="509"/>
      <c r="HB249" s="509"/>
      <c r="HC249" s="509"/>
      <c r="HD249" s="509"/>
      <c r="HE249" s="509"/>
      <c r="HF249" s="509"/>
      <c r="HG249" s="509"/>
      <c r="HH249" s="509"/>
      <c r="HI249" s="509"/>
      <c r="HJ249" s="509"/>
      <c r="HK249" s="509"/>
      <c r="HL249" s="509"/>
      <c r="HM249" s="509"/>
      <c r="HN249" s="509"/>
      <c r="HO249" s="509"/>
      <c r="HP249" s="509"/>
      <c r="HQ249" s="509"/>
      <c r="HR249" s="509"/>
      <c r="HS249" s="509"/>
      <c r="HT249" s="509"/>
      <c r="HU249" s="509"/>
      <c r="HV249" s="509"/>
      <c r="HW249" s="509"/>
      <c r="HX249" s="509"/>
      <c r="HY249" s="509"/>
      <c r="HZ249" s="509"/>
      <c r="IA249" s="509"/>
      <c r="IB249" s="509"/>
      <c r="IC249" s="509"/>
      <c r="ID249" s="509"/>
      <c r="IE249" s="509"/>
      <c r="IF249" s="509"/>
      <c r="IG249" s="509"/>
      <c r="IH249" s="509"/>
      <c r="II249" s="509"/>
      <c r="IJ249" s="509"/>
      <c r="IK249" s="509"/>
      <c r="IL249" s="509"/>
      <c r="IM249" s="509"/>
      <c r="IN249" s="509"/>
      <c r="IO249" s="509"/>
      <c r="IP249" s="509"/>
      <c r="IQ249" s="509"/>
      <c r="IR249" s="509"/>
      <c r="IS249" s="509"/>
      <c r="IT249" s="509"/>
      <c r="IU249" s="509"/>
      <c r="IV249" s="509"/>
      <c r="IW249" s="509"/>
      <c r="IX249" s="509"/>
      <c r="IY249" s="509"/>
      <c r="IZ249" s="509"/>
      <c r="JA249" s="509"/>
      <c r="JB249" s="509"/>
      <c r="JC249" s="509"/>
      <c r="JD249" s="509"/>
      <c r="JE249" s="509"/>
      <c r="JF249" s="509"/>
      <c r="JG249" s="509"/>
      <c r="JH249" s="509"/>
      <c r="JI249" s="509"/>
      <c r="JJ249" s="509"/>
      <c r="JK249" s="509"/>
      <c r="JL249" s="509"/>
      <c r="JM249" s="509"/>
      <c r="JN249" s="509"/>
      <c r="JO249" s="509"/>
      <c r="JP249" s="509"/>
      <c r="JQ249" s="509"/>
      <c r="JR249" s="509"/>
      <c r="JS249" s="509"/>
      <c r="JT249" s="509"/>
      <c r="JU249" s="509"/>
      <c r="JV249" s="509"/>
      <c r="JW249" s="509"/>
      <c r="JX249" s="509"/>
      <c r="JY249" s="509"/>
      <c r="JZ249" s="509"/>
      <c r="KA249" s="509"/>
      <c r="KB249" s="509"/>
      <c r="KC249" s="509"/>
      <c r="KD249" s="509"/>
      <c r="KE249" s="509"/>
      <c r="KF249" s="509"/>
      <c r="KG249" s="509"/>
      <c r="KH249" s="509"/>
      <c r="KI249" s="509"/>
      <c r="KJ249" s="509"/>
      <c r="KK249" s="509"/>
      <c r="KL249" s="509"/>
      <c r="KM249" s="509"/>
      <c r="KN249" s="509"/>
      <c r="KO249" s="509"/>
      <c r="KP249" s="509"/>
      <c r="KQ249" s="509"/>
      <c r="KR249" s="509"/>
      <c r="KS249" s="509"/>
      <c r="KT249" s="509"/>
      <c r="KU249" s="509"/>
      <c r="KV249" s="509"/>
      <c r="KW249" s="509"/>
      <c r="KX249" s="509"/>
      <c r="KY249" s="509"/>
      <c r="KZ249" s="509"/>
      <c r="LA249" s="509"/>
      <c r="LB249" s="509"/>
      <c r="LC249" s="509"/>
      <c r="LD249" s="509"/>
      <c r="LE249" s="509"/>
      <c r="LF249" s="509"/>
      <c r="LG249" s="509"/>
      <c r="LH249" s="509"/>
      <c r="LI249" s="509"/>
      <c r="LJ249" s="509"/>
      <c r="LK249" s="509"/>
      <c r="LL249" s="509"/>
      <c r="LM249" s="509"/>
      <c r="LN249" s="509"/>
      <c r="LO249" s="509"/>
      <c r="LP249" s="509"/>
      <c r="LQ249" s="509"/>
      <c r="LR249" s="509"/>
      <c r="LS249" s="509"/>
      <c r="LT249" s="509"/>
      <c r="LU249" s="509"/>
      <c r="LV249" s="509"/>
      <c r="LW249" s="509"/>
      <c r="LX249" s="509"/>
      <c r="LY249" s="509"/>
      <c r="LZ249" s="509"/>
      <c r="MA249" s="509"/>
      <c r="MB249" s="509"/>
      <c r="MC249" s="509"/>
      <c r="MD249" s="509"/>
      <c r="ME249" s="509"/>
      <c r="MF249" s="509"/>
      <c r="MG249" s="509"/>
      <c r="MH249" s="509"/>
      <c r="MI249" s="509"/>
      <c r="MJ249" s="509"/>
      <c r="MK249" s="509"/>
      <c r="ML249" s="509"/>
      <c r="MM249" s="509"/>
      <c r="MN249" s="509"/>
      <c r="MO249" s="509"/>
      <c r="MP249" s="509"/>
      <c r="MQ249" s="509"/>
      <c r="MR249" s="509"/>
      <c r="MS249" s="509"/>
      <c r="MT249" s="509"/>
      <c r="MU249" s="509"/>
      <c r="MV249" s="509"/>
      <c r="MW249" s="509"/>
      <c r="MX249" s="509"/>
      <c r="MY249" s="509"/>
      <c r="MZ249" s="509"/>
      <c r="NA249" s="509"/>
      <c r="NB249" s="509"/>
      <c r="NC249" s="509"/>
      <c r="ND249" s="509"/>
      <c r="NE249" s="509"/>
      <c r="NF249" s="509"/>
      <c r="NG249" s="509"/>
      <c r="NH249" s="509"/>
      <c r="NI249" s="509"/>
      <c r="NJ249" s="509"/>
      <c r="NK249" s="509"/>
      <c r="NL249" s="509"/>
      <c r="NM249" s="509"/>
      <c r="NN249" s="509"/>
      <c r="NO249" s="509"/>
      <c r="NP249" s="509"/>
      <c r="NQ249" s="509"/>
      <c r="NR249" s="509"/>
      <c r="NS249" s="509"/>
      <c r="NT249" s="509"/>
      <c r="NU249" s="509"/>
      <c r="NV249" s="509"/>
      <c r="NW249" s="509"/>
      <c r="NX249" s="509"/>
      <c r="NY249" s="509"/>
      <c r="NZ249" s="509"/>
      <c r="OA249" s="509"/>
      <c r="OB249" s="509"/>
      <c r="OC249" s="509"/>
      <c r="OD249" s="509"/>
      <c r="OE249" s="509"/>
      <c r="OF249" s="509"/>
      <c r="OG249" s="509"/>
      <c r="OH249" s="509"/>
      <c r="OI249" s="509"/>
      <c r="OJ249" s="509"/>
      <c r="OK249" s="509"/>
      <c r="OL249" s="509"/>
      <c r="OM249" s="509"/>
      <c r="ON249" s="509"/>
      <c r="OO249" s="509"/>
      <c r="OP249" s="509"/>
      <c r="OQ249" s="509"/>
      <c r="OR249" s="509"/>
      <c r="OS249" s="509"/>
      <c r="OT249" s="509"/>
      <c r="OU249" s="509"/>
      <c r="OV249" s="509"/>
      <c r="OW249" s="509"/>
      <c r="OX249" s="509"/>
      <c r="OY249" s="509"/>
      <c r="OZ249" s="509"/>
      <c r="PA249" s="509"/>
      <c r="PB249" s="509"/>
      <c r="PC249" s="509"/>
      <c r="PD249" s="509"/>
      <c r="PE249" s="509"/>
      <c r="PF249" s="509"/>
      <c r="PG249" s="509"/>
      <c r="PH249" s="509"/>
      <c r="PI249" s="509"/>
      <c r="PJ249" s="509"/>
      <c r="PK249" s="509"/>
      <c r="PL249" s="509"/>
      <c r="PM249" s="509"/>
      <c r="PN249" s="509"/>
      <c r="PO249" s="509"/>
      <c r="PP249" s="509"/>
      <c r="PQ249" s="509"/>
      <c r="PR249" s="509"/>
      <c r="PS249" s="509"/>
      <c r="PT249" s="509"/>
      <c r="PU249" s="509"/>
      <c r="PV249" s="509"/>
      <c r="PW249" s="509"/>
      <c r="PX249" s="509"/>
      <c r="PY249" s="509"/>
      <c r="PZ249" s="509"/>
      <c r="QA249" s="509"/>
      <c r="QB249" s="509"/>
      <c r="QC249" s="509"/>
      <c r="QD249" s="509"/>
      <c r="QE249" s="509"/>
      <c r="QF249" s="509"/>
      <c r="QG249" s="509"/>
      <c r="QH249" s="509"/>
      <c r="QI249" s="509"/>
      <c r="QJ249" s="509"/>
      <c r="QK249" s="509"/>
      <c r="QL249" s="509"/>
      <c r="QM249" s="509"/>
      <c r="QN249" s="509"/>
      <c r="QO249" s="509"/>
      <c r="QP249" s="509"/>
      <c r="QQ249" s="509"/>
      <c r="QR249" s="509"/>
      <c r="QS249" s="509"/>
      <c r="QT249" s="509"/>
      <c r="QU249" s="509"/>
      <c r="QV249" s="509"/>
      <c r="QW249" s="509"/>
      <c r="QX249" s="509"/>
      <c r="QY249" s="509"/>
      <c r="QZ249" s="509"/>
      <c r="RA249" s="509"/>
      <c r="RB249" s="509"/>
      <c r="RC249" s="509"/>
      <c r="RD249" s="509"/>
      <c r="RE249" s="509"/>
      <c r="RF249" s="509"/>
      <c r="RG249" s="509"/>
      <c r="RH249" s="509"/>
      <c r="RI249" s="509"/>
      <c r="RJ249" s="509"/>
      <c r="RK249" s="509"/>
      <c r="RL249" s="509"/>
      <c r="RM249" s="509"/>
      <c r="RN249" s="509"/>
      <c r="RO249" s="509"/>
      <c r="RP249" s="509"/>
      <c r="RQ249" s="509"/>
      <c r="RR249" s="509"/>
      <c r="RS249" s="509"/>
      <c r="RT249" s="509"/>
      <c r="RU249" s="509"/>
      <c r="RV249" s="509"/>
      <c r="RW249" s="509"/>
      <c r="RX249" s="509"/>
      <c r="RY249" s="509"/>
      <c r="RZ249" s="509"/>
      <c r="SA249" s="509"/>
      <c r="SB249" s="509"/>
      <c r="SC249" s="509"/>
      <c r="SD249" s="509"/>
      <c r="SE249" s="509"/>
      <c r="SF249" s="509"/>
      <c r="SG249" s="509"/>
      <c r="SH249" s="509"/>
      <c r="SI249" s="509"/>
      <c r="SJ249" s="509"/>
      <c r="SK249" s="509"/>
      <c r="SL249" s="509"/>
      <c r="SM249" s="509"/>
      <c r="SN249" s="509"/>
      <c r="SO249" s="509"/>
      <c r="SP249" s="509"/>
      <c r="SQ249" s="509"/>
      <c r="SR249" s="509"/>
      <c r="SS249" s="509"/>
      <c r="ST249" s="509"/>
      <c r="SU249" s="509"/>
      <c r="SV249" s="509"/>
      <c r="SW249" s="509"/>
      <c r="SX249" s="509"/>
      <c r="SY249" s="509"/>
      <c r="SZ249" s="509"/>
      <c r="TA249" s="509"/>
      <c r="TB249" s="509"/>
      <c r="TC249" s="509"/>
      <c r="TD249" s="509"/>
      <c r="TE249" s="509"/>
      <c r="TF249" s="509"/>
      <c r="TG249" s="509"/>
      <c r="TH249" s="509"/>
      <c r="TI249" s="509"/>
      <c r="TJ249" s="509"/>
      <c r="TK249" s="509"/>
      <c r="TL249" s="509"/>
      <c r="TM249" s="509"/>
      <c r="TN249" s="509"/>
      <c r="TO249" s="509"/>
      <c r="TP249" s="509"/>
      <c r="TQ249" s="509"/>
      <c r="TR249" s="509"/>
      <c r="TS249" s="509"/>
      <c r="TT249" s="509"/>
      <c r="TU249" s="509"/>
      <c r="TV249" s="509"/>
      <c r="TW249" s="509"/>
      <c r="TX249" s="509"/>
      <c r="TY249" s="509"/>
      <c r="TZ249" s="509"/>
      <c r="UA249" s="509"/>
      <c r="UB249" s="509"/>
      <c r="UC249" s="509"/>
      <c r="UD249" s="509"/>
      <c r="UE249" s="509"/>
      <c r="UF249" s="509"/>
      <c r="UG249" s="509"/>
      <c r="UH249" s="509"/>
      <c r="UI249" s="509"/>
    </row>
    <row r="250" spans="1:555" ht="210" customHeight="1">
      <c r="A250" s="296">
        <v>302</v>
      </c>
      <c r="B250" s="297" t="s">
        <v>3444</v>
      </c>
      <c r="C250" s="329">
        <v>9817605</v>
      </c>
      <c r="D250" s="354" t="s">
        <v>677</v>
      </c>
      <c r="E250" s="299">
        <v>42565</v>
      </c>
      <c r="F250" s="300">
        <v>42552</v>
      </c>
      <c r="G250" s="301" t="s">
        <v>3445</v>
      </c>
      <c r="H250" s="297" t="s">
        <v>5</v>
      </c>
      <c r="I250" s="297" t="s">
        <v>101</v>
      </c>
      <c r="J250" s="299">
        <v>43209</v>
      </c>
      <c r="K250" s="300">
        <v>43191</v>
      </c>
      <c r="L250" s="301" t="s">
        <v>3446</v>
      </c>
      <c r="M250" s="297" t="s">
        <v>5</v>
      </c>
      <c r="N250" s="297" t="s">
        <v>107</v>
      </c>
      <c r="O250" s="299">
        <v>43209</v>
      </c>
      <c r="P250" s="302">
        <v>43191</v>
      </c>
      <c r="Q250" s="301" t="s">
        <v>3446</v>
      </c>
      <c r="R250" s="297" t="s">
        <v>208</v>
      </c>
      <c r="S250" s="297" t="s">
        <v>107</v>
      </c>
      <c r="T250" s="299">
        <v>43224</v>
      </c>
      <c r="U250" s="300">
        <v>43221</v>
      </c>
      <c r="V250" s="301" t="s">
        <v>3447</v>
      </c>
      <c r="W250" s="297" t="s">
        <v>208</v>
      </c>
      <c r="X250" s="297" t="s">
        <v>107</v>
      </c>
      <c r="Y250" s="299">
        <v>43237</v>
      </c>
      <c r="Z250" s="300">
        <v>43221</v>
      </c>
      <c r="AA250" s="301" t="s">
        <v>800</v>
      </c>
      <c r="AB250" s="297" t="s">
        <v>5</v>
      </c>
      <c r="AC250" s="297" t="s">
        <v>3448</v>
      </c>
      <c r="AD250" s="299">
        <v>43405</v>
      </c>
      <c r="AE250" s="300">
        <v>43405</v>
      </c>
      <c r="AF250" s="301" t="s">
        <v>7383</v>
      </c>
      <c r="AG250" s="297" t="s">
        <v>5</v>
      </c>
      <c r="AH250" s="297" t="s">
        <v>7384</v>
      </c>
      <c r="AI250" s="299" t="s">
        <v>10655</v>
      </c>
      <c r="AJ250" s="300" t="s">
        <v>10656</v>
      </c>
      <c r="AK250" s="301" t="s">
        <v>10654</v>
      </c>
      <c r="AL250" s="297" t="s">
        <v>10657</v>
      </c>
      <c r="AM250" s="297" t="s">
        <v>10658</v>
      </c>
      <c r="AN250" s="297" t="s">
        <v>1359</v>
      </c>
      <c r="AO250" s="540">
        <v>42563</v>
      </c>
      <c r="AP250" s="297"/>
      <c r="AQ250" s="301" t="s">
        <v>3449</v>
      </c>
      <c r="AR250" s="297" t="s">
        <v>161</v>
      </c>
      <c r="AS250" s="299">
        <v>38504</v>
      </c>
      <c r="AT250" s="299">
        <v>40144</v>
      </c>
      <c r="AU250" s="297" t="s">
        <v>7385</v>
      </c>
      <c r="AV250" s="297"/>
      <c r="AW250" s="297" t="s">
        <v>92</v>
      </c>
      <c r="AX250" s="297" t="s">
        <v>2665</v>
      </c>
      <c r="AY250" s="299">
        <v>41726</v>
      </c>
      <c r="AZ250" s="297" t="s">
        <v>1040</v>
      </c>
      <c r="BA250" s="299">
        <v>42440</v>
      </c>
      <c r="BB250" s="382">
        <v>42461</v>
      </c>
      <c r="BC250" s="297" t="s">
        <v>95</v>
      </c>
      <c r="BD250" s="297" t="s">
        <v>566</v>
      </c>
      <c r="BE250" s="297"/>
      <c r="BF250" s="301" t="s">
        <v>7351</v>
      </c>
      <c r="BG250" s="308"/>
      <c r="BH250" s="301" t="s">
        <v>9817</v>
      </c>
      <c r="BI250" s="301"/>
      <c r="BJ250" s="301"/>
      <c r="BK250" s="312">
        <v>142063687</v>
      </c>
      <c r="BL250" s="313">
        <v>391812920</v>
      </c>
      <c r="BM250" s="299">
        <v>44195</v>
      </c>
      <c r="BN250" s="314">
        <v>44195</v>
      </c>
      <c r="BO250" s="460"/>
      <c r="BP250" s="390"/>
      <c r="BQ250" s="297"/>
      <c r="BR250" s="303"/>
      <c r="BS250" s="301"/>
      <c r="BT250" s="301"/>
      <c r="BU250" s="301"/>
      <c r="BV250" s="301"/>
      <c r="BW250" s="316"/>
      <c r="BX250" s="304"/>
      <c r="BY250" s="299"/>
      <c r="BZ250" s="317"/>
      <c r="CA250" s="509"/>
      <c r="CB250" s="509"/>
      <c r="CC250" s="509"/>
      <c r="CD250" s="509"/>
      <c r="CE250" s="509"/>
      <c r="CF250" s="509"/>
      <c r="CG250" s="509"/>
      <c r="CH250" s="509"/>
      <c r="CI250" s="509"/>
      <c r="CJ250" s="509"/>
      <c r="CK250" s="509"/>
      <c r="CL250" s="509"/>
      <c r="CM250" s="509"/>
      <c r="CN250" s="509"/>
      <c r="CO250" s="509"/>
      <c r="CP250" s="509"/>
      <c r="CQ250" s="509"/>
      <c r="CR250" s="509"/>
      <c r="CS250" s="509"/>
      <c r="CT250" s="509"/>
      <c r="CU250" s="509"/>
      <c r="CV250" s="509"/>
      <c r="CW250" s="509"/>
      <c r="CX250" s="509"/>
      <c r="CY250" s="509"/>
      <c r="CZ250" s="509"/>
      <c r="DA250" s="509"/>
      <c r="DB250" s="509"/>
      <c r="DC250" s="509"/>
      <c r="DD250" s="509"/>
      <c r="DE250" s="509"/>
      <c r="DF250" s="509"/>
      <c r="DG250" s="509"/>
      <c r="DH250" s="509"/>
      <c r="DI250" s="509"/>
      <c r="DJ250" s="509"/>
      <c r="DK250" s="509"/>
      <c r="DL250" s="509"/>
      <c r="DM250" s="509"/>
      <c r="DN250" s="509"/>
      <c r="DO250" s="509"/>
      <c r="DP250" s="509"/>
      <c r="DQ250" s="509"/>
      <c r="DR250" s="509"/>
      <c r="DS250" s="509"/>
      <c r="DT250" s="509"/>
      <c r="DU250" s="509"/>
      <c r="DV250" s="509"/>
      <c r="DW250" s="509"/>
      <c r="DX250" s="509"/>
      <c r="DY250" s="509"/>
      <c r="DZ250" s="509"/>
      <c r="EA250" s="509"/>
      <c r="EB250" s="509"/>
      <c r="EC250" s="509"/>
      <c r="ED250" s="509"/>
      <c r="EE250" s="509"/>
      <c r="EF250" s="509"/>
      <c r="EG250" s="509"/>
      <c r="EH250" s="509"/>
      <c r="EI250" s="509"/>
      <c r="EJ250" s="509"/>
      <c r="EK250" s="509"/>
      <c r="EL250" s="509"/>
      <c r="EM250" s="509"/>
      <c r="EN250" s="509"/>
      <c r="EO250" s="509"/>
      <c r="EP250" s="509"/>
      <c r="EQ250" s="509"/>
      <c r="ER250" s="509"/>
      <c r="ES250" s="509"/>
      <c r="ET250" s="509"/>
      <c r="EU250" s="509"/>
      <c r="EV250" s="509"/>
      <c r="EW250" s="509"/>
      <c r="EX250" s="509"/>
      <c r="EY250" s="509"/>
      <c r="EZ250" s="509"/>
      <c r="FA250" s="509"/>
      <c r="FB250" s="509"/>
      <c r="FC250" s="509"/>
      <c r="FD250" s="509"/>
      <c r="FE250" s="509"/>
      <c r="FF250" s="509"/>
      <c r="FG250" s="509"/>
      <c r="FH250" s="509"/>
      <c r="FI250" s="509"/>
      <c r="FJ250" s="509"/>
      <c r="FK250" s="509"/>
      <c r="FL250" s="509"/>
      <c r="FM250" s="509"/>
      <c r="FN250" s="509"/>
      <c r="FO250" s="509"/>
      <c r="FP250" s="509"/>
      <c r="FQ250" s="509"/>
      <c r="FR250" s="509"/>
      <c r="FS250" s="509"/>
      <c r="FT250" s="509"/>
      <c r="FU250" s="509"/>
      <c r="FV250" s="509"/>
      <c r="FW250" s="509"/>
      <c r="FX250" s="509"/>
      <c r="FY250" s="509"/>
      <c r="FZ250" s="509"/>
      <c r="GA250" s="509"/>
      <c r="GB250" s="509"/>
      <c r="GC250" s="509"/>
      <c r="GD250" s="509"/>
      <c r="GE250" s="509"/>
      <c r="GF250" s="509"/>
      <c r="GG250" s="509"/>
      <c r="GH250" s="509"/>
      <c r="GI250" s="509"/>
      <c r="GJ250" s="509"/>
      <c r="GK250" s="509"/>
      <c r="GL250" s="509"/>
      <c r="GM250" s="509"/>
      <c r="GN250" s="509"/>
      <c r="GO250" s="509"/>
      <c r="GP250" s="509"/>
      <c r="GQ250" s="509"/>
      <c r="GR250" s="509"/>
      <c r="GS250" s="509"/>
      <c r="GT250" s="509"/>
      <c r="GU250" s="509"/>
      <c r="GV250" s="509"/>
      <c r="GW250" s="509"/>
      <c r="GX250" s="509"/>
      <c r="GY250" s="509"/>
      <c r="GZ250" s="509"/>
      <c r="HA250" s="509"/>
      <c r="HB250" s="509"/>
      <c r="HC250" s="509"/>
      <c r="HD250" s="509"/>
      <c r="HE250" s="509"/>
      <c r="HF250" s="509"/>
      <c r="HG250" s="509"/>
      <c r="HH250" s="509"/>
      <c r="HI250" s="509"/>
      <c r="HJ250" s="509"/>
      <c r="HK250" s="509"/>
      <c r="HL250" s="509"/>
      <c r="HM250" s="509"/>
      <c r="HN250" s="509"/>
      <c r="HO250" s="509"/>
      <c r="HP250" s="509"/>
      <c r="HQ250" s="509"/>
      <c r="HR250" s="509"/>
      <c r="HS250" s="509"/>
      <c r="HT250" s="509"/>
      <c r="HU250" s="509"/>
      <c r="HV250" s="509"/>
      <c r="HW250" s="509"/>
      <c r="HX250" s="509"/>
      <c r="HY250" s="509"/>
      <c r="HZ250" s="509"/>
      <c r="IA250" s="509"/>
      <c r="IB250" s="509"/>
      <c r="IC250" s="509"/>
      <c r="ID250" s="509"/>
      <c r="IE250" s="509"/>
      <c r="IF250" s="509"/>
      <c r="IG250" s="509"/>
      <c r="IH250" s="509"/>
      <c r="II250" s="509"/>
      <c r="IJ250" s="509"/>
      <c r="IK250" s="509"/>
      <c r="IL250" s="509"/>
      <c r="IM250" s="509"/>
      <c r="IN250" s="509"/>
      <c r="IO250" s="509"/>
      <c r="IP250" s="509"/>
      <c r="IQ250" s="509"/>
      <c r="IR250" s="509"/>
      <c r="IS250" s="509"/>
      <c r="IT250" s="509"/>
      <c r="IU250" s="509"/>
      <c r="IV250" s="509"/>
      <c r="IW250" s="509"/>
      <c r="IX250" s="509"/>
      <c r="IY250" s="509"/>
      <c r="IZ250" s="509"/>
      <c r="JA250" s="509"/>
      <c r="JB250" s="509"/>
      <c r="JC250" s="509"/>
      <c r="JD250" s="509"/>
      <c r="JE250" s="509"/>
      <c r="JF250" s="509"/>
      <c r="JG250" s="509"/>
      <c r="JH250" s="509"/>
      <c r="JI250" s="509"/>
      <c r="JJ250" s="509"/>
      <c r="JK250" s="509"/>
      <c r="JL250" s="509"/>
      <c r="JM250" s="509"/>
      <c r="JN250" s="509"/>
      <c r="JO250" s="509"/>
      <c r="JP250" s="509"/>
      <c r="JQ250" s="509"/>
      <c r="JR250" s="509"/>
      <c r="JS250" s="509"/>
      <c r="JT250" s="509"/>
      <c r="JU250" s="509"/>
      <c r="JV250" s="509"/>
      <c r="JW250" s="509"/>
      <c r="JX250" s="509"/>
      <c r="JY250" s="509"/>
      <c r="JZ250" s="509"/>
      <c r="KA250" s="509"/>
      <c r="KB250" s="509"/>
      <c r="KC250" s="509"/>
      <c r="KD250" s="509"/>
      <c r="KE250" s="509"/>
      <c r="KF250" s="509"/>
      <c r="KG250" s="509"/>
      <c r="KH250" s="509"/>
      <c r="KI250" s="509"/>
      <c r="KJ250" s="509"/>
      <c r="KK250" s="509"/>
      <c r="KL250" s="509"/>
      <c r="KM250" s="509"/>
      <c r="KN250" s="509"/>
      <c r="KO250" s="509"/>
      <c r="KP250" s="509"/>
      <c r="KQ250" s="509"/>
      <c r="KR250" s="509"/>
      <c r="KS250" s="509"/>
      <c r="KT250" s="509"/>
      <c r="KU250" s="509"/>
      <c r="KV250" s="509"/>
      <c r="KW250" s="509"/>
      <c r="KX250" s="509"/>
      <c r="KY250" s="509"/>
      <c r="KZ250" s="509"/>
      <c r="LA250" s="509"/>
      <c r="LB250" s="509"/>
      <c r="LC250" s="509"/>
      <c r="LD250" s="509"/>
      <c r="LE250" s="509"/>
      <c r="LF250" s="509"/>
      <c r="LG250" s="509"/>
      <c r="LH250" s="509"/>
      <c r="LI250" s="509"/>
      <c r="LJ250" s="509"/>
      <c r="LK250" s="509"/>
      <c r="LL250" s="509"/>
      <c r="LM250" s="509"/>
      <c r="LN250" s="509"/>
      <c r="LO250" s="509"/>
      <c r="LP250" s="509"/>
      <c r="LQ250" s="509"/>
      <c r="LR250" s="509"/>
      <c r="LS250" s="509"/>
      <c r="LT250" s="509"/>
      <c r="LU250" s="509"/>
      <c r="LV250" s="509"/>
      <c r="LW250" s="509"/>
      <c r="LX250" s="509"/>
      <c r="LY250" s="509"/>
      <c r="LZ250" s="509"/>
      <c r="MA250" s="509"/>
      <c r="MB250" s="509"/>
      <c r="MC250" s="509"/>
      <c r="MD250" s="509"/>
      <c r="ME250" s="509"/>
      <c r="MF250" s="509"/>
      <c r="MG250" s="509"/>
      <c r="MH250" s="509"/>
      <c r="MI250" s="509"/>
      <c r="MJ250" s="509"/>
      <c r="MK250" s="509"/>
      <c r="ML250" s="509"/>
      <c r="MM250" s="509"/>
      <c r="MN250" s="509"/>
      <c r="MO250" s="509"/>
      <c r="MP250" s="509"/>
      <c r="MQ250" s="509"/>
      <c r="MR250" s="509"/>
      <c r="MS250" s="509"/>
      <c r="MT250" s="509"/>
      <c r="MU250" s="509"/>
      <c r="MV250" s="509"/>
      <c r="MW250" s="509"/>
      <c r="MX250" s="509"/>
      <c r="MY250" s="509"/>
      <c r="MZ250" s="509"/>
      <c r="NA250" s="509"/>
      <c r="NB250" s="509"/>
      <c r="NC250" s="509"/>
      <c r="ND250" s="509"/>
      <c r="NE250" s="509"/>
      <c r="NF250" s="509"/>
      <c r="NG250" s="509"/>
      <c r="NH250" s="509"/>
      <c r="NI250" s="509"/>
      <c r="NJ250" s="509"/>
      <c r="NK250" s="509"/>
      <c r="NL250" s="509"/>
      <c r="NM250" s="509"/>
      <c r="NN250" s="509"/>
      <c r="NO250" s="509"/>
      <c r="NP250" s="509"/>
      <c r="NQ250" s="509"/>
      <c r="NR250" s="509"/>
      <c r="NS250" s="509"/>
      <c r="NT250" s="509"/>
      <c r="NU250" s="509"/>
      <c r="NV250" s="509"/>
      <c r="NW250" s="509"/>
      <c r="NX250" s="509"/>
      <c r="NY250" s="509"/>
      <c r="NZ250" s="509"/>
      <c r="OA250" s="509"/>
      <c r="OB250" s="509"/>
      <c r="OC250" s="509"/>
      <c r="OD250" s="509"/>
      <c r="OE250" s="509"/>
      <c r="OF250" s="509"/>
      <c r="OG250" s="509"/>
      <c r="OH250" s="509"/>
      <c r="OI250" s="509"/>
      <c r="OJ250" s="509"/>
      <c r="OK250" s="509"/>
      <c r="OL250" s="509"/>
      <c r="OM250" s="509"/>
      <c r="ON250" s="509"/>
      <c r="OO250" s="509"/>
      <c r="OP250" s="509"/>
      <c r="OQ250" s="509"/>
      <c r="OR250" s="509"/>
      <c r="OS250" s="509"/>
      <c r="OT250" s="509"/>
      <c r="OU250" s="509"/>
      <c r="OV250" s="509"/>
      <c r="OW250" s="509"/>
      <c r="OX250" s="509"/>
      <c r="OY250" s="509"/>
      <c r="OZ250" s="509"/>
      <c r="PA250" s="509"/>
      <c r="PB250" s="509"/>
      <c r="PC250" s="509"/>
      <c r="PD250" s="509"/>
      <c r="PE250" s="509"/>
      <c r="PF250" s="509"/>
      <c r="PG250" s="509"/>
      <c r="PH250" s="509"/>
      <c r="PI250" s="509"/>
      <c r="PJ250" s="509"/>
      <c r="PK250" s="509"/>
      <c r="PL250" s="509"/>
      <c r="PM250" s="509"/>
      <c r="PN250" s="509"/>
      <c r="PO250" s="509"/>
      <c r="PP250" s="509"/>
      <c r="PQ250" s="509"/>
      <c r="PR250" s="509"/>
      <c r="PS250" s="509"/>
      <c r="PT250" s="509"/>
      <c r="PU250" s="509"/>
      <c r="PV250" s="509"/>
      <c r="PW250" s="509"/>
      <c r="PX250" s="509"/>
      <c r="PY250" s="509"/>
      <c r="PZ250" s="509"/>
      <c r="QA250" s="509"/>
      <c r="QB250" s="509"/>
      <c r="QC250" s="509"/>
      <c r="QD250" s="509"/>
      <c r="QE250" s="509"/>
      <c r="QF250" s="509"/>
      <c r="QG250" s="509"/>
      <c r="QH250" s="509"/>
      <c r="QI250" s="509"/>
      <c r="QJ250" s="509"/>
      <c r="QK250" s="509"/>
      <c r="QL250" s="509"/>
      <c r="QM250" s="509"/>
      <c r="QN250" s="509"/>
      <c r="QO250" s="509"/>
      <c r="QP250" s="509"/>
      <c r="QQ250" s="509"/>
      <c r="QR250" s="509"/>
      <c r="QS250" s="509"/>
      <c r="QT250" s="509"/>
      <c r="QU250" s="509"/>
      <c r="QV250" s="509"/>
      <c r="QW250" s="509"/>
      <c r="QX250" s="509"/>
      <c r="QY250" s="509"/>
      <c r="QZ250" s="509"/>
      <c r="RA250" s="509"/>
      <c r="RB250" s="509"/>
      <c r="RC250" s="509"/>
      <c r="RD250" s="509"/>
      <c r="RE250" s="509"/>
      <c r="RF250" s="509"/>
      <c r="RG250" s="509"/>
      <c r="RH250" s="509"/>
      <c r="RI250" s="509"/>
      <c r="RJ250" s="509"/>
      <c r="RK250" s="509"/>
      <c r="RL250" s="509"/>
      <c r="RM250" s="509"/>
      <c r="RN250" s="509"/>
      <c r="RO250" s="509"/>
      <c r="RP250" s="509"/>
      <c r="RQ250" s="509"/>
      <c r="RR250" s="509"/>
      <c r="RS250" s="509"/>
      <c r="RT250" s="509"/>
      <c r="RU250" s="509"/>
      <c r="RV250" s="509"/>
      <c r="RW250" s="509"/>
      <c r="RX250" s="509"/>
      <c r="RY250" s="509"/>
      <c r="RZ250" s="509"/>
      <c r="SA250" s="509"/>
      <c r="SB250" s="509"/>
      <c r="SC250" s="509"/>
      <c r="SD250" s="509"/>
      <c r="SE250" s="509"/>
      <c r="SF250" s="509"/>
      <c r="SG250" s="509"/>
      <c r="SH250" s="509"/>
      <c r="SI250" s="509"/>
      <c r="SJ250" s="509"/>
      <c r="SK250" s="509"/>
      <c r="SL250" s="509"/>
      <c r="SM250" s="509"/>
      <c r="SN250" s="509"/>
      <c r="SO250" s="509"/>
      <c r="SP250" s="509"/>
      <c r="SQ250" s="509"/>
      <c r="SR250" s="509"/>
      <c r="SS250" s="509"/>
      <c r="ST250" s="509"/>
      <c r="SU250" s="509"/>
      <c r="SV250" s="509"/>
      <c r="SW250" s="509"/>
      <c r="SX250" s="509"/>
      <c r="SY250" s="509"/>
      <c r="SZ250" s="509"/>
      <c r="TA250" s="509"/>
      <c r="TB250" s="509"/>
      <c r="TC250" s="509"/>
      <c r="TD250" s="509"/>
      <c r="TE250" s="509"/>
      <c r="TF250" s="509"/>
      <c r="TG250" s="509"/>
      <c r="TH250" s="509"/>
      <c r="TI250" s="509"/>
      <c r="TJ250" s="509"/>
      <c r="TK250" s="509"/>
      <c r="TL250" s="509"/>
      <c r="TM250" s="509"/>
      <c r="TN250" s="509"/>
      <c r="TO250" s="509"/>
      <c r="TP250" s="509"/>
      <c r="TQ250" s="509"/>
      <c r="TR250" s="509"/>
      <c r="TS250" s="509"/>
      <c r="TT250" s="509"/>
      <c r="TU250" s="509"/>
      <c r="TV250" s="509"/>
      <c r="TW250" s="509"/>
      <c r="TX250" s="509"/>
      <c r="TY250" s="509"/>
      <c r="TZ250" s="509"/>
      <c r="UA250" s="509"/>
      <c r="UB250" s="509"/>
      <c r="UC250" s="509"/>
      <c r="UD250" s="509"/>
      <c r="UE250" s="509"/>
      <c r="UF250" s="509"/>
      <c r="UG250" s="509"/>
      <c r="UH250" s="509"/>
      <c r="UI250" s="509"/>
    </row>
    <row r="251" spans="1:555" s="509" customFormat="1" ht="76.5" customHeight="1">
      <c r="A251" s="296">
        <v>303</v>
      </c>
      <c r="B251" s="297" t="s">
        <v>3450</v>
      </c>
      <c r="C251" s="298">
        <v>80006899</v>
      </c>
      <c r="D251" s="354" t="s">
        <v>167</v>
      </c>
      <c r="E251" s="299">
        <v>42576</v>
      </c>
      <c r="F251" s="300">
        <v>42552</v>
      </c>
      <c r="G251" s="301" t="s">
        <v>3451</v>
      </c>
      <c r="H251" s="297" t="s">
        <v>625</v>
      </c>
      <c r="I251" s="297" t="s">
        <v>183</v>
      </c>
      <c r="J251" s="299">
        <v>42656</v>
      </c>
      <c r="K251" s="300">
        <v>42644</v>
      </c>
      <c r="L251" s="301" t="s">
        <v>3452</v>
      </c>
      <c r="M251" s="297" t="s">
        <v>5</v>
      </c>
      <c r="N251" s="297" t="s">
        <v>101</v>
      </c>
      <c r="O251" s="299"/>
      <c r="P251" s="302"/>
      <c r="Q251" s="301"/>
      <c r="R251" s="297"/>
      <c r="S251" s="297"/>
      <c r="T251" s="299"/>
      <c r="U251" s="300"/>
      <c r="V251" s="301"/>
      <c r="W251" s="297"/>
      <c r="X251" s="297"/>
      <c r="Y251" s="299"/>
      <c r="Z251" s="300"/>
      <c r="AA251" s="301"/>
      <c r="AB251" s="297"/>
      <c r="AC251" s="297"/>
      <c r="AD251" s="299"/>
      <c r="AE251" s="300"/>
      <c r="AF251" s="301"/>
      <c r="AG251" s="297"/>
      <c r="AH251" s="297"/>
      <c r="AI251" s="322"/>
      <c r="AJ251" s="300"/>
      <c r="AK251" s="301"/>
      <c r="AL251" s="297"/>
      <c r="AM251" s="297"/>
      <c r="AN251" s="297" t="s">
        <v>3336</v>
      </c>
      <c r="AO251" s="540">
        <v>42656</v>
      </c>
      <c r="AP251" s="297"/>
      <c r="AQ251" s="301" t="s">
        <v>3453</v>
      </c>
      <c r="AR251" s="297" t="s">
        <v>161</v>
      </c>
      <c r="AS251" s="299">
        <v>37238</v>
      </c>
      <c r="AT251" s="299">
        <v>39813</v>
      </c>
      <c r="AU251" s="297" t="s">
        <v>3454</v>
      </c>
      <c r="AV251" s="297"/>
      <c r="AW251" s="297" t="s">
        <v>92</v>
      </c>
      <c r="AX251" s="297" t="s">
        <v>318</v>
      </c>
      <c r="AY251" s="299">
        <v>41425</v>
      </c>
      <c r="AZ251" s="297" t="s">
        <v>2657</v>
      </c>
      <c r="BA251" s="299">
        <v>42501</v>
      </c>
      <c r="BB251" s="382">
        <v>42514</v>
      </c>
      <c r="BC251" s="297" t="s">
        <v>95</v>
      </c>
      <c r="BD251" s="297" t="s">
        <v>566</v>
      </c>
      <c r="BE251" s="297"/>
      <c r="BF251" s="301" t="s">
        <v>7302</v>
      </c>
      <c r="BG251" s="301"/>
      <c r="BH251" s="301" t="s">
        <v>9821</v>
      </c>
      <c r="BI251" s="301"/>
      <c r="BJ251" s="301"/>
      <c r="BK251" s="312">
        <v>337078872</v>
      </c>
      <c r="BL251" s="313">
        <v>391735620</v>
      </c>
      <c r="BM251" s="299">
        <v>44195</v>
      </c>
      <c r="BN251" s="314">
        <v>44166</v>
      </c>
      <c r="BO251" s="460"/>
      <c r="BP251" s="390"/>
      <c r="BQ251" s="297"/>
      <c r="BR251" s="303"/>
      <c r="BS251" s="301"/>
      <c r="BT251" s="301"/>
      <c r="BU251" s="301"/>
      <c r="BV251" s="301"/>
      <c r="BW251" s="316"/>
      <c r="BX251" s="304"/>
      <c r="BY251" s="299"/>
      <c r="BZ251" s="317"/>
    </row>
    <row r="252" spans="1:555" s="509" customFormat="1" ht="124.5" customHeight="1">
      <c r="A252" s="296">
        <v>306</v>
      </c>
      <c r="B252" s="297" t="s">
        <v>3481</v>
      </c>
      <c r="C252" s="298">
        <v>79539242</v>
      </c>
      <c r="D252" s="354" t="s">
        <v>3482</v>
      </c>
      <c r="E252" s="299">
        <v>42585</v>
      </c>
      <c r="F252" s="300">
        <v>42583</v>
      </c>
      <c r="G252" s="301" t="s">
        <v>3483</v>
      </c>
      <c r="H252" s="297" t="s">
        <v>625</v>
      </c>
      <c r="I252" s="297" t="s">
        <v>183</v>
      </c>
      <c r="J252" s="299">
        <v>42587</v>
      </c>
      <c r="K252" s="300">
        <v>42583</v>
      </c>
      <c r="L252" s="301" t="s">
        <v>3484</v>
      </c>
      <c r="M252" s="297" t="s">
        <v>195</v>
      </c>
      <c r="N252" s="297" t="s">
        <v>336</v>
      </c>
      <c r="O252" s="299">
        <v>42674</v>
      </c>
      <c r="P252" s="302">
        <v>42644</v>
      </c>
      <c r="Q252" s="301" t="s">
        <v>3485</v>
      </c>
      <c r="R252" s="297" t="s">
        <v>625</v>
      </c>
      <c r="S252" s="297" t="s">
        <v>183</v>
      </c>
      <c r="T252" s="299">
        <v>43081</v>
      </c>
      <c r="U252" s="300">
        <v>43070</v>
      </c>
      <c r="V252" s="301" t="s">
        <v>3486</v>
      </c>
      <c r="W252" s="297" t="s">
        <v>171</v>
      </c>
      <c r="X252" s="297" t="s">
        <v>2411</v>
      </c>
      <c r="Y252" s="299">
        <v>43146</v>
      </c>
      <c r="Z252" s="300">
        <v>43132</v>
      </c>
      <c r="AA252" s="301" t="s">
        <v>3487</v>
      </c>
      <c r="AB252" s="297" t="s">
        <v>5</v>
      </c>
      <c r="AC252" s="297" t="s">
        <v>2080</v>
      </c>
      <c r="AD252" s="299">
        <v>43146</v>
      </c>
      <c r="AE252" s="300">
        <v>43132</v>
      </c>
      <c r="AF252" s="301" t="s">
        <v>3487</v>
      </c>
      <c r="AG252" s="297" t="s">
        <v>5</v>
      </c>
      <c r="AH252" s="297" t="s">
        <v>85</v>
      </c>
      <c r="AI252" s="305" t="s">
        <v>8284</v>
      </c>
      <c r="AJ252" s="300" t="s">
        <v>8283</v>
      </c>
      <c r="AK252" s="315" t="s">
        <v>8282</v>
      </c>
      <c r="AL252" s="315" t="s">
        <v>3488</v>
      </c>
      <c r="AM252" s="297" t="s">
        <v>3489</v>
      </c>
      <c r="AN252" s="297" t="s">
        <v>3255</v>
      </c>
      <c r="AO252" s="554"/>
      <c r="AP252" s="297"/>
      <c r="AQ252" s="301" t="s">
        <v>3490</v>
      </c>
      <c r="AR252" s="297" t="s">
        <v>161</v>
      </c>
      <c r="AS252" s="299" t="s">
        <v>67</v>
      </c>
      <c r="AT252" s="299" t="s">
        <v>67</v>
      </c>
      <c r="AU252" s="297" t="s">
        <v>3491</v>
      </c>
      <c r="AV252" s="297"/>
      <c r="AW252" s="297" t="s">
        <v>69</v>
      </c>
      <c r="AX252" s="297" t="s">
        <v>3492</v>
      </c>
      <c r="AY252" s="299">
        <v>42045</v>
      </c>
      <c r="AZ252" s="297" t="s">
        <v>2657</v>
      </c>
      <c r="BA252" s="299">
        <v>42530</v>
      </c>
      <c r="BB252" s="382">
        <v>42579</v>
      </c>
      <c r="BC252" s="303" t="s">
        <v>912</v>
      </c>
      <c r="BD252" s="303" t="s">
        <v>566</v>
      </c>
      <c r="BE252" s="297"/>
      <c r="BF252" s="301"/>
      <c r="BG252" s="301"/>
      <c r="BH252" s="301" t="s">
        <v>9843</v>
      </c>
      <c r="BI252" s="301"/>
      <c r="BJ252" s="301"/>
      <c r="BK252" s="312">
        <v>4759238</v>
      </c>
      <c r="BL252" s="313">
        <v>388528220</v>
      </c>
      <c r="BM252" s="299">
        <v>44194</v>
      </c>
      <c r="BN252" s="314">
        <v>44166</v>
      </c>
      <c r="BO252" s="460"/>
      <c r="BP252" s="390"/>
      <c r="BQ252" s="297"/>
      <c r="BR252" s="303"/>
      <c r="BS252" s="301"/>
      <c r="BT252" s="301"/>
      <c r="BU252" s="301"/>
      <c r="BV252" s="301"/>
      <c r="BW252" s="316"/>
      <c r="BX252" s="304"/>
      <c r="BY252" s="299"/>
      <c r="BZ252" s="317"/>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c r="IY252" s="1"/>
      <c r="IZ252" s="1"/>
      <c r="JA252" s="1"/>
      <c r="JB252" s="1"/>
      <c r="JC252" s="1"/>
      <c r="JD252" s="1"/>
      <c r="JE252" s="1"/>
      <c r="JF252" s="1"/>
      <c r="JG252" s="1"/>
      <c r="JH252" s="1"/>
      <c r="JI252" s="1"/>
      <c r="JJ252" s="1"/>
      <c r="JK252" s="1"/>
      <c r="JL252" s="1"/>
      <c r="JM252" s="1"/>
      <c r="JN252" s="1"/>
      <c r="JO252" s="1"/>
      <c r="JP252" s="1"/>
      <c r="JQ252" s="1"/>
      <c r="JR252" s="1"/>
      <c r="JS252" s="1"/>
      <c r="JT252" s="1"/>
      <c r="JU252" s="1"/>
      <c r="JV252" s="1"/>
      <c r="JW252" s="1"/>
      <c r="JX252" s="1"/>
      <c r="JY252" s="1"/>
      <c r="JZ252" s="1"/>
      <c r="KA252" s="1"/>
      <c r="KB252" s="1"/>
      <c r="KC252" s="1"/>
      <c r="KD252" s="1"/>
      <c r="KE252" s="1"/>
      <c r="KF252" s="1"/>
      <c r="KG252" s="1"/>
      <c r="KH252" s="1"/>
      <c r="KI252" s="1"/>
      <c r="KJ252" s="1"/>
      <c r="KK252" s="1"/>
      <c r="KL252" s="1"/>
      <c r="KM252" s="1"/>
      <c r="KN252" s="1"/>
      <c r="KO252" s="1"/>
      <c r="KP252" s="1"/>
      <c r="KQ252" s="1"/>
      <c r="KR252" s="1"/>
      <c r="KS252" s="1"/>
      <c r="KT252" s="1"/>
      <c r="KU252" s="1"/>
      <c r="KV252" s="1"/>
      <c r="KW252" s="1"/>
      <c r="KX252" s="1"/>
      <c r="KY252" s="1"/>
      <c r="KZ252" s="1"/>
      <c r="LA252" s="1"/>
      <c r="LB252" s="1"/>
      <c r="LC252" s="1"/>
      <c r="LD252" s="1"/>
      <c r="LE252" s="1"/>
      <c r="LF252" s="1"/>
      <c r="LG252" s="1"/>
      <c r="LH252" s="1"/>
      <c r="LI252" s="1"/>
      <c r="LJ252" s="1"/>
      <c r="LK252" s="1"/>
      <c r="LL252" s="1"/>
      <c r="LM252" s="1"/>
      <c r="LN252" s="1"/>
      <c r="LO252" s="1"/>
      <c r="LP252" s="1"/>
      <c r="LQ252" s="1"/>
      <c r="LR252" s="1"/>
      <c r="LS252" s="1"/>
      <c r="LT252" s="1"/>
      <c r="LU252" s="1"/>
      <c r="LV252" s="1"/>
      <c r="LW252" s="1"/>
      <c r="LX252" s="1"/>
      <c r="LY252" s="1"/>
      <c r="LZ252" s="1"/>
      <c r="MA252" s="1"/>
      <c r="MB252" s="1"/>
      <c r="MC252" s="1"/>
      <c r="MD252" s="1"/>
      <c r="ME252" s="1"/>
      <c r="MF252" s="1"/>
      <c r="MG252" s="1"/>
      <c r="MH252" s="1"/>
      <c r="MI252" s="1"/>
      <c r="MJ252" s="1"/>
      <c r="MK252" s="1"/>
      <c r="ML252" s="1"/>
      <c r="MM252" s="1"/>
      <c r="MN252" s="1"/>
      <c r="MO252" s="1"/>
      <c r="MP252" s="1"/>
      <c r="MQ252" s="1"/>
      <c r="MR252" s="1"/>
      <c r="MS252" s="1"/>
      <c r="MT252" s="1"/>
      <c r="MU252" s="1"/>
      <c r="MV252" s="1"/>
      <c r="MW252" s="1"/>
      <c r="MX252" s="1"/>
      <c r="MY252" s="1"/>
      <c r="MZ252" s="1"/>
      <c r="NA252" s="1"/>
      <c r="NB252" s="1"/>
      <c r="NC252" s="1"/>
      <c r="ND252" s="1"/>
      <c r="NE252" s="1"/>
      <c r="NF252" s="1"/>
      <c r="NG252" s="1"/>
      <c r="NH252" s="1"/>
      <c r="NI252" s="1"/>
      <c r="NJ252" s="1"/>
      <c r="NK252" s="1"/>
      <c r="NL252" s="1"/>
      <c r="NM252" s="1"/>
      <c r="NN252" s="1"/>
      <c r="NO252" s="1"/>
      <c r="NP252" s="1"/>
      <c r="NQ252" s="1"/>
      <c r="NR252" s="1"/>
      <c r="NS252" s="1"/>
      <c r="NT252" s="1"/>
      <c r="NU252" s="1"/>
      <c r="NV252" s="1"/>
      <c r="NW252" s="1"/>
      <c r="NX252" s="1"/>
      <c r="NY252" s="1"/>
      <c r="NZ252" s="1"/>
      <c r="OA252" s="1"/>
      <c r="OB252" s="1"/>
      <c r="OC252" s="1"/>
      <c r="OD252" s="1"/>
      <c r="OE252" s="1"/>
      <c r="OF252" s="1"/>
      <c r="OG252" s="1"/>
      <c r="OH252" s="1"/>
      <c r="OI252" s="1"/>
      <c r="OJ252" s="1"/>
      <c r="OK252" s="1"/>
      <c r="OL252" s="1"/>
      <c r="OM252" s="1"/>
      <c r="ON252" s="1"/>
      <c r="OO252" s="1"/>
      <c r="OP252" s="1"/>
      <c r="OQ252" s="1"/>
      <c r="OR252" s="1"/>
      <c r="OS252" s="1"/>
      <c r="OT252" s="1"/>
      <c r="OU252" s="1"/>
      <c r="OV252" s="1"/>
      <c r="OW252" s="1"/>
      <c r="OX252" s="1"/>
      <c r="OY252" s="1"/>
      <c r="OZ252" s="1"/>
      <c r="PA252" s="1"/>
      <c r="PB252" s="1"/>
      <c r="PC252" s="1"/>
      <c r="PD252" s="1"/>
      <c r="PE252" s="1"/>
      <c r="PF252" s="1"/>
      <c r="PG252" s="1"/>
      <c r="PH252" s="1"/>
      <c r="PI252" s="1"/>
      <c r="PJ252" s="1"/>
      <c r="PK252" s="1"/>
      <c r="PL252" s="1"/>
      <c r="PM252" s="1"/>
      <c r="PN252" s="1"/>
      <c r="PO252" s="1"/>
      <c r="PP252" s="1"/>
      <c r="PQ252" s="1"/>
      <c r="PR252" s="1"/>
      <c r="PS252" s="1"/>
      <c r="PT252" s="1"/>
      <c r="PU252" s="1"/>
      <c r="PV252" s="1"/>
      <c r="PW252" s="1"/>
      <c r="PX252" s="1"/>
      <c r="PY252" s="1"/>
      <c r="PZ252" s="1"/>
      <c r="QA252" s="1"/>
      <c r="QB252" s="1"/>
      <c r="QC252" s="1"/>
      <c r="QD252" s="1"/>
      <c r="QE252" s="1"/>
      <c r="QF252" s="1"/>
      <c r="QG252" s="1"/>
      <c r="QH252" s="1"/>
      <c r="QI252" s="1"/>
      <c r="QJ252" s="1"/>
      <c r="QK252" s="1"/>
      <c r="QL252" s="1"/>
      <c r="QM252" s="1"/>
      <c r="QN252" s="1"/>
      <c r="QO252" s="1"/>
      <c r="QP252" s="1"/>
      <c r="QQ252" s="1"/>
      <c r="QR252" s="1"/>
      <c r="QS252" s="1"/>
      <c r="QT252" s="1"/>
      <c r="QU252" s="1"/>
      <c r="QV252" s="1"/>
      <c r="QW252" s="1"/>
      <c r="QX252" s="1"/>
      <c r="QY252" s="1"/>
      <c r="QZ252" s="1"/>
      <c r="RA252" s="1"/>
      <c r="RB252" s="1"/>
      <c r="RC252" s="1"/>
      <c r="RD252" s="1"/>
      <c r="RE252" s="1"/>
      <c r="RF252" s="1"/>
      <c r="RG252" s="1"/>
      <c r="RH252" s="1"/>
      <c r="RI252" s="1"/>
      <c r="RJ252" s="1"/>
      <c r="RK252" s="1"/>
      <c r="RL252" s="1"/>
      <c r="RM252" s="1"/>
      <c r="RN252" s="1"/>
      <c r="RO252" s="1"/>
      <c r="RP252" s="1"/>
      <c r="RQ252" s="1"/>
      <c r="RR252" s="1"/>
      <c r="RS252" s="1"/>
      <c r="RT252" s="1"/>
      <c r="RU252" s="1"/>
      <c r="RV252" s="1"/>
      <c r="RW252" s="1"/>
      <c r="RX252" s="1"/>
      <c r="RY252" s="1"/>
      <c r="RZ252" s="1"/>
      <c r="SA252" s="1"/>
      <c r="SB252" s="1"/>
      <c r="SC252" s="1"/>
      <c r="SD252" s="1"/>
      <c r="SE252" s="1"/>
      <c r="SF252" s="1"/>
      <c r="SG252" s="1"/>
      <c r="SH252" s="1"/>
      <c r="SI252" s="1"/>
      <c r="SJ252" s="1"/>
      <c r="SK252" s="1"/>
      <c r="SL252" s="1"/>
      <c r="SM252" s="1"/>
      <c r="SN252" s="1"/>
      <c r="SO252" s="1"/>
      <c r="SP252" s="1"/>
      <c r="SQ252" s="1"/>
      <c r="SR252" s="1"/>
      <c r="SS252" s="1"/>
      <c r="ST252" s="1"/>
      <c r="SU252" s="1"/>
      <c r="SV252" s="1"/>
      <c r="SW252" s="1"/>
      <c r="SX252" s="1"/>
      <c r="SY252" s="1"/>
      <c r="SZ252" s="1"/>
      <c r="TA252" s="1"/>
      <c r="TB252" s="1"/>
      <c r="TC252" s="1"/>
      <c r="TD252" s="1"/>
      <c r="TE252" s="1"/>
      <c r="TF252" s="1"/>
      <c r="TG252" s="1"/>
      <c r="TH252" s="1"/>
      <c r="TI252" s="1"/>
      <c r="TJ252" s="1"/>
      <c r="TK252" s="1"/>
      <c r="TL252" s="1"/>
      <c r="TM252" s="1"/>
      <c r="TN252" s="1"/>
      <c r="TO252" s="1"/>
      <c r="TP252" s="1"/>
      <c r="TQ252" s="1"/>
      <c r="TR252" s="1"/>
      <c r="TS252" s="1"/>
      <c r="TT252" s="1"/>
      <c r="TU252" s="1"/>
      <c r="TV252" s="1"/>
      <c r="TW252" s="1"/>
      <c r="TX252" s="1"/>
      <c r="TY252" s="1"/>
      <c r="TZ252" s="1"/>
      <c r="UA252" s="1"/>
      <c r="UB252" s="1"/>
      <c r="UC252" s="1"/>
      <c r="UD252" s="1"/>
      <c r="UE252" s="1"/>
      <c r="UF252" s="1"/>
      <c r="UG252" s="1"/>
      <c r="UH252" s="1"/>
      <c r="UI252" s="1"/>
    </row>
    <row r="253" spans="1:555" s="509" customFormat="1" ht="81">
      <c r="A253" s="296">
        <v>307</v>
      </c>
      <c r="B253" s="297" t="s">
        <v>3493</v>
      </c>
      <c r="C253" s="338">
        <v>79971924</v>
      </c>
      <c r="D253" s="354" t="s">
        <v>597</v>
      </c>
      <c r="E253" s="299">
        <v>42593</v>
      </c>
      <c r="F253" s="300">
        <v>42583</v>
      </c>
      <c r="G253" s="301" t="s">
        <v>3494</v>
      </c>
      <c r="H253" s="297" t="s">
        <v>625</v>
      </c>
      <c r="I253" s="297" t="s">
        <v>183</v>
      </c>
      <c r="J253" s="299">
        <v>42752</v>
      </c>
      <c r="K253" s="302">
        <v>42736</v>
      </c>
      <c r="L253" s="301" t="s">
        <v>3280</v>
      </c>
      <c r="M253" s="297" t="s">
        <v>2637</v>
      </c>
      <c r="N253" s="297" t="s">
        <v>79</v>
      </c>
      <c r="O253" s="299">
        <v>43032</v>
      </c>
      <c r="P253" s="300">
        <v>43009</v>
      </c>
      <c r="Q253" s="301" t="s">
        <v>3496</v>
      </c>
      <c r="R253" s="297" t="s">
        <v>63</v>
      </c>
      <c r="S253" s="297" t="s">
        <v>3284</v>
      </c>
      <c r="T253" s="299"/>
      <c r="U253" s="300"/>
      <c r="V253" s="301"/>
      <c r="W253" s="297"/>
      <c r="X253" s="297"/>
      <c r="Y253" s="299"/>
      <c r="Z253" s="300"/>
      <c r="AA253" s="301"/>
      <c r="AB253" s="297"/>
      <c r="AC253" s="297"/>
      <c r="AD253" s="299"/>
      <c r="AE253" s="300"/>
      <c r="AF253" s="301"/>
      <c r="AG253" s="297"/>
      <c r="AH253" s="297"/>
      <c r="AI253" s="322"/>
      <c r="AJ253" s="300"/>
      <c r="AK253" s="301"/>
      <c r="AL253" s="297"/>
      <c r="AM253" s="297"/>
      <c r="AN253" s="297" t="s">
        <v>1359</v>
      </c>
      <c r="AO253" s="540">
        <v>42822</v>
      </c>
      <c r="AP253" s="297"/>
      <c r="AQ253" s="301" t="s">
        <v>3497</v>
      </c>
      <c r="AR253" s="297" t="s">
        <v>161</v>
      </c>
      <c r="AS253" s="299">
        <v>37071</v>
      </c>
      <c r="AT253" s="299">
        <v>39920</v>
      </c>
      <c r="AU253" s="297" t="s">
        <v>3498</v>
      </c>
      <c r="AV253" s="297"/>
      <c r="AW253" s="297" t="s">
        <v>92</v>
      </c>
      <c r="AX253" s="297" t="s">
        <v>2748</v>
      </c>
      <c r="AY253" s="299">
        <v>41022</v>
      </c>
      <c r="AZ253" s="297" t="s">
        <v>2657</v>
      </c>
      <c r="BA253" s="299">
        <v>42551</v>
      </c>
      <c r="BB253" s="382">
        <v>42578</v>
      </c>
      <c r="BC253" s="297" t="s">
        <v>95</v>
      </c>
      <c r="BD253" s="297" t="s">
        <v>566</v>
      </c>
      <c r="BE253" s="297"/>
      <c r="BF253" s="301" t="s">
        <v>7308</v>
      </c>
      <c r="BG253" s="301"/>
      <c r="BH253" s="301" t="s">
        <v>9837</v>
      </c>
      <c r="BI253" s="301"/>
      <c r="BJ253" s="301"/>
      <c r="BK253" s="312">
        <v>348910348</v>
      </c>
      <c r="BL253" s="313">
        <v>391739120</v>
      </c>
      <c r="BM253" s="299">
        <v>44195</v>
      </c>
      <c r="BN253" s="314">
        <v>44166</v>
      </c>
      <c r="BO253" s="460"/>
      <c r="BP253" s="390"/>
      <c r="BQ253" s="297"/>
      <c r="BR253" s="303"/>
      <c r="BS253" s="301"/>
      <c r="BT253" s="301"/>
      <c r="BU253" s="301"/>
      <c r="BV253" s="301"/>
      <c r="BW253" s="316"/>
      <c r="BX253" s="304"/>
      <c r="BY253" s="299"/>
      <c r="BZ253" s="317"/>
    </row>
    <row r="254" spans="1:555" s="259" customFormat="1" ht="81">
      <c r="A254" s="296">
        <v>308</v>
      </c>
      <c r="B254" s="297" t="s">
        <v>3499</v>
      </c>
      <c r="C254" s="329">
        <v>17345835</v>
      </c>
      <c r="D254" s="354" t="s">
        <v>167</v>
      </c>
      <c r="E254" s="299">
        <v>42593</v>
      </c>
      <c r="F254" s="300">
        <v>42583</v>
      </c>
      <c r="G254" s="301" t="s">
        <v>3500</v>
      </c>
      <c r="H254" s="297" t="s">
        <v>625</v>
      </c>
      <c r="I254" s="297" t="s">
        <v>183</v>
      </c>
      <c r="J254" s="299">
        <v>42642</v>
      </c>
      <c r="K254" s="300">
        <v>42614</v>
      </c>
      <c r="L254" s="301" t="s">
        <v>3501</v>
      </c>
      <c r="M254" s="297" t="s">
        <v>5</v>
      </c>
      <c r="N254" s="297" t="s">
        <v>101</v>
      </c>
      <c r="O254" s="299"/>
      <c r="P254" s="302"/>
      <c r="Q254" s="301"/>
      <c r="R254" s="297"/>
      <c r="S254" s="297"/>
      <c r="T254" s="299"/>
      <c r="U254" s="300"/>
      <c r="V254" s="301"/>
      <c r="W254" s="297"/>
      <c r="X254" s="297"/>
      <c r="Y254" s="299"/>
      <c r="Z254" s="300"/>
      <c r="AA254" s="301"/>
      <c r="AB254" s="297"/>
      <c r="AC254" s="297"/>
      <c r="AD254" s="299"/>
      <c r="AE254" s="300"/>
      <c r="AF254" s="301"/>
      <c r="AG254" s="297"/>
      <c r="AH254" s="297"/>
      <c r="AI254" s="322"/>
      <c r="AJ254" s="300"/>
      <c r="AK254" s="301"/>
      <c r="AL254" s="297"/>
      <c r="AM254" s="297"/>
      <c r="AN254" s="297" t="s">
        <v>2105</v>
      </c>
      <c r="AO254" s="540">
        <v>42629</v>
      </c>
      <c r="AP254" s="297"/>
      <c r="AQ254" s="301" t="s">
        <v>3502</v>
      </c>
      <c r="AR254" s="297" t="s">
        <v>161</v>
      </c>
      <c r="AS254" s="299">
        <v>37956</v>
      </c>
      <c r="AT254" s="299">
        <v>40633</v>
      </c>
      <c r="AU254" s="297" t="s">
        <v>3503</v>
      </c>
      <c r="AV254" s="297"/>
      <c r="AW254" s="297" t="s">
        <v>92</v>
      </c>
      <c r="AX254" s="297" t="s">
        <v>3177</v>
      </c>
      <c r="AY254" s="299">
        <v>41477</v>
      </c>
      <c r="AZ254" s="297" t="s">
        <v>2657</v>
      </c>
      <c r="BA254" s="299">
        <v>42508</v>
      </c>
      <c r="BB254" s="382">
        <v>42522</v>
      </c>
      <c r="BC254" s="297" t="s">
        <v>95</v>
      </c>
      <c r="BD254" s="297" t="s">
        <v>566</v>
      </c>
      <c r="BE254" s="297"/>
      <c r="BF254" s="301" t="s">
        <v>3504</v>
      </c>
      <c r="BG254" s="301"/>
      <c r="BH254" s="301" t="s">
        <v>9861</v>
      </c>
      <c r="BI254" s="301"/>
      <c r="BJ254" s="301"/>
      <c r="BK254" s="312">
        <v>73169220</v>
      </c>
      <c r="BL254" s="313">
        <v>391724020</v>
      </c>
      <c r="BM254" s="299">
        <v>44195</v>
      </c>
      <c r="BN254" s="314">
        <v>44166</v>
      </c>
      <c r="BO254" s="460"/>
      <c r="BP254" s="390"/>
      <c r="BQ254" s="297"/>
      <c r="BR254" s="303"/>
      <c r="BS254" s="301"/>
      <c r="BT254" s="301"/>
      <c r="BU254" s="301"/>
      <c r="BV254" s="301"/>
      <c r="BW254" s="316"/>
      <c r="BX254" s="304"/>
      <c r="BY254" s="299"/>
      <c r="BZ254" s="317"/>
      <c r="CA254" s="509"/>
      <c r="CB254" s="509"/>
      <c r="CC254" s="509"/>
      <c r="CD254" s="509"/>
      <c r="CE254" s="509"/>
      <c r="CF254" s="509"/>
      <c r="CG254" s="509"/>
      <c r="CH254" s="509"/>
      <c r="CI254" s="509"/>
      <c r="CJ254" s="509"/>
      <c r="CK254" s="509"/>
      <c r="CL254" s="509"/>
      <c r="CM254" s="509"/>
      <c r="CN254" s="509"/>
      <c r="CO254" s="509"/>
      <c r="CP254" s="509"/>
      <c r="CQ254" s="509"/>
      <c r="CR254" s="509"/>
      <c r="CS254" s="509"/>
      <c r="CT254" s="509"/>
      <c r="CU254" s="509"/>
      <c r="CV254" s="509"/>
      <c r="CW254" s="509"/>
      <c r="CX254" s="509"/>
      <c r="CY254" s="509"/>
      <c r="CZ254" s="509"/>
      <c r="DA254" s="509"/>
      <c r="DB254" s="509"/>
      <c r="DC254" s="509"/>
      <c r="DD254" s="509"/>
      <c r="DE254" s="509"/>
      <c r="DF254" s="509"/>
      <c r="DG254" s="509"/>
      <c r="DH254" s="509"/>
      <c r="DI254" s="509"/>
      <c r="DJ254" s="509"/>
      <c r="DK254" s="509"/>
      <c r="DL254" s="509"/>
      <c r="DM254" s="509"/>
      <c r="DN254" s="509"/>
      <c r="DO254" s="509"/>
      <c r="DP254" s="509"/>
      <c r="DQ254" s="509"/>
      <c r="DR254" s="509"/>
      <c r="DS254" s="509"/>
      <c r="DT254" s="509"/>
      <c r="DU254" s="509"/>
      <c r="DV254" s="509"/>
      <c r="DW254" s="509"/>
      <c r="DX254" s="509"/>
      <c r="DY254" s="509"/>
      <c r="DZ254" s="509"/>
      <c r="EA254" s="509"/>
      <c r="EB254" s="509"/>
      <c r="EC254" s="509"/>
      <c r="ED254" s="509"/>
      <c r="EE254" s="509"/>
      <c r="EF254" s="509"/>
      <c r="EG254" s="509"/>
      <c r="EH254" s="509"/>
      <c r="EI254" s="509"/>
      <c r="EJ254" s="509"/>
      <c r="EK254" s="509"/>
      <c r="EL254" s="509"/>
      <c r="EM254" s="509"/>
      <c r="EN254" s="509"/>
      <c r="EO254" s="509"/>
      <c r="EP254" s="509"/>
      <c r="EQ254" s="509"/>
      <c r="ER254" s="509"/>
      <c r="ES254" s="509"/>
      <c r="ET254" s="509"/>
      <c r="EU254" s="509"/>
      <c r="EV254" s="509"/>
      <c r="EW254" s="509"/>
      <c r="EX254" s="509"/>
      <c r="EY254" s="509"/>
      <c r="EZ254" s="509"/>
      <c r="FA254" s="509"/>
      <c r="FB254" s="509"/>
      <c r="FC254" s="509"/>
      <c r="FD254" s="509"/>
      <c r="FE254" s="509"/>
      <c r="FF254" s="509"/>
      <c r="FG254" s="509"/>
      <c r="FH254" s="509"/>
      <c r="FI254" s="509"/>
      <c r="FJ254" s="509"/>
      <c r="FK254" s="509"/>
      <c r="FL254" s="509"/>
      <c r="FM254" s="509"/>
      <c r="FN254" s="509"/>
      <c r="FO254" s="509"/>
      <c r="FP254" s="509"/>
      <c r="FQ254" s="509"/>
      <c r="FR254" s="509"/>
      <c r="FS254" s="509"/>
      <c r="FT254" s="509"/>
      <c r="FU254" s="509"/>
      <c r="FV254" s="509"/>
      <c r="FW254" s="509"/>
      <c r="FX254" s="509"/>
      <c r="FY254" s="509"/>
      <c r="FZ254" s="509"/>
      <c r="GA254" s="509"/>
      <c r="GB254" s="509"/>
      <c r="GC254" s="509"/>
      <c r="GD254" s="509"/>
      <c r="GE254" s="509"/>
      <c r="GF254" s="509"/>
      <c r="GG254" s="509"/>
      <c r="GH254" s="509"/>
      <c r="GI254" s="509"/>
      <c r="GJ254" s="509"/>
      <c r="GK254" s="509"/>
      <c r="GL254" s="509"/>
      <c r="GM254" s="509"/>
      <c r="GN254" s="509"/>
      <c r="GO254" s="509"/>
      <c r="GP254" s="509"/>
      <c r="GQ254" s="509"/>
      <c r="GR254" s="509"/>
      <c r="GS254" s="509"/>
      <c r="GT254" s="509"/>
      <c r="GU254" s="509"/>
      <c r="GV254" s="509"/>
      <c r="GW254" s="509"/>
      <c r="GX254" s="509"/>
      <c r="GY254" s="509"/>
      <c r="GZ254" s="509"/>
      <c r="HA254" s="509"/>
      <c r="HB254" s="509"/>
      <c r="HC254" s="509"/>
      <c r="HD254" s="509"/>
      <c r="HE254" s="509"/>
      <c r="HF254" s="509"/>
      <c r="HG254" s="509"/>
      <c r="HH254" s="509"/>
      <c r="HI254" s="509"/>
      <c r="HJ254" s="509"/>
      <c r="HK254" s="509"/>
      <c r="HL254" s="509"/>
      <c r="HM254" s="509"/>
      <c r="HN254" s="509"/>
      <c r="HO254" s="509"/>
      <c r="HP254" s="509"/>
      <c r="HQ254" s="509"/>
      <c r="HR254" s="509"/>
      <c r="HS254" s="509"/>
      <c r="HT254" s="509"/>
      <c r="HU254" s="509"/>
      <c r="HV254" s="509"/>
      <c r="HW254" s="509"/>
      <c r="HX254" s="509"/>
      <c r="HY254" s="509"/>
      <c r="HZ254" s="509"/>
      <c r="IA254" s="509"/>
      <c r="IB254" s="509"/>
      <c r="IC254" s="509"/>
      <c r="ID254" s="509"/>
      <c r="IE254" s="509"/>
      <c r="IF254" s="509"/>
      <c r="IG254" s="509"/>
      <c r="IH254" s="509"/>
      <c r="II254" s="509"/>
      <c r="IJ254" s="509"/>
      <c r="IK254" s="509"/>
      <c r="IL254" s="509"/>
      <c r="IM254" s="509"/>
      <c r="IN254" s="509"/>
      <c r="IO254" s="509"/>
      <c r="IP254" s="509"/>
      <c r="IQ254" s="509"/>
      <c r="IR254" s="509"/>
      <c r="IS254" s="509"/>
      <c r="IT254" s="509"/>
      <c r="IU254" s="509"/>
      <c r="IV254" s="509"/>
      <c r="IW254" s="509"/>
      <c r="IX254" s="509"/>
      <c r="IY254" s="509"/>
      <c r="IZ254" s="509"/>
      <c r="JA254" s="509"/>
      <c r="JB254" s="509"/>
      <c r="JC254" s="509"/>
      <c r="JD254" s="509"/>
      <c r="JE254" s="509"/>
      <c r="JF254" s="509"/>
      <c r="JG254" s="509"/>
      <c r="JH254" s="509"/>
      <c r="JI254" s="509"/>
      <c r="JJ254" s="509"/>
      <c r="JK254" s="509"/>
      <c r="JL254" s="509"/>
      <c r="JM254" s="509"/>
      <c r="JN254" s="509"/>
      <c r="JO254" s="509"/>
      <c r="JP254" s="509"/>
      <c r="JQ254" s="509"/>
      <c r="JR254" s="509"/>
      <c r="JS254" s="509"/>
      <c r="JT254" s="509"/>
      <c r="JU254" s="509"/>
      <c r="JV254" s="509"/>
      <c r="JW254" s="509"/>
      <c r="JX254" s="509"/>
      <c r="JY254" s="509"/>
      <c r="JZ254" s="509"/>
      <c r="KA254" s="509"/>
      <c r="KB254" s="509"/>
      <c r="KC254" s="509"/>
      <c r="KD254" s="509"/>
      <c r="KE254" s="509"/>
      <c r="KF254" s="509"/>
      <c r="KG254" s="509"/>
      <c r="KH254" s="509"/>
      <c r="KI254" s="509"/>
      <c r="KJ254" s="509"/>
      <c r="KK254" s="509"/>
      <c r="KL254" s="509"/>
      <c r="KM254" s="509"/>
      <c r="KN254" s="509"/>
      <c r="KO254" s="509"/>
      <c r="KP254" s="509"/>
      <c r="KQ254" s="509"/>
      <c r="KR254" s="509"/>
      <c r="KS254" s="509"/>
      <c r="KT254" s="509"/>
      <c r="KU254" s="509"/>
      <c r="KV254" s="509"/>
      <c r="KW254" s="509"/>
      <c r="KX254" s="509"/>
      <c r="KY254" s="509"/>
      <c r="KZ254" s="509"/>
      <c r="LA254" s="509"/>
      <c r="LB254" s="509"/>
      <c r="LC254" s="509"/>
      <c r="LD254" s="509"/>
      <c r="LE254" s="509"/>
      <c r="LF254" s="509"/>
      <c r="LG254" s="509"/>
      <c r="LH254" s="509"/>
      <c r="LI254" s="509"/>
      <c r="LJ254" s="509"/>
      <c r="LK254" s="509"/>
      <c r="LL254" s="509"/>
      <c r="LM254" s="509"/>
      <c r="LN254" s="509"/>
      <c r="LO254" s="509"/>
      <c r="LP254" s="509"/>
      <c r="LQ254" s="509"/>
      <c r="LR254" s="509"/>
      <c r="LS254" s="509"/>
      <c r="LT254" s="509"/>
      <c r="LU254" s="509"/>
      <c r="LV254" s="509"/>
      <c r="LW254" s="509"/>
      <c r="LX254" s="509"/>
      <c r="LY254" s="509"/>
      <c r="LZ254" s="509"/>
      <c r="MA254" s="509"/>
      <c r="MB254" s="509"/>
      <c r="MC254" s="509"/>
      <c r="MD254" s="509"/>
      <c r="ME254" s="509"/>
      <c r="MF254" s="509"/>
      <c r="MG254" s="509"/>
      <c r="MH254" s="509"/>
      <c r="MI254" s="509"/>
      <c r="MJ254" s="509"/>
      <c r="MK254" s="509"/>
      <c r="ML254" s="509"/>
      <c r="MM254" s="509"/>
      <c r="MN254" s="509"/>
      <c r="MO254" s="509"/>
      <c r="MP254" s="509"/>
      <c r="MQ254" s="509"/>
      <c r="MR254" s="509"/>
      <c r="MS254" s="509"/>
      <c r="MT254" s="509"/>
      <c r="MU254" s="509"/>
      <c r="MV254" s="509"/>
      <c r="MW254" s="509"/>
      <c r="MX254" s="509"/>
      <c r="MY254" s="509"/>
      <c r="MZ254" s="509"/>
      <c r="NA254" s="509"/>
      <c r="NB254" s="509"/>
      <c r="NC254" s="509"/>
      <c r="ND254" s="509"/>
      <c r="NE254" s="509"/>
      <c r="NF254" s="509"/>
      <c r="NG254" s="509"/>
      <c r="NH254" s="509"/>
      <c r="NI254" s="509"/>
      <c r="NJ254" s="509"/>
      <c r="NK254" s="509"/>
      <c r="NL254" s="509"/>
      <c r="NM254" s="509"/>
      <c r="NN254" s="509"/>
      <c r="NO254" s="509"/>
      <c r="NP254" s="509"/>
      <c r="NQ254" s="509"/>
      <c r="NR254" s="509"/>
      <c r="NS254" s="509"/>
      <c r="NT254" s="509"/>
      <c r="NU254" s="509"/>
      <c r="NV254" s="509"/>
      <c r="NW254" s="509"/>
      <c r="NX254" s="509"/>
      <c r="NY254" s="509"/>
      <c r="NZ254" s="509"/>
      <c r="OA254" s="509"/>
      <c r="OB254" s="509"/>
      <c r="OC254" s="509"/>
      <c r="OD254" s="509"/>
      <c r="OE254" s="509"/>
      <c r="OF254" s="509"/>
      <c r="OG254" s="509"/>
      <c r="OH254" s="509"/>
      <c r="OI254" s="509"/>
      <c r="OJ254" s="509"/>
      <c r="OK254" s="509"/>
      <c r="OL254" s="509"/>
      <c r="OM254" s="509"/>
      <c r="ON254" s="509"/>
      <c r="OO254" s="509"/>
      <c r="OP254" s="509"/>
      <c r="OQ254" s="509"/>
      <c r="OR254" s="509"/>
      <c r="OS254" s="509"/>
      <c r="OT254" s="509"/>
      <c r="OU254" s="509"/>
      <c r="OV254" s="509"/>
      <c r="OW254" s="509"/>
      <c r="OX254" s="509"/>
      <c r="OY254" s="509"/>
      <c r="OZ254" s="509"/>
      <c r="PA254" s="509"/>
      <c r="PB254" s="509"/>
      <c r="PC254" s="509"/>
      <c r="PD254" s="509"/>
      <c r="PE254" s="509"/>
      <c r="PF254" s="509"/>
      <c r="PG254" s="509"/>
      <c r="PH254" s="509"/>
      <c r="PI254" s="509"/>
      <c r="PJ254" s="509"/>
      <c r="PK254" s="509"/>
      <c r="PL254" s="509"/>
      <c r="PM254" s="509"/>
      <c r="PN254" s="509"/>
      <c r="PO254" s="509"/>
      <c r="PP254" s="509"/>
      <c r="PQ254" s="509"/>
      <c r="PR254" s="509"/>
      <c r="PS254" s="509"/>
      <c r="PT254" s="509"/>
      <c r="PU254" s="509"/>
      <c r="PV254" s="509"/>
      <c r="PW254" s="509"/>
      <c r="PX254" s="509"/>
      <c r="PY254" s="509"/>
      <c r="PZ254" s="509"/>
      <c r="QA254" s="509"/>
      <c r="QB254" s="509"/>
      <c r="QC254" s="509"/>
      <c r="QD254" s="509"/>
      <c r="QE254" s="509"/>
      <c r="QF254" s="509"/>
      <c r="QG254" s="509"/>
      <c r="QH254" s="509"/>
      <c r="QI254" s="509"/>
      <c r="QJ254" s="509"/>
      <c r="QK254" s="509"/>
      <c r="QL254" s="509"/>
      <c r="QM254" s="509"/>
      <c r="QN254" s="509"/>
      <c r="QO254" s="509"/>
      <c r="QP254" s="509"/>
      <c r="QQ254" s="509"/>
      <c r="QR254" s="509"/>
      <c r="QS254" s="509"/>
      <c r="QT254" s="509"/>
      <c r="QU254" s="509"/>
      <c r="QV254" s="509"/>
      <c r="QW254" s="509"/>
      <c r="QX254" s="509"/>
      <c r="QY254" s="509"/>
      <c r="QZ254" s="509"/>
      <c r="RA254" s="509"/>
      <c r="RB254" s="509"/>
      <c r="RC254" s="509"/>
      <c r="RD254" s="509"/>
      <c r="RE254" s="509"/>
      <c r="RF254" s="509"/>
      <c r="RG254" s="509"/>
      <c r="RH254" s="509"/>
      <c r="RI254" s="509"/>
      <c r="RJ254" s="509"/>
      <c r="RK254" s="509"/>
      <c r="RL254" s="509"/>
      <c r="RM254" s="509"/>
      <c r="RN254" s="509"/>
      <c r="RO254" s="509"/>
      <c r="RP254" s="509"/>
      <c r="RQ254" s="509"/>
      <c r="RR254" s="509"/>
      <c r="RS254" s="509"/>
      <c r="RT254" s="509"/>
      <c r="RU254" s="509"/>
      <c r="RV254" s="509"/>
      <c r="RW254" s="509"/>
      <c r="RX254" s="509"/>
      <c r="RY254" s="509"/>
      <c r="RZ254" s="509"/>
      <c r="SA254" s="509"/>
      <c r="SB254" s="509"/>
      <c r="SC254" s="509"/>
      <c r="SD254" s="509"/>
      <c r="SE254" s="509"/>
      <c r="SF254" s="509"/>
      <c r="SG254" s="509"/>
      <c r="SH254" s="509"/>
      <c r="SI254" s="509"/>
      <c r="SJ254" s="509"/>
      <c r="SK254" s="509"/>
      <c r="SL254" s="509"/>
      <c r="SM254" s="509"/>
      <c r="SN254" s="509"/>
      <c r="SO254" s="509"/>
      <c r="SP254" s="509"/>
      <c r="SQ254" s="509"/>
      <c r="SR254" s="509"/>
      <c r="SS254" s="509"/>
      <c r="ST254" s="509"/>
      <c r="SU254" s="509"/>
      <c r="SV254" s="509"/>
      <c r="SW254" s="509"/>
      <c r="SX254" s="509"/>
      <c r="SY254" s="509"/>
      <c r="SZ254" s="509"/>
      <c r="TA254" s="509"/>
      <c r="TB254" s="509"/>
      <c r="TC254" s="509"/>
      <c r="TD254" s="509"/>
      <c r="TE254" s="509"/>
      <c r="TF254" s="509"/>
      <c r="TG254" s="509"/>
      <c r="TH254" s="509"/>
      <c r="TI254" s="509"/>
      <c r="TJ254" s="509"/>
      <c r="TK254" s="509"/>
      <c r="TL254" s="509"/>
      <c r="TM254" s="509"/>
      <c r="TN254" s="509"/>
      <c r="TO254" s="509"/>
      <c r="TP254" s="509"/>
      <c r="TQ254" s="509"/>
      <c r="TR254" s="509"/>
      <c r="TS254" s="509"/>
      <c r="TT254" s="509"/>
      <c r="TU254" s="509"/>
      <c r="TV254" s="509"/>
      <c r="TW254" s="509"/>
      <c r="TX254" s="509"/>
      <c r="TY254" s="509"/>
      <c r="TZ254" s="509"/>
      <c r="UA254" s="509"/>
      <c r="UB254" s="509"/>
      <c r="UC254" s="509"/>
      <c r="UD254" s="509"/>
      <c r="UE254" s="509"/>
      <c r="UF254" s="509"/>
      <c r="UG254" s="509"/>
      <c r="UH254" s="509"/>
      <c r="UI254" s="509"/>
    </row>
    <row r="255" spans="1:555" ht="405">
      <c r="A255" s="296">
        <v>314</v>
      </c>
      <c r="B255" s="297" t="s">
        <v>3547</v>
      </c>
      <c r="C255" s="298" t="s">
        <v>3548</v>
      </c>
      <c r="D255" s="354" t="s">
        <v>3549</v>
      </c>
      <c r="E255" s="299">
        <v>42612</v>
      </c>
      <c r="F255" s="300">
        <v>42583</v>
      </c>
      <c r="G255" s="301" t="s">
        <v>3550</v>
      </c>
      <c r="H255" s="297" t="s">
        <v>2346</v>
      </c>
      <c r="I255" s="297" t="s">
        <v>1751</v>
      </c>
      <c r="J255" s="299">
        <v>42643</v>
      </c>
      <c r="K255" s="300">
        <v>42614</v>
      </c>
      <c r="L255" s="301" t="s">
        <v>3551</v>
      </c>
      <c r="M255" s="297" t="s">
        <v>2346</v>
      </c>
      <c r="N255" s="297" t="s">
        <v>336</v>
      </c>
      <c r="O255" s="299">
        <v>42653</v>
      </c>
      <c r="P255" s="302">
        <v>42644</v>
      </c>
      <c r="Q255" s="301" t="s">
        <v>3552</v>
      </c>
      <c r="R255" s="297" t="s">
        <v>2346</v>
      </c>
      <c r="S255" s="297" t="s">
        <v>336</v>
      </c>
      <c r="T255" s="305">
        <v>43313</v>
      </c>
      <c r="U255" s="300">
        <v>43313</v>
      </c>
      <c r="V255" s="315" t="s">
        <v>3553</v>
      </c>
      <c r="W255" s="297" t="s">
        <v>3554</v>
      </c>
      <c r="X255" s="297" t="s">
        <v>107</v>
      </c>
      <c r="Y255" s="299">
        <v>44081</v>
      </c>
      <c r="Z255" s="300">
        <v>44081</v>
      </c>
      <c r="AA255" s="301" t="s">
        <v>9621</v>
      </c>
      <c r="AB255" s="297" t="s">
        <v>2637</v>
      </c>
      <c r="AC255" s="297" t="s">
        <v>9622</v>
      </c>
      <c r="AD255" s="299"/>
      <c r="AE255" s="300"/>
      <c r="AF255" s="301"/>
      <c r="AG255" s="297"/>
      <c r="AH255" s="297"/>
      <c r="AI255" s="322"/>
      <c r="AJ255" s="300"/>
      <c r="AK255" s="301"/>
      <c r="AL255" s="297"/>
      <c r="AM255" s="297"/>
      <c r="AN255" s="297" t="s">
        <v>3555</v>
      </c>
      <c r="AO255" s="540">
        <v>42643</v>
      </c>
      <c r="AP255" s="297"/>
      <c r="AQ255" s="301" t="s">
        <v>3556</v>
      </c>
      <c r="AR255" s="297" t="s">
        <v>161</v>
      </c>
      <c r="AS255" s="299" t="s">
        <v>67</v>
      </c>
      <c r="AT255" s="299" t="s">
        <v>67</v>
      </c>
      <c r="AU255" s="297" t="s">
        <v>3557</v>
      </c>
      <c r="AV255" s="297"/>
      <c r="AW255" s="297" t="s">
        <v>92</v>
      </c>
      <c r="AX255" s="297" t="s">
        <v>9170</v>
      </c>
      <c r="AY255" s="299">
        <v>41208</v>
      </c>
      <c r="AZ255" s="297" t="s">
        <v>2591</v>
      </c>
      <c r="BA255" s="299">
        <v>42327</v>
      </c>
      <c r="BB255" s="382">
        <v>42383</v>
      </c>
      <c r="BC255" s="303" t="s">
        <v>561</v>
      </c>
      <c r="BD255" s="303" t="s">
        <v>3558</v>
      </c>
      <c r="BE255" s="297" t="s">
        <v>3559</v>
      </c>
      <c r="BF255" s="301" t="s">
        <v>7331</v>
      </c>
      <c r="BG255" s="301"/>
      <c r="BH255" s="301" t="s">
        <v>9857</v>
      </c>
      <c r="BI255" s="301"/>
      <c r="BJ255" s="301"/>
      <c r="BK255" s="312">
        <v>938202539</v>
      </c>
      <c r="BL255" s="313">
        <v>338967320</v>
      </c>
      <c r="BM255" s="299">
        <v>44162</v>
      </c>
      <c r="BN255" s="314">
        <v>44162</v>
      </c>
      <c r="BO255" s="460"/>
      <c r="BP255" s="390"/>
      <c r="BQ255" s="297"/>
      <c r="BR255" s="303"/>
      <c r="BS255" s="301"/>
      <c r="BT255" s="301"/>
      <c r="BU255" s="301"/>
      <c r="BV255" s="301"/>
      <c r="BW255" s="316"/>
      <c r="BX255" s="304"/>
      <c r="BY255" s="299"/>
      <c r="BZ255" s="317"/>
    </row>
    <row r="256" spans="1:555" s="259" customFormat="1" ht="82.5" customHeight="1">
      <c r="A256" s="296">
        <v>316</v>
      </c>
      <c r="B256" s="297" t="s">
        <v>3565</v>
      </c>
      <c r="C256" s="298">
        <v>79596745</v>
      </c>
      <c r="D256" s="354" t="s">
        <v>3482</v>
      </c>
      <c r="E256" s="299">
        <v>42618</v>
      </c>
      <c r="F256" s="300">
        <v>42614</v>
      </c>
      <c r="G256" s="301" t="s">
        <v>3566</v>
      </c>
      <c r="H256" s="297" t="s">
        <v>625</v>
      </c>
      <c r="I256" s="297" t="s">
        <v>183</v>
      </c>
      <c r="J256" s="299">
        <v>42668</v>
      </c>
      <c r="K256" s="300">
        <v>42644</v>
      </c>
      <c r="L256" s="301" t="s">
        <v>3567</v>
      </c>
      <c r="M256" s="297" t="s">
        <v>208</v>
      </c>
      <c r="N256" s="297" t="s">
        <v>101</v>
      </c>
      <c r="O256" s="299">
        <v>42704</v>
      </c>
      <c r="P256" s="302">
        <v>42675</v>
      </c>
      <c r="Q256" s="301" t="s">
        <v>3568</v>
      </c>
      <c r="R256" s="297" t="s">
        <v>208</v>
      </c>
      <c r="S256" s="297" t="s">
        <v>336</v>
      </c>
      <c r="T256" s="299">
        <v>43139</v>
      </c>
      <c r="U256" s="300">
        <v>43132</v>
      </c>
      <c r="V256" s="301" t="s">
        <v>3569</v>
      </c>
      <c r="W256" s="297" t="s">
        <v>5</v>
      </c>
      <c r="X256" s="297" t="s">
        <v>107</v>
      </c>
      <c r="Y256" s="299">
        <v>43175</v>
      </c>
      <c r="Z256" s="300">
        <v>43160</v>
      </c>
      <c r="AA256" s="301" t="s">
        <v>3570</v>
      </c>
      <c r="AB256" s="297" t="s">
        <v>208</v>
      </c>
      <c r="AC256" s="297" t="s">
        <v>107</v>
      </c>
      <c r="AD256" s="299" t="s">
        <v>3571</v>
      </c>
      <c r="AE256" s="300" t="s">
        <v>3572</v>
      </c>
      <c r="AF256" s="301" t="s">
        <v>3573</v>
      </c>
      <c r="AG256" s="297" t="s">
        <v>3574</v>
      </c>
      <c r="AH256" s="297" t="s">
        <v>3575</v>
      </c>
      <c r="AI256" s="322"/>
      <c r="AJ256" s="300"/>
      <c r="AK256" s="301"/>
      <c r="AL256" s="297"/>
      <c r="AM256" s="297"/>
      <c r="AN256" s="297" t="s">
        <v>3576</v>
      </c>
      <c r="AO256" s="473"/>
      <c r="AP256" s="297"/>
      <c r="AQ256" s="301" t="s">
        <v>3577</v>
      </c>
      <c r="AR256" s="297" t="s">
        <v>66</v>
      </c>
      <c r="AS256" s="299" t="s">
        <v>67</v>
      </c>
      <c r="AT256" s="299" t="s">
        <v>67</v>
      </c>
      <c r="AU256" s="297" t="s">
        <v>3578</v>
      </c>
      <c r="AV256" s="297"/>
      <c r="AW256" s="297" t="s">
        <v>69</v>
      </c>
      <c r="AX256" s="297" t="s">
        <v>318</v>
      </c>
      <c r="AY256" s="299">
        <v>42277</v>
      </c>
      <c r="AZ256" s="297" t="s">
        <v>94</v>
      </c>
      <c r="BA256" s="299">
        <v>42537</v>
      </c>
      <c r="BB256" s="382">
        <v>42559</v>
      </c>
      <c r="BC256" s="303" t="s">
        <v>912</v>
      </c>
      <c r="BD256" s="303" t="s">
        <v>566</v>
      </c>
      <c r="BE256" s="297"/>
      <c r="BF256" s="301"/>
      <c r="BG256" s="301" t="s">
        <v>3579</v>
      </c>
      <c r="BH256" s="301" t="s">
        <v>3580</v>
      </c>
      <c r="BI256" s="301"/>
      <c r="BJ256" s="312">
        <v>5947168</v>
      </c>
      <c r="BK256" s="312">
        <v>5947168</v>
      </c>
      <c r="BL256" s="313">
        <v>42819418</v>
      </c>
      <c r="BM256" s="299">
        <v>43158</v>
      </c>
      <c r="BN256" s="314">
        <v>43132</v>
      </c>
      <c r="BO256" s="434" t="s">
        <v>3581</v>
      </c>
      <c r="BP256" s="397"/>
      <c r="BQ256" s="398"/>
      <c r="BR256" s="320"/>
      <c r="BS256" s="301"/>
      <c r="BT256" s="301"/>
      <c r="BU256" s="301"/>
      <c r="BV256" s="301"/>
      <c r="BW256" s="316"/>
      <c r="BX256" s="304"/>
      <c r="BY256" s="299"/>
      <c r="BZ256" s="317"/>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c r="IY256" s="1"/>
      <c r="IZ256" s="1"/>
      <c r="JA256" s="1"/>
      <c r="JB256" s="1"/>
      <c r="JC256" s="1"/>
      <c r="JD256" s="1"/>
      <c r="JE256" s="1"/>
      <c r="JF256" s="1"/>
      <c r="JG256" s="1"/>
      <c r="JH256" s="1"/>
      <c r="JI256" s="1"/>
      <c r="JJ256" s="1"/>
      <c r="JK256" s="1"/>
      <c r="JL256" s="1"/>
      <c r="JM256" s="1"/>
      <c r="JN256" s="1"/>
      <c r="JO256" s="1"/>
      <c r="JP256" s="1"/>
      <c r="JQ256" s="1"/>
      <c r="JR256" s="1"/>
      <c r="JS256" s="1"/>
      <c r="JT256" s="1"/>
      <c r="JU256" s="1"/>
      <c r="JV256" s="1"/>
      <c r="JW256" s="1"/>
      <c r="JX256" s="1"/>
      <c r="JY256" s="1"/>
      <c r="JZ256" s="1"/>
      <c r="KA256" s="1"/>
      <c r="KB256" s="1"/>
      <c r="KC256" s="1"/>
      <c r="KD256" s="1"/>
      <c r="KE256" s="1"/>
      <c r="KF256" s="1"/>
      <c r="KG256" s="1"/>
      <c r="KH256" s="1"/>
      <c r="KI256" s="1"/>
      <c r="KJ256" s="1"/>
      <c r="KK256" s="1"/>
      <c r="KL256" s="1"/>
      <c r="KM256" s="1"/>
      <c r="KN256" s="1"/>
      <c r="KO256" s="1"/>
      <c r="KP256" s="1"/>
      <c r="KQ256" s="1"/>
      <c r="KR256" s="1"/>
      <c r="KS256" s="1"/>
      <c r="KT256" s="1"/>
      <c r="KU256" s="1"/>
      <c r="KV256" s="1"/>
      <c r="KW256" s="1"/>
      <c r="KX256" s="1"/>
      <c r="KY256" s="1"/>
      <c r="KZ256" s="1"/>
      <c r="LA256" s="1"/>
      <c r="LB256" s="1"/>
      <c r="LC256" s="1"/>
      <c r="LD256" s="1"/>
      <c r="LE256" s="1"/>
      <c r="LF256" s="1"/>
      <c r="LG256" s="1"/>
      <c r="LH256" s="1"/>
      <c r="LI256" s="1"/>
      <c r="LJ256" s="1"/>
      <c r="LK256" s="1"/>
      <c r="LL256" s="1"/>
      <c r="LM256" s="1"/>
      <c r="LN256" s="1"/>
      <c r="LO256" s="1"/>
      <c r="LP256" s="1"/>
      <c r="LQ256" s="1"/>
      <c r="LR256" s="1"/>
      <c r="LS256" s="1"/>
      <c r="LT256" s="1"/>
      <c r="LU256" s="1"/>
      <c r="LV256" s="1"/>
      <c r="LW256" s="1"/>
      <c r="LX256" s="1"/>
      <c r="LY256" s="1"/>
      <c r="LZ256" s="1"/>
      <c r="MA256" s="1"/>
      <c r="MB256" s="1"/>
      <c r="MC256" s="1"/>
      <c r="MD256" s="1"/>
      <c r="ME256" s="1"/>
      <c r="MF256" s="1"/>
      <c r="MG256" s="1"/>
      <c r="MH256" s="1"/>
      <c r="MI256" s="1"/>
      <c r="MJ256" s="1"/>
      <c r="MK256" s="1"/>
      <c r="ML256" s="1"/>
      <c r="MM256" s="1"/>
      <c r="MN256" s="1"/>
      <c r="MO256" s="1"/>
      <c r="MP256" s="1"/>
      <c r="MQ256" s="1"/>
      <c r="MR256" s="1"/>
      <c r="MS256" s="1"/>
      <c r="MT256" s="1"/>
      <c r="MU256" s="1"/>
      <c r="MV256" s="1"/>
      <c r="MW256" s="1"/>
      <c r="MX256" s="1"/>
      <c r="MY256" s="1"/>
      <c r="MZ256" s="1"/>
      <c r="NA256" s="1"/>
      <c r="NB256" s="1"/>
      <c r="NC256" s="1"/>
      <c r="ND256" s="1"/>
      <c r="NE256" s="1"/>
      <c r="NF256" s="1"/>
      <c r="NG256" s="1"/>
      <c r="NH256" s="1"/>
      <c r="NI256" s="1"/>
      <c r="NJ256" s="1"/>
      <c r="NK256" s="1"/>
      <c r="NL256" s="1"/>
      <c r="NM256" s="1"/>
      <c r="NN256" s="1"/>
      <c r="NO256" s="1"/>
      <c r="NP256" s="1"/>
      <c r="NQ256" s="1"/>
      <c r="NR256" s="1"/>
      <c r="NS256" s="1"/>
      <c r="NT256" s="1"/>
      <c r="NU256" s="1"/>
      <c r="NV256" s="1"/>
      <c r="NW256" s="1"/>
      <c r="NX256" s="1"/>
      <c r="NY256" s="1"/>
      <c r="NZ256" s="1"/>
      <c r="OA256" s="1"/>
      <c r="OB256" s="1"/>
      <c r="OC256" s="1"/>
      <c r="OD256" s="1"/>
      <c r="OE256" s="1"/>
      <c r="OF256" s="1"/>
      <c r="OG256" s="1"/>
      <c r="OH256" s="1"/>
      <c r="OI256" s="1"/>
      <c r="OJ256" s="1"/>
      <c r="OK256" s="1"/>
      <c r="OL256" s="1"/>
      <c r="OM256" s="1"/>
      <c r="ON256" s="1"/>
      <c r="OO256" s="1"/>
      <c r="OP256" s="1"/>
      <c r="OQ256" s="1"/>
      <c r="OR256" s="1"/>
      <c r="OS256" s="1"/>
      <c r="OT256" s="1"/>
      <c r="OU256" s="1"/>
      <c r="OV256" s="1"/>
      <c r="OW256" s="1"/>
      <c r="OX256" s="1"/>
      <c r="OY256" s="1"/>
      <c r="OZ256" s="1"/>
      <c r="PA256" s="1"/>
      <c r="PB256" s="1"/>
      <c r="PC256" s="1"/>
      <c r="PD256" s="1"/>
      <c r="PE256" s="1"/>
      <c r="PF256" s="1"/>
      <c r="PG256" s="1"/>
      <c r="PH256" s="1"/>
      <c r="PI256" s="1"/>
      <c r="PJ256" s="1"/>
      <c r="PK256" s="1"/>
      <c r="PL256" s="1"/>
      <c r="PM256" s="1"/>
      <c r="PN256" s="1"/>
      <c r="PO256" s="1"/>
      <c r="PP256" s="1"/>
      <c r="PQ256" s="1"/>
      <c r="PR256" s="1"/>
      <c r="PS256" s="1"/>
      <c r="PT256" s="1"/>
      <c r="PU256" s="1"/>
      <c r="PV256" s="1"/>
      <c r="PW256" s="1"/>
      <c r="PX256" s="1"/>
      <c r="PY256" s="1"/>
      <c r="PZ256" s="1"/>
      <c r="QA256" s="1"/>
      <c r="QB256" s="1"/>
      <c r="QC256" s="1"/>
      <c r="QD256" s="1"/>
      <c r="QE256" s="1"/>
      <c r="QF256" s="1"/>
      <c r="QG256" s="1"/>
      <c r="QH256" s="1"/>
      <c r="QI256" s="1"/>
      <c r="QJ256" s="1"/>
      <c r="QK256" s="1"/>
      <c r="QL256" s="1"/>
      <c r="QM256" s="1"/>
      <c r="QN256" s="1"/>
      <c r="QO256" s="1"/>
      <c r="QP256" s="1"/>
      <c r="QQ256" s="1"/>
      <c r="QR256" s="1"/>
      <c r="QS256" s="1"/>
      <c r="QT256" s="1"/>
      <c r="QU256" s="1"/>
      <c r="QV256" s="1"/>
      <c r="QW256" s="1"/>
      <c r="QX256" s="1"/>
      <c r="QY256" s="1"/>
      <c r="QZ256" s="1"/>
      <c r="RA256" s="1"/>
      <c r="RB256" s="1"/>
      <c r="RC256" s="1"/>
      <c r="RD256" s="1"/>
      <c r="RE256" s="1"/>
      <c r="RF256" s="1"/>
      <c r="RG256" s="1"/>
      <c r="RH256" s="1"/>
      <c r="RI256" s="1"/>
      <c r="RJ256" s="1"/>
      <c r="RK256" s="1"/>
      <c r="RL256" s="1"/>
      <c r="RM256" s="1"/>
      <c r="RN256" s="1"/>
      <c r="RO256" s="1"/>
      <c r="RP256" s="1"/>
      <c r="RQ256" s="1"/>
      <c r="RR256" s="1"/>
      <c r="RS256" s="1"/>
      <c r="RT256" s="1"/>
      <c r="RU256" s="1"/>
      <c r="RV256" s="1"/>
      <c r="RW256" s="1"/>
      <c r="RX256" s="1"/>
      <c r="RY256" s="1"/>
      <c r="RZ256" s="1"/>
      <c r="SA256" s="1"/>
      <c r="SB256" s="1"/>
      <c r="SC256" s="1"/>
      <c r="SD256" s="1"/>
      <c r="SE256" s="1"/>
      <c r="SF256" s="1"/>
      <c r="SG256" s="1"/>
      <c r="SH256" s="1"/>
      <c r="SI256" s="1"/>
      <c r="SJ256" s="1"/>
      <c r="SK256" s="1"/>
      <c r="SL256" s="1"/>
      <c r="SM256" s="1"/>
      <c r="SN256" s="1"/>
      <c r="SO256" s="1"/>
      <c r="SP256" s="1"/>
      <c r="SQ256" s="1"/>
      <c r="SR256" s="1"/>
      <c r="SS256" s="1"/>
      <c r="ST256" s="1"/>
      <c r="SU256" s="1"/>
      <c r="SV256" s="1"/>
      <c r="SW256" s="1"/>
      <c r="SX256" s="1"/>
      <c r="SY256" s="1"/>
      <c r="SZ256" s="1"/>
      <c r="TA256" s="1"/>
      <c r="TB256" s="1"/>
      <c r="TC256" s="1"/>
      <c r="TD256" s="1"/>
      <c r="TE256" s="1"/>
      <c r="TF256" s="1"/>
      <c r="TG256" s="1"/>
      <c r="TH256" s="1"/>
      <c r="TI256" s="1"/>
      <c r="TJ256" s="1"/>
      <c r="TK256" s="1"/>
      <c r="TL256" s="1"/>
      <c r="TM256" s="1"/>
      <c r="TN256" s="1"/>
      <c r="TO256" s="1"/>
      <c r="TP256" s="1"/>
      <c r="TQ256" s="1"/>
      <c r="TR256" s="1"/>
      <c r="TS256" s="1"/>
      <c r="TT256" s="1"/>
      <c r="TU256" s="1"/>
      <c r="TV256" s="1"/>
      <c r="TW256" s="1"/>
      <c r="TX256" s="1"/>
      <c r="TY256" s="1"/>
      <c r="TZ256" s="1"/>
      <c r="UA256" s="1"/>
      <c r="UB256" s="1"/>
      <c r="UC256" s="1"/>
      <c r="UD256" s="1"/>
      <c r="UE256" s="1"/>
      <c r="UF256" s="1"/>
      <c r="UG256" s="1"/>
      <c r="UH256" s="1"/>
      <c r="UI256" s="1"/>
    </row>
    <row r="257" spans="1:555" ht="91.5" customHeight="1">
      <c r="A257" s="296">
        <v>330</v>
      </c>
      <c r="B257" s="297" t="s">
        <v>3707</v>
      </c>
      <c r="C257" s="298">
        <v>76312797</v>
      </c>
      <c r="D257" s="354" t="s">
        <v>1153</v>
      </c>
      <c r="E257" s="299">
        <v>42651</v>
      </c>
      <c r="F257" s="300">
        <v>42644</v>
      </c>
      <c r="G257" s="301" t="s">
        <v>3708</v>
      </c>
      <c r="H257" s="297" t="s">
        <v>171</v>
      </c>
      <c r="I257" s="297" t="s">
        <v>183</v>
      </c>
      <c r="J257" s="299">
        <v>42699</v>
      </c>
      <c r="K257" s="300">
        <v>42675</v>
      </c>
      <c r="L257" s="301" t="s">
        <v>3709</v>
      </c>
      <c r="M257" s="297" t="s">
        <v>5</v>
      </c>
      <c r="N257" s="297" t="s">
        <v>101</v>
      </c>
      <c r="O257" s="299">
        <v>42669</v>
      </c>
      <c r="P257" s="302">
        <v>42644</v>
      </c>
      <c r="Q257" s="301" t="s">
        <v>3710</v>
      </c>
      <c r="R257" s="297" t="s">
        <v>576</v>
      </c>
      <c r="S257" s="297" t="s">
        <v>3711</v>
      </c>
      <c r="T257" s="299">
        <v>42674</v>
      </c>
      <c r="U257" s="300">
        <v>42644</v>
      </c>
      <c r="V257" s="301" t="s">
        <v>3712</v>
      </c>
      <c r="W257" s="297" t="s">
        <v>195</v>
      </c>
      <c r="X257" s="297" t="s">
        <v>3713</v>
      </c>
      <c r="Y257" s="299">
        <v>42989</v>
      </c>
      <c r="Z257" s="300">
        <v>42979</v>
      </c>
      <c r="AA257" s="301" t="s">
        <v>3714</v>
      </c>
      <c r="AB257" s="297" t="s">
        <v>5</v>
      </c>
      <c r="AC257" s="297" t="s">
        <v>3365</v>
      </c>
      <c r="AD257" s="299"/>
      <c r="AE257" s="300"/>
      <c r="AF257" s="301"/>
      <c r="AG257" s="297"/>
      <c r="AH257" s="297"/>
      <c r="AI257" s="322"/>
      <c r="AJ257" s="300"/>
      <c r="AK257" s="301"/>
      <c r="AL257" s="297"/>
      <c r="AM257" s="297"/>
      <c r="AN257" s="297" t="s">
        <v>600</v>
      </c>
      <c r="AO257" s="473"/>
      <c r="AP257" s="297"/>
      <c r="AQ257" s="301" t="s">
        <v>3715</v>
      </c>
      <c r="AR257" s="297" t="s">
        <v>66</v>
      </c>
      <c r="AS257" s="299">
        <v>37956</v>
      </c>
      <c r="AT257" s="299">
        <v>40862</v>
      </c>
      <c r="AU257" s="297" t="s">
        <v>3716</v>
      </c>
      <c r="AV257" s="297"/>
      <c r="AW257" s="297" t="s">
        <v>69</v>
      </c>
      <c r="AX257" s="297" t="s">
        <v>2398</v>
      </c>
      <c r="AY257" s="299">
        <v>41473</v>
      </c>
      <c r="AZ257" s="297" t="s">
        <v>576</v>
      </c>
      <c r="BA257" s="299">
        <v>42641</v>
      </c>
      <c r="BB257" s="382">
        <v>42649</v>
      </c>
      <c r="BC257" s="297" t="s">
        <v>95</v>
      </c>
      <c r="BD257" s="297" t="s">
        <v>566</v>
      </c>
      <c r="BE257" s="297"/>
      <c r="BF257" s="301" t="s">
        <v>988</v>
      </c>
      <c r="BG257" s="301" t="s">
        <v>3717</v>
      </c>
      <c r="BH257" s="301" t="s">
        <v>3718</v>
      </c>
      <c r="BI257" s="301"/>
      <c r="BJ257" s="312">
        <v>143257823</v>
      </c>
      <c r="BK257" s="312">
        <v>143257823</v>
      </c>
      <c r="BL257" s="313" t="s">
        <v>3719</v>
      </c>
      <c r="BM257" s="299">
        <v>43112</v>
      </c>
      <c r="BN257" s="314">
        <v>43101</v>
      </c>
      <c r="BO257" s="460" t="s">
        <v>3720</v>
      </c>
      <c r="BP257" s="390">
        <v>16963800</v>
      </c>
      <c r="BQ257" s="297" t="s">
        <v>7472</v>
      </c>
      <c r="BR257" s="303"/>
      <c r="BS257" s="301"/>
      <c r="BT257" s="301"/>
      <c r="BU257" s="301"/>
      <c r="BV257" s="301"/>
      <c r="BW257" s="316"/>
      <c r="BX257" s="304"/>
      <c r="BY257" s="299"/>
      <c r="BZ257" s="317"/>
    </row>
    <row r="258" spans="1:555" s="509" customFormat="1" ht="162">
      <c r="A258" s="296">
        <v>331</v>
      </c>
      <c r="B258" s="297" t="s">
        <v>3721</v>
      </c>
      <c r="C258" s="298">
        <v>6197972</v>
      </c>
      <c r="D258" s="354" t="s">
        <v>167</v>
      </c>
      <c r="E258" s="299">
        <v>42653</v>
      </c>
      <c r="F258" s="300">
        <v>42644</v>
      </c>
      <c r="G258" s="301" t="s">
        <v>3722</v>
      </c>
      <c r="H258" s="297" t="s">
        <v>1493</v>
      </c>
      <c r="I258" s="297" t="s">
        <v>183</v>
      </c>
      <c r="J258" s="299">
        <v>42776</v>
      </c>
      <c r="K258" s="300">
        <v>42767</v>
      </c>
      <c r="L258" s="301" t="s">
        <v>3723</v>
      </c>
      <c r="M258" s="297" t="s">
        <v>5</v>
      </c>
      <c r="N258" s="297" t="s">
        <v>79</v>
      </c>
      <c r="O258" s="299">
        <v>42494</v>
      </c>
      <c r="P258" s="302">
        <v>42491</v>
      </c>
      <c r="Q258" s="301" t="s">
        <v>3724</v>
      </c>
      <c r="R258" s="297" t="s">
        <v>171</v>
      </c>
      <c r="S258" s="297" t="s">
        <v>777</v>
      </c>
      <c r="T258" s="299">
        <v>42193</v>
      </c>
      <c r="U258" s="300">
        <v>42193</v>
      </c>
      <c r="V258" s="301" t="s">
        <v>3725</v>
      </c>
      <c r="W258" s="297" t="s">
        <v>171</v>
      </c>
      <c r="X258" s="297" t="s">
        <v>777</v>
      </c>
      <c r="Y258" s="299">
        <v>41920</v>
      </c>
      <c r="Z258" s="300">
        <v>41920</v>
      </c>
      <c r="AA258" s="301" t="s">
        <v>3726</v>
      </c>
      <c r="AB258" s="297" t="s">
        <v>171</v>
      </c>
      <c r="AC258" s="297" t="s">
        <v>777</v>
      </c>
      <c r="AD258" s="299">
        <v>43129</v>
      </c>
      <c r="AE258" s="300">
        <v>43101</v>
      </c>
      <c r="AF258" s="301" t="s">
        <v>3727</v>
      </c>
      <c r="AG258" s="297" t="s">
        <v>5</v>
      </c>
      <c r="AH258" s="297" t="s">
        <v>85</v>
      </c>
      <c r="AI258" s="322"/>
      <c r="AJ258" s="300"/>
      <c r="AK258" s="301"/>
      <c r="AL258" s="297"/>
      <c r="AM258" s="297"/>
      <c r="AN258" s="297" t="s">
        <v>3728</v>
      </c>
      <c r="AO258" s="473"/>
      <c r="AP258" s="297"/>
      <c r="AQ258" s="301" t="s">
        <v>3729</v>
      </c>
      <c r="AR258" s="297" t="s">
        <v>66</v>
      </c>
      <c r="AS258" s="299">
        <v>39264</v>
      </c>
      <c r="AT258" s="299">
        <v>40625</v>
      </c>
      <c r="AU258" s="297" t="s">
        <v>3730</v>
      </c>
      <c r="AV258" s="297"/>
      <c r="AW258" s="297" t="s">
        <v>69</v>
      </c>
      <c r="AX258" s="297" t="s">
        <v>2721</v>
      </c>
      <c r="AY258" s="299">
        <v>41737</v>
      </c>
      <c r="AZ258" s="297" t="s">
        <v>67</v>
      </c>
      <c r="BA258" s="299" t="s">
        <v>67</v>
      </c>
      <c r="BB258" s="382">
        <v>41921</v>
      </c>
      <c r="BC258" s="297" t="s">
        <v>95</v>
      </c>
      <c r="BD258" s="297" t="s">
        <v>566</v>
      </c>
      <c r="BE258" s="297"/>
      <c r="BF258" s="301" t="s">
        <v>3731</v>
      </c>
      <c r="BG258" s="301"/>
      <c r="BH258" s="301" t="s">
        <v>3732</v>
      </c>
      <c r="BI258" s="301"/>
      <c r="BJ258" s="312">
        <v>87868777</v>
      </c>
      <c r="BK258" s="312">
        <v>87868777</v>
      </c>
      <c r="BL258" s="313">
        <v>115465718</v>
      </c>
      <c r="BM258" s="299">
        <v>43214</v>
      </c>
      <c r="BN258" s="314">
        <v>43191</v>
      </c>
      <c r="BO258" s="434" t="s">
        <v>2650</v>
      </c>
      <c r="BP258" s="397"/>
      <c r="BQ258" s="398"/>
      <c r="BR258" s="320"/>
      <c r="BS258" s="301"/>
      <c r="BT258" s="301"/>
      <c r="BU258" s="301"/>
      <c r="BV258" s="301"/>
      <c r="BW258" s="316"/>
      <c r="BX258" s="304"/>
      <c r="BY258" s="299"/>
      <c r="BZ258" s="317"/>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c r="IY258" s="1"/>
      <c r="IZ258" s="1"/>
      <c r="JA258" s="1"/>
      <c r="JB258" s="1"/>
      <c r="JC258" s="1"/>
      <c r="JD258" s="1"/>
      <c r="JE258" s="1"/>
      <c r="JF258" s="1"/>
      <c r="JG258" s="1"/>
      <c r="JH258" s="1"/>
      <c r="JI258" s="1"/>
      <c r="JJ258" s="1"/>
      <c r="JK258" s="1"/>
      <c r="JL258" s="1"/>
      <c r="JM258" s="1"/>
      <c r="JN258" s="1"/>
      <c r="JO258" s="1"/>
      <c r="JP258" s="1"/>
      <c r="JQ258" s="1"/>
      <c r="JR258" s="1"/>
      <c r="JS258" s="1"/>
      <c r="JT258" s="1"/>
      <c r="JU258" s="1"/>
      <c r="JV258" s="1"/>
      <c r="JW258" s="1"/>
      <c r="JX258" s="1"/>
      <c r="JY258" s="1"/>
      <c r="JZ258" s="1"/>
      <c r="KA258" s="1"/>
      <c r="KB258" s="1"/>
      <c r="KC258" s="1"/>
      <c r="KD258" s="1"/>
      <c r="KE258" s="1"/>
      <c r="KF258" s="1"/>
      <c r="KG258" s="1"/>
      <c r="KH258" s="1"/>
      <c r="KI258" s="1"/>
      <c r="KJ258" s="1"/>
      <c r="KK258" s="1"/>
      <c r="KL258" s="1"/>
      <c r="KM258" s="1"/>
      <c r="KN258" s="1"/>
      <c r="KO258" s="1"/>
      <c r="KP258" s="1"/>
      <c r="KQ258" s="1"/>
      <c r="KR258" s="1"/>
      <c r="KS258" s="1"/>
      <c r="KT258" s="1"/>
      <c r="KU258" s="1"/>
      <c r="KV258" s="1"/>
      <c r="KW258" s="1"/>
      <c r="KX258" s="1"/>
      <c r="KY258" s="1"/>
      <c r="KZ258" s="1"/>
      <c r="LA258" s="1"/>
      <c r="LB258" s="1"/>
      <c r="LC258" s="1"/>
      <c r="LD258" s="1"/>
      <c r="LE258" s="1"/>
      <c r="LF258" s="1"/>
      <c r="LG258" s="1"/>
      <c r="LH258" s="1"/>
      <c r="LI258" s="1"/>
      <c r="LJ258" s="1"/>
      <c r="LK258" s="1"/>
      <c r="LL258" s="1"/>
      <c r="LM258" s="1"/>
      <c r="LN258" s="1"/>
      <c r="LO258" s="1"/>
      <c r="LP258" s="1"/>
      <c r="LQ258" s="1"/>
      <c r="LR258" s="1"/>
      <c r="LS258" s="1"/>
      <c r="LT258" s="1"/>
      <c r="LU258" s="1"/>
      <c r="LV258" s="1"/>
      <c r="LW258" s="1"/>
      <c r="LX258" s="1"/>
      <c r="LY258" s="1"/>
      <c r="LZ258" s="1"/>
      <c r="MA258" s="1"/>
      <c r="MB258" s="1"/>
      <c r="MC258" s="1"/>
      <c r="MD258" s="1"/>
      <c r="ME258" s="1"/>
      <c r="MF258" s="1"/>
      <c r="MG258" s="1"/>
      <c r="MH258" s="1"/>
      <c r="MI258" s="1"/>
      <c r="MJ258" s="1"/>
      <c r="MK258" s="1"/>
      <c r="ML258" s="1"/>
      <c r="MM258" s="1"/>
      <c r="MN258" s="1"/>
      <c r="MO258" s="1"/>
      <c r="MP258" s="1"/>
      <c r="MQ258" s="1"/>
      <c r="MR258" s="1"/>
      <c r="MS258" s="1"/>
      <c r="MT258" s="1"/>
      <c r="MU258" s="1"/>
      <c r="MV258" s="1"/>
      <c r="MW258" s="1"/>
      <c r="MX258" s="1"/>
      <c r="MY258" s="1"/>
      <c r="MZ258" s="1"/>
      <c r="NA258" s="1"/>
      <c r="NB258" s="1"/>
      <c r="NC258" s="1"/>
      <c r="ND258" s="1"/>
      <c r="NE258" s="1"/>
      <c r="NF258" s="1"/>
      <c r="NG258" s="1"/>
      <c r="NH258" s="1"/>
      <c r="NI258" s="1"/>
      <c r="NJ258" s="1"/>
      <c r="NK258" s="1"/>
      <c r="NL258" s="1"/>
      <c r="NM258" s="1"/>
      <c r="NN258" s="1"/>
      <c r="NO258" s="1"/>
      <c r="NP258" s="1"/>
      <c r="NQ258" s="1"/>
      <c r="NR258" s="1"/>
      <c r="NS258" s="1"/>
      <c r="NT258" s="1"/>
      <c r="NU258" s="1"/>
      <c r="NV258" s="1"/>
      <c r="NW258" s="1"/>
      <c r="NX258" s="1"/>
      <c r="NY258" s="1"/>
      <c r="NZ258" s="1"/>
      <c r="OA258" s="1"/>
      <c r="OB258" s="1"/>
      <c r="OC258" s="1"/>
      <c r="OD258" s="1"/>
      <c r="OE258" s="1"/>
      <c r="OF258" s="1"/>
      <c r="OG258" s="1"/>
      <c r="OH258" s="1"/>
      <c r="OI258" s="1"/>
      <c r="OJ258" s="1"/>
      <c r="OK258" s="1"/>
      <c r="OL258" s="1"/>
      <c r="OM258" s="1"/>
      <c r="ON258" s="1"/>
      <c r="OO258" s="1"/>
      <c r="OP258" s="1"/>
      <c r="OQ258" s="1"/>
      <c r="OR258" s="1"/>
      <c r="OS258" s="1"/>
      <c r="OT258" s="1"/>
      <c r="OU258" s="1"/>
      <c r="OV258" s="1"/>
      <c r="OW258" s="1"/>
      <c r="OX258" s="1"/>
      <c r="OY258" s="1"/>
      <c r="OZ258" s="1"/>
      <c r="PA258" s="1"/>
      <c r="PB258" s="1"/>
      <c r="PC258" s="1"/>
      <c r="PD258" s="1"/>
      <c r="PE258" s="1"/>
      <c r="PF258" s="1"/>
      <c r="PG258" s="1"/>
      <c r="PH258" s="1"/>
      <c r="PI258" s="1"/>
      <c r="PJ258" s="1"/>
      <c r="PK258" s="1"/>
      <c r="PL258" s="1"/>
      <c r="PM258" s="1"/>
      <c r="PN258" s="1"/>
      <c r="PO258" s="1"/>
      <c r="PP258" s="1"/>
      <c r="PQ258" s="1"/>
      <c r="PR258" s="1"/>
      <c r="PS258" s="1"/>
      <c r="PT258" s="1"/>
      <c r="PU258" s="1"/>
      <c r="PV258" s="1"/>
      <c r="PW258" s="1"/>
      <c r="PX258" s="1"/>
      <c r="PY258" s="1"/>
      <c r="PZ258" s="1"/>
      <c r="QA258" s="1"/>
      <c r="QB258" s="1"/>
      <c r="QC258" s="1"/>
      <c r="QD258" s="1"/>
      <c r="QE258" s="1"/>
      <c r="QF258" s="1"/>
      <c r="QG258" s="1"/>
      <c r="QH258" s="1"/>
      <c r="QI258" s="1"/>
      <c r="QJ258" s="1"/>
      <c r="QK258" s="1"/>
      <c r="QL258" s="1"/>
      <c r="QM258" s="1"/>
      <c r="QN258" s="1"/>
      <c r="QO258" s="1"/>
      <c r="QP258" s="1"/>
      <c r="QQ258" s="1"/>
      <c r="QR258" s="1"/>
      <c r="QS258" s="1"/>
      <c r="QT258" s="1"/>
      <c r="QU258" s="1"/>
      <c r="QV258" s="1"/>
      <c r="QW258" s="1"/>
      <c r="QX258" s="1"/>
      <c r="QY258" s="1"/>
      <c r="QZ258" s="1"/>
      <c r="RA258" s="1"/>
      <c r="RB258" s="1"/>
      <c r="RC258" s="1"/>
      <c r="RD258" s="1"/>
      <c r="RE258" s="1"/>
      <c r="RF258" s="1"/>
      <c r="RG258" s="1"/>
      <c r="RH258" s="1"/>
      <c r="RI258" s="1"/>
      <c r="RJ258" s="1"/>
      <c r="RK258" s="1"/>
      <c r="RL258" s="1"/>
      <c r="RM258" s="1"/>
      <c r="RN258" s="1"/>
      <c r="RO258" s="1"/>
      <c r="RP258" s="1"/>
      <c r="RQ258" s="1"/>
      <c r="RR258" s="1"/>
      <c r="RS258" s="1"/>
      <c r="RT258" s="1"/>
      <c r="RU258" s="1"/>
      <c r="RV258" s="1"/>
      <c r="RW258" s="1"/>
      <c r="RX258" s="1"/>
      <c r="RY258" s="1"/>
      <c r="RZ258" s="1"/>
      <c r="SA258" s="1"/>
      <c r="SB258" s="1"/>
      <c r="SC258" s="1"/>
      <c r="SD258" s="1"/>
      <c r="SE258" s="1"/>
      <c r="SF258" s="1"/>
      <c r="SG258" s="1"/>
      <c r="SH258" s="1"/>
      <c r="SI258" s="1"/>
      <c r="SJ258" s="1"/>
      <c r="SK258" s="1"/>
      <c r="SL258" s="1"/>
      <c r="SM258" s="1"/>
      <c r="SN258" s="1"/>
      <c r="SO258" s="1"/>
      <c r="SP258" s="1"/>
      <c r="SQ258" s="1"/>
      <c r="SR258" s="1"/>
      <c r="SS258" s="1"/>
      <c r="ST258" s="1"/>
      <c r="SU258" s="1"/>
      <c r="SV258" s="1"/>
      <c r="SW258" s="1"/>
      <c r="SX258" s="1"/>
      <c r="SY258" s="1"/>
      <c r="SZ258" s="1"/>
      <c r="TA258" s="1"/>
      <c r="TB258" s="1"/>
      <c r="TC258" s="1"/>
      <c r="TD258" s="1"/>
      <c r="TE258" s="1"/>
      <c r="TF258" s="1"/>
      <c r="TG258" s="1"/>
      <c r="TH258" s="1"/>
      <c r="TI258" s="1"/>
      <c r="TJ258" s="1"/>
      <c r="TK258" s="1"/>
      <c r="TL258" s="1"/>
      <c r="TM258" s="1"/>
      <c r="TN258" s="1"/>
      <c r="TO258" s="1"/>
      <c r="TP258" s="1"/>
      <c r="TQ258" s="1"/>
      <c r="TR258" s="1"/>
      <c r="TS258" s="1"/>
      <c r="TT258" s="1"/>
      <c r="TU258" s="1"/>
      <c r="TV258" s="1"/>
      <c r="TW258" s="1"/>
      <c r="TX258" s="1"/>
      <c r="TY258" s="1"/>
      <c r="TZ258" s="1"/>
      <c r="UA258" s="1"/>
      <c r="UB258" s="1"/>
      <c r="UC258" s="1"/>
      <c r="UD258" s="1"/>
      <c r="UE258" s="1"/>
      <c r="UF258" s="1"/>
      <c r="UG258" s="1"/>
      <c r="UH258" s="1"/>
      <c r="UI258" s="1"/>
    </row>
    <row r="259" spans="1:555" s="509" customFormat="1" ht="96.75" customHeight="1">
      <c r="A259" s="296">
        <v>336</v>
      </c>
      <c r="B259" s="297" t="s">
        <v>3762</v>
      </c>
      <c r="C259" s="298">
        <v>10733544</v>
      </c>
      <c r="D259" s="354" t="s">
        <v>1567</v>
      </c>
      <c r="E259" s="299">
        <v>42661</v>
      </c>
      <c r="F259" s="300">
        <v>42644</v>
      </c>
      <c r="G259" s="301" t="s">
        <v>3763</v>
      </c>
      <c r="H259" s="297" t="s">
        <v>625</v>
      </c>
      <c r="I259" s="297" t="s">
        <v>183</v>
      </c>
      <c r="J259" s="299">
        <v>42723</v>
      </c>
      <c r="K259" s="300">
        <v>42705</v>
      </c>
      <c r="L259" s="301" t="s">
        <v>3764</v>
      </c>
      <c r="M259" s="297" t="s">
        <v>5</v>
      </c>
      <c r="N259" s="297" t="s">
        <v>101</v>
      </c>
      <c r="O259" s="299">
        <v>42209</v>
      </c>
      <c r="P259" s="302">
        <v>42186</v>
      </c>
      <c r="Q259" s="301" t="s">
        <v>3765</v>
      </c>
      <c r="R259" s="297" t="s">
        <v>3766</v>
      </c>
      <c r="S259" s="297" t="s">
        <v>625</v>
      </c>
      <c r="T259" s="299">
        <v>41987</v>
      </c>
      <c r="U259" s="300">
        <v>41974</v>
      </c>
      <c r="V259" s="301" t="s">
        <v>3767</v>
      </c>
      <c r="W259" s="297" t="s">
        <v>1493</v>
      </c>
      <c r="X259" s="297" t="s">
        <v>1167</v>
      </c>
      <c r="Y259" s="299">
        <v>42457</v>
      </c>
      <c r="Z259" s="300">
        <v>42430</v>
      </c>
      <c r="AA259" s="301" t="s">
        <v>3768</v>
      </c>
      <c r="AB259" s="297" t="s">
        <v>625</v>
      </c>
      <c r="AC259" s="297" t="s">
        <v>3769</v>
      </c>
      <c r="AD259" s="299">
        <v>43280</v>
      </c>
      <c r="AE259" s="300">
        <v>43280</v>
      </c>
      <c r="AF259" s="301" t="s">
        <v>3770</v>
      </c>
      <c r="AG259" s="297" t="s">
        <v>3771</v>
      </c>
      <c r="AH259" s="297" t="s">
        <v>3772</v>
      </c>
      <c r="AI259" s="299">
        <v>43297</v>
      </c>
      <c r="AJ259" s="300">
        <v>43297</v>
      </c>
      <c r="AK259" s="301" t="s">
        <v>3773</v>
      </c>
      <c r="AL259" s="297" t="s">
        <v>171</v>
      </c>
      <c r="AM259" s="297" t="s">
        <v>174</v>
      </c>
      <c r="AN259" s="297" t="s">
        <v>600</v>
      </c>
      <c r="AO259" s="479">
        <v>42723</v>
      </c>
      <c r="AP259" s="297"/>
      <c r="AQ259" s="301" t="s">
        <v>3774</v>
      </c>
      <c r="AR259" s="297" t="s">
        <v>161</v>
      </c>
      <c r="AS259" s="299">
        <v>40323</v>
      </c>
      <c r="AT259" s="299">
        <v>40786</v>
      </c>
      <c r="AU259" s="297" t="s">
        <v>3775</v>
      </c>
      <c r="AV259" s="297"/>
      <c r="AW259" s="297" t="s">
        <v>92</v>
      </c>
      <c r="AX259" s="297" t="s">
        <v>3776</v>
      </c>
      <c r="AY259" s="299">
        <v>41718</v>
      </c>
      <c r="AZ259" s="297" t="s">
        <v>1630</v>
      </c>
      <c r="BA259" s="299">
        <v>42614</v>
      </c>
      <c r="BB259" s="382">
        <v>42627</v>
      </c>
      <c r="BC259" s="297" t="s">
        <v>95</v>
      </c>
      <c r="BD259" s="297" t="s">
        <v>566</v>
      </c>
      <c r="BE259" s="297"/>
      <c r="BF259" s="301" t="s">
        <v>3777</v>
      </c>
      <c r="BG259" s="301"/>
      <c r="BH259" s="301" t="s">
        <v>8361</v>
      </c>
      <c r="BI259" s="301"/>
      <c r="BJ259" s="312">
        <f>+[72]MATRIZ!$J$49</f>
        <v>52163553.846997373</v>
      </c>
      <c r="BK259" s="312">
        <v>52163554</v>
      </c>
      <c r="BL259" s="313">
        <v>44111719</v>
      </c>
      <c r="BM259" s="299">
        <v>43530</v>
      </c>
      <c r="BN259" s="314">
        <v>43530</v>
      </c>
      <c r="BO259" s="460"/>
      <c r="BP259" s="390"/>
      <c r="BQ259" s="297"/>
      <c r="BR259" s="303"/>
      <c r="BS259" s="297" t="s">
        <v>3778</v>
      </c>
      <c r="BT259" s="301"/>
      <c r="BU259" s="301"/>
      <c r="BV259" s="301"/>
      <c r="BW259" s="316"/>
      <c r="BX259" s="304"/>
      <c r="BY259" s="299"/>
      <c r="BZ259" s="317"/>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c r="IY259" s="1"/>
      <c r="IZ259" s="1"/>
      <c r="JA259" s="1"/>
      <c r="JB259" s="1"/>
      <c r="JC259" s="1"/>
      <c r="JD259" s="1"/>
      <c r="JE259" s="1"/>
      <c r="JF259" s="1"/>
      <c r="JG259" s="1"/>
      <c r="JH259" s="1"/>
      <c r="JI259" s="1"/>
      <c r="JJ259" s="1"/>
      <c r="JK259" s="1"/>
      <c r="JL259" s="1"/>
      <c r="JM259" s="1"/>
      <c r="JN259" s="1"/>
      <c r="JO259" s="1"/>
      <c r="JP259" s="1"/>
      <c r="JQ259" s="1"/>
      <c r="JR259" s="1"/>
      <c r="JS259" s="1"/>
      <c r="JT259" s="1"/>
      <c r="JU259" s="1"/>
      <c r="JV259" s="1"/>
      <c r="JW259" s="1"/>
      <c r="JX259" s="1"/>
      <c r="JY259" s="1"/>
      <c r="JZ259" s="1"/>
      <c r="KA259" s="1"/>
      <c r="KB259" s="1"/>
      <c r="KC259" s="1"/>
      <c r="KD259" s="1"/>
      <c r="KE259" s="1"/>
      <c r="KF259" s="1"/>
      <c r="KG259" s="1"/>
      <c r="KH259" s="1"/>
      <c r="KI259" s="1"/>
      <c r="KJ259" s="1"/>
      <c r="KK259" s="1"/>
      <c r="KL259" s="1"/>
      <c r="KM259" s="1"/>
      <c r="KN259" s="1"/>
      <c r="KO259" s="1"/>
      <c r="KP259" s="1"/>
      <c r="KQ259" s="1"/>
      <c r="KR259" s="1"/>
      <c r="KS259" s="1"/>
      <c r="KT259" s="1"/>
      <c r="KU259" s="1"/>
      <c r="KV259" s="1"/>
      <c r="KW259" s="1"/>
      <c r="KX259" s="1"/>
      <c r="KY259" s="1"/>
      <c r="KZ259" s="1"/>
      <c r="LA259" s="1"/>
      <c r="LB259" s="1"/>
      <c r="LC259" s="1"/>
      <c r="LD259" s="1"/>
      <c r="LE259" s="1"/>
      <c r="LF259" s="1"/>
      <c r="LG259" s="1"/>
      <c r="LH259" s="1"/>
      <c r="LI259" s="1"/>
      <c r="LJ259" s="1"/>
      <c r="LK259" s="1"/>
      <c r="LL259" s="1"/>
      <c r="LM259" s="1"/>
      <c r="LN259" s="1"/>
      <c r="LO259" s="1"/>
      <c r="LP259" s="1"/>
      <c r="LQ259" s="1"/>
      <c r="LR259" s="1"/>
      <c r="LS259" s="1"/>
      <c r="LT259" s="1"/>
      <c r="LU259" s="1"/>
      <c r="LV259" s="1"/>
      <c r="LW259" s="1"/>
      <c r="LX259" s="1"/>
      <c r="LY259" s="1"/>
      <c r="LZ259" s="1"/>
      <c r="MA259" s="1"/>
      <c r="MB259" s="1"/>
      <c r="MC259" s="1"/>
      <c r="MD259" s="1"/>
      <c r="ME259" s="1"/>
      <c r="MF259" s="1"/>
      <c r="MG259" s="1"/>
      <c r="MH259" s="1"/>
      <c r="MI259" s="1"/>
      <c r="MJ259" s="1"/>
      <c r="MK259" s="1"/>
      <c r="ML259" s="1"/>
      <c r="MM259" s="1"/>
      <c r="MN259" s="1"/>
      <c r="MO259" s="1"/>
      <c r="MP259" s="1"/>
      <c r="MQ259" s="1"/>
      <c r="MR259" s="1"/>
      <c r="MS259" s="1"/>
      <c r="MT259" s="1"/>
      <c r="MU259" s="1"/>
      <c r="MV259" s="1"/>
      <c r="MW259" s="1"/>
      <c r="MX259" s="1"/>
      <c r="MY259" s="1"/>
      <c r="MZ259" s="1"/>
      <c r="NA259" s="1"/>
      <c r="NB259" s="1"/>
      <c r="NC259" s="1"/>
      <c r="ND259" s="1"/>
      <c r="NE259" s="1"/>
      <c r="NF259" s="1"/>
      <c r="NG259" s="1"/>
      <c r="NH259" s="1"/>
      <c r="NI259" s="1"/>
      <c r="NJ259" s="1"/>
      <c r="NK259" s="1"/>
      <c r="NL259" s="1"/>
      <c r="NM259" s="1"/>
      <c r="NN259" s="1"/>
      <c r="NO259" s="1"/>
      <c r="NP259" s="1"/>
      <c r="NQ259" s="1"/>
      <c r="NR259" s="1"/>
      <c r="NS259" s="1"/>
      <c r="NT259" s="1"/>
      <c r="NU259" s="1"/>
      <c r="NV259" s="1"/>
      <c r="NW259" s="1"/>
      <c r="NX259" s="1"/>
      <c r="NY259" s="1"/>
      <c r="NZ259" s="1"/>
      <c r="OA259" s="1"/>
      <c r="OB259" s="1"/>
      <c r="OC259" s="1"/>
      <c r="OD259" s="1"/>
      <c r="OE259" s="1"/>
      <c r="OF259" s="1"/>
      <c r="OG259" s="1"/>
      <c r="OH259" s="1"/>
      <c r="OI259" s="1"/>
      <c r="OJ259" s="1"/>
      <c r="OK259" s="1"/>
      <c r="OL259" s="1"/>
      <c r="OM259" s="1"/>
      <c r="ON259" s="1"/>
      <c r="OO259" s="1"/>
      <c r="OP259" s="1"/>
      <c r="OQ259" s="1"/>
      <c r="OR259" s="1"/>
      <c r="OS259" s="1"/>
      <c r="OT259" s="1"/>
      <c r="OU259" s="1"/>
      <c r="OV259" s="1"/>
      <c r="OW259" s="1"/>
      <c r="OX259" s="1"/>
      <c r="OY259" s="1"/>
      <c r="OZ259" s="1"/>
      <c r="PA259" s="1"/>
      <c r="PB259" s="1"/>
      <c r="PC259" s="1"/>
      <c r="PD259" s="1"/>
      <c r="PE259" s="1"/>
      <c r="PF259" s="1"/>
      <c r="PG259" s="1"/>
      <c r="PH259" s="1"/>
      <c r="PI259" s="1"/>
      <c r="PJ259" s="1"/>
      <c r="PK259" s="1"/>
      <c r="PL259" s="1"/>
      <c r="PM259" s="1"/>
      <c r="PN259" s="1"/>
      <c r="PO259" s="1"/>
      <c r="PP259" s="1"/>
      <c r="PQ259" s="1"/>
      <c r="PR259" s="1"/>
      <c r="PS259" s="1"/>
      <c r="PT259" s="1"/>
      <c r="PU259" s="1"/>
      <c r="PV259" s="1"/>
      <c r="PW259" s="1"/>
      <c r="PX259" s="1"/>
      <c r="PY259" s="1"/>
      <c r="PZ259" s="1"/>
      <c r="QA259" s="1"/>
      <c r="QB259" s="1"/>
      <c r="QC259" s="1"/>
      <c r="QD259" s="1"/>
      <c r="QE259" s="1"/>
      <c r="QF259" s="1"/>
      <c r="QG259" s="1"/>
      <c r="QH259" s="1"/>
      <c r="QI259" s="1"/>
      <c r="QJ259" s="1"/>
      <c r="QK259" s="1"/>
      <c r="QL259" s="1"/>
      <c r="QM259" s="1"/>
      <c r="QN259" s="1"/>
      <c r="QO259" s="1"/>
      <c r="QP259" s="1"/>
      <c r="QQ259" s="1"/>
      <c r="QR259" s="1"/>
      <c r="QS259" s="1"/>
      <c r="QT259" s="1"/>
      <c r="QU259" s="1"/>
      <c r="QV259" s="1"/>
      <c r="QW259" s="1"/>
      <c r="QX259" s="1"/>
      <c r="QY259" s="1"/>
      <c r="QZ259" s="1"/>
      <c r="RA259" s="1"/>
      <c r="RB259" s="1"/>
      <c r="RC259" s="1"/>
      <c r="RD259" s="1"/>
      <c r="RE259" s="1"/>
      <c r="RF259" s="1"/>
      <c r="RG259" s="1"/>
      <c r="RH259" s="1"/>
      <c r="RI259" s="1"/>
      <c r="RJ259" s="1"/>
      <c r="RK259" s="1"/>
      <c r="RL259" s="1"/>
      <c r="RM259" s="1"/>
      <c r="RN259" s="1"/>
      <c r="RO259" s="1"/>
      <c r="RP259" s="1"/>
      <c r="RQ259" s="1"/>
      <c r="RR259" s="1"/>
      <c r="RS259" s="1"/>
      <c r="RT259" s="1"/>
      <c r="RU259" s="1"/>
      <c r="RV259" s="1"/>
      <c r="RW259" s="1"/>
      <c r="RX259" s="1"/>
      <c r="RY259" s="1"/>
      <c r="RZ259" s="1"/>
      <c r="SA259" s="1"/>
      <c r="SB259" s="1"/>
      <c r="SC259" s="1"/>
      <c r="SD259" s="1"/>
      <c r="SE259" s="1"/>
      <c r="SF259" s="1"/>
      <c r="SG259" s="1"/>
      <c r="SH259" s="1"/>
      <c r="SI259" s="1"/>
      <c r="SJ259" s="1"/>
      <c r="SK259" s="1"/>
      <c r="SL259" s="1"/>
      <c r="SM259" s="1"/>
      <c r="SN259" s="1"/>
      <c r="SO259" s="1"/>
      <c r="SP259" s="1"/>
      <c r="SQ259" s="1"/>
      <c r="SR259" s="1"/>
      <c r="SS259" s="1"/>
      <c r="ST259" s="1"/>
      <c r="SU259" s="1"/>
      <c r="SV259" s="1"/>
      <c r="SW259" s="1"/>
      <c r="SX259" s="1"/>
      <c r="SY259" s="1"/>
      <c r="SZ259" s="1"/>
      <c r="TA259" s="1"/>
      <c r="TB259" s="1"/>
      <c r="TC259" s="1"/>
      <c r="TD259" s="1"/>
      <c r="TE259" s="1"/>
      <c r="TF259" s="1"/>
      <c r="TG259" s="1"/>
      <c r="TH259" s="1"/>
      <c r="TI259" s="1"/>
      <c r="TJ259" s="1"/>
      <c r="TK259" s="1"/>
      <c r="TL259" s="1"/>
      <c r="TM259" s="1"/>
      <c r="TN259" s="1"/>
      <c r="TO259" s="1"/>
      <c r="TP259" s="1"/>
      <c r="TQ259" s="1"/>
      <c r="TR259" s="1"/>
      <c r="TS259" s="1"/>
      <c r="TT259" s="1"/>
      <c r="TU259" s="1"/>
      <c r="TV259" s="1"/>
      <c r="TW259" s="1"/>
      <c r="TX259" s="1"/>
      <c r="TY259" s="1"/>
      <c r="TZ259" s="1"/>
      <c r="UA259" s="1"/>
      <c r="UB259" s="1"/>
      <c r="UC259" s="1"/>
      <c r="UD259" s="1"/>
      <c r="UE259" s="1"/>
      <c r="UF259" s="1"/>
      <c r="UG259" s="1"/>
      <c r="UH259" s="1"/>
      <c r="UI259" s="1"/>
    </row>
    <row r="260" spans="1:555" s="259" customFormat="1" ht="40.5">
      <c r="A260" s="296">
        <v>342</v>
      </c>
      <c r="B260" s="297" t="s">
        <v>3826</v>
      </c>
      <c r="C260" s="298">
        <v>70418751</v>
      </c>
      <c r="D260" s="354" t="s">
        <v>67</v>
      </c>
      <c r="E260" s="299">
        <v>42670</v>
      </c>
      <c r="F260" s="300">
        <v>42644</v>
      </c>
      <c r="G260" s="301" t="s">
        <v>582</v>
      </c>
      <c r="H260" s="297"/>
      <c r="I260" s="297"/>
      <c r="J260" s="299"/>
      <c r="K260" s="300"/>
      <c r="L260" s="301"/>
      <c r="M260" s="297"/>
      <c r="N260" s="297"/>
      <c r="O260" s="299"/>
      <c r="P260" s="302"/>
      <c r="Q260" s="301"/>
      <c r="R260" s="297"/>
      <c r="S260" s="297"/>
      <c r="T260" s="299"/>
      <c r="U260" s="300"/>
      <c r="V260" s="301"/>
      <c r="W260" s="297"/>
      <c r="X260" s="297"/>
      <c r="Y260" s="299"/>
      <c r="Z260" s="300"/>
      <c r="AA260" s="301"/>
      <c r="AB260" s="297"/>
      <c r="AC260" s="297"/>
      <c r="AD260" s="299"/>
      <c r="AE260" s="300"/>
      <c r="AF260" s="301"/>
      <c r="AG260" s="297"/>
      <c r="AH260" s="297"/>
      <c r="AI260" s="322"/>
      <c r="AJ260" s="300"/>
      <c r="AK260" s="301"/>
      <c r="AL260" s="297"/>
      <c r="AM260" s="297"/>
      <c r="AN260" s="297"/>
      <c r="AO260" s="473"/>
      <c r="AP260" s="297"/>
      <c r="AQ260" s="301" t="s">
        <v>7717</v>
      </c>
      <c r="AR260" s="297" t="s">
        <v>66</v>
      </c>
      <c r="AS260" s="299" t="s">
        <v>67</v>
      </c>
      <c r="AT260" s="299" t="s">
        <v>67</v>
      </c>
      <c r="AU260" s="297" t="s">
        <v>3827</v>
      </c>
      <c r="AV260" s="297"/>
      <c r="AW260" s="297" t="s">
        <v>69</v>
      </c>
      <c r="AX260" s="297" t="s">
        <v>3828</v>
      </c>
      <c r="AY260" s="299">
        <v>42640</v>
      </c>
      <c r="AZ260" s="297" t="s">
        <v>67</v>
      </c>
      <c r="BA260" s="299" t="s">
        <v>67</v>
      </c>
      <c r="BB260" s="382">
        <v>42646</v>
      </c>
      <c r="BC260" s="297" t="s">
        <v>3829</v>
      </c>
      <c r="BD260" s="297" t="s">
        <v>6447</v>
      </c>
      <c r="BE260" s="297"/>
      <c r="BF260" s="301"/>
      <c r="BG260" s="301" t="s">
        <v>67</v>
      </c>
      <c r="BH260" s="301" t="s">
        <v>3830</v>
      </c>
      <c r="BI260" s="301" t="s">
        <v>3831</v>
      </c>
      <c r="BJ260" s="312">
        <v>1223964</v>
      </c>
      <c r="BK260" s="312">
        <v>1223964</v>
      </c>
      <c r="BL260" s="313">
        <v>318862716</v>
      </c>
      <c r="BM260" s="299">
        <v>42682</v>
      </c>
      <c r="BN260" s="314">
        <v>42675</v>
      </c>
      <c r="BO260" s="460"/>
      <c r="BP260" s="390"/>
      <c r="BQ260" s="297"/>
      <c r="BR260" s="303"/>
      <c r="BS260" s="301"/>
      <c r="BT260" s="301"/>
      <c r="BU260" s="301"/>
      <c r="BV260" s="301"/>
      <c r="BW260" s="316"/>
      <c r="BX260" s="304"/>
      <c r="BY260" s="299"/>
      <c r="BZ260" s="317"/>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c r="IY260" s="1"/>
      <c r="IZ260" s="1"/>
      <c r="JA260" s="1"/>
      <c r="JB260" s="1"/>
      <c r="JC260" s="1"/>
      <c r="JD260" s="1"/>
      <c r="JE260" s="1"/>
      <c r="JF260" s="1"/>
      <c r="JG260" s="1"/>
      <c r="JH260" s="1"/>
      <c r="JI260" s="1"/>
      <c r="JJ260" s="1"/>
      <c r="JK260" s="1"/>
      <c r="JL260" s="1"/>
      <c r="JM260" s="1"/>
      <c r="JN260" s="1"/>
      <c r="JO260" s="1"/>
      <c r="JP260" s="1"/>
      <c r="JQ260" s="1"/>
      <c r="JR260" s="1"/>
      <c r="JS260" s="1"/>
      <c r="JT260" s="1"/>
      <c r="JU260" s="1"/>
      <c r="JV260" s="1"/>
      <c r="JW260" s="1"/>
      <c r="JX260" s="1"/>
      <c r="JY260" s="1"/>
      <c r="JZ260" s="1"/>
      <c r="KA260" s="1"/>
      <c r="KB260" s="1"/>
      <c r="KC260" s="1"/>
      <c r="KD260" s="1"/>
      <c r="KE260" s="1"/>
      <c r="KF260" s="1"/>
      <c r="KG260" s="1"/>
      <c r="KH260" s="1"/>
      <c r="KI260" s="1"/>
      <c r="KJ260" s="1"/>
      <c r="KK260" s="1"/>
      <c r="KL260" s="1"/>
      <c r="KM260" s="1"/>
      <c r="KN260" s="1"/>
      <c r="KO260" s="1"/>
      <c r="KP260" s="1"/>
      <c r="KQ260" s="1"/>
      <c r="KR260" s="1"/>
      <c r="KS260" s="1"/>
      <c r="KT260" s="1"/>
      <c r="KU260" s="1"/>
      <c r="KV260" s="1"/>
      <c r="KW260" s="1"/>
      <c r="KX260" s="1"/>
      <c r="KY260" s="1"/>
      <c r="KZ260" s="1"/>
      <c r="LA260" s="1"/>
      <c r="LB260" s="1"/>
      <c r="LC260" s="1"/>
      <c r="LD260" s="1"/>
      <c r="LE260" s="1"/>
      <c r="LF260" s="1"/>
      <c r="LG260" s="1"/>
      <c r="LH260" s="1"/>
      <c r="LI260" s="1"/>
      <c r="LJ260" s="1"/>
      <c r="LK260" s="1"/>
      <c r="LL260" s="1"/>
      <c r="LM260" s="1"/>
      <c r="LN260" s="1"/>
      <c r="LO260" s="1"/>
      <c r="LP260" s="1"/>
      <c r="LQ260" s="1"/>
      <c r="LR260" s="1"/>
      <c r="LS260" s="1"/>
      <c r="LT260" s="1"/>
      <c r="LU260" s="1"/>
      <c r="LV260" s="1"/>
      <c r="LW260" s="1"/>
      <c r="LX260" s="1"/>
      <c r="LY260" s="1"/>
      <c r="LZ260" s="1"/>
      <c r="MA260" s="1"/>
      <c r="MB260" s="1"/>
      <c r="MC260" s="1"/>
      <c r="MD260" s="1"/>
      <c r="ME260" s="1"/>
      <c r="MF260" s="1"/>
      <c r="MG260" s="1"/>
      <c r="MH260" s="1"/>
      <c r="MI260" s="1"/>
      <c r="MJ260" s="1"/>
      <c r="MK260" s="1"/>
      <c r="ML260" s="1"/>
      <c r="MM260" s="1"/>
      <c r="MN260" s="1"/>
      <c r="MO260" s="1"/>
      <c r="MP260" s="1"/>
      <c r="MQ260" s="1"/>
      <c r="MR260" s="1"/>
      <c r="MS260" s="1"/>
      <c r="MT260" s="1"/>
      <c r="MU260" s="1"/>
      <c r="MV260" s="1"/>
      <c r="MW260" s="1"/>
      <c r="MX260" s="1"/>
      <c r="MY260" s="1"/>
      <c r="MZ260" s="1"/>
      <c r="NA260" s="1"/>
      <c r="NB260" s="1"/>
      <c r="NC260" s="1"/>
      <c r="ND260" s="1"/>
      <c r="NE260" s="1"/>
      <c r="NF260" s="1"/>
      <c r="NG260" s="1"/>
      <c r="NH260" s="1"/>
      <c r="NI260" s="1"/>
      <c r="NJ260" s="1"/>
      <c r="NK260" s="1"/>
      <c r="NL260" s="1"/>
      <c r="NM260" s="1"/>
      <c r="NN260" s="1"/>
      <c r="NO260" s="1"/>
      <c r="NP260" s="1"/>
      <c r="NQ260" s="1"/>
      <c r="NR260" s="1"/>
      <c r="NS260" s="1"/>
      <c r="NT260" s="1"/>
      <c r="NU260" s="1"/>
      <c r="NV260" s="1"/>
      <c r="NW260" s="1"/>
      <c r="NX260" s="1"/>
      <c r="NY260" s="1"/>
      <c r="NZ260" s="1"/>
      <c r="OA260" s="1"/>
      <c r="OB260" s="1"/>
      <c r="OC260" s="1"/>
      <c r="OD260" s="1"/>
      <c r="OE260" s="1"/>
      <c r="OF260" s="1"/>
      <c r="OG260" s="1"/>
      <c r="OH260" s="1"/>
      <c r="OI260" s="1"/>
      <c r="OJ260" s="1"/>
      <c r="OK260" s="1"/>
      <c r="OL260" s="1"/>
      <c r="OM260" s="1"/>
      <c r="ON260" s="1"/>
      <c r="OO260" s="1"/>
      <c r="OP260" s="1"/>
      <c r="OQ260" s="1"/>
      <c r="OR260" s="1"/>
      <c r="OS260" s="1"/>
      <c r="OT260" s="1"/>
      <c r="OU260" s="1"/>
      <c r="OV260" s="1"/>
      <c r="OW260" s="1"/>
      <c r="OX260" s="1"/>
      <c r="OY260" s="1"/>
      <c r="OZ260" s="1"/>
      <c r="PA260" s="1"/>
      <c r="PB260" s="1"/>
      <c r="PC260" s="1"/>
      <c r="PD260" s="1"/>
      <c r="PE260" s="1"/>
      <c r="PF260" s="1"/>
      <c r="PG260" s="1"/>
      <c r="PH260" s="1"/>
      <c r="PI260" s="1"/>
      <c r="PJ260" s="1"/>
      <c r="PK260" s="1"/>
      <c r="PL260" s="1"/>
      <c r="PM260" s="1"/>
      <c r="PN260" s="1"/>
      <c r="PO260" s="1"/>
      <c r="PP260" s="1"/>
      <c r="PQ260" s="1"/>
      <c r="PR260" s="1"/>
      <c r="PS260" s="1"/>
      <c r="PT260" s="1"/>
      <c r="PU260" s="1"/>
      <c r="PV260" s="1"/>
      <c r="PW260" s="1"/>
      <c r="PX260" s="1"/>
      <c r="PY260" s="1"/>
      <c r="PZ260" s="1"/>
      <c r="QA260" s="1"/>
      <c r="QB260" s="1"/>
      <c r="QC260" s="1"/>
      <c r="QD260" s="1"/>
      <c r="QE260" s="1"/>
      <c r="QF260" s="1"/>
      <c r="QG260" s="1"/>
      <c r="QH260" s="1"/>
      <c r="QI260" s="1"/>
      <c r="QJ260" s="1"/>
      <c r="QK260" s="1"/>
      <c r="QL260" s="1"/>
      <c r="QM260" s="1"/>
      <c r="QN260" s="1"/>
      <c r="QO260" s="1"/>
      <c r="QP260" s="1"/>
      <c r="QQ260" s="1"/>
      <c r="QR260" s="1"/>
      <c r="QS260" s="1"/>
      <c r="QT260" s="1"/>
      <c r="QU260" s="1"/>
      <c r="QV260" s="1"/>
      <c r="QW260" s="1"/>
      <c r="QX260" s="1"/>
      <c r="QY260" s="1"/>
      <c r="QZ260" s="1"/>
      <c r="RA260" s="1"/>
      <c r="RB260" s="1"/>
      <c r="RC260" s="1"/>
      <c r="RD260" s="1"/>
      <c r="RE260" s="1"/>
      <c r="RF260" s="1"/>
      <c r="RG260" s="1"/>
      <c r="RH260" s="1"/>
      <c r="RI260" s="1"/>
      <c r="RJ260" s="1"/>
      <c r="RK260" s="1"/>
      <c r="RL260" s="1"/>
      <c r="RM260" s="1"/>
      <c r="RN260" s="1"/>
      <c r="RO260" s="1"/>
      <c r="RP260" s="1"/>
      <c r="RQ260" s="1"/>
      <c r="RR260" s="1"/>
      <c r="RS260" s="1"/>
      <c r="RT260" s="1"/>
      <c r="RU260" s="1"/>
      <c r="RV260" s="1"/>
      <c r="RW260" s="1"/>
      <c r="RX260" s="1"/>
      <c r="RY260" s="1"/>
      <c r="RZ260" s="1"/>
      <c r="SA260" s="1"/>
      <c r="SB260" s="1"/>
      <c r="SC260" s="1"/>
      <c r="SD260" s="1"/>
      <c r="SE260" s="1"/>
      <c r="SF260" s="1"/>
      <c r="SG260" s="1"/>
      <c r="SH260" s="1"/>
      <c r="SI260" s="1"/>
      <c r="SJ260" s="1"/>
      <c r="SK260" s="1"/>
      <c r="SL260" s="1"/>
      <c r="SM260" s="1"/>
      <c r="SN260" s="1"/>
      <c r="SO260" s="1"/>
      <c r="SP260" s="1"/>
      <c r="SQ260" s="1"/>
      <c r="SR260" s="1"/>
      <c r="SS260" s="1"/>
      <c r="ST260" s="1"/>
      <c r="SU260" s="1"/>
      <c r="SV260" s="1"/>
      <c r="SW260" s="1"/>
      <c r="SX260" s="1"/>
      <c r="SY260" s="1"/>
      <c r="SZ260" s="1"/>
      <c r="TA260" s="1"/>
      <c r="TB260" s="1"/>
      <c r="TC260" s="1"/>
      <c r="TD260" s="1"/>
      <c r="TE260" s="1"/>
      <c r="TF260" s="1"/>
      <c r="TG260" s="1"/>
      <c r="TH260" s="1"/>
      <c r="TI260" s="1"/>
      <c r="TJ260" s="1"/>
      <c r="TK260" s="1"/>
      <c r="TL260" s="1"/>
      <c r="TM260" s="1"/>
      <c r="TN260" s="1"/>
      <c r="TO260" s="1"/>
      <c r="TP260" s="1"/>
      <c r="TQ260" s="1"/>
      <c r="TR260" s="1"/>
      <c r="TS260" s="1"/>
      <c r="TT260" s="1"/>
      <c r="TU260" s="1"/>
      <c r="TV260" s="1"/>
      <c r="TW260" s="1"/>
      <c r="TX260" s="1"/>
      <c r="TY260" s="1"/>
      <c r="TZ260" s="1"/>
      <c r="UA260" s="1"/>
      <c r="UB260" s="1"/>
      <c r="UC260" s="1"/>
      <c r="UD260" s="1"/>
      <c r="UE260" s="1"/>
      <c r="UF260" s="1"/>
      <c r="UG260" s="1"/>
      <c r="UH260" s="1"/>
      <c r="UI260" s="1"/>
    </row>
    <row r="261" spans="1:555" s="509" customFormat="1" ht="40.5">
      <c r="A261" s="296">
        <v>343</v>
      </c>
      <c r="B261" s="297" t="s">
        <v>1542</v>
      </c>
      <c r="C261" s="298">
        <v>71611738</v>
      </c>
      <c r="D261" s="354" t="s">
        <v>67</v>
      </c>
      <c r="E261" s="299">
        <v>42670</v>
      </c>
      <c r="F261" s="300">
        <v>42644</v>
      </c>
      <c r="G261" s="301" t="s">
        <v>582</v>
      </c>
      <c r="H261" s="297"/>
      <c r="I261" s="297"/>
      <c r="J261" s="299"/>
      <c r="K261" s="300"/>
      <c r="L261" s="301"/>
      <c r="M261" s="297"/>
      <c r="N261" s="297"/>
      <c r="O261" s="299"/>
      <c r="P261" s="302"/>
      <c r="Q261" s="301"/>
      <c r="R261" s="297"/>
      <c r="S261" s="297"/>
      <c r="T261" s="299"/>
      <c r="U261" s="300"/>
      <c r="V261" s="301"/>
      <c r="W261" s="297"/>
      <c r="X261" s="297"/>
      <c r="Y261" s="299"/>
      <c r="Z261" s="300"/>
      <c r="AA261" s="301"/>
      <c r="AB261" s="297"/>
      <c r="AC261" s="297"/>
      <c r="AD261" s="299"/>
      <c r="AE261" s="300"/>
      <c r="AF261" s="301"/>
      <c r="AG261" s="297"/>
      <c r="AH261" s="297"/>
      <c r="AI261" s="322"/>
      <c r="AJ261" s="300"/>
      <c r="AK261" s="301"/>
      <c r="AL261" s="297"/>
      <c r="AM261" s="297"/>
      <c r="AN261" s="297"/>
      <c r="AO261" s="473"/>
      <c r="AP261" s="297"/>
      <c r="AQ261" s="301" t="s">
        <v>7789</v>
      </c>
      <c r="AR261" s="297" t="s">
        <v>66</v>
      </c>
      <c r="AS261" s="299" t="s">
        <v>67</v>
      </c>
      <c r="AT261" s="299" t="s">
        <v>67</v>
      </c>
      <c r="AU261" s="297" t="s">
        <v>3827</v>
      </c>
      <c r="AV261" s="297"/>
      <c r="AW261" s="297" t="s">
        <v>69</v>
      </c>
      <c r="AX261" s="297" t="s">
        <v>3828</v>
      </c>
      <c r="AY261" s="299">
        <v>42654</v>
      </c>
      <c r="AZ261" s="297" t="s">
        <v>67</v>
      </c>
      <c r="BA261" s="299" t="s">
        <v>67</v>
      </c>
      <c r="BB261" s="382">
        <v>42661</v>
      </c>
      <c r="BC261" s="297" t="s">
        <v>3829</v>
      </c>
      <c r="BD261" s="297" t="s">
        <v>6447</v>
      </c>
      <c r="BE261" s="297"/>
      <c r="BF261" s="301"/>
      <c r="BG261" s="301" t="s">
        <v>67</v>
      </c>
      <c r="BH261" s="301" t="s">
        <v>3832</v>
      </c>
      <c r="BI261" s="301" t="s">
        <v>3831</v>
      </c>
      <c r="BJ261" s="312">
        <v>3061438</v>
      </c>
      <c r="BK261" s="312">
        <v>3061438</v>
      </c>
      <c r="BL261" s="313">
        <v>318892116</v>
      </c>
      <c r="BM261" s="299">
        <v>42682</v>
      </c>
      <c r="BN261" s="314">
        <v>42675</v>
      </c>
      <c r="BO261" s="460"/>
      <c r="BP261" s="390"/>
      <c r="BQ261" s="297"/>
      <c r="BR261" s="303"/>
      <c r="BS261" s="301"/>
      <c r="BT261" s="301"/>
      <c r="BU261" s="301"/>
      <c r="BV261" s="301"/>
      <c r="BW261" s="316"/>
      <c r="BX261" s="304"/>
      <c r="BY261" s="299"/>
      <c r="BZ261" s="317"/>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c r="IY261" s="1"/>
      <c r="IZ261" s="1"/>
      <c r="JA261" s="1"/>
      <c r="JB261" s="1"/>
      <c r="JC261" s="1"/>
      <c r="JD261" s="1"/>
      <c r="JE261" s="1"/>
      <c r="JF261" s="1"/>
      <c r="JG261" s="1"/>
      <c r="JH261" s="1"/>
      <c r="JI261" s="1"/>
      <c r="JJ261" s="1"/>
      <c r="JK261" s="1"/>
      <c r="JL261" s="1"/>
      <c r="JM261" s="1"/>
      <c r="JN261" s="1"/>
      <c r="JO261" s="1"/>
      <c r="JP261" s="1"/>
      <c r="JQ261" s="1"/>
      <c r="JR261" s="1"/>
      <c r="JS261" s="1"/>
      <c r="JT261" s="1"/>
      <c r="JU261" s="1"/>
      <c r="JV261" s="1"/>
      <c r="JW261" s="1"/>
      <c r="JX261" s="1"/>
      <c r="JY261" s="1"/>
      <c r="JZ261" s="1"/>
      <c r="KA261" s="1"/>
      <c r="KB261" s="1"/>
      <c r="KC261" s="1"/>
      <c r="KD261" s="1"/>
      <c r="KE261" s="1"/>
      <c r="KF261" s="1"/>
      <c r="KG261" s="1"/>
      <c r="KH261" s="1"/>
      <c r="KI261" s="1"/>
      <c r="KJ261" s="1"/>
      <c r="KK261" s="1"/>
      <c r="KL261" s="1"/>
      <c r="KM261" s="1"/>
      <c r="KN261" s="1"/>
      <c r="KO261" s="1"/>
      <c r="KP261" s="1"/>
      <c r="KQ261" s="1"/>
      <c r="KR261" s="1"/>
      <c r="KS261" s="1"/>
      <c r="KT261" s="1"/>
      <c r="KU261" s="1"/>
      <c r="KV261" s="1"/>
      <c r="KW261" s="1"/>
      <c r="KX261" s="1"/>
      <c r="KY261" s="1"/>
      <c r="KZ261" s="1"/>
      <c r="LA261" s="1"/>
      <c r="LB261" s="1"/>
      <c r="LC261" s="1"/>
      <c r="LD261" s="1"/>
      <c r="LE261" s="1"/>
      <c r="LF261" s="1"/>
      <c r="LG261" s="1"/>
      <c r="LH261" s="1"/>
      <c r="LI261" s="1"/>
      <c r="LJ261" s="1"/>
      <c r="LK261" s="1"/>
      <c r="LL261" s="1"/>
      <c r="LM261" s="1"/>
      <c r="LN261" s="1"/>
      <c r="LO261" s="1"/>
      <c r="LP261" s="1"/>
      <c r="LQ261" s="1"/>
      <c r="LR261" s="1"/>
      <c r="LS261" s="1"/>
      <c r="LT261" s="1"/>
      <c r="LU261" s="1"/>
      <c r="LV261" s="1"/>
      <c r="LW261" s="1"/>
      <c r="LX261" s="1"/>
      <c r="LY261" s="1"/>
      <c r="LZ261" s="1"/>
      <c r="MA261" s="1"/>
      <c r="MB261" s="1"/>
      <c r="MC261" s="1"/>
      <c r="MD261" s="1"/>
      <c r="ME261" s="1"/>
      <c r="MF261" s="1"/>
      <c r="MG261" s="1"/>
      <c r="MH261" s="1"/>
      <c r="MI261" s="1"/>
      <c r="MJ261" s="1"/>
      <c r="MK261" s="1"/>
      <c r="ML261" s="1"/>
      <c r="MM261" s="1"/>
      <c r="MN261" s="1"/>
      <c r="MO261" s="1"/>
      <c r="MP261" s="1"/>
      <c r="MQ261" s="1"/>
      <c r="MR261" s="1"/>
      <c r="MS261" s="1"/>
      <c r="MT261" s="1"/>
      <c r="MU261" s="1"/>
      <c r="MV261" s="1"/>
      <c r="MW261" s="1"/>
      <c r="MX261" s="1"/>
      <c r="MY261" s="1"/>
      <c r="MZ261" s="1"/>
      <c r="NA261" s="1"/>
      <c r="NB261" s="1"/>
      <c r="NC261" s="1"/>
      <c r="ND261" s="1"/>
      <c r="NE261" s="1"/>
      <c r="NF261" s="1"/>
      <c r="NG261" s="1"/>
      <c r="NH261" s="1"/>
      <c r="NI261" s="1"/>
      <c r="NJ261" s="1"/>
      <c r="NK261" s="1"/>
      <c r="NL261" s="1"/>
      <c r="NM261" s="1"/>
      <c r="NN261" s="1"/>
      <c r="NO261" s="1"/>
      <c r="NP261" s="1"/>
      <c r="NQ261" s="1"/>
      <c r="NR261" s="1"/>
      <c r="NS261" s="1"/>
      <c r="NT261" s="1"/>
      <c r="NU261" s="1"/>
      <c r="NV261" s="1"/>
      <c r="NW261" s="1"/>
      <c r="NX261" s="1"/>
      <c r="NY261" s="1"/>
      <c r="NZ261" s="1"/>
      <c r="OA261" s="1"/>
      <c r="OB261" s="1"/>
      <c r="OC261" s="1"/>
      <c r="OD261" s="1"/>
      <c r="OE261" s="1"/>
      <c r="OF261" s="1"/>
      <c r="OG261" s="1"/>
      <c r="OH261" s="1"/>
      <c r="OI261" s="1"/>
      <c r="OJ261" s="1"/>
      <c r="OK261" s="1"/>
      <c r="OL261" s="1"/>
      <c r="OM261" s="1"/>
      <c r="ON261" s="1"/>
      <c r="OO261" s="1"/>
      <c r="OP261" s="1"/>
      <c r="OQ261" s="1"/>
      <c r="OR261" s="1"/>
      <c r="OS261" s="1"/>
      <c r="OT261" s="1"/>
      <c r="OU261" s="1"/>
      <c r="OV261" s="1"/>
      <c r="OW261" s="1"/>
      <c r="OX261" s="1"/>
      <c r="OY261" s="1"/>
      <c r="OZ261" s="1"/>
      <c r="PA261" s="1"/>
      <c r="PB261" s="1"/>
      <c r="PC261" s="1"/>
      <c r="PD261" s="1"/>
      <c r="PE261" s="1"/>
      <c r="PF261" s="1"/>
      <c r="PG261" s="1"/>
      <c r="PH261" s="1"/>
      <c r="PI261" s="1"/>
      <c r="PJ261" s="1"/>
      <c r="PK261" s="1"/>
      <c r="PL261" s="1"/>
      <c r="PM261" s="1"/>
      <c r="PN261" s="1"/>
      <c r="PO261" s="1"/>
      <c r="PP261" s="1"/>
      <c r="PQ261" s="1"/>
      <c r="PR261" s="1"/>
      <c r="PS261" s="1"/>
      <c r="PT261" s="1"/>
      <c r="PU261" s="1"/>
      <c r="PV261" s="1"/>
      <c r="PW261" s="1"/>
      <c r="PX261" s="1"/>
      <c r="PY261" s="1"/>
      <c r="PZ261" s="1"/>
      <c r="QA261" s="1"/>
      <c r="QB261" s="1"/>
      <c r="QC261" s="1"/>
      <c r="QD261" s="1"/>
      <c r="QE261" s="1"/>
      <c r="QF261" s="1"/>
      <c r="QG261" s="1"/>
      <c r="QH261" s="1"/>
      <c r="QI261" s="1"/>
      <c r="QJ261" s="1"/>
      <c r="QK261" s="1"/>
      <c r="QL261" s="1"/>
      <c r="QM261" s="1"/>
      <c r="QN261" s="1"/>
      <c r="QO261" s="1"/>
      <c r="QP261" s="1"/>
      <c r="QQ261" s="1"/>
      <c r="QR261" s="1"/>
      <c r="QS261" s="1"/>
      <c r="QT261" s="1"/>
      <c r="QU261" s="1"/>
      <c r="QV261" s="1"/>
      <c r="QW261" s="1"/>
      <c r="QX261" s="1"/>
      <c r="QY261" s="1"/>
      <c r="QZ261" s="1"/>
      <c r="RA261" s="1"/>
      <c r="RB261" s="1"/>
      <c r="RC261" s="1"/>
      <c r="RD261" s="1"/>
      <c r="RE261" s="1"/>
      <c r="RF261" s="1"/>
      <c r="RG261" s="1"/>
      <c r="RH261" s="1"/>
      <c r="RI261" s="1"/>
      <c r="RJ261" s="1"/>
      <c r="RK261" s="1"/>
      <c r="RL261" s="1"/>
      <c r="RM261" s="1"/>
      <c r="RN261" s="1"/>
      <c r="RO261" s="1"/>
      <c r="RP261" s="1"/>
      <c r="RQ261" s="1"/>
      <c r="RR261" s="1"/>
      <c r="RS261" s="1"/>
      <c r="RT261" s="1"/>
      <c r="RU261" s="1"/>
      <c r="RV261" s="1"/>
      <c r="RW261" s="1"/>
      <c r="RX261" s="1"/>
      <c r="RY261" s="1"/>
      <c r="RZ261" s="1"/>
      <c r="SA261" s="1"/>
      <c r="SB261" s="1"/>
      <c r="SC261" s="1"/>
      <c r="SD261" s="1"/>
      <c r="SE261" s="1"/>
      <c r="SF261" s="1"/>
      <c r="SG261" s="1"/>
      <c r="SH261" s="1"/>
      <c r="SI261" s="1"/>
      <c r="SJ261" s="1"/>
      <c r="SK261" s="1"/>
      <c r="SL261" s="1"/>
      <c r="SM261" s="1"/>
      <c r="SN261" s="1"/>
      <c r="SO261" s="1"/>
      <c r="SP261" s="1"/>
      <c r="SQ261" s="1"/>
      <c r="SR261" s="1"/>
      <c r="SS261" s="1"/>
      <c r="ST261" s="1"/>
      <c r="SU261" s="1"/>
      <c r="SV261" s="1"/>
      <c r="SW261" s="1"/>
      <c r="SX261" s="1"/>
      <c r="SY261" s="1"/>
      <c r="SZ261" s="1"/>
      <c r="TA261" s="1"/>
      <c r="TB261" s="1"/>
      <c r="TC261" s="1"/>
      <c r="TD261" s="1"/>
      <c r="TE261" s="1"/>
      <c r="TF261" s="1"/>
      <c r="TG261" s="1"/>
      <c r="TH261" s="1"/>
      <c r="TI261" s="1"/>
      <c r="TJ261" s="1"/>
      <c r="TK261" s="1"/>
      <c r="TL261" s="1"/>
      <c r="TM261" s="1"/>
      <c r="TN261" s="1"/>
      <c r="TO261" s="1"/>
      <c r="TP261" s="1"/>
      <c r="TQ261" s="1"/>
      <c r="TR261" s="1"/>
      <c r="TS261" s="1"/>
      <c r="TT261" s="1"/>
      <c r="TU261" s="1"/>
      <c r="TV261" s="1"/>
      <c r="TW261" s="1"/>
      <c r="TX261" s="1"/>
      <c r="TY261" s="1"/>
      <c r="TZ261" s="1"/>
      <c r="UA261" s="1"/>
      <c r="UB261" s="1"/>
      <c r="UC261" s="1"/>
      <c r="UD261" s="1"/>
      <c r="UE261" s="1"/>
      <c r="UF261" s="1"/>
      <c r="UG261" s="1"/>
      <c r="UH261" s="1"/>
      <c r="UI261" s="1"/>
    </row>
    <row r="262" spans="1:555" s="509" customFormat="1" ht="162">
      <c r="A262" s="296">
        <v>345</v>
      </c>
      <c r="B262" s="297" t="s">
        <v>3844</v>
      </c>
      <c r="C262" s="298">
        <v>6200619</v>
      </c>
      <c r="D262" s="354" t="s">
        <v>772</v>
      </c>
      <c r="E262" s="299">
        <v>42674</v>
      </c>
      <c r="F262" s="300">
        <v>42644</v>
      </c>
      <c r="G262" s="301" t="s">
        <v>3845</v>
      </c>
      <c r="H262" s="297" t="s">
        <v>5</v>
      </c>
      <c r="I262" s="297" t="s">
        <v>101</v>
      </c>
      <c r="J262" s="299">
        <v>42682</v>
      </c>
      <c r="K262" s="300">
        <v>42705</v>
      </c>
      <c r="L262" s="301" t="s">
        <v>3846</v>
      </c>
      <c r="M262" s="297" t="s">
        <v>195</v>
      </c>
      <c r="N262" s="297" t="s">
        <v>336</v>
      </c>
      <c r="O262" s="299">
        <v>41943</v>
      </c>
      <c r="P262" s="302">
        <v>41913</v>
      </c>
      <c r="Q262" s="301" t="s">
        <v>3847</v>
      </c>
      <c r="R262" s="297" t="s">
        <v>198</v>
      </c>
      <c r="S262" s="297" t="s">
        <v>1491</v>
      </c>
      <c r="T262" s="299">
        <v>42006</v>
      </c>
      <c r="U262" s="300">
        <v>42005</v>
      </c>
      <c r="V262" s="301" t="s">
        <v>3848</v>
      </c>
      <c r="W262" s="297" t="s">
        <v>195</v>
      </c>
      <c r="X262" s="297" t="s">
        <v>3849</v>
      </c>
      <c r="Y262" s="299"/>
      <c r="Z262" s="300"/>
      <c r="AA262" s="301"/>
      <c r="AB262" s="297"/>
      <c r="AC262" s="297"/>
      <c r="AD262" s="299"/>
      <c r="AE262" s="300"/>
      <c r="AF262" s="301"/>
      <c r="AG262" s="297"/>
      <c r="AH262" s="297"/>
      <c r="AI262" s="322"/>
      <c r="AJ262" s="300"/>
      <c r="AK262" s="301"/>
      <c r="AL262" s="297"/>
      <c r="AM262" s="297"/>
      <c r="AN262" s="297" t="s">
        <v>1359</v>
      </c>
      <c r="AO262" s="473"/>
      <c r="AP262" s="297"/>
      <c r="AQ262" s="301" t="s">
        <v>3850</v>
      </c>
      <c r="AR262" s="297" t="s">
        <v>161</v>
      </c>
      <c r="AS262" s="299">
        <v>39814</v>
      </c>
      <c r="AT262" s="299">
        <v>40268</v>
      </c>
      <c r="AU262" s="297" t="s">
        <v>3851</v>
      </c>
      <c r="AV262" s="297"/>
      <c r="AW262" s="297" t="s">
        <v>92</v>
      </c>
      <c r="AX262" s="297" t="s">
        <v>3852</v>
      </c>
      <c r="AY262" s="299">
        <v>42060</v>
      </c>
      <c r="AZ262" s="297" t="s">
        <v>67</v>
      </c>
      <c r="BA262" s="299" t="s">
        <v>67</v>
      </c>
      <c r="BB262" s="382">
        <v>42081</v>
      </c>
      <c r="BC262" s="297" t="s">
        <v>95</v>
      </c>
      <c r="BD262" s="297" t="s">
        <v>566</v>
      </c>
      <c r="BE262" s="297"/>
      <c r="BF262" s="301" t="s">
        <v>3853</v>
      </c>
      <c r="BG262" s="301"/>
      <c r="BH262" s="301" t="s">
        <v>3854</v>
      </c>
      <c r="BI262" s="301"/>
      <c r="BJ262" s="312">
        <v>38597870</v>
      </c>
      <c r="BK262" s="312">
        <v>38597870</v>
      </c>
      <c r="BL262" s="313">
        <v>141952318</v>
      </c>
      <c r="BM262" s="299">
        <v>43235</v>
      </c>
      <c r="BN262" s="314">
        <v>43221</v>
      </c>
      <c r="BO262" s="434" t="s">
        <v>3855</v>
      </c>
      <c r="BP262" s="397"/>
      <c r="BQ262" s="398"/>
      <c r="BR262" s="320"/>
      <c r="BS262" s="301"/>
      <c r="BT262" s="301"/>
      <c r="BU262" s="301"/>
      <c r="BV262" s="301"/>
      <c r="BW262" s="316"/>
      <c r="BX262" s="304"/>
      <c r="BY262" s="299"/>
      <c r="BZ262" s="317"/>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c r="IY262" s="1"/>
      <c r="IZ262" s="1"/>
      <c r="JA262" s="1"/>
      <c r="JB262" s="1"/>
      <c r="JC262" s="1"/>
      <c r="JD262" s="1"/>
      <c r="JE262" s="1"/>
      <c r="JF262" s="1"/>
      <c r="JG262" s="1"/>
      <c r="JH262" s="1"/>
      <c r="JI262" s="1"/>
      <c r="JJ262" s="1"/>
      <c r="JK262" s="1"/>
      <c r="JL262" s="1"/>
      <c r="JM262" s="1"/>
      <c r="JN262" s="1"/>
      <c r="JO262" s="1"/>
      <c r="JP262" s="1"/>
      <c r="JQ262" s="1"/>
      <c r="JR262" s="1"/>
      <c r="JS262" s="1"/>
      <c r="JT262" s="1"/>
      <c r="JU262" s="1"/>
      <c r="JV262" s="1"/>
      <c r="JW262" s="1"/>
      <c r="JX262" s="1"/>
      <c r="JY262" s="1"/>
      <c r="JZ262" s="1"/>
      <c r="KA262" s="1"/>
      <c r="KB262" s="1"/>
      <c r="KC262" s="1"/>
      <c r="KD262" s="1"/>
      <c r="KE262" s="1"/>
      <c r="KF262" s="1"/>
      <c r="KG262" s="1"/>
      <c r="KH262" s="1"/>
      <c r="KI262" s="1"/>
      <c r="KJ262" s="1"/>
      <c r="KK262" s="1"/>
      <c r="KL262" s="1"/>
      <c r="KM262" s="1"/>
      <c r="KN262" s="1"/>
      <c r="KO262" s="1"/>
      <c r="KP262" s="1"/>
      <c r="KQ262" s="1"/>
      <c r="KR262" s="1"/>
      <c r="KS262" s="1"/>
      <c r="KT262" s="1"/>
      <c r="KU262" s="1"/>
      <c r="KV262" s="1"/>
      <c r="KW262" s="1"/>
      <c r="KX262" s="1"/>
      <c r="KY262" s="1"/>
      <c r="KZ262" s="1"/>
      <c r="LA262" s="1"/>
      <c r="LB262" s="1"/>
      <c r="LC262" s="1"/>
      <c r="LD262" s="1"/>
      <c r="LE262" s="1"/>
      <c r="LF262" s="1"/>
      <c r="LG262" s="1"/>
      <c r="LH262" s="1"/>
      <c r="LI262" s="1"/>
      <c r="LJ262" s="1"/>
      <c r="LK262" s="1"/>
      <c r="LL262" s="1"/>
      <c r="LM262" s="1"/>
      <c r="LN262" s="1"/>
      <c r="LO262" s="1"/>
      <c r="LP262" s="1"/>
      <c r="LQ262" s="1"/>
      <c r="LR262" s="1"/>
      <c r="LS262" s="1"/>
      <c r="LT262" s="1"/>
      <c r="LU262" s="1"/>
      <c r="LV262" s="1"/>
      <c r="LW262" s="1"/>
      <c r="LX262" s="1"/>
      <c r="LY262" s="1"/>
      <c r="LZ262" s="1"/>
      <c r="MA262" s="1"/>
      <c r="MB262" s="1"/>
      <c r="MC262" s="1"/>
      <c r="MD262" s="1"/>
      <c r="ME262" s="1"/>
      <c r="MF262" s="1"/>
      <c r="MG262" s="1"/>
      <c r="MH262" s="1"/>
      <c r="MI262" s="1"/>
      <c r="MJ262" s="1"/>
      <c r="MK262" s="1"/>
      <c r="ML262" s="1"/>
      <c r="MM262" s="1"/>
      <c r="MN262" s="1"/>
      <c r="MO262" s="1"/>
      <c r="MP262" s="1"/>
      <c r="MQ262" s="1"/>
      <c r="MR262" s="1"/>
      <c r="MS262" s="1"/>
      <c r="MT262" s="1"/>
      <c r="MU262" s="1"/>
      <c r="MV262" s="1"/>
      <c r="MW262" s="1"/>
      <c r="MX262" s="1"/>
      <c r="MY262" s="1"/>
      <c r="MZ262" s="1"/>
      <c r="NA262" s="1"/>
      <c r="NB262" s="1"/>
      <c r="NC262" s="1"/>
      <c r="ND262" s="1"/>
      <c r="NE262" s="1"/>
      <c r="NF262" s="1"/>
      <c r="NG262" s="1"/>
      <c r="NH262" s="1"/>
      <c r="NI262" s="1"/>
      <c r="NJ262" s="1"/>
      <c r="NK262" s="1"/>
      <c r="NL262" s="1"/>
      <c r="NM262" s="1"/>
      <c r="NN262" s="1"/>
      <c r="NO262" s="1"/>
      <c r="NP262" s="1"/>
      <c r="NQ262" s="1"/>
      <c r="NR262" s="1"/>
      <c r="NS262" s="1"/>
      <c r="NT262" s="1"/>
      <c r="NU262" s="1"/>
      <c r="NV262" s="1"/>
      <c r="NW262" s="1"/>
      <c r="NX262" s="1"/>
      <c r="NY262" s="1"/>
      <c r="NZ262" s="1"/>
      <c r="OA262" s="1"/>
      <c r="OB262" s="1"/>
      <c r="OC262" s="1"/>
      <c r="OD262" s="1"/>
      <c r="OE262" s="1"/>
      <c r="OF262" s="1"/>
      <c r="OG262" s="1"/>
      <c r="OH262" s="1"/>
      <c r="OI262" s="1"/>
      <c r="OJ262" s="1"/>
      <c r="OK262" s="1"/>
      <c r="OL262" s="1"/>
      <c r="OM262" s="1"/>
      <c r="ON262" s="1"/>
      <c r="OO262" s="1"/>
      <c r="OP262" s="1"/>
      <c r="OQ262" s="1"/>
      <c r="OR262" s="1"/>
      <c r="OS262" s="1"/>
      <c r="OT262" s="1"/>
      <c r="OU262" s="1"/>
      <c r="OV262" s="1"/>
      <c r="OW262" s="1"/>
      <c r="OX262" s="1"/>
      <c r="OY262" s="1"/>
      <c r="OZ262" s="1"/>
      <c r="PA262" s="1"/>
      <c r="PB262" s="1"/>
      <c r="PC262" s="1"/>
      <c r="PD262" s="1"/>
      <c r="PE262" s="1"/>
      <c r="PF262" s="1"/>
      <c r="PG262" s="1"/>
      <c r="PH262" s="1"/>
      <c r="PI262" s="1"/>
      <c r="PJ262" s="1"/>
      <c r="PK262" s="1"/>
      <c r="PL262" s="1"/>
      <c r="PM262" s="1"/>
      <c r="PN262" s="1"/>
      <c r="PO262" s="1"/>
      <c r="PP262" s="1"/>
      <c r="PQ262" s="1"/>
      <c r="PR262" s="1"/>
      <c r="PS262" s="1"/>
      <c r="PT262" s="1"/>
      <c r="PU262" s="1"/>
      <c r="PV262" s="1"/>
      <c r="PW262" s="1"/>
      <c r="PX262" s="1"/>
      <c r="PY262" s="1"/>
      <c r="PZ262" s="1"/>
      <c r="QA262" s="1"/>
      <c r="QB262" s="1"/>
      <c r="QC262" s="1"/>
      <c r="QD262" s="1"/>
      <c r="QE262" s="1"/>
      <c r="QF262" s="1"/>
      <c r="QG262" s="1"/>
      <c r="QH262" s="1"/>
      <c r="QI262" s="1"/>
      <c r="QJ262" s="1"/>
      <c r="QK262" s="1"/>
      <c r="QL262" s="1"/>
      <c r="QM262" s="1"/>
      <c r="QN262" s="1"/>
      <c r="QO262" s="1"/>
      <c r="QP262" s="1"/>
      <c r="QQ262" s="1"/>
      <c r="QR262" s="1"/>
      <c r="QS262" s="1"/>
      <c r="QT262" s="1"/>
      <c r="QU262" s="1"/>
      <c r="QV262" s="1"/>
      <c r="QW262" s="1"/>
      <c r="QX262" s="1"/>
      <c r="QY262" s="1"/>
      <c r="QZ262" s="1"/>
      <c r="RA262" s="1"/>
      <c r="RB262" s="1"/>
      <c r="RC262" s="1"/>
      <c r="RD262" s="1"/>
      <c r="RE262" s="1"/>
      <c r="RF262" s="1"/>
      <c r="RG262" s="1"/>
      <c r="RH262" s="1"/>
      <c r="RI262" s="1"/>
      <c r="RJ262" s="1"/>
      <c r="RK262" s="1"/>
      <c r="RL262" s="1"/>
      <c r="RM262" s="1"/>
      <c r="RN262" s="1"/>
      <c r="RO262" s="1"/>
      <c r="RP262" s="1"/>
      <c r="RQ262" s="1"/>
      <c r="RR262" s="1"/>
      <c r="RS262" s="1"/>
      <c r="RT262" s="1"/>
      <c r="RU262" s="1"/>
      <c r="RV262" s="1"/>
      <c r="RW262" s="1"/>
      <c r="RX262" s="1"/>
      <c r="RY262" s="1"/>
      <c r="RZ262" s="1"/>
      <c r="SA262" s="1"/>
      <c r="SB262" s="1"/>
      <c r="SC262" s="1"/>
      <c r="SD262" s="1"/>
      <c r="SE262" s="1"/>
      <c r="SF262" s="1"/>
      <c r="SG262" s="1"/>
      <c r="SH262" s="1"/>
      <c r="SI262" s="1"/>
      <c r="SJ262" s="1"/>
      <c r="SK262" s="1"/>
      <c r="SL262" s="1"/>
      <c r="SM262" s="1"/>
      <c r="SN262" s="1"/>
      <c r="SO262" s="1"/>
      <c r="SP262" s="1"/>
      <c r="SQ262" s="1"/>
      <c r="SR262" s="1"/>
      <c r="SS262" s="1"/>
      <c r="ST262" s="1"/>
      <c r="SU262" s="1"/>
      <c r="SV262" s="1"/>
      <c r="SW262" s="1"/>
      <c r="SX262" s="1"/>
      <c r="SY262" s="1"/>
      <c r="SZ262" s="1"/>
      <c r="TA262" s="1"/>
      <c r="TB262" s="1"/>
      <c r="TC262" s="1"/>
      <c r="TD262" s="1"/>
      <c r="TE262" s="1"/>
      <c r="TF262" s="1"/>
      <c r="TG262" s="1"/>
      <c r="TH262" s="1"/>
      <c r="TI262" s="1"/>
      <c r="TJ262" s="1"/>
      <c r="TK262" s="1"/>
      <c r="TL262" s="1"/>
      <c r="TM262" s="1"/>
      <c r="TN262" s="1"/>
      <c r="TO262" s="1"/>
      <c r="TP262" s="1"/>
      <c r="TQ262" s="1"/>
      <c r="TR262" s="1"/>
      <c r="TS262" s="1"/>
      <c r="TT262" s="1"/>
      <c r="TU262" s="1"/>
      <c r="TV262" s="1"/>
      <c r="TW262" s="1"/>
      <c r="TX262" s="1"/>
      <c r="TY262" s="1"/>
      <c r="TZ262" s="1"/>
      <c r="UA262" s="1"/>
      <c r="UB262" s="1"/>
      <c r="UC262" s="1"/>
      <c r="UD262" s="1"/>
      <c r="UE262" s="1"/>
      <c r="UF262" s="1"/>
      <c r="UG262" s="1"/>
      <c r="UH262" s="1"/>
      <c r="UI262" s="1"/>
    </row>
    <row r="263" spans="1:555" ht="84.75" customHeight="1">
      <c r="A263" s="296">
        <v>346</v>
      </c>
      <c r="B263" s="297" t="s">
        <v>3856</v>
      </c>
      <c r="C263" s="298" t="s">
        <v>3857</v>
      </c>
      <c r="D263" s="354" t="s">
        <v>3858</v>
      </c>
      <c r="E263" s="299">
        <v>42675</v>
      </c>
      <c r="F263" s="300">
        <v>42675</v>
      </c>
      <c r="G263" s="301" t="s">
        <v>3859</v>
      </c>
      <c r="H263" s="297" t="s">
        <v>5</v>
      </c>
      <c r="I263" s="297" t="s">
        <v>101</v>
      </c>
      <c r="J263" s="299">
        <v>42706</v>
      </c>
      <c r="K263" s="300">
        <v>42705</v>
      </c>
      <c r="L263" s="301" t="s">
        <v>3860</v>
      </c>
      <c r="M263" s="297" t="s">
        <v>625</v>
      </c>
      <c r="N263" s="297" t="s">
        <v>183</v>
      </c>
      <c r="O263" s="299">
        <v>42753</v>
      </c>
      <c r="P263" s="302">
        <v>42736</v>
      </c>
      <c r="Q263" s="301" t="s">
        <v>3861</v>
      </c>
      <c r="R263" s="297" t="s">
        <v>195</v>
      </c>
      <c r="S263" s="297" t="s">
        <v>336</v>
      </c>
      <c r="T263" s="299">
        <v>42803</v>
      </c>
      <c r="U263" s="300">
        <v>42795</v>
      </c>
      <c r="V263" s="301" t="s">
        <v>3862</v>
      </c>
      <c r="W263" s="297" t="s">
        <v>5</v>
      </c>
      <c r="X263" s="297" t="s">
        <v>79</v>
      </c>
      <c r="Y263" s="299">
        <v>42892</v>
      </c>
      <c r="Z263" s="300">
        <v>42887</v>
      </c>
      <c r="AA263" s="301" t="s">
        <v>3863</v>
      </c>
      <c r="AB263" s="297" t="s">
        <v>503</v>
      </c>
      <c r="AC263" s="297" t="s">
        <v>3864</v>
      </c>
      <c r="AD263" s="299" t="s">
        <v>3865</v>
      </c>
      <c r="AE263" s="300" t="s">
        <v>3866</v>
      </c>
      <c r="AF263" s="301" t="s">
        <v>3867</v>
      </c>
      <c r="AG263" s="297" t="s">
        <v>3868</v>
      </c>
      <c r="AH263" s="297" t="s">
        <v>3869</v>
      </c>
      <c r="AI263" s="299" t="s">
        <v>9727</v>
      </c>
      <c r="AJ263" s="300" t="s">
        <v>9728</v>
      </c>
      <c r="AK263" s="537" t="s">
        <v>9726</v>
      </c>
      <c r="AL263" s="297" t="s">
        <v>9729</v>
      </c>
      <c r="AM263" s="297" t="s">
        <v>9730</v>
      </c>
      <c r="AN263" s="297" t="s">
        <v>1359</v>
      </c>
      <c r="AO263" s="540">
        <v>42803</v>
      </c>
      <c r="AP263" s="297"/>
      <c r="AQ263" s="301" t="s">
        <v>3870</v>
      </c>
      <c r="AR263" s="297" t="s">
        <v>161</v>
      </c>
      <c r="AS263" s="299" t="s">
        <v>67</v>
      </c>
      <c r="AT263" s="299" t="s">
        <v>67</v>
      </c>
      <c r="AU263" s="297" t="s">
        <v>7433</v>
      </c>
      <c r="AV263" s="297"/>
      <c r="AW263" s="297" t="s">
        <v>92</v>
      </c>
      <c r="AX263" s="297" t="s">
        <v>3006</v>
      </c>
      <c r="AY263" s="299">
        <v>41451</v>
      </c>
      <c r="AZ263" s="297" t="s">
        <v>3871</v>
      </c>
      <c r="BA263" s="299">
        <v>42034</v>
      </c>
      <c r="BB263" s="382">
        <v>42381</v>
      </c>
      <c r="BC263" s="303" t="s">
        <v>561</v>
      </c>
      <c r="BD263" s="303" t="s">
        <v>3872</v>
      </c>
      <c r="BE263" s="297" t="s">
        <v>8140</v>
      </c>
      <c r="BF263" s="301" t="s">
        <v>3873</v>
      </c>
      <c r="BG263" s="301"/>
      <c r="BH263" s="301" t="s">
        <v>9845</v>
      </c>
      <c r="BI263" s="301"/>
      <c r="BJ263" s="301"/>
      <c r="BK263" s="312" t="s">
        <v>9846</v>
      </c>
      <c r="BL263" s="313" t="s">
        <v>9847</v>
      </c>
      <c r="BM263" s="299" t="s">
        <v>9848</v>
      </c>
      <c r="BN263" s="314" t="s">
        <v>9849</v>
      </c>
      <c r="BO263" s="460"/>
      <c r="BP263" s="390"/>
      <c r="BQ263" s="297"/>
      <c r="BR263" s="303"/>
      <c r="BS263" s="301"/>
      <c r="BT263" s="301"/>
      <c r="BU263" s="301"/>
      <c r="BV263" s="301"/>
      <c r="BW263" s="316"/>
      <c r="BX263" s="304"/>
      <c r="BY263" s="299"/>
      <c r="BZ263" s="317"/>
    </row>
    <row r="264" spans="1:555" ht="78" customHeight="1">
      <c r="A264" s="296">
        <v>348</v>
      </c>
      <c r="B264" s="297" t="s">
        <v>8740</v>
      </c>
      <c r="C264" s="298">
        <v>78696310</v>
      </c>
      <c r="D264" s="354" t="s">
        <v>1567</v>
      </c>
      <c r="E264" s="299">
        <v>42682</v>
      </c>
      <c r="F264" s="300">
        <v>42675</v>
      </c>
      <c r="G264" s="301" t="s">
        <v>3882</v>
      </c>
      <c r="H264" s="297" t="s">
        <v>286</v>
      </c>
      <c r="I264" s="297" t="s">
        <v>101</v>
      </c>
      <c r="J264" s="299">
        <v>42751</v>
      </c>
      <c r="K264" s="300">
        <v>42736</v>
      </c>
      <c r="L264" s="301" t="s">
        <v>1570</v>
      </c>
      <c r="M264" s="297" t="s">
        <v>5</v>
      </c>
      <c r="N264" s="297" t="s">
        <v>131</v>
      </c>
      <c r="O264" s="299">
        <v>42219</v>
      </c>
      <c r="P264" s="302">
        <v>42217</v>
      </c>
      <c r="Q264" s="301" t="s">
        <v>3883</v>
      </c>
      <c r="R264" s="297" t="s">
        <v>3884</v>
      </c>
      <c r="S264" s="297" t="s">
        <v>1491</v>
      </c>
      <c r="T264" s="299">
        <v>43280</v>
      </c>
      <c r="U264" s="300">
        <v>43280</v>
      </c>
      <c r="V264" s="301" t="s">
        <v>3885</v>
      </c>
      <c r="W264" s="297" t="s">
        <v>3771</v>
      </c>
      <c r="X264" s="297" t="s">
        <v>3886</v>
      </c>
      <c r="Y264" s="299">
        <v>43297</v>
      </c>
      <c r="Z264" s="300">
        <v>43297</v>
      </c>
      <c r="AA264" s="301" t="s">
        <v>3887</v>
      </c>
      <c r="AB264" s="297" t="s">
        <v>3888</v>
      </c>
      <c r="AC264" s="297" t="s">
        <v>3889</v>
      </c>
      <c r="AD264" s="299">
        <v>43601</v>
      </c>
      <c r="AE264" s="300">
        <v>43601</v>
      </c>
      <c r="AF264" s="301" t="s">
        <v>8757</v>
      </c>
      <c r="AG264" s="297" t="s">
        <v>5</v>
      </c>
      <c r="AH264" s="297" t="s">
        <v>4337</v>
      </c>
      <c r="AI264" s="299" t="s">
        <v>8971</v>
      </c>
      <c r="AJ264" s="300" t="s">
        <v>8972</v>
      </c>
      <c r="AK264" s="301" t="s">
        <v>8970</v>
      </c>
      <c r="AL264" s="297" t="s">
        <v>8973</v>
      </c>
      <c r="AM264" s="297" t="s">
        <v>8974</v>
      </c>
      <c r="AN264" s="297" t="s">
        <v>3012</v>
      </c>
      <c r="AO264" s="478"/>
      <c r="AP264" s="297"/>
      <c r="AQ264" s="301" t="s">
        <v>3890</v>
      </c>
      <c r="AR264" s="297" t="s">
        <v>161</v>
      </c>
      <c r="AS264" s="299">
        <v>38595</v>
      </c>
      <c r="AT264" s="299">
        <v>40633</v>
      </c>
      <c r="AU264" s="297" t="s">
        <v>8758</v>
      </c>
      <c r="AV264" s="297"/>
      <c r="AW264" s="297" t="s">
        <v>92</v>
      </c>
      <c r="AX264" s="297" t="s">
        <v>1583</v>
      </c>
      <c r="AY264" s="299">
        <v>41605</v>
      </c>
      <c r="AZ264" s="297" t="s">
        <v>1630</v>
      </c>
      <c r="BA264" s="299">
        <v>42572</v>
      </c>
      <c r="BB264" s="382">
        <v>42585</v>
      </c>
      <c r="BC264" s="297" t="s">
        <v>95</v>
      </c>
      <c r="BD264" s="297" t="s">
        <v>566</v>
      </c>
      <c r="BE264" s="297"/>
      <c r="BF264" s="301" t="s">
        <v>8007</v>
      </c>
      <c r="BG264" s="301"/>
      <c r="BH264" s="301" t="s">
        <v>9230</v>
      </c>
      <c r="BI264" s="301"/>
      <c r="BJ264" s="312">
        <f>+'[73]MATRIZ '!$J$75</f>
        <v>215907238.94303879</v>
      </c>
      <c r="BK264" s="312" t="s">
        <v>9178</v>
      </c>
      <c r="BL264" s="313" t="s">
        <v>9179</v>
      </c>
      <c r="BM264" s="299" t="s">
        <v>9180</v>
      </c>
      <c r="BN264" s="314" t="s">
        <v>9181</v>
      </c>
      <c r="BO264" s="531" t="s">
        <v>8645</v>
      </c>
      <c r="BP264" s="390"/>
      <c r="BQ264" s="297"/>
      <c r="BR264" s="303"/>
      <c r="BS264" s="301" t="s">
        <v>3891</v>
      </c>
      <c r="BT264" s="301"/>
      <c r="BU264" s="301"/>
      <c r="BV264" s="301"/>
      <c r="BW264" s="316"/>
      <c r="BX264" s="304"/>
      <c r="BY264" s="299"/>
      <c r="BZ264" s="317"/>
    </row>
    <row r="265" spans="1:555" s="259" customFormat="1" ht="171" customHeight="1">
      <c r="A265" s="296">
        <v>349</v>
      </c>
      <c r="B265" s="297" t="s">
        <v>3892</v>
      </c>
      <c r="C265" s="298">
        <v>80056685</v>
      </c>
      <c r="D265" s="354" t="s">
        <v>906</v>
      </c>
      <c r="E265" s="299">
        <v>42689</v>
      </c>
      <c r="F265" s="300">
        <v>42675</v>
      </c>
      <c r="G265" s="301" t="s">
        <v>3893</v>
      </c>
      <c r="H265" s="297" t="s">
        <v>5</v>
      </c>
      <c r="I265" s="297" t="s">
        <v>101</v>
      </c>
      <c r="J265" s="299">
        <v>42152</v>
      </c>
      <c r="K265" s="300">
        <v>42125</v>
      </c>
      <c r="L265" s="301" t="s">
        <v>3894</v>
      </c>
      <c r="M265" s="297" t="s">
        <v>625</v>
      </c>
      <c r="N265" s="297" t="s">
        <v>3895</v>
      </c>
      <c r="O265" s="299">
        <v>42164</v>
      </c>
      <c r="P265" s="302">
        <v>42156</v>
      </c>
      <c r="Q265" s="301" t="s">
        <v>3896</v>
      </c>
      <c r="R265" s="297" t="s">
        <v>625</v>
      </c>
      <c r="S265" s="297" t="s">
        <v>1393</v>
      </c>
      <c r="T265" s="299">
        <v>43131</v>
      </c>
      <c r="U265" s="300">
        <v>43101</v>
      </c>
      <c r="V265" s="301" t="s">
        <v>3897</v>
      </c>
      <c r="W265" s="297" t="s">
        <v>5</v>
      </c>
      <c r="X265" s="297" t="s">
        <v>1753</v>
      </c>
      <c r="Y265" s="299">
        <v>43637</v>
      </c>
      <c r="Z265" s="300">
        <v>43637</v>
      </c>
      <c r="AA265" s="301" t="s">
        <v>8847</v>
      </c>
      <c r="AB265" s="297" t="s">
        <v>286</v>
      </c>
      <c r="AC265" s="297" t="s">
        <v>8243</v>
      </c>
      <c r="AD265" s="299"/>
      <c r="AE265" s="300"/>
      <c r="AF265" s="301"/>
      <c r="AG265" s="297"/>
      <c r="AH265" s="297"/>
      <c r="AI265" s="322"/>
      <c r="AJ265" s="300"/>
      <c r="AK265" s="301"/>
      <c r="AL265" s="297"/>
      <c r="AM265" s="297"/>
      <c r="AN265" s="297" t="s">
        <v>477</v>
      </c>
      <c r="AO265" s="479">
        <v>42689</v>
      </c>
      <c r="AP265" s="297"/>
      <c r="AQ265" s="301" t="s">
        <v>3898</v>
      </c>
      <c r="AR265" s="297" t="s">
        <v>161</v>
      </c>
      <c r="AS265" s="299">
        <v>37187</v>
      </c>
      <c r="AT265" s="299">
        <v>40908</v>
      </c>
      <c r="AU265" s="297" t="s">
        <v>3899</v>
      </c>
      <c r="AV265" s="297"/>
      <c r="AW265" s="297" t="s">
        <v>69</v>
      </c>
      <c r="AX265" s="297" t="s">
        <v>3900</v>
      </c>
      <c r="AY265" s="299">
        <v>42081</v>
      </c>
      <c r="AZ265" s="297" t="s">
        <v>3090</v>
      </c>
      <c r="BA265" s="299">
        <v>42195</v>
      </c>
      <c r="BB265" s="382">
        <v>42200</v>
      </c>
      <c r="BC265" s="303" t="s">
        <v>912</v>
      </c>
      <c r="BD265" s="303" t="s">
        <v>566</v>
      </c>
      <c r="BE265" s="297"/>
      <c r="BF265" s="301"/>
      <c r="BG265" s="301"/>
      <c r="BH265" s="301" t="s">
        <v>8833</v>
      </c>
      <c r="BI265" s="301"/>
      <c r="BJ265" s="312">
        <f>+[74]MATRIZ!$J$50</f>
        <v>7689079.5074290577</v>
      </c>
      <c r="BK265" s="312">
        <v>7689080</v>
      </c>
      <c r="BL265" s="313">
        <v>138474619</v>
      </c>
      <c r="BM265" s="299">
        <v>43621</v>
      </c>
      <c r="BN265" s="314">
        <v>43621</v>
      </c>
      <c r="BO265" s="460"/>
      <c r="BP265" s="390" t="s">
        <v>9131</v>
      </c>
      <c r="BQ265" s="297" t="s">
        <v>9132</v>
      </c>
      <c r="BR265" s="303"/>
      <c r="BS265" s="301"/>
      <c r="BT265" s="301"/>
      <c r="BU265" s="301"/>
      <c r="BV265" s="301"/>
      <c r="BW265" s="316"/>
      <c r="BX265" s="304"/>
      <c r="BY265" s="299"/>
      <c r="BZ265" s="317"/>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c r="IY265" s="1"/>
      <c r="IZ265" s="1"/>
      <c r="JA265" s="1"/>
      <c r="JB265" s="1"/>
      <c r="JC265" s="1"/>
      <c r="JD265" s="1"/>
      <c r="JE265" s="1"/>
      <c r="JF265" s="1"/>
      <c r="JG265" s="1"/>
      <c r="JH265" s="1"/>
      <c r="JI265" s="1"/>
      <c r="JJ265" s="1"/>
      <c r="JK265" s="1"/>
      <c r="JL265" s="1"/>
      <c r="JM265" s="1"/>
      <c r="JN265" s="1"/>
      <c r="JO265" s="1"/>
      <c r="JP265" s="1"/>
      <c r="JQ265" s="1"/>
      <c r="JR265" s="1"/>
      <c r="JS265" s="1"/>
      <c r="JT265" s="1"/>
      <c r="JU265" s="1"/>
      <c r="JV265" s="1"/>
      <c r="JW265" s="1"/>
      <c r="JX265" s="1"/>
      <c r="JY265" s="1"/>
      <c r="JZ265" s="1"/>
      <c r="KA265" s="1"/>
      <c r="KB265" s="1"/>
      <c r="KC265" s="1"/>
      <c r="KD265" s="1"/>
      <c r="KE265" s="1"/>
      <c r="KF265" s="1"/>
      <c r="KG265" s="1"/>
      <c r="KH265" s="1"/>
      <c r="KI265" s="1"/>
      <c r="KJ265" s="1"/>
      <c r="KK265" s="1"/>
      <c r="KL265" s="1"/>
      <c r="KM265" s="1"/>
      <c r="KN265" s="1"/>
      <c r="KO265" s="1"/>
      <c r="KP265" s="1"/>
      <c r="KQ265" s="1"/>
      <c r="KR265" s="1"/>
      <c r="KS265" s="1"/>
      <c r="KT265" s="1"/>
      <c r="KU265" s="1"/>
      <c r="KV265" s="1"/>
      <c r="KW265" s="1"/>
      <c r="KX265" s="1"/>
      <c r="KY265" s="1"/>
      <c r="KZ265" s="1"/>
      <c r="LA265" s="1"/>
      <c r="LB265" s="1"/>
      <c r="LC265" s="1"/>
      <c r="LD265" s="1"/>
      <c r="LE265" s="1"/>
      <c r="LF265" s="1"/>
      <c r="LG265" s="1"/>
      <c r="LH265" s="1"/>
      <c r="LI265" s="1"/>
      <c r="LJ265" s="1"/>
      <c r="LK265" s="1"/>
      <c r="LL265" s="1"/>
      <c r="LM265" s="1"/>
      <c r="LN265" s="1"/>
      <c r="LO265" s="1"/>
      <c r="LP265" s="1"/>
      <c r="LQ265" s="1"/>
      <c r="LR265" s="1"/>
      <c r="LS265" s="1"/>
      <c r="LT265" s="1"/>
      <c r="LU265" s="1"/>
      <c r="LV265" s="1"/>
      <c r="LW265" s="1"/>
      <c r="LX265" s="1"/>
      <c r="LY265" s="1"/>
      <c r="LZ265" s="1"/>
      <c r="MA265" s="1"/>
      <c r="MB265" s="1"/>
      <c r="MC265" s="1"/>
      <c r="MD265" s="1"/>
      <c r="ME265" s="1"/>
      <c r="MF265" s="1"/>
      <c r="MG265" s="1"/>
      <c r="MH265" s="1"/>
      <c r="MI265" s="1"/>
      <c r="MJ265" s="1"/>
      <c r="MK265" s="1"/>
      <c r="ML265" s="1"/>
      <c r="MM265" s="1"/>
      <c r="MN265" s="1"/>
      <c r="MO265" s="1"/>
      <c r="MP265" s="1"/>
      <c r="MQ265" s="1"/>
      <c r="MR265" s="1"/>
      <c r="MS265" s="1"/>
      <c r="MT265" s="1"/>
      <c r="MU265" s="1"/>
      <c r="MV265" s="1"/>
      <c r="MW265" s="1"/>
      <c r="MX265" s="1"/>
      <c r="MY265" s="1"/>
      <c r="MZ265" s="1"/>
      <c r="NA265" s="1"/>
      <c r="NB265" s="1"/>
      <c r="NC265" s="1"/>
      <c r="ND265" s="1"/>
      <c r="NE265" s="1"/>
      <c r="NF265" s="1"/>
      <c r="NG265" s="1"/>
      <c r="NH265" s="1"/>
      <c r="NI265" s="1"/>
      <c r="NJ265" s="1"/>
      <c r="NK265" s="1"/>
      <c r="NL265" s="1"/>
      <c r="NM265" s="1"/>
      <c r="NN265" s="1"/>
      <c r="NO265" s="1"/>
      <c r="NP265" s="1"/>
      <c r="NQ265" s="1"/>
      <c r="NR265" s="1"/>
      <c r="NS265" s="1"/>
      <c r="NT265" s="1"/>
      <c r="NU265" s="1"/>
      <c r="NV265" s="1"/>
      <c r="NW265" s="1"/>
      <c r="NX265" s="1"/>
      <c r="NY265" s="1"/>
      <c r="NZ265" s="1"/>
      <c r="OA265" s="1"/>
      <c r="OB265" s="1"/>
      <c r="OC265" s="1"/>
      <c r="OD265" s="1"/>
      <c r="OE265" s="1"/>
      <c r="OF265" s="1"/>
      <c r="OG265" s="1"/>
      <c r="OH265" s="1"/>
      <c r="OI265" s="1"/>
      <c r="OJ265" s="1"/>
      <c r="OK265" s="1"/>
      <c r="OL265" s="1"/>
      <c r="OM265" s="1"/>
      <c r="ON265" s="1"/>
      <c r="OO265" s="1"/>
      <c r="OP265" s="1"/>
      <c r="OQ265" s="1"/>
      <c r="OR265" s="1"/>
      <c r="OS265" s="1"/>
      <c r="OT265" s="1"/>
      <c r="OU265" s="1"/>
      <c r="OV265" s="1"/>
      <c r="OW265" s="1"/>
      <c r="OX265" s="1"/>
      <c r="OY265" s="1"/>
      <c r="OZ265" s="1"/>
      <c r="PA265" s="1"/>
      <c r="PB265" s="1"/>
      <c r="PC265" s="1"/>
      <c r="PD265" s="1"/>
      <c r="PE265" s="1"/>
      <c r="PF265" s="1"/>
      <c r="PG265" s="1"/>
      <c r="PH265" s="1"/>
      <c r="PI265" s="1"/>
      <c r="PJ265" s="1"/>
      <c r="PK265" s="1"/>
      <c r="PL265" s="1"/>
      <c r="PM265" s="1"/>
      <c r="PN265" s="1"/>
      <c r="PO265" s="1"/>
      <c r="PP265" s="1"/>
      <c r="PQ265" s="1"/>
      <c r="PR265" s="1"/>
      <c r="PS265" s="1"/>
      <c r="PT265" s="1"/>
      <c r="PU265" s="1"/>
      <c r="PV265" s="1"/>
      <c r="PW265" s="1"/>
      <c r="PX265" s="1"/>
      <c r="PY265" s="1"/>
      <c r="PZ265" s="1"/>
      <c r="QA265" s="1"/>
      <c r="QB265" s="1"/>
      <c r="QC265" s="1"/>
      <c r="QD265" s="1"/>
      <c r="QE265" s="1"/>
      <c r="QF265" s="1"/>
      <c r="QG265" s="1"/>
      <c r="QH265" s="1"/>
      <c r="QI265" s="1"/>
      <c r="QJ265" s="1"/>
      <c r="QK265" s="1"/>
      <c r="QL265" s="1"/>
      <c r="QM265" s="1"/>
      <c r="QN265" s="1"/>
      <c r="QO265" s="1"/>
      <c r="QP265" s="1"/>
      <c r="QQ265" s="1"/>
      <c r="QR265" s="1"/>
      <c r="QS265" s="1"/>
      <c r="QT265" s="1"/>
      <c r="QU265" s="1"/>
      <c r="QV265" s="1"/>
      <c r="QW265" s="1"/>
      <c r="QX265" s="1"/>
      <c r="QY265" s="1"/>
      <c r="QZ265" s="1"/>
      <c r="RA265" s="1"/>
      <c r="RB265" s="1"/>
      <c r="RC265" s="1"/>
      <c r="RD265" s="1"/>
      <c r="RE265" s="1"/>
      <c r="RF265" s="1"/>
      <c r="RG265" s="1"/>
      <c r="RH265" s="1"/>
      <c r="RI265" s="1"/>
      <c r="RJ265" s="1"/>
      <c r="RK265" s="1"/>
      <c r="RL265" s="1"/>
      <c r="RM265" s="1"/>
      <c r="RN265" s="1"/>
      <c r="RO265" s="1"/>
      <c r="RP265" s="1"/>
      <c r="RQ265" s="1"/>
      <c r="RR265" s="1"/>
      <c r="RS265" s="1"/>
      <c r="RT265" s="1"/>
      <c r="RU265" s="1"/>
      <c r="RV265" s="1"/>
      <c r="RW265" s="1"/>
      <c r="RX265" s="1"/>
      <c r="RY265" s="1"/>
      <c r="RZ265" s="1"/>
      <c r="SA265" s="1"/>
      <c r="SB265" s="1"/>
      <c r="SC265" s="1"/>
      <c r="SD265" s="1"/>
      <c r="SE265" s="1"/>
      <c r="SF265" s="1"/>
      <c r="SG265" s="1"/>
      <c r="SH265" s="1"/>
      <c r="SI265" s="1"/>
      <c r="SJ265" s="1"/>
      <c r="SK265" s="1"/>
      <c r="SL265" s="1"/>
      <c r="SM265" s="1"/>
      <c r="SN265" s="1"/>
      <c r="SO265" s="1"/>
      <c r="SP265" s="1"/>
      <c r="SQ265" s="1"/>
      <c r="SR265" s="1"/>
      <c r="SS265" s="1"/>
      <c r="ST265" s="1"/>
      <c r="SU265" s="1"/>
      <c r="SV265" s="1"/>
      <c r="SW265" s="1"/>
      <c r="SX265" s="1"/>
      <c r="SY265" s="1"/>
      <c r="SZ265" s="1"/>
      <c r="TA265" s="1"/>
      <c r="TB265" s="1"/>
      <c r="TC265" s="1"/>
      <c r="TD265" s="1"/>
      <c r="TE265" s="1"/>
      <c r="TF265" s="1"/>
      <c r="TG265" s="1"/>
      <c r="TH265" s="1"/>
      <c r="TI265" s="1"/>
      <c r="TJ265" s="1"/>
      <c r="TK265" s="1"/>
      <c r="TL265" s="1"/>
      <c r="TM265" s="1"/>
      <c r="TN265" s="1"/>
      <c r="TO265" s="1"/>
      <c r="TP265" s="1"/>
      <c r="TQ265" s="1"/>
      <c r="TR265" s="1"/>
      <c r="TS265" s="1"/>
      <c r="TT265" s="1"/>
      <c r="TU265" s="1"/>
      <c r="TV265" s="1"/>
      <c r="TW265" s="1"/>
      <c r="TX265" s="1"/>
      <c r="TY265" s="1"/>
      <c r="TZ265" s="1"/>
      <c r="UA265" s="1"/>
      <c r="UB265" s="1"/>
      <c r="UC265" s="1"/>
      <c r="UD265" s="1"/>
      <c r="UE265" s="1"/>
      <c r="UF265" s="1"/>
      <c r="UG265" s="1"/>
      <c r="UH265" s="1"/>
      <c r="UI265" s="1"/>
    </row>
    <row r="266" spans="1:555" s="509" customFormat="1" ht="108.75" customHeight="1">
      <c r="A266" s="296">
        <v>353</v>
      </c>
      <c r="B266" s="297" t="s">
        <v>3932</v>
      </c>
      <c r="C266" s="298">
        <v>4890866</v>
      </c>
      <c r="D266" s="354" t="s">
        <v>3933</v>
      </c>
      <c r="E266" s="299">
        <v>42691</v>
      </c>
      <c r="F266" s="300">
        <v>42675</v>
      </c>
      <c r="G266" s="301" t="s">
        <v>3934</v>
      </c>
      <c r="H266" s="297" t="s">
        <v>171</v>
      </c>
      <c r="I266" s="297" t="s">
        <v>183</v>
      </c>
      <c r="J266" s="299">
        <v>42719</v>
      </c>
      <c r="K266" s="300">
        <v>42705</v>
      </c>
      <c r="L266" s="301" t="s">
        <v>3935</v>
      </c>
      <c r="M266" s="297" t="s">
        <v>63</v>
      </c>
      <c r="N266" s="297" t="s">
        <v>101</v>
      </c>
      <c r="O266" s="299">
        <v>42914</v>
      </c>
      <c r="P266" s="302">
        <v>42887</v>
      </c>
      <c r="Q266" s="301" t="s">
        <v>3936</v>
      </c>
      <c r="R266" s="297" t="s">
        <v>63</v>
      </c>
      <c r="S266" s="297" t="s">
        <v>79</v>
      </c>
      <c r="T266" s="299">
        <v>43147</v>
      </c>
      <c r="U266" s="300">
        <v>43132</v>
      </c>
      <c r="V266" s="301" t="s">
        <v>271</v>
      </c>
      <c r="W266" s="297" t="s">
        <v>63</v>
      </c>
      <c r="X266" s="297" t="s">
        <v>3937</v>
      </c>
      <c r="Y266" s="299">
        <v>43166</v>
      </c>
      <c r="Z266" s="300">
        <v>43160</v>
      </c>
      <c r="AA266" s="301" t="s">
        <v>3938</v>
      </c>
      <c r="AB266" s="297" t="s">
        <v>63</v>
      </c>
      <c r="AC266" s="297" t="s">
        <v>3939</v>
      </c>
      <c r="AD266" s="299" t="s">
        <v>3940</v>
      </c>
      <c r="AE266" s="300" t="s">
        <v>3941</v>
      </c>
      <c r="AF266" s="301" t="s">
        <v>3942</v>
      </c>
      <c r="AG266" s="297" t="s">
        <v>3943</v>
      </c>
      <c r="AH266" s="297" t="s">
        <v>3944</v>
      </c>
      <c r="AI266" s="322"/>
      <c r="AJ266" s="300"/>
      <c r="AK266" s="301"/>
      <c r="AL266" s="297"/>
      <c r="AM266" s="297"/>
      <c r="AN266" s="297"/>
      <c r="AO266" s="473"/>
      <c r="AP266" s="297"/>
      <c r="AQ266" s="301" t="s">
        <v>3945</v>
      </c>
      <c r="AR266" s="297" t="s">
        <v>66</v>
      </c>
      <c r="AS266" s="299" t="s">
        <v>67</v>
      </c>
      <c r="AT266" s="299" t="s">
        <v>67</v>
      </c>
      <c r="AU266" s="297" t="s">
        <v>3946</v>
      </c>
      <c r="AV266" s="297"/>
      <c r="AW266" s="297" t="s">
        <v>92</v>
      </c>
      <c r="AX266" s="297" t="s">
        <v>3843</v>
      </c>
      <c r="AY266" s="299">
        <v>41577</v>
      </c>
      <c r="AZ266" s="297" t="s">
        <v>3947</v>
      </c>
      <c r="BA266" s="299">
        <v>42193</v>
      </c>
      <c r="BB266" s="382">
        <v>42230</v>
      </c>
      <c r="BC266" s="303" t="s">
        <v>561</v>
      </c>
      <c r="BD266" s="303" t="s">
        <v>2613</v>
      </c>
      <c r="BE266" s="297" t="s">
        <v>8141</v>
      </c>
      <c r="BF266" s="301"/>
      <c r="BG266" s="301"/>
      <c r="BH266" s="301" t="s">
        <v>3948</v>
      </c>
      <c r="BI266" s="301"/>
      <c r="BJ266" s="312">
        <v>87333481</v>
      </c>
      <c r="BK266" s="312" t="s">
        <v>3949</v>
      </c>
      <c r="BL266" s="313" t="s">
        <v>3950</v>
      </c>
      <c r="BM266" s="299" t="s">
        <v>3951</v>
      </c>
      <c r="BN266" s="314" t="s">
        <v>3572</v>
      </c>
      <c r="BO266" s="434" t="s">
        <v>3952</v>
      </c>
      <c r="BP266" s="397"/>
      <c r="BQ266" s="398"/>
      <c r="BR266" s="320"/>
      <c r="BS266" s="301"/>
      <c r="BT266" s="301"/>
      <c r="BU266" s="301"/>
      <c r="BV266" s="301"/>
      <c r="BW266" s="316"/>
      <c r="BX266" s="304"/>
      <c r="BY266" s="299"/>
      <c r="BZ266" s="317"/>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c r="IY266" s="1"/>
      <c r="IZ266" s="1"/>
      <c r="JA266" s="1"/>
      <c r="JB266" s="1"/>
      <c r="JC266" s="1"/>
      <c r="JD266" s="1"/>
      <c r="JE266" s="1"/>
      <c r="JF266" s="1"/>
      <c r="JG266" s="1"/>
      <c r="JH266" s="1"/>
      <c r="JI266" s="1"/>
      <c r="JJ266" s="1"/>
      <c r="JK266" s="1"/>
      <c r="JL266" s="1"/>
      <c r="JM266" s="1"/>
      <c r="JN266" s="1"/>
      <c r="JO266" s="1"/>
      <c r="JP266" s="1"/>
      <c r="JQ266" s="1"/>
      <c r="JR266" s="1"/>
      <c r="JS266" s="1"/>
      <c r="JT266" s="1"/>
      <c r="JU266" s="1"/>
      <c r="JV266" s="1"/>
      <c r="JW266" s="1"/>
      <c r="JX266" s="1"/>
      <c r="JY266" s="1"/>
      <c r="JZ266" s="1"/>
      <c r="KA266" s="1"/>
      <c r="KB266" s="1"/>
      <c r="KC266" s="1"/>
      <c r="KD266" s="1"/>
      <c r="KE266" s="1"/>
      <c r="KF266" s="1"/>
      <c r="KG266" s="1"/>
      <c r="KH266" s="1"/>
      <c r="KI266" s="1"/>
      <c r="KJ266" s="1"/>
      <c r="KK266" s="1"/>
      <c r="KL266" s="1"/>
      <c r="KM266" s="1"/>
      <c r="KN266" s="1"/>
      <c r="KO266" s="1"/>
      <c r="KP266" s="1"/>
      <c r="KQ266" s="1"/>
      <c r="KR266" s="1"/>
      <c r="KS266" s="1"/>
      <c r="KT266" s="1"/>
      <c r="KU266" s="1"/>
      <c r="KV266" s="1"/>
      <c r="KW266" s="1"/>
      <c r="KX266" s="1"/>
      <c r="KY266" s="1"/>
      <c r="KZ266" s="1"/>
      <c r="LA266" s="1"/>
      <c r="LB266" s="1"/>
      <c r="LC266" s="1"/>
      <c r="LD266" s="1"/>
      <c r="LE266" s="1"/>
      <c r="LF266" s="1"/>
      <c r="LG266" s="1"/>
      <c r="LH266" s="1"/>
      <c r="LI266" s="1"/>
      <c r="LJ266" s="1"/>
      <c r="LK266" s="1"/>
      <c r="LL266" s="1"/>
      <c r="LM266" s="1"/>
      <c r="LN266" s="1"/>
      <c r="LO266" s="1"/>
      <c r="LP266" s="1"/>
      <c r="LQ266" s="1"/>
      <c r="LR266" s="1"/>
      <c r="LS266" s="1"/>
      <c r="LT266" s="1"/>
      <c r="LU266" s="1"/>
      <c r="LV266" s="1"/>
      <c r="LW266" s="1"/>
      <c r="LX266" s="1"/>
      <c r="LY266" s="1"/>
      <c r="LZ266" s="1"/>
      <c r="MA266" s="1"/>
      <c r="MB266" s="1"/>
      <c r="MC266" s="1"/>
      <c r="MD266" s="1"/>
      <c r="ME266" s="1"/>
      <c r="MF266" s="1"/>
      <c r="MG266" s="1"/>
      <c r="MH266" s="1"/>
      <c r="MI266" s="1"/>
      <c r="MJ266" s="1"/>
      <c r="MK266" s="1"/>
      <c r="ML266" s="1"/>
      <c r="MM266" s="1"/>
      <c r="MN266" s="1"/>
      <c r="MO266" s="1"/>
      <c r="MP266" s="1"/>
      <c r="MQ266" s="1"/>
      <c r="MR266" s="1"/>
      <c r="MS266" s="1"/>
      <c r="MT266" s="1"/>
      <c r="MU266" s="1"/>
      <c r="MV266" s="1"/>
      <c r="MW266" s="1"/>
      <c r="MX266" s="1"/>
      <c r="MY266" s="1"/>
      <c r="MZ266" s="1"/>
      <c r="NA266" s="1"/>
      <c r="NB266" s="1"/>
      <c r="NC266" s="1"/>
      <c r="ND266" s="1"/>
      <c r="NE266" s="1"/>
      <c r="NF266" s="1"/>
      <c r="NG266" s="1"/>
      <c r="NH266" s="1"/>
      <c r="NI266" s="1"/>
      <c r="NJ266" s="1"/>
      <c r="NK266" s="1"/>
      <c r="NL266" s="1"/>
      <c r="NM266" s="1"/>
      <c r="NN266" s="1"/>
      <c r="NO266" s="1"/>
      <c r="NP266" s="1"/>
      <c r="NQ266" s="1"/>
      <c r="NR266" s="1"/>
      <c r="NS266" s="1"/>
      <c r="NT266" s="1"/>
      <c r="NU266" s="1"/>
      <c r="NV266" s="1"/>
      <c r="NW266" s="1"/>
      <c r="NX266" s="1"/>
      <c r="NY266" s="1"/>
      <c r="NZ266" s="1"/>
      <c r="OA266" s="1"/>
      <c r="OB266" s="1"/>
      <c r="OC266" s="1"/>
      <c r="OD266" s="1"/>
      <c r="OE266" s="1"/>
      <c r="OF266" s="1"/>
      <c r="OG266" s="1"/>
      <c r="OH266" s="1"/>
      <c r="OI266" s="1"/>
      <c r="OJ266" s="1"/>
      <c r="OK266" s="1"/>
      <c r="OL266" s="1"/>
      <c r="OM266" s="1"/>
      <c r="ON266" s="1"/>
      <c r="OO266" s="1"/>
      <c r="OP266" s="1"/>
      <c r="OQ266" s="1"/>
      <c r="OR266" s="1"/>
      <c r="OS266" s="1"/>
      <c r="OT266" s="1"/>
      <c r="OU266" s="1"/>
      <c r="OV266" s="1"/>
      <c r="OW266" s="1"/>
      <c r="OX266" s="1"/>
      <c r="OY266" s="1"/>
      <c r="OZ266" s="1"/>
      <c r="PA266" s="1"/>
      <c r="PB266" s="1"/>
      <c r="PC266" s="1"/>
      <c r="PD266" s="1"/>
      <c r="PE266" s="1"/>
      <c r="PF266" s="1"/>
      <c r="PG266" s="1"/>
      <c r="PH266" s="1"/>
      <c r="PI266" s="1"/>
      <c r="PJ266" s="1"/>
      <c r="PK266" s="1"/>
      <c r="PL266" s="1"/>
      <c r="PM266" s="1"/>
      <c r="PN266" s="1"/>
      <c r="PO266" s="1"/>
      <c r="PP266" s="1"/>
      <c r="PQ266" s="1"/>
      <c r="PR266" s="1"/>
      <c r="PS266" s="1"/>
      <c r="PT266" s="1"/>
      <c r="PU266" s="1"/>
      <c r="PV266" s="1"/>
      <c r="PW266" s="1"/>
      <c r="PX266" s="1"/>
      <c r="PY266" s="1"/>
      <c r="PZ266" s="1"/>
      <c r="QA266" s="1"/>
      <c r="QB266" s="1"/>
      <c r="QC266" s="1"/>
      <c r="QD266" s="1"/>
      <c r="QE266" s="1"/>
      <c r="QF266" s="1"/>
      <c r="QG266" s="1"/>
      <c r="QH266" s="1"/>
      <c r="QI266" s="1"/>
      <c r="QJ266" s="1"/>
      <c r="QK266" s="1"/>
      <c r="QL266" s="1"/>
      <c r="QM266" s="1"/>
      <c r="QN266" s="1"/>
      <c r="QO266" s="1"/>
      <c r="QP266" s="1"/>
      <c r="QQ266" s="1"/>
      <c r="QR266" s="1"/>
      <c r="QS266" s="1"/>
      <c r="QT266" s="1"/>
      <c r="QU266" s="1"/>
      <c r="QV266" s="1"/>
      <c r="QW266" s="1"/>
      <c r="QX266" s="1"/>
      <c r="QY266" s="1"/>
      <c r="QZ266" s="1"/>
      <c r="RA266" s="1"/>
      <c r="RB266" s="1"/>
      <c r="RC266" s="1"/>
      <c r="RD266" s="1"/>
      <c r="RE266" s="1"/>
      <c r="RF266" s="1"/>
      <c r="RG266" s="1"/>
      <c r="RH266" s="1"/>
      <c r="RI266" s="1"/>
      <c r="RJ266" s="1"/>
      <c r="RK266" s="1"/>
      <c r="RL266" s="1"/>
      <c r="RM266" s="1"/>
      <c r="RN266" s="1"/>
      <c r="RO266" s="1"/>
      <c r="RP266" s="1"/>
      <c r="RQ266" s="1"/>
      <c r="RR266" s="1"/>
      <c r="RS266" s="1"/>
      <c r="RT266" s="1"/>
      <c r="RU266" s="1"/>
      <c r="RV266" s="1"/>
      <c r="RW266" s="1"/>
      <c r="RX266" s="1"/>
      <c r="RY266" s="1"/>
      <c r="RZ266" s="1"/>
      <c r="SA266" s="1"/>
      <c r="SB266" s="1"/>
      <c r="SC266" s="1"/>
      <c r="SD266" s="1"/>
      <c r="SE266" s="1"/>
      <c r="SF266" s="1"/>
      <c r="SG266" s="1"/>
      <c r="SH266" s="1"/>
      <c r="SI266" s="1"/>
      <c r="SJ266" s="1"/>
      <c r="SK266" s="1"/>
      <c r="SL266" s="1"/>
      <c r="SM266" s="1"/>
      <c r="SN266" s="1"/>
      <c r="SO266" s="1"/>
      <c r="SP266" s="1"/>
      <c r="SQ266" s="1"/>
      <c r="SR266" s="1"/>
      <c r="SS266" s="1"/>
      <c r="ST266" s="1"/>
      <c r="SU266" s="1"/>
      <c r="SV266" s="1"/>
      <c r="SW266" s="1"/>
      <c r="SX266" s="1"/>
      <c r="SY266" s="1"/>
      <c r="SZ266" s="1"/>
      <c r="TA266" s="1"/>
      <c r="TB266" s="1"/>
      <c r="TC266" s="1"/>
      <c r="TD266" s="1"/>
      <c r="TE266" s="1"/>
      <c r="TF266" s="1"/>
      <c r="TG266" s="1"/>
      <c r="TH266" s="1"/>
      <c r="TI266" s="1"/>
      <c r="TJ266" s="1"/>
      <c r="TK266" s="1"/>
      <c r="TL266" s="1"/>
      <c r="TM266" s="1"/>
      <c r="TN266" s="1"/>
      <c r="TO266" s="1"/>
      <c r="TP266" s="1"/>
      <c r="TQ266" s="1"/>
      <c r="TR266" s="1"/>
      <c r="TS266" s="1"/>
      <c r="TT266" s="1"/>
      <c r="TU266" s="1"/>
      <c r="TV266" s="1"/>
      <c r="TW266" s="1"/>
      <c r="TX266" s="1"/>
      <c r="TY266" s="1"/>
      <c r="TZ266" s="1"/>
      <c r="UA266" s="1"/>
      <c r="UB266" s="1"/>
      <c r="UC266" s="1"/>
      <c r="UD266" s="1"/>
      <c r="UE266" s="1"/>
      <c r="UF266" s="1"/>
      <c r="UG266" s="1"/>
      <c r="UH266" s="1"/>
      <c r="UI266" s="1"/>
    </row>
    <row r="267" spans="1:555" ht="93.75" customHeight="1">
      <c r="A267" s="296">
        <v>360</v>
      </c>
      <c r="B267" s="297" t="s">
        <v>4000</v>
      </c>
      <c r="C267" s="298">
        <v>94381681</v>
      </c>
      <c r="D267" s="354" t="s">
        <v>1153</v>
      </c>
      <c r="E267" s="299">
        <v>42699</v>
      </c>
      <c r="F267" s="300">
        <v>42675</v>
      </c>
      <c r="G267" s="301" t="s">
        <v>4001</v>
      </c>
      <c r="H267" s="297" t="s">
        <v>5</v>
      </c>
      <c r="I267" s="297" t="s">
        <v>101</v>
      </c>
      <c r="J267" s="299">
        <v>42104</v>
      </c>
      <c r="K267" s="300">
        <v>42095</v>
      </c>
      <c r="L267" s="301" t="s">
        <v>4002</v>
      </c>
      <c r="M267" s="297" t="s">
        <v>625</v>
      </c>
      <c r="N267" s="297" t="s">
        <v>4003</v>
      </c>
      <c r="O267" s="299">
        <v>42711</v>
      </c>
      <c r="P267" s="302">
        <v>42705</v>
      </c>
      <c r="Q267" s="301" t="s">
        <v>4004</v>
      </c>
      <c r="R267" s="297" t="s">
        <v>503</v>
      </c>
      <c r="S267" s="297" t="s">
        <v>570</v>
      </c>
      <c r="T267" s="299"/>
      <c r="U267" s="300"/>
      <c r="V267" s="301"/>
      <c r="W267" s="297"/>
      <c r="X267" s="297"/>
      <c r="Y267" s="299"/>
      <c r="Z267" s="300"/>
      <c r="AA267" s="301"/>
      <c r="AB267" s="297"/>
      <c r="AC267" s="297"/>
      <c r="AD267" s="299"/>
      <c r="AE267" s="300"/>
      <c r="AF267" s="301"/>
      <c r="AG267" s="297"/>
      <c r="AH267" s="297"/>
      <c r="AI267" s="322"/>
      <c r="AJ267" s="300"/>
      <c r="AK267" s="301"/>
      <c r="AL267" s="297"/>
      <c r="AM267" s="297"/>
      <c r="AN267" s="297" t="s">
        <v>600</v>
      </c>
      <c r="AO267" s="473"/>
      <c r="AP267" s="297"/>
      <c r="AQ267" s="301" t="s">
        <v>4005</v>
      </c>
      <c r="AR267" s="297" t="s">
        <v>66</v>
      </c>
      <c r="AS267" s="299">
        <v>38412</v>
      </c>
      <c r="AT267" s="299">
        <v>39813</v>
      </c>
      <c r="AU267" s="297" t="s">
        <v>4006</v>
      </c>
      <c r="AV267" s="297"/>
      <c r="AW267" s="297" t="s">
        <v>92</v>
      </c>
      <c r="AX267" s="297" t="s">
        <v>4007</v>
      </c>
      <c r="AY267" s="299">
        <v>42019</v>
      </c>
      <c r="AZ267" s="297" t="s">
        <v>576</v>
      </c>
      <c r="BA267" s="299">
        <v>42614</v>
      </c>
      <c r="BB267" s="382">
        <v>42621</v>
      </c>
      <c r="BC267" s="297" t="s">
        <v>95</v>
      </c>
      <c r="BD267" s="297" t="s">
        <v>566</v>
      </c>
      <c r="BE267" s="297"/>
      <c r="BF267" s="301" t="s">
        <v>988</v>
      </c>
      <c r="BG267" s="301" t="s">
        <v>4008</v>
      </c>
      <c r="BH267" s="301" t="s">
        <v>4009</v>
      </c>
      <c r="BI267" s="301"/>
      <c r="BJ267" s="312">
        <v>142721969</v>
      </c>
      <c r="BK267" s="312">
        <v>142721969</v>
      </c>
      <c r="BL267" s="313">
        <v>7829718</v>
      </c>
      <c r="BM267" s="299">
        <v>43118</v>
      </c>
      <c r="BN267" s="314">
        <v>43101</v>
      </c>
      <c r="BO267" s="460" t="s">
        <v>4010</v>
      </c>
      <c r="BP267" s="390"/>
      <c r="BQ267" s="297"/>
      <c r="BR267" s="303"/>
      <c r="BS267" s="301"/>
      <c r="BT267" s="301"/>
      <c r="BU267" s="301"/>
      <c r="BV267" s="301"/>
      <c r="BW267" s="316"/>
      <c r="BX267" s="304"/>
      <c r="BY267" s="299"/>
      <c r="BZ267" s="317"/>
    </row>
    <row r="268" spans="1:555" s="509" customFormat="1" ht="81" customHeight="1">
      <c r="A268" s="296">
        <v>367</v>
      </c>
      <c r="B268" s="297" t="s">
        <v>4093</v>
      </c>
      <c r="C268" s="298">
        <v>17352746</v>
      </c>
      <c r="D268" s="354" t="s">
        <v>67</v>
      </c>
      <c r="E268" s="299">
        <v>42720</v>
      </c>
      <c r="F268" s="300">
        <v>42705</v>
      </c>
      <c r="G268" s="301" t="s">
        <v>4094</v>
      </c>
      <c r="H268" s="297"/>
      <c r="I268" s="297"/>
      <c r="J268" s="299"/>
      <c r="K268" s="300"/>
      <c r="L268" s="301"/>
      <c r="M268" s="297"/>
      <c r="N268" s="297"/>
      <c r="O268" s="299"/>
      <c r="P268" s="302"/>
      <c r="Q268" s="301"/>
      <c r="R268" s="297"/>
      <c r="S268" s="297"/>
      <c r="T268" s="299"/>
      <c r="U268" s="300"/>
      <c r="V268" s="301"/>
      <c r="W268" s="297"/>
      <c r="X268" s="297"/>
      <c r="Y268" s="299"/>
      <c r="Z268" s="300"/>
      <c r="AA268" s="301"/>
      <c r="AB268" s="297"/>
      <c r="AC268" s="297"/>
      <c r="AD268" s="299"/>
      <c r="AE268" s="300"/>
      <c r="AF268" s="301"/>
      <c r="AG268" s="297"/>
      <c r="AH268" s="297"/>
      <c r="AI268" s="322"/>
      <c r="AJ268" s="300"/>
      <c r="AK268" s="301"/>
      <c r="AL268" s="297"/>
      <c r="AM268" s="297"/>
      <c r="AN268" s="297"/>
      <c r="AO268" s="473"/>
      <c r="AP268" s="297"/>
      <c r="AQ268" s="301" t="s">
        <v>7784</v>
      </c>
      <c r="AR268" s="297" t="s">
        <v>66</v>
      </c>
      <c r="AS268" s="299" t="s">
        <v>67</v>
      </c>
      <c r="AT268" s="299" t="s">
        <v>67</v>
      </c>
      <c r="AU268" s="297" t="s">
        <v>3827</v>
      </c>
      <c r="AV268" s="297"/>
      <c r="AW268" s="297" t="s">
        <v>69</v>
      </c>
      <c r="AX268" s="297" t="s">
        <v>4095</v>
      </c>
      <c r="AY268" s="299">
        <v>42671</v>
      </c>
      <c r="AZ268" s="297" t="s">
        <v>67</v>
      </c>
      <c r="BA268" s="299" t="s">
        <v>67</v>
      </c>
      <c r="BB268" s="382">
        <v>42677</v>
      </c>
      <c r="BC268" s="297" t="s">
        <v>3829</v>
      </c>
      <c r="BD268" s="297" t="s">
        <v>6447</v>
      </c>
      <c r="BE268" s="297"/>
      <c r="BF268" s="301"/>
      <c r="BG268" s="301" t="s">
        <v>67</v>
      </c>
      <c r="BH268" s="301" t="s">
        <v>4096</v>
      </c>
      <c r="BI268" s="301" t="s">
        <v>695</v>
      </c>
      <c r="BJ268" s="312">
        <v>3389276</v>
      </c>
      <c r="BK268" s="312">
        <v>3389276</v>
      </c>
      <c r="BL268" s="313">
        <v>393305216</v>
      </c>
      <c r="BM268" s="299">
        <v>42731</v>
      </c>
      <c r="BN268" s="314">
        <v>42705</v>
      </c>
      <c r="BO268" s="460"/>
      <c r="BP268" s="390"/>
      <c r="BQ268" s="297"/>
      <c r="BR268" s="303"/>
      <c r="BS268" s="301"/>
      <c r="BT268" s="301"/>
      <c r="BU268" s="301"/>
      <c r="BV268" s="301"/>
      <c r="BW268" s="316"/>
      <c r="BX268" s="304"/>
      <c r="BY268" s="299"/>
      <c r="BZ268" s="317"/>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c r="IY268" s="1"/>
      <c r="IZ268" s="1"/>
      <c r="JA268" s="1"/>
      <c r="JB268" s="1"/>
      <c r="JC268" s="1"/>
      <c r="JD268" s="1"/>
      <c r="JE268" s="1"/>
      <c r="JF268" s="1"/>
      <c r="JG268" s="1"/>
      <c r="JH268" s="1"/>
      <c r="JI268" s="1"/>
      <c r="JJ268" s="1"/>
      <c r="JK268" s="1"/>
      <c r="JL268" s="1"/>
      <c r="JM268" s="1"/>
      <c r="JN268" s="1"/>
      <c r="JO268" s="1"/>
      <c r="JP268" s="1"/>
      <c r="JQ268" s="1"/>
      <c r="JR268" s="1"/>
      <c r="JS268" s="1"/>
      <c r="JT268" s="1"/>
      <c r="JU268" s="1"/>
      <c r="JV268" s="1"/>
      <c r="JW268" s="1"/>
      <c r="JX268" s="1"/>
      <c r="JY268" s="1"/>
      <c r="JZ268" s="1"/>
      <c r="KA268" s="1"/>
      <c r="KB268" s="1"/>
      <c r="KC268" s="1"/>
      <c r="KD268" s="1"/>
      <c r="KE268" s="1"/>
      <c r="KF268" s="1"/>
      <c r="KG268" s="1"/>
      <c r="KH268" s="1"/>
      <c r="KI268" s="1"/>
      <c r="KJ268" s="1"/>
      <c r="KK268" s="1"/>
      <c r="KL268" s="1"/>
      <c r="KM268" s="1"/>
      <c r="KN268" s="1"/>
      <c r="KO268" s="1"/>
      <c r="KP268" s="1"/>
      <c r="KQ268" s="1"/>
      <c r="KR268" s="1"/>
      <c r="KS268" s="1"/>
      <c r="KT268" s="1"/>
      <c r="KU268" s="1"/>
      <c r="KV268" s="1"/>
      <c r="KW268" s="1"/>
      <c r="KX268" s="1"/>
      <c r="KY268" s="1"/>
      <c r="KZ268" s="1"/>
      <c r="LA268" s="1"/>
      <c r="LB268" s="1"/>
      <c r="LC268" s="1"/>
      <c r="LD268" s="1"/>
      <c r="LE268" s="1"/>
      <c r="LF268" s="1"/>
      <c r="LG268" s="1"/>
      <c r="LH268" s="1"/>
      <c r="LI268" s="1"/>
      <c r="LJ268" s="1"/>
      <c r="LK268" s="1"/>
      <c r="LL268" s="1"/>
      <c r="LM268" s="1"/>
      <c r="LN268" s="1"/>
      <c r="LO268" s="1"/>
      <c r="LP268" s="1"/>
      <c r="LQ268" s="1"/>
      <c r="LR268" s="1"/>
      <c r="LS268" s="1"/>
      <c r="LT268" s="1"/>
      <c r="LU268" s="1"/>
      <c r="LV268" s="1"/>
      <c r="LW268" s="1"/>
      <c r="LX268" s="1"/>
      <c r="LY268" s="1"/>
      <c r="LZ268" s="1"/>
      <c r="MA268" s="1"/>
      <c r="MB268" s="1"/>
      <c r="MC268" s="1"/>
      <c r="MD268" s="1"/>
      <c r="ME268" s="1"/>
      <c r="MF268" s="1"/>
      <c r="MG268" s="1"/>
      <c r="MH268" s="1"/>
      <c r="MI268" s="1"/>
      <c r="MJ268" s="1"/>
      <c r="MK268" s="1"/>
      <c r="ML268" s="1"/>
      <c r="MM268" s="1"/>
      <c r="MN268" s="1"/>
      <c r="MO268" s="1"/>
      <c r="MP268" s="1"/>
      <c r="MQ268" s="1"/>
      <c r="MR268" s="1"/>
      <c r="MS268" s="1"/>
      <c r="MT268" s="1"/>
      <c r="MU268" s="1"/>
      <c r="MV268" s="1"/>
      <c r="MW268" s="1"/>
      <c r="MX268" s="1"/>
      <c r="MY268" s="1"/>
      <c r="MZ268" s="1"/>
      <c r="NA268" s="1"/>
      <c r="NB268" s="1"/>
      <c r="NC268" s="1"/>
      <c r="ND268" s="1"/>
      <c r="NE268" s="1"/>
      <c r="NF268" s="1"/>
      <c r="NG268" s="1"/>
      <c r="NH268" s="1"/>
      <c r="NI268" s="1"/>
      <c r="NJ268" s="1"/>
      <c r="NK268" s="1"/>
      <c r="NL268" s="1"/>
      <c r="NM268" s="1"/>
      <c r="NN268" s="1"/>
      <c r="NO268" s="1"/>
      <c r="NP268" s="1"/>
      <c r="NQ268" s="1"/>
      <c r="NR268" s="1"/>
      <c r="NS268" s="1"/>
      <c r="NT268" s="1"/>
      <c r="NU268" s="1"/>
      <c r="NV268" s="1"/>
      <c r="NW268" s="1"/>
      <c r="NX268" s="1"/>
      <c r="NY268" s="1"/>
      <c r="NZ268" s="1"/>
      <c r="OA268" s="1"/>
      <c r="OB268" s="1"/>
      <c r="OC268" s="1"/>
      <c r="OD268" s="1"/>
      <c r="OE268" s="1"/>
      <c r="OF268" s="1"/>
      <c r="OG268" s="1"/>
      <c r="OH268" s="1"/>
      <c r="OI268" s="1"/>
      <c r="OJ268" s="1"/>
      <c r="OK268" s="1"/>
      <c r="OL268" s="1"/>
      <c r="OM268" s="1"/>
      <c r="ON268" s="1"/>
      <c r="OO268" s="1"/>
      <c r="OP268" s="1"/>
      <c r="OQ268" s="1"/>
      <c r="OR268" s="1"/>
      <c r="OS268" s="1"/>
      <c r="OT268" s="1"/>
      <c r="OU268" s="1"/>
      <c r="OV268" s="1"/>
      <c r="OW268" s="1"/>
      <c r="OX268" s="1"/>
      <c r="OY268" s="1"/>
      <c r="OZ268" s="1"/>
      <c r="PA268" s="1"/>
      <c r="PB268" s="1"/>
      <c r="PC268" s="1"/>
      <c r="PD268" s="1"/>
      <c r="PE268" s="1"/>
      <c r="PF268" s="1"/>
      <c r="PG268" s="1"/>
      <c r="PH268" s="1"/>
      <c r="PI268" s="1"/>
      <c r="PJ268" s="1"/>
      <c r="PK268" s="1"/>
      <c r="PL268" s="1"/>
      <c r="PM268" s="1"/>
      <c r="PN268" s="1"/>
      <c r="PO268" s="1"/>
      <c r="PP268" s="1"/>
      <c r="PQ268" s="1"/>
      <c r="PR268" s="1"/>
      <c r="PS268" s="1"/>
      <c r="PT268" s="1"/>
      <c r="PU268" s="1"/>
      <c r="PV268" s="1"/>
      <c r="PW268" s="1"/>
      <c r="PX268" s="1"/>
      <c r="PY268" s="1"/>
      <c r="PZ268" s="1"/>
      <c r="QA268" s="1"/>
      <c r="QB268" s="1"/>
      <c r="QC268" s="1"/>
      <c r="QD268" s="1"/>
      <c r="QE268" s="1"/>
      <c r="QF268" s="1"/>
      <c r="QG268" s="1"/>
      <c r="QH268" s="1"/>
      <c r="QI268" s="1"/>
      <c r="QJ268" s="1"/>
      <c r="QK268" s="1"/>
      <c r="QL268" s="1"/>
      <c r="QM268" s="1"/>
      <c r="QN268" s="1"/>
      <c r="QO268" s="1"/>
      <c r="QP268" s="1"/>
      <c r="QQ268" s="1"/>
      <c r="QR268" s="1"/>
      <c r="QS268" s="1"/>
      <c r="QT268" s="1"/>
      <c r="QU268" s="1"/>
      <c r="QV268" s="1"/>
      <c r="QW268" s="1"/>
      <c r="QX268" s="1"/>
      <c r="QY268" s="1"/>
      <c r="QZ268" s="1"/>
      <c r="RA268" s="1"/>
      <c r="RB268" s="1"/>
      <c r="RC268" s="1"/>
      <c r="RD268" s="1"/>
      <c r="RE268" s="1"/>
      <c r="RF268" s="1"/>
      <c r="RG268" s="1"/>
      <c r="RH268" s="1"/>
      <c r="RI268" s="1"/>
      <c r="RJ268" s="1"/>
      <c r="RK268" s="1"/>
      <c r="RL268" s="1"/>
      <c r="RM268" s="1"/>
      <c r="RN268" s="1"/>
      <c r="RO268" s="1"/>
      <c r="RP268" s="1"/>
      <c r="RQ268" s="1"/>
      <c r="RR268" s="1"/>
      <c r="RS268" s="1"/>
      <c r="RT268" s="1"/>
      <c r="RU268" s="1"/>
      <c r="RV268" s="1"/>
      <c r="RW268" s="1"/>
      <c r="RX268" s="1"/>
      <c r="RY268" s="1"/>
      <c r="RZ268" s="1"/>
      <c r="SA268" s="1"/>
      <c r="SB268" s="1"/>
      <c r="SC268" s="1"/>
      <c r="SD268" s="1"/>
      <c r="SE268" s="1"/>
      <c r="SF268" s="1"/>
      <c r="SG268" s="1"/>
      <c r="SH268" s="1"/>
      <c r="SI268" s="1"/>
      <c r="SJ268" s="1"/>
      <c r="SK268" s="1"/>
      <c r="SL268" s="1"/>
      <c r="SM268" s="1"/>
      <c r="SN268" s="1"/>
      <c r="SO268" s="1"/>
      <c r="SP268" s="1"/>
      <c r="SQ268" s="1"/>
      <c r="SR268" s="1"/>
      <c r="SS268" s="1"/>
      <c r="ST268" s="1"/>
      <c r="SU268" s="1"/>
      <c r="SV268" s="1"/>
      <c r="SW268" s="1"/>
      <c r="SX268" s="1"/>
      <c r="SY268" s="1"/>
      <c r="SZ268" s="1"/>
      <c r="TA268" s="1"/>
      <c r="TB268" s="1"/>
      <c r="TC268" s="1"/>
      <c r="TD268" s="1"/>
      <c r="TE268" s="1"/>
      <c r="TF268" s="1"/>
      <c r="TG268" s="1"/>
      <c r="TH268" s="1"/>
      <c r="TI268" s="1"/>
      <c r="TJ268" s="1"/>
      <c r="TK268" s="1"/>
      <c r="TL268" s="1"/>
      <c r="TM268" s="1"/>
      <c r="TN268" s="1"/>
      <c r="TO268" s="1"/>
      <c r="TP268" s="1"/>
      <c r="TQ268" s="1"/>
      <c r="TR268" s="1"/>
      <c r="TS268" s="1"/>
      <c r="TT268" s="1"/>
      <c r="TU268" s="1"/>
      <c r="TV268" s="1"/>
      <c r="TW268" s="1"/>
      <c r="TX268" s="1"/>
      <c r="TY268" s="1"/>
      <c r="TZ268" s="1"/>
      <c r="UA268" s="1"/>
      <c r="UB268" s="1"/>
      <c r="UC268" s="1"/>
      <c r="UD268" s="1"/>
      <c r="UE268" s="1"/>
      <c r="UF268" s="1"/>
      <c r="UG268" s="1"/>
      <c r="UH268" s="1"/>
      <c r="UI268" s="1"/>
    </row>
    <row r="269" spans="1:555" ht="54">
      <c r="A269" s="296">
        <v>368</v>
      </c>
      <c r="B269" s="297" t="s">
        <v>4097</v>
      </c>
      <c r="C269" s="298">
        <v>51778699</v>
      </c>
      <c r="D269" s="354" t="s">
        <v>67</v>
      </c>
      <c r="E269" s="299">
        <v>42720</v>
      </c>
      <c r="F269" s="300">
        <v>42705</v>
      </c>
      <c r="G269" s="301" t="s">
        <v>4094</v>
      </c>
      <c r="H269" s="297"/>
      <c r="I269" s="297"/>
      <c r="J269" s="299"/>
      <c r="K269" s="300"/>
      <c r="L269" s="301"/>
      <c r="M269" s="297"/>
      <c r="N269" s="297"/>
      <c r="O269" s="299"/>
      <c r="P269" s="302"/>
      <c r="Q269" s="301"/>
      <c r="R269" s="297"/>
      <c r="S269" s="297"/>
      <c r="T269" s="299"/>
      <c r="U269" s="300"/>
      <c r="V269" s="301"/>
      <c r="W269" s="297"/>
      <c r="X269" s="297"/>
      <c r="Y269" s="299"/>
      <c r="Z269" s="300"/>
      <c r="AA269" s="301"/>
      <c r="AB269" s="297"/>
      <c r="AC269" s="297"/>
      <c r="AD269" s="299"/>
      <c r="AE269" s="300"/>
      <c r="AF269" s="301"/>
      <c r="AG269" s="297"/>
      <c r="AH269" s="297"/>
      <c r="AI269" s="322"/>
      <c r="AJ269" s="300"/>
      <c r="AK269" s="301"/>
      <c r="AL269" s="297"/>
      <c r="AM269" s="297"/>
      <c r="AN269" s="297"/>
      <c r="AO269" s="473"/>
      <c r="AP269" s="297"/>
      <c r="AQ269" s="301" t="s">
        <v>7600</v>
      </c>
      <c r="AR269" s="297" t="s">
        <v>66</v>
      </c>
      <c r="AS269" s="299" t="s">
        <v>67</v>
      </c>
      <c r="AT269" s="299" t="s">
        <v>67</v>
      </c>
      <c r="AU269" s="297" t="s">
        <v>3827</v>
      </c>
      <c r="AV269" s="297"/>
      <c r="AW269" s="297" t="s">
        <v>69</v>
      </c>
      <c r="AX269" s="297" t="s">
        <v>7601</v>
      </c>
      <c r="AY269" s="299">
        <v>42671</v>
      </c>
      <c r="AZ269" s="297" t="s">
        <v>67</v>
      </c>
      <c r="BA269" s="299" t="s">
        <v>67</v>
      </c>
      <c r="BB269" s="382">
        <v>42677</v>
      </c>
      <c r="BC269" s="297" t="s">
        <v>3829</v>
      </c>
      <c r="BD269" s="297" t="s">
        <v>6447</v>
      </c>
      <c r="BE269" s="297"/>
      <c r="BF269" s="301"/>
      <c r="BG269" s="301" t="s">
        <v>67</v>
      </c>
      <c r="BH269" s="301" t="s">
        <v>4098</v>
      </c>
      <c r="BI269" s="301" t="s">
        <v>695</v>
      </c>
      <c r="BJ269" s="312">
        <v>203357</v>
      </c>
      <c r="BK269" s="312">
        <v>203357</v>
      </c>
      <c r="BL269" s="313">
        <v>393315416</v>
      </c>
      <c r="BM269" s="299">
        <v>42731</v>
      </c>
      <c r="BN269" s="314">
        <v>42705</v>
      </c>
      <c r="BO269" s="460"/>
      <c r="BP269" s="390"/>
      <c r="BQ269" s="297"/>
      <c r="BR269" s="303"/>
      <c r="BS269" s="301"/>
      <c r="BT269" s="301"/>
      <c r="BU269" s="301"/>
      <c r="BV269" s="301"/>
      <c r="BW269" s="316"/>
      <c r="BX269" s="304"/>
      <c r="BY269" s="299"/>
      <c r="BZ269" s="317"/>
    </row>
    <row r="270" spans="1:555" s="259" customFormat="1" ht="54">
      <c r="A270" s="296">
        <v>369</v>
      </c>
      <c r="B270" s="297" t="s">
        <v>4099</v>
      </c>
      <c r="C270" s="298">
        <v>11409637</v>
      </c>
      <c r="D270" s="354" t="s">
        <v>67</v>
      </c>
      <c r="E270" s="299">
        <v>42720</v>
      </c>
      <c r="F270" s="300">
        <v>42705</v>
      </c>
      <c r="G270" s="301" t="s">
        <v>4094</v>
      </c>
      <c r="H270" s="297"/>
      <c r="I270" s="297"/>
      <c r="J270" s="299"/>
      <c r="K270" s="300"/>
      <c r="L270" s="301"/>
      <c r="M270" s="297"/>
      <c r="N270" s="297"/>
      <c r="O270" s="299"/>
      <c r="P270" s="302"/>
      <c r="Q270" s="301"/>
      <c r="R270" s="297"/>
      <c r="S270" s="297"/>
      <c r="T270" s="299"/>
      <c r="U270" s="300"/>
      <c r="V270" s="301"/>
      <c r="W270" s="297"/>
      <c r="X270" s="297"/>
      <c r="Y270" s="299"/>
      <c r="Z270" s="300"/>
      <c r="AA270" s="301"/>
      <c r="AB270" s="297"/>
      <c r="AC270" s="297"/>
      <c r="AD270" s="299"/>
      <c r="AE270" s="300"/>
      <c r="AF270" s="301"/>
      <c r="AG270" s="297"/>
      <c r="AH270" s="297"/>
      <c r="AI270" s="322"/>
      <c r="AJ270" s="300"/>
      <c r="AK270" s="301"/>
      <c r="AL270" s="297"/>
      <c r="AM270" s="297"/>
      <c r="AN270" s="297"/>
      <c r="AO270" s="473"/>
      <c r="AP270" s="297"/>
      <c r="AQ270" s="301" t="s">
        <v>7910</v>
      </c>
      <c r="AR270" s="297" t="s">
        <v>66</v>
      </c>
      <c r="AS270" s="299" t="s">
        <v>67</v>
      </c>
      <c r="AT270" s="299" t="s">
        <v>67</v>
      </c>
      <c r="AU270" s="297" t="s">
        <v>3827</v>
      </c>
      <c r="AV270" s="297"/>
      <c r="AW270" s="297" t="s">
        <v>69</v>
      </c>
      <c r="AX270" s="297" t="s">
        <v>7911</v>
      </c>
      <c r="AY270" s="299">
        <v>42657</v>
      </c>
      <c r="AZ270" s="297" t="s">
        <v>67</v>
      </c>
      <c r="BA270" s="299" t="s">
        <v>67</v>
      </c>
      <c r="BB270" s="382">
        <v>42677</v>
      </c>
      <c r="BC270" s="297" t="s">
        <v>3829</v>
      </c>
      <c r="BD270" s="297" t="s">
        <v>6447</v>
      </c>
      <c r="BE270" s="297"/>
      <c r="BF270" s="301"/>
      <c r="BG270" s="301" t="s">
        <v>67</v>
      </c>
      <c r="BH270" s="301" t="s">
        <v>4100</v>
      </c>
      <c r="BI270" s="301" t="s">
        <v>695</v>
      </c>
      <c r="BJ270" s="312">
        <v>287627</v>
      </c>
      <c r="BK270" s="312">
        <v>287627</v>
      </c>
      <c r="BL270" s="313">
        <v>393330916</v>
      </c>
      <c r="BM270" s="299">
        <v>42731</v>
      </c>
      <c r="BN270" s="314">
        <v>42705</v>
      </c>
      <c r="BO270" s="460"/>
      <c r="BP270" s="390"/>
      <c r="BQ270" s="297"/>
      <c r="BR270" s="303"/>
      <c r="BS270" s="301"/>
      <c r="BT270" s="301"/>
      <c r="BU270" s="301"/>
      <c r="BV270" s="301"/>
      <c r="BW270" s="316"/>
      <c r="BX270" s="304"/>
      <c r="BY270" s="299"/>
      <c r="BZ270" s="317"/>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c r="IY270" s="1"/>
      <c r="IZ270" s="1"/>
      <c r="JA270" s="1"/>
      <c r="JB270" s="1"/>
      <c r="JC270" s="1"/>
      <c r="JD270" s="1"/>
      <c r="JE270" s="1"/>
      <c r="JF270" s="1"/>
      <c r="JG270" s="1"/>
      <c r="JH270" s="1"/>
      <c r="JI270" s="1"/>
      <c r="JJ270" s="1"/>
      <c r="JK270" s="1"/>
      <c r="JL270" s="1"/>
      <c r="JM270" s="1"/>
      <c r="JN270" s="1"/>
      <c r="JO270" s="1"/>
      <c r="JP270" s="1"/>
      <c r="JQ270" s="1"/>
      <c r="JR270" s="1"/>
      <c r="JS270" s="1"/>
      <c r="JT270" s="1"/>
      <c r="JU270" s="1"/>
      <c r="JV270" s="1"/>
      <c r="JW270" s="1"/>
      <c r="JX270" s="1"/>
      <c r="JY270" s="1"/>
      <c r="JZ270" s="1"/>
      <c r="KA270" s="1"/>
      <c r="KB270" s="1"/>
      <c r="KC270" s="1"/>
      <c r="KD270" s="1"/>
      <c r="KE270" s="1"/>
      <c r="KF270" s="1"/>
      <c r="KG270" s="1"/>
      <c r="KH270" s="1"/>
      <c r="KI270" s="1"/>
      <c r="KJ270" s="1"/>
      <c r="KK270" s="1"/>
      <c r="KL270" s="1"/>
      <c r="KM270" s="1"/>
      <c r="KN270" s="1"/>
      <c r="KO270" s="1"/>
      <c r="KP270" s="1"/>
      <c r="KQ270" s="1"/>
      <c r="KR270" s="1"/>
      <c r="KS270" s="1"/>
      <c r="KT270" s="1"/>
      <c r="KU270" s="1"/>
      <c r="KV270" s="1"/>
      <c r="KW270" s="1"/>
      <c r="KX270" s="1"/>
      <c r="KY270" s="1"/>
      <c r="KZ270" s="1"/>
      <c r="LA270" s="1"/>
      <c r="LB270" s="1"/>
      <c r="LC270" s="1"/>
      <c r="LD270" s="1"/>
      <c r="LE270" s="1"/>
      <c r="LF270" s="1"/>
      <c r="LG270" s="1"/>
      <c r="LH270" s="1"/>
      <c r="LI270" s="1"/>
      <c r="LJ270" s="1"/>
      <c r="LK270" s="1"/>
      <c r="LL270" s="1"/>
      <c r="LM270" s="1"/>
      <c r="LN270" s="1"/>
      <c r="LO270" s="1"/>
      <c r="LP270" s="1"/>
      <c r="LQ270" s="1"/>
      <c r="LR270" s="1"/>
      <c r="LS270" s="1"/>
      <c r="LT270" s="1"/>
      <c r="LU270" s="1"/>
      <c r="LV270" s="1"/>
      <c r="LW270" s="1"/>
      <c r="LX270" s="1"/>
      <c r="LY270" s="1"/>
      <c r="LZ270" s="1"/>
      <c r="MA270" s="1"/>
      <c r="MB270" s="1"/>
      <c r="MC270" s="1"/>
      <c r="MD270" s="1"/>
      <c r="ME270" s="1"/>
      <c r="MF270" s="1"/>
      <c r="MG270" s="1"/>
      <c r="MH270" s="1"/>
      <c r="MI270" s="1"/>
      <c r="MJ270" s="1"/>
      <c r="MK270" s="1"/>
      <c r="ML270" s="1"/>
      <c r="MM270" s="1"/>
      <c r="MN270" s="1"/>
      <c r="MO270" s="1"/>
      <c r="MP270" s="1"/>
      <c r="MQ270" s="1"/>
      <c r="MR270" s="1"/>
      <c r="MS270" s="1"/>
      <c r="MT270" s="1"/>
      <c r="MU270" s="1"/>
      <c r="MV270" s="1"/>
      <c r="MW270" s="1"/>
      <c r="MX270" s="1"/>
      <c r="MY270" s="1"/>
      <c r="MZ270" s="1"/>
      <c r="NA270" s="1"/>
      <c r="NB270" s="1"/>
      <c r="NC270" s="1"/>
      <c r="ND270" s="1"/>
      <c r="NE270" s="1"/>
      <c r="NF270" s="1"/>
      <c r="NG270" s="1"/>
      <c r="NH270" s="1"/>
      <c r="NI270" s="1"/>
      <c r="NJ270" s="1"/>
      <c r="NK270" s="1"/>
      <c r="NL270" s="1"/>
      <c r="NM270" s="1"/>
      <c r="NN270" s="1"/>
      <c r="NO270" s="1"/>
      <c r="NP270" s="1"/>
      <c r="NQ270" s="1"/>
      <c r="NR270" s="1"/>
      <c r="NS270" s="1"/>
      <c r="NT270" s="1"/>
      <c r="NU270" s="1"/>
      <c r="NV270" s="1"/>
      <c r="NW270" s="1"/>
      <c r="NX270" s="1"/>
      <c r="NY270" s="1"/>
      <c r="NZ270" s="1"/>
      <c r="OA270" s="1"/>
      <c r="OB270" s="1"/>
      <c r="OC270" s="1"/>
      <c r="OD270" s="1"/>
      <c r="OE270" s="1"/>
      <c r="OF270" s="1"/>
      <c r="OG270" s="1"/>
      <c r="OH270" s="1"/>
      <c r="OI270" s="1"/>
      <c r="OJ270" s="1"/>
      <c r="OK270" s="1"/>
      <c r="OL270" s="1"/>
      <c r="OM270" s="1"/>
      <c r="ON270" s="1"/>
      <c r="OO270" s="1"/>
      <c r="OP270" s="1"/>
      <c r="OQ270" s="1"/>
      <c r="OR270" s="1"/>
      <c r="OS270" s="1"/>
      <c r="OT270" s="1"/>
      <c r="OU270" s="1"/>
      <c r="OV270" s="1"/>
      <c r="OW270" s="1"/>
      <c r="OX270" s="1"/>
      <c r="OY270" s="1"/>
      <c r="OZ270" s="1"/>
      <c r="PA270" s="1"/>
      <c r="PB270" s="1"/>
      <c r="PC270" s="1"/>
      <c r="PD270" s="1"/>
      <c r="PE270" s="1"/>
      <c r="PF270" s="1"/>
      <c r="PG270" s="1"/>
      <c r="PH270" s="1"/>
      <c r="PI270" s="1"/>
      <c r="PJ270" s="1"/>
      <c r="PK270" s="1"/>
      <c r="PL270" s="1"/>
      <c r="PM270" s="1"/>
      <c r="PN270" s="1"/>
      <c r="PO270" s="1"/>
      <c r="PP270" s="1"/>
      <c r="PQ270" s="1"/>
      <c r="PR270" s="1"/>
      <c r="PS270" s="1"/>
      <c r="PT270" s="1"/>
      <c r="PU270" s="1"/>
      <c r="PV270" s="1"/>
      <c r="PW270" s="1"/>
      <c r="PX270" s="1"/>
      <c r="PY270" s="1"/>
      <c r="PZ270" s="1"/>
      <c r="QA270" s="1"/>
      <c r="QB270" s="1"/>
      <c r="QC270" s="1"/>
      <c r="QD270" s="1"/>
      <c r="QE270" s="1"/>
      <c r="QF270" s="1"/>
      <c r="QG270" s="1"/>
      <c r="QH270" s="1"/>
      <c r="QI270" s="1"/>
      <c r="QJ270" s="1"/>
      <c r="QK270" s="1"/>
      <c r="QL270" s="1"/>
      <c r="QM270" s="1"/>
      <c r="QN270" s="1"/>
      <c r="QO270" s="1"/>
      <c r="QP270" s="1"/>
      <c r="QQ270" s="1"/>
      <c r="QR270" s="1"/>
      <c r="QS270" s="1"/>
      <c r="QT270" s="1"/>
      <c r="QU270" s="1"/>
      <c r="QV270" s="1"/>
      <c r="QW270" s="1"/>
      <c r="QX270" s="1"/>
      <c r="QY270" s="1"/>
      <c r="QZ270" s="1"/>
      <c r="RA270" s="1"/>
      <c r="RB270" s="1"/>
      <c r="RC270" s="1"/>
      <c r="RD270" s="1"/>
      <c r="RE270" s="1"/>
      <c r="RF270" s="1"/>
      <c r="RG270" s="1"/>
      <c r="RH270" s="1"/>
      <c r="RI270" s="1"/>
      <c r="RJ270" s="1"/>
      <c r="RK270" s="1"/>
      <c r="RL270" s="1"/>
      <c r="RM270" s="1"/>
      <c r="RN270" s="1"/>
      <c r="RO270" s="1"/>
      <c r="RP270" s="1"/>
      <c r="RQ270" s="1"/>
      <c r="RR270" s="1"/>
      <c r="RS270" s="1"/>
      <c r="RT270" s="1"/>
      <c r="RU270" s="1"/>
      <c r="RV270" s="1"/>
      <c r="RW270" s="1"/>
      <c r="RX270" s="1"/>
      <c r="RY270" s="1"/>
      <c r="RZ270" s="1"/>
      <c r="SA270" s="1"/>
      <c r="SB270" s="1"/>
      <c r="SC270" s="1"/>
      <c r="SD270" s="1"/>
      <c r="SE270" s="1"/>
      <c r="SF270" s="1"/>
      <c r="SG270" s="1"/>
      <c r="SH270" s="1"/>
      <c r="SI270" s="1"/>
      <c r="SJ270" s="1"/>
      <c r="SK270" s="1"/>
      <c r="SL270" s="1"/>
      <c r="SM270" s="1"/>
      <c r="SN270" s="1"/>
      <c r="SO270" s="1"/>
      <c r="SP270" s="1"/>
      <c r="SQ270" s="1"/>
      <c r="SR270" s="1"/>
      <c r="SS270" s="1"/>
      <c r="ST270" s="1"/>
      <c r="SU270" s="1"/>
      <c r="SV270" s="1"/>
      <c r="SW270" s="1"/>
      <c r="SX270" s="1"/>
      <c r="SY270" s="1"/>
      <c r="SZ270" s="1"/>
      <c r="TA270" s="1"/>
      <c r="TB270" s="1"/>
      <c r="TC270" s="1"/>
      <c r="TD270" s="1"/>
      <c r="TE270" s="1"/>
      <c r="TF270" s="1"/>
      <c r="TG270" s="1"/>
      <c r="TH270" s="1"/>
      <c r="TI270" s="1"/>
      <c r="TJ270" s="1"/>
      <c r="TK270" s="1"/>
      <c r="TL270" s="1"/>
      <c r="TM270" s="1"/>
      <c r="TN270" s="1"/>
      <c r="TO270" s="1"/>
      <c r="TP270" s="1"/>
      <c r="TQ270" s="1"/>
      <c r="TR270" s="1"/>
      <c r="TS270" s="1"/>
      <c r="TT270" s="1"/>
      <c r="TU270" s="1"/>
      <c r="TV270" s="1"/>
      <c r="TW270" s="1"/>
      <c r="TX270" s="1"/>
      <c r="TY270" s="1"/>
      <c r="TZ270" s="1"/>
      <c r="UA270" s="1"/>
      <c r="UB270" s="1"/>
      <c r="UC270" s="1"/>
      <c r="UD270" s="1"/>
      <c r="UE270" s="1"/>
      <c r="UF270" s="1"/>
      <c r="UG270" s="1"/>
      <c r="UH270" s="1"/>
      <c r="UI270" s="1"/>
    </row>
    <row r="271" spans="1:555" s="509" customFormat="1" ht="60" customHeight="1">
      <c r="A271" s="296">
        <v>370</v>
      </c>
      <c r="B271" s="297" t="s">
        <v>4101</v>
      </c>
      <c r="C271" s="298">
        <v>79132771</v>
      </c>
      <c r="D271" s="354" t="s">
        <v>67</v>
      </c>
      <c r="E271" s="299">
        <v>42720</v>
      </c>
      <c r="F271" s="300">
        <v>42705</v>
      </c>
      <c r="G271" s="301" t="s">
        <v>4094</v>
      </c>
      <c r="H271" s="297"/>
      <c r="I271" s="297"/>
      <c r="J271" s="299"/>
      <c r="K271" s="300"/>
      <c r="L271" s="301"/>
      <c r="M271" s="297"/>
      <c r="N271" s="297"/>
      <c r="O271" s="299"/>
      <c r="P271" s="302"/>
      <c r="Q271" s="301"/>
      <c r="R271" s="297"/>
      <c r="S271" s="297"/>
      <c r="T271" s="299"/>
      <c r="U271" s="300"/>
      <c r="V271" s="301"/>
      <c r="W271" s="297"/>
      <c r="X271" s="297"/>
      <c r="Y271" s="299"/>
      <c r="Z271" s="300"/>
      <c r="AA271" s="301"/>
      <c r="AB271" s="297"/>
      <c r="AC271" s="297"/>
      <c r="AD271" s="299"/>
      <c r="AE271" s="300"/>
      <c r="AF271" s="301"/>
      <c r="AG271" s="297"/>
      <c r="AH271" s="297"/>
      <c r="AI271" s="322"/>
      <c r="AJ271" s="300"/>
      <c r="AK271" s="301"/>
      <c r="AL271" s="297"/>
      <c r="AM271" s="297"/>
      <c r="AN271" s="297"/>
      <c r="AO271" s="473"/>
      <c r="AP271" s="297"/>
      <c r="AQ271" s="301" t="s">
        <v>7772</v>
      </c>
      <c r="AR271" s="297" t="s">
        <v>66</v>
      </c>
      <c r="AS271" s="299" t="s">
        <v>67</v>
      </c>
      <c r="AT271" s="299" t="s">
        <v>67</v>
      </c>
      <c r="AU271" s="297" t="s">
        <v>3827</v>
      </c>
      <c r="AV271" s="297"/>
      <c r="AW271" s="297" t="s">
        <v>69</v>
      </c>
      <c r="AX271" s="297" t="s">
        <v>7773</v>
      </c>
      <c r="AY271" s="299">
        <v>42671</v>
      </c>
      <c r="AZ271" s="297" t="s">
        <v>67</v>
      </c>
      <c r="BA271" s="299" t="s">
        <v>67</v>
      </c>
      <c r="BB271" s="382">
        <v>42677</v>
      </c>
      <c r="BC271" s="297" t="s">
        <v>3829</v>
      </c>
      <c r="BD271" s="297" t="s">
        <v>6447</v>
      </c>
      <c r="BE271" s="297"/>
      <c r="BF271" s="301"/>
      <c r="BG271" s="301" t="s">
        <v>67</v>
      </c>
      <c r="BH271" s="301" t="s">
        <v>4102</v>
      </c>
      <c r="BI271" s="301" t="s">
        <v>695</v>
      </c>
      <c r="BJ271" s="312">
        <v>2193251</v>
      </c>
      <c r="BK271" s="312">
        <v>2193251</v>
      </c>
      <c r="BL271" s="313">
        <v>393337516</v>
      </c>
      <c r="BM271" s="299">
        <v>42731</v>
      </c>
      <c r="BN271" s="314">
        <v>42705</v>
      </c>
      <c r="BO271" s="460"/>
      <c r="BP271" s="390"/>
      <c r="BQ271" s="297"/>
      <c r="BR271" s="303"/>
      <c r="BS271" s="301"/>
      <c r="BT271" s="301"/>
      <c r="BU271" s="301"/>
      <c r="BV271" s="301"/>
      <c r="BW271" s="316"/>
      <c r="BX271" s="304"/>
      <c r="BY271" s="299"/>
      <c r="BZ271" s="317"/>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c r="IY271" s="1"/>
      <c r="IZ271" s="1"/>
      <c r="JA271" s="1"/>
      <c r="JB271" s="1"/>
      <c r="JC271" s="1"/>
      <c r="JD271" s="1"/>
      <c r="JE271" s="1"/>
      <c r="JF271" s="1"/>
      <c r="JG271" s="1"/>
      <c r="JH271" s="1"/>
      <c r="JI271" s="1"/>
      <c r="JJ271" s="1"/>
      <c r="JK271" s="1"/>
      <c r="JL271" s="1"/>
      <c r="JM271" s="1"/>
      <c r="JN271" s="1"/>
      <c r="JO271" s="1"/>
      <c r="JP271" s="1"/>
      <c r="JQ271" s="1"/>
      <c r="JR271" s="1"/>
      <c r="JS271" s="1"/>
      <c r="JT271" s="1"/>
      <c r="JU271" s="1"/>
      <c r="JV271" s="1"/>
      <c r="JW271" s="1"/>
      <c r="JX271" s="1"/>
      <c r="JY271" s="1"/>
      <c r="JZ271" s="1"/>
      <c r="KA271" s="1"/>
      <c r="KB271" s="1"/>
      <c r="KC271" s="1"/>
      <c r="KD271" s="1"/>
      <c r="KE271" s="1"/>
      <c r="KF271" s="1"/>
      <c r="KG271" s="1"/>
      <c r="KH271" s="1"/>
      <c r="KI271" s="1"/>
      <c r="KJ271" s="1"/>
      <c r="KK271" s="1"/>
      <c r="KL271" s="1"/>
      <c r="KM271" s="1"/>
      <c r="KN271" s="1"/>
      <c r="KO271" s="1"/>
      <c r="KP271" s="1"/>
      <c r="KQ271" s="1"/>
      <c r="KR271" s="1"/>
      <c r="KS271" s="1"/>
      <c r="KT271" s="1"/>
      <c r="KU271" s="1"/>
      <c r="KV271" s="1"/>
      <c r="KW271" s="1"/>
      <c r="KX271" s="1"/>
      <c r="KY271" s="1"/>
      <c r="KZ271" s="1"/>
      <c r="LA271" s="1"/>
      <c r="LB271" s="1"/>
      <c r="LC271" s="1"/>
      <c r="LD271" s="1"/>
      <c r="LE271" s="1"/>
      <c r="LF271" s="1"/>
      <c r="LG271" s="1"/>
      <c r="LH271" s="1"/>
      <c r="LI271" s="1"/>
      <c r="LJ271" s="1"/>
      <c r="LK271" s="1"/>
      <c r="LL271" s="1"/>
      <c r="LM271" s="1"/>
      <c r="LN271" s="1"/>
      <c r="LO271" s="1"/>
      <c r="LP271" s="1"/>
      <c r="LQ271" s="1"/>
      <c r="LR271" s="1"/>
      <c r="LS271" s="1"/>
      <c r="LT271" s="1"/>
      <c r="LU271" s="1"/>
      <c r="LV271" s="1"/>
      <c r="LW271" s="1"/>
      <c r="LX271" s="1"/>
      <c r="LY271" s="1"/>
      <c r="LZ271" s="1"/>
      <c r="MA271" s="1"/>
      <c r="MB271" s="1"/>
      <c r="MC271" s="1"/>
      <c r="MD271" s="1"/>
      <c r="ME271" s="1"/>
      <c r="MF271" s="1"/>
      <c r="MG271" s="1"/>
      <c r="MH271" s="1"/>
      <c r="MI271" s="1"/>
      <c r="MJ271" s="1"/>
      <c r="MK271" s="1"/>
      <c r="ML271" s="1"/>
      <c r="MM271" s="1"/>
      <c r="MN271" s="1"/>
      <c r="MO271" s="1"/>
      <c r="MP271" s="1"/>
      <c r="MQ271" s="1"/>
      <c r="MR271" s="1"/>
      <c r="MS271" s="1"/>
      <c r="MT271" s="1"/>
      <c r="MU271" s="1"/>
      <c r="MV271" s="1"/>
      <c r="MW271" s="1"/>
      <c r="MX271" s="1"/>
      <c r="MY271" s="1"/>
      <c r="MZ271" s="1"/>
      <c r="NA271" s="1"/>
      <c r="NB271" s="1"/>
      <c r="NC271" s="1"/>
      <c r="ND271" s="1"/>
      <c r="NE271" s="1"/>
      <c r="NF271" s="1"/>
      <c r="NG271" s="1"/>
      <c r="NH271" s="1"/>
      <c r="NI271" s="1"/>
      <c r="NJ271" s="1"/>
      <c r="NK271" s="1"/>
      <c r="NL271" s="1"/>
      <c r="NM271" s="1"/>
      <c r="NN271" s="1"/>
      <c r="NO271" s="1"/>
      <c r="NP271" s="1"/>
      <c r="NQ271" s="1"/>
      <c r="NR271" s="1"/>
      <c r="NS271" s="1"/>
      <c r="NT271" s="1"/>
      <c r="NU271" s="1"/>
      <c r="NV271" s="1"/>
      <c r="NW271" s="1"/>
      <c r="NX271" s="1"/>
      <c r="NY271" s="1"/>
      <c r="NZ271" s="1"/>
      <c r="OA271" s="1"/>
      <c r="OB271" s="1"/>
      <c r="OC271" s="1"/>
      <c r="OD271" s="1"/>
      <c r="OE271" s="1"/>
      <c r="OF271" s="1"/>
      <c r="OG271" s="1"/>
      <c r="OH271" s="1"/>
      <c r="OI271" s="1"/>
      <c r="OJ271" s="1"/>
      <c r="OK271" s="1"/>
      <c r="OL271" s="1"/>
      <c r="OM271" s="1"/>
      <c r="ON271" s="1"/>
      <c r="OO271" s="1"/>
      <c r="OP271" s="1"/>
      <c r="OQ271" s="1"/>
      <c r="OR271" s="1"/>
      <c r="OS271" s="1"/>
      <c r="OT271" s="1"/>
      <c r="OU271" s="1"/>
      <c r="OV271" s="1"/>
      <c r="OW271" s="1"/>
      <c r="OX271" s="1"/>
      <c r="OY271" s="1"/>
      <c r="OZ271" s="1"/>
      <c r="PA271" s="1"/>
      <c r="PB271" s="1"/>
      <c r="PC271" s="1"/>
      <c r="PD271" s="1"/>
      <c r="PE271" s="1"/>
      <c r="PF271" s="1"/>
      <c r="PG271" s="1"/>
      <c r="PH271" s="1"/>
      <c r="PI271" s="1"/>
      <c r="PJ271" s="1"/>
      <c r="PK271" s="1"/>
      <c r="PL271" s="1"/>
      <c r="PM271" s="1"/>
      <c r="PN271" s="1"/>
      <c r="PO271" s="1"/>
      <c r="PP271" s="1"/>
      <c r="PQ271" s="1"/>
      <c r="PR271" s="1"/>
      <c r="PS271" s="1"/>
      <c r="PT271" s="1"/>
      <c r="PU271" s="1"/>
      <c r="PV271" s="1"/>
      <c r="PW271" s="1"/>
      <c r="PX271" s="1"/>
      <c r="PY271" s="1"/>
      <c r="PZ271" s="1"/>
      <c r="QA271" s="1"/>
      <c r="QB271" s="1"/>
      <c r="QC271" s="1"/>
      <c r="QD271" s="1"/>
      <c r="QE271" s="1"/>
      <c r="QF271" s="1"/>
      <c r="QG271" s="1"/>
      <c r="QH271" s="1"/>
      <c r="QI271" s="1"/>
      <c r="QJ271" s="1"/>
      <c r="QK271" s="1"/>
      <c r="QL271" s="1"/>
      <c r="QM271" s="1"/>
      <c r="QN271" s="1"/>
      <c r="QO271" s="1"/>
      <c r="QP271" s="1"/>
      <c r="QQ271" s="1"/>
      <c r="QR271" s="1"/>
      <c r="QS271" s="1"/>
      <c r="QT271" s="1"/>
      <c r="QU271" s="1"/>
      <c r="QV271" s="1"/>
      <c r="QW271" s="1"/>
      <c r="QX271" s="1"/>
      <c r="QY271" s="1"/>
      <c r="QZ271" s="1"/>
      <c r="RA271" s="1"/>
      <c r="RB271" s="1"/>
      <c r="RC271" s="1"/>
      <c r="RD271" s="1"/>
      <c r="RE271" s="1"/>
      <c r="RF271" s="1"/>
      <c r="RG271" s="1"/>
      <c r="RH271" s="1"/>
      <c r="RI271" s="1"/>
      <c r="RJ271" s="1"/>
      <c r="RK271" s="1"/>
      <c r="RL271" s="1"/>
      <c r="RM271" s="1"/>
      <c r="RN271" s="1"/>
      <c r="RO271" s="1"/>
      <c r="RP271" s="1"/>
      <c r="RQ271" s="1"/>
      <c r="RR271" s="1"/>
      <c r="RS271" s="1"/>
      <c r="RT271" s="1"/>
      <c r="RU271" s="1"/>
      <c r="RV271" s="1"/>
      <c r="RW271" s="1"/>
      <c r="RX271" s="1"/>
      <c r="RY271" s="1"/>
      <c r="RZ271" s="1"/>
      <c r="SA271" s="1"/>
      <c r="SB271" s="1"/>
      <c r="SC271" s="1"/>
      <c r="SD271" s="1"/>
      <c r="SE271" s="1"/>
      <c r="SF271" s="1"/>
      <c r="SG271" s="1"/>
      <c r="SH271" s="1"/>
      <c r="SI271" s="1"/>
      <c r="SJ271" s="1"/>
      <c r="SK271" s="1"/>
      <c r="SL271" s="1"/>
      <c r="SM271" s="1"/>
      <c r="SN271" s="1"/>
      <c r="SO271" s="1"/>
      <c r="SP271" s="1"/>
      <c r="SQ271" s="1"/>
      <c r="SR271" s="1"/>
      <c r="SS271" s="1"/>
      <c r="ST271" s="1"/>
      <c r="SU271" s="1"/>
      <c r="SV271" s="1"/>
      <c r="SW271" s="1"/>
      <c r="SX271" s="1"/>
      <c r="SY271" s="1"/>
      <c r="SZ271" s="1"/>
      <c r="TA271" s="1"/>
      <c r="TB271" s="1"/>
      <c r="TC271" s="1"/>
      <c r="TD271" s="1"/>
      <c r="TE271" s="1"/>
      <c r="TF271" s="1"/>
      <c r="TG271" s="1"/>
      <c r="TH271" s="1"/>
      <c r="TI271" s="1"/>
      <c r="TJ271" s="1"/>
      <c r="TK271" s="1"/>
      <c r="TL271" s="1"/>
      <c r="TM271" s="1"/>
      <c r="TN271" s="1"/>
      <c r="TO271" s="1"/>
      <c r="TP271" s="1"/>
      <c r="TQ271" s="1"/>
      <c r="TR271" s="1"/>
      <c r="TS271" s="1"/>
      <c r="TT271" s="1"/>
      <c r="TU271" s="1"/>
      <c r="TV271" s="1"/>
      <c r="TW271" s="1"/>
      <c r="TX271" s="1"/>
      <c r="TY271" s="1"/>
      <c r="TZ271" s="1"/>
      <c r="UA271" s="1"/>
      <c r="UB271" s="1"/>
      <c r="UC271" s="1"/>
      <c r="UD271" s="1"/>
      <c r="UE271" s="1"/>
      <c r="UF271" s="1"/>
      <c r="UG271" s="1"/>
      <c r="UH271" s="1"/>
      <c r="UI271" s="1"/>
    </row>
    <row r="272" spans="1:555" s="509" customFormat="1" ht="131.25" customHeight="1">
      <c r="A272" s="296">
        <v>371</v>
      </c>
      <c r="B272" s="297" t="s">
        <v>4103</v>
      </c>
      <c r="C272" s="298">
        <v>79992178</v>
      </c>
      <c r="D272" s="354" t="s">
        <v>67</v>
      </c>
      <c r="E272" s="299">
        <v>42720</v>
      </c>
      <c r="F272" s="300">
        <v>42705</v>
      </c>
      <c r="G272" s="301" t="s">
        <v>4094</v>
      </c>
      <c r="H272" s="297"/>
      <c r="I272" s="297"/>
      <c r="J272" s="299"/>
      <c r="K272" s="300"/>
      <c r="L272" s="301"/>
      <c r="M272" s="297"/>
      <c r="N272" s="297"/>
      <c r="O272" s="299"/>
      <c r="P272" s="302"/>
      <c r="Q272" s="301"/>
      <c r="R272" s="297"/>
      <c r="S272" s="297"/>
      <c r="T272" s="299"/>
      <c r="U272" s="300"/>
      <c r="V272" s="301"/>
      <c r="W272" s="297"/>
      <c r="X272" s="297"/>
      <c r="Y272" s="299"/>
      <c r="Z272" s="300"/>
      <c r="AA272" s="301"/>
      <c r="AB272" s="297"/>
      <c r="AC272" s="297"/>
      <c r="AD272" s="299"/>
      <c r="AE272" s="300"/>
      <c r="AF272" s="301"/>
      <c r="AG272" s="297"/>
      <c r="AH272" s="297"/>
      <c r="AI272" s="322"/>
      <c r="AJ272" s="300"/>
      <c r="AK272" s="301"/>
      <c r="AL272" s="297"/>
      <c r="AM272" s="297"/>
      <c r="AN272" s="297"/>
      <c r="AO272" s="473"/>
      <c r="AP272" s="297"/>
      <c r="AQ272" s="301" t="s">
        <v>7818</v>
      </c>
      <c r="AR272" s="297" t="s">
        <v>66</v>
      </c>
      <c r="AS272" s="299" t="s">
        <v>67</v>
      </c>
      <c r="AT272" s="299" t="s">
        <v>67</v>
      </c>
      <c r="AU272" s="297" t="s">
        <v>3827</v>
      </c>
      <c r="AV272" s="297"/>
      <c r="AW272" s="297" t="s">
        <v>69</v>
      </c>
      <c r="AX272" s="297" t="s">
        <v>7819</v>
      </c>
      <c r="AY272" s="299">
        <v>42695</v>
      </c>
      <c r="AZ272" s="297" t="s">
        <v>67</v>
      </c>
      <c r="BA272" s="299" t="s">
        <v>67</v>
      </c>
      <c r="BB272" s="382">
        <v>42704</v>
      </c>
      <c r="BC272" s="297" t="s">
        <v>3829</v>
      </c>
      <c r="BD272" s="297" t="s">
        <v>6447</v>
      </c>
      <c r="BE272" s="297"/>
      <c r="BF272" s="301"/>
      <c r="BG272" s="301" t="s">
        <v>67</v>
      </c>
      <c r="BH272" s="301" t="s">
        <v>4104</v>
      </c>
      <c r="BI272" s="301" t="s">
        <v>695</v>
      </c>
      <c r="BJ272" s="312">
        <v>203357</v>
      </c>
      <c r="BK272" s="312">
        <v>203357</v>
      </c>
      <c r="BL272" s="313">
        <v>393348516</v>
      </c>
      <c r="BM272" s="299">
        <v>42731</v>
      </c>
      <c r="BN272" s="314">
        <v>42705</v>
      </c>
      <c r="BO272" s="460"/>
      <c r="BP272" s="390"/>
      <c r="BQ272" s="297"/>
      <c r="BR272" s="303"/>
      <c r="BS272" s="301"/>
      <c r="BT272" s="301"/>
      <c r="BU272" s="301"/>
      <c r="BV272" s="301"/>
      <c r="BW272" s="316"/>
      <c r="BX272" s="304"/>
      <c r="BY272" s="299"/>
      <c r="BZ272" s="317"/>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c r="IY272" s="1"/>
      <c r="IZ272" s="1"/>
      <c r="JA272" s="1"/>
      <c r="JB272" s="1"/>
      <c r="JC272" s="1"/>
      <c r="JD272" s="1"/>
      <c r="JE272" s="1"/>
      <c r="JF272" s="1"/>
      <c r="JG272" s="1"/>
      <c r="JH272" s="1"/>
      <c r="JI272" s="1"/>
      <c r="JJ272" s="1"/>
      <c r="JK272" s="1"/>
      <c r="JL272" s="1"/>
      <c r="JM272" s="1"/>
      <c r="JN272" s="1"/>
      <c r="JO272" s="1"/>
      <c r="JP272" s="1"/>
      <c r="JQ272" s="1"/>
      <c r="JR272" s="1"/>
      <c r="JS272" s="1"/>
      <c r="JT272" s="1"/>
      <c r="JU272" s="1"/>
      <c r="JV272" s="1"/>
      <c r="JW272" s="1"/>
      <c r="JX272" s="1"/>
      <c r="JY272" s="1"/>
      <c r="JZ272" s="1"/>
      <c r="KA272" s="1"/>
      <c r="KB272" s="1"/>
      <c r="KC272" s="1"/>
      <c r="KD272" s="1"/>
      <c r="KE272" s="1"/>
      <c r="KF272" s="1"/>
      <c r="KG272" s="1"/>
      <c r="KH272" s="1"/>
      <c r="KI272" s="1"/>
      <c r="KJ272" s="1"/>
      <c r="KK272" s="1"/>
      <c r="KL272" s="1"/>
      <c r="KM272" s="1"/>
      <c r="KN272" s="1"/>
      <c r="KO272" s="1"/>
      <c r="KP272" s="1"/>
      <c r="KQ272" s="1"/>
      <c r="KR272" s="1"/>
      <c r="KS272" s="1"/>
      <c r="KT272" s="1"/>
      <c r="KU272" s="1"/>
      <c r="KV272" s="1"/>
      <c r="KW272" s="1"/>
      <c r="KX272" s="1"/>
      <c r="KY272" s="1"/>
      <c r="KZ272" s="1"/>
      <c r="LA272" s="1"/>
      <c r="LB272" s="1"/>
      <c r="LC272" s="1"/>
      <c r="LD272" s="1"/>
      <c r="LE272" s="1"/>
      <c r="LF272" s="1"/>
      <c r="LG272" s="1"/>
      <c r="LH272" s="1"/>
      <c r="LI272" s="1"/>
      <c r="LJ272" s="1"/>
      <c r="LK272" s="1"/>
      <c r="LL272" s="1"/>
      <c r="LM272" s="1"/>
      <c r="LN272" s="1"/>
      <c r="LO272" s="1"/>
      <c r="LP272" s="1"/>
      <c r="LQ272" s="1"/>
      <c r="LR272" s="1"/>
      <c r="LS272" s="1"/>
      <c r="LT272" s="1"/>
      <c r="LU272" s="1"/>
      <c r="LV272" s="1"/>
      <c r="LW272" s="1"/>
      <c r="LX272" s="1"/>
      <c r="LY272" s="1"/>
      <c r="LZ272" s="1"/>
      <c r="MA272" s="1"/>
      <c r="MB272" s="1"/>
      <c r="MC272" s="1"/>
      <c r="MD272" s="1"/>
      <c r="ME272" s="1"/>
      <c r="MF272" s="1"/>
      <c r="MG272" s="1"/>
      <c r="MH272" s="1"/>
      <c r="MI272" s="1"/>
      <c r="MJ272" s="1"/>
      <c r="MK272" s="1"/>
      <c r="ML272" s="1"/>
      <c r="MM272" s="1"/>
      <c r="MN272" s="1"/>
      <c r="MO272" s="1"/>
      <c r="MP272" s="1"/>
      <c r="MQ272" s="1"/>
      <c r="MR272" s="1"/>
      <c r="MS272" s="1"/>
      <c r="MT272" s="1"/>
      <c r="MU272" s="1"/>
      <c r="MV272" s="1"/>
      <c r="MW272" s="1"/>
      <c r="MX272" s="1"/>
      <c r="MY272" s="1"/>
      <c r="MZ272" s="1"/>
      <c r="NA272" s="1"/>
      <c r="NB272" s="1"/>
      <c r="NC272" s="1"/>
      <c r="ND272" s="1"/>
      <c r="NE272" s="1"/>
      <c r="NF272" s="1"/>
      <c r="NG272" s="1"/>
      <c r="NH272" s="1"/>
      <c r="NI272" s="1"/>
      <c r="NJ272" s="1"/>
      <c r="NK272" s="1"/>
      <c r="NL272" s="1"/>
      <c r="NM272" s="1"/>
      <c r="NN272" s="1"/>
      <c r="NO272" s="1"/>
      <c r="NP272" s="1"/>
      <c r="NQ272" s="1"/>
      <c r="NR272" s="1"/>
      <c r="NS272" s="1"/>
      <c r="NT272" s="1"/>
      <c r="NU272" s="1"/>
      <c r="NV272" s="1"/>
      <c r="NW272" s="1"/>
      <c r="NX272" s="1"/>
      <c r="NY272" s="1"/>
      <c r="NZ272" s="1"/>
      <c r="OA272" s="1"/>
      <c r="OB272" s="1"/>
      <c r="OC272" s="1"/>
      <c r="OD272" s="1"/>
      <c r="OE272" s="1"/>
      <c r="OF272" s="1"/>
      <c r="OG272" s="1"/>
      <c r="OH272" s="1"/>
      <c r="OI272" s="1"/>
      <c r="OJ272" s="1"/>
      <c r="OK272" s="1"/>
      <c r="OL272" s="1"/>
      <c r="OM272" s="1"/>
      <c r="ON272" s="1"/>
      <c r="OO272" s="1"/>
      <c r="OP272" s="1"/>
      <c r="OQ272" s="1"/>
      <c r="OR272" s="1"/>
      <c r="OS272" s="1"/>
      <c r="OT272" s="1"/>
      <c r="OU272" s="1"/>
      <c r="OV272" s="1"/>
      <c r="OW272" s="1"/>
      <c r="OX272" s="1"/>
      <c r="OY272" s="1"/>
      <c r="OZ272" s="1"/>
      <c r="PA272" s="1"/>
      <c r="PB272" s="1"/>
      <c r="PC272" s="1"/>
      <c r="PD272" s="1"/>
      <c r="PE272" s="1"/>
      <c r="PF272" s="1"/>
      <c r="PG272" s="1"/>
      <c r="PH272" s="1"/>
      <c r="PI272" s="1"/>
      <c r="PJ272" s="1"/>
      <c r="PK272" s="1"/>
      <c r="PL272" s="1"/>
      <c r="PM272" s="1"/>
      <c r="PN272" s="1"/>
      <c r="PO272" s="1"/>
      <c r="PP272" s="1"/>
      <c r="PQ272" s="1"/>
      <c r="PR272" s="1"/>
      <c r="PS272" s="1"/>
      <c r="PT272" s="1"/>
      <c r="PU272" s="1"/>
      <c r="PV272" s="1"/>
      <c r="PW272" s="1"/>
      <c r="PX272" s="1"/>
      <c r="PY272" s="1"/>
      <c r="PZ272" s="1"/>
      <c r="QA272" s="1"/>
      <c r="QB272" s="1"/>
      <c r="QC272" s="1"/>
      <c r="QD272" s="1"/>
      <c r="QE272" s="1"/>
      <c r="QF272" s="1"/>
      <c r="QG272" s="1"/>
      <c r="QH272" s="1"/>
      <c r="QI272" s="1"/>
      <c r="QJ272" s="1"/>
      <c r="QK272" s="1"/>
      <c r="QL272" s="1"/>
      <c r="QM272" s="1"/>
      <c r="QN272" s="1"/>
      <c r="QO272" s="1"/>
      <c r="QP272" s="1"/>
      <c r="QQ272" s="1"/>
      <c r="QR272" s="1"/>
      <c r="QS272" s="1"/>
      <c r="QT272" s="1"/>
      <c r="QU272" s="1"/>
      <c r="QV272" s="1"/>
      <c r="QW272" s="1"/>
      <c r="QX272" s="1"/>
      <c r="QY272" s="1"/>
      <c r="QZ272" s="1"/>
      <c r="RA272" s="1"/>
      <c r="RB272" s="1"/>
      <c r="RC272" s="1"/>
      <c r="RD272" s="1"/>
      <c r="RE272" s="1"/>
      <c r="RF272" s="1"/>
      <c r="RG272" s="1"/>
      <c r="RH272" s="1"/>
      <c r="RI272" s="1"/>
      <c r="RJ272" s="1"/>
      <c r="RK272" s="1"/>
      <c r="RL272" s="1"/>
      <c r="RM272" s="1"/>
      <c r="RN272" s="1"/>
      <c r="RO272" s="1"/>
      <c r="RP272" s="1"/>
      <c r="RQ272" s="1"/>
      <c r="RR272" s="1"/>
      <c r="RS272" s="1"/>
      <c r="RT272" s="1"/>
      <c r="RU272" s="1"/>
      <c r="RV272" s="1"/>
      <c r="RW272" s="1"/>
      <c r="RX272" s="1"/>
      <c r="RY272" s="1"/>
      <c r="RZ272" s="1"/>
      <c r="SA272" s="1"/>
      <c r="SB272" s="1"/>
      <c r="SC272" s="1"/>
      <c r="SD272" s="1"/>
      <c r="SE272" s="1"/>
      <c r="SF272" s="1"/>
      <c r="SG272" s="1"/>
      <c r="SH272" s="1"/>
      <c r="SI272" s="1"/>
      <c r="SJ272" s="1"/>
      <c r="SK272" s="1"/>
      <c r="SL272" s="1"/>
      <c r="SM272" s="1"/>
      <c r="SN272" s="1"/>
      <c r="SO272" s="1"/>
      <c r="SP272" s="1"/>
      <c r="SQ272" s="1"/>
      <c r="SR272" s="1"/>
      <c r="SS272" s="1"/>
      <c r="ST272" s="1"/>
      <c r="SU272" s="1"/>
      <c r="SV272" s="1"/>
      <c r="SW272" s="1"/>
      <c r="SX272" s="1"/>
      <c r="SY272" s="1"/>
      <c r="SZ272" s="1"/>
      <c r="TA272" s="1"/>
      <c r="TB272" s="1"/>
      <c r="TC272" s="1"/>
      <c r="TD272" s="1"/>
      <c r="TE272" s="1"/>
      <c r="TF272" s="1"/>
      <c r="TG272" s="1"/>
      <c r="TH272" s="1"/>
      <c r="TI272" s="1"/>
      <c r="TJ272" s="1"/>
      <c r="TK272" s="1"/>
      <c r="TL272" s="1"/>
      <c r="TM272" s="1"/>
      <c r="TN272" s="1"/>
      <c r="TO272" s="1"/>
      <c r="TP272" s="1"/>
      <c r="TQ272" s="1"/>
      <c r="TR272" s="1"/>
      <c r="TS272" s="1"/>
      <c r="TT272" s="1"/>
      <c r="TU272" s="1"/>
      <c r="TV272" s="1"/>
      <c r="TW272" s="1"/>
      <c r="TX272" s="1"/>
      <c r="TY272" s="1"/>
      <c r="TZ272" s="1"/>
      <c r="UA272" s="1"/>
      <c r="UB272" s="1"/>
      <c r="UC272" s="1"/>
      <c r="UD272" s="1"/>
      <c r="UE272" s="1"/>
      <c r="UF272" s="1"/>
      <c r="UG272" s="1"/>
      <c r="UH272" s="1"/>
      <c r="UI272" s="1"/>
    </row>
    <row r="273" spans="1:555" s="509" customFormat="1" ht="125.25" customHeight="1">
      <c r="A273" s="296">
        <v>372</v>
      </c>
      <c r="B273" s="297" t="s">
        <v>4105</v>
      </c>
      <c r="C273" s="298">
        <v>10289185</v>
      </c>
      <c r="D273" s="354" t="s">
        <v>67</v>
      </c>
      <c r="E273" s="299">
        <v>42720</v>
      </c>
      <c r="F273" s="300">
        <v>42705</v>
      </c>
      <c r="G273" s="301" t="s">
        <v>4094</v>
      </c>
      <c r="H273" s="297"/>
      <c r="I273" s="297"/>
      <c r="J273" s="299"/>
      <c r="K273" s="300"/>
      <c r="L273" s="301"/>
      <c r="M273" s="297"/>
      <c r="N273" s="297"/>
      <c r="O273" s="299"/>
      <c r="P273" s="302"/>
      <c r="Q273" s="301"/>
      <c r="R273" s="297"/>
      <c r="S273" s="297"/>
      <c r="T273" s="299"/>
      <c r="U273" s="300"/>
      <c r="V273" s="301"/>
      <c r="W273" s="297"/>
      <c r="X273" s="297"/>
      <c r="Y273" s="299"/>
      <c r="Z273" s="300"/>
      <c r="AA273" s="301"/>
      <c r="AB273" s="297"/>
      <c r="AC273" s="297"/>
      <c r="AD273" s="299"/>
      <c r="AE273" s="300"/>
      <c r="AF273" s="301"/>
      <c r="AG273" s="297"/>
      <c r="AH273" s="297"/>
      <c r="AI273" s="322"/>
      <c r="AJ273" s="300"/>
      <c r="AK273" s="301"/>
      <c r="AL273" s="297"/>
      <c r="AM273" s="297"/>
      <c r="AN273" s="297"/>
      <c r="AO273" s="473"/>
      <c r="AP273" s="297"/>
      <c r="AQ273" s="301" t="s">
        <v>7934</v>
      </c>
      <c r="AR273" s="297" t="s">
        <v>66</v>
      </c>
      <c r="AS273" s="299" t="s">
        <v>67</v>
      </c>
      <c r="AT273" s="299" t="s">
        <v>67</v>
      </c>
      <c r="AU273" s="297" t="s">
        <v>3827</v>
      </c>
      <c r="AV273" s="297"/>
      <c r="AW273" s="297" t="s">
        <v>69</v>
      </c>
      <c r="AX273" s="297" t="s">
        <v>4911</v>
      </c>
      <c r="AY273" s="299">
        <v>42684</v>
      </c>
      <c r="AZ273" s="297" t="s">
        <v>67</v>
      </c>
      <c r="BA273" s="299" t="s">
        <v>67</v>
      </c>
      <c r="BB273" s="382">
        <v>42691</v>
      </c>
      <c r="BC273" s="297" t="s">
        <v>3829</v>
      </c>
      <c r="BD273" s="297" t="s">
        <v>6447</v>
      </c>
      <c r="BE273" s="297"/>
      <c r="BF273" s="301"/>
      <c r="BG273" s="301" t="s">
        <v>67</v>
      </c>
      <c r="BH273" s="301" t="s">
        <v>4107</v>
      </c>
      <c r="BI273" s="301" t="s">
        <v>536</v>
      </c>
      <c r="BJ273" s="312">
        <v>653292</v>
      </c>
      <c r="BK273" s="312">
        <v>653292</v>
      </c>
      <c r="BL273" s="313">
        <v>5549517</v>
      </c>
      <c r="BM273" s="299">
        <v>42752</v>
      </c>
      <c r="BN273" s="314">
        <v>42736</v>
      </c>
      <c r="BO273" s="434" t="s">
        <v>4108</v>
      </c>
      <c r="BP273" s="397"/>
      <c r="BQ273" s="398"/>
      <c r="BR273" s="320"/>
      <c r="BS273" s="301"/>
      <c r="BT273" s="301"/>
      <c r="BU273" s="301"/>
      <c r="BV273" s="301"/>
      <c r="BW273" s="316"/>
      <c r="BX273" s="304"/>
      <c r="BY273" s="299"/>
      <c r="BZ273" s="317"/>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c r="IY273" s="1"/>
      <c r="IZ273" s="1"/>
      <c r="JA273" s="1"/>
      <c r="JB273" s="1"/>
      <c r="JC273" s="1"/>
      <c r="JD273" s="1"/>
      <c r="JE273" s="1"/>
      <c r="JF273" s="1"/>
      <c r="JG273" s="1"/>
      <c r="JH273" s="1"/>
      <c r="JI273" s="1"/>
      <c r="JJ273" s="1"/>
      <c r="JK273" s="1"/>
      <c r="JL273" s="1"/>
      <c r="JM273" s="1"/>
      <c r="JN273" s="1"/>
      <c r="JO273" s="1"/>
      <c r="JP273" s="1"/>
      <c r="JQ273" s="1"/>
      <c r="JR273" s="1"/>
      <c r="JS273" s="1"/>
      <c r="JT273" s="1"/>
      <c r="JU273" s="1"/>
      <c r="JV273" s="1"/>
      <c r="JW273" s="1"/>
      <c r="JX273" s="1"/>
      <c r="JY273" s="1"/>
      <c r="JZ273" s="1"/>
      <c r="KA273" s="1"/>
      <c r="KB273" s="1"/>
      <c r="KC273" s="1"/>
      <c r="KD273" s="1"/>
      <c r="KE273" s="1"/>
      <c r="KF273" s="1"/>
      <c r="KG273" s="1"/>
      <c r="KH273" s="1"/>
      <c r="KI273" s="1"/>
      <c r="KJ273" s="1"/>
      <c r="KK273" s="1"/>
      <c r="KL273" s="1"/>
      <c r="KM273" s="1"/>
      <c r="KN273" s="1"/>
      <c r="KO273" s="1"/>
      <c r="KP273" s="1"/>
      <c r="KQ273" s="1"/>
      <c r="KR273" s="1"/>
      <c r="KS273" s="1"/>
      <c r="KT273" s="1"/>
      <c r="KU273" s="1"/>
      <c r="KV273" s="1"/>
      <c r="KW273" s="1"/>
      <c r="KX273" s="1"/>
      <c r="KY273" s="1"/>
      <c r="KZ273" s="1"/>
      <c r="LA273" s="1"/>
      <c r="LB273" s="1"/>
      <c r="LC273" s="1"/>
      <c r="LD273" s="1"/>
      <c r="LE273" s="1"/>
      <c r="LF273" s="1"/>
      <c r="LG273" s="1"/>
      <c r="LH273" s="1"/>
      <c r="LI273" s="1"/>
      <c r="LJ273" s="1"/>
      <c r="LK273" s="1"/>
      <c r="LL273" s="1"/>
      <c r="LM273" s="1"/>
      <c r="LN273" s="1"/>
      <c r="LO273" s="1"/>
      <c r="LP273" s="1"/>
      <c r="LQ273" s="1"/>
      <c r="LR273" s="1"/>
      <c r="LS273" s="1"/>
      <c r="LT273" s="1"/>
      <c r="LU273" s="1"/>
      <c r="LV273" s="1"/>
      <c r="LW273" s="1"/>
      <c r="LX273" s="1"/>
      <c r="LY273" s="1"/>
      <c r="LZ273" s="1"/>
      <c r="MA273" s="1"/>
      <c r="MB273" s="1"/>
      <c r="MC273" s="1"/>
      <c r="MD273" s="1"/>
      <c r="ME273" s="1"/>
      <c r="MF273" s="1"/>
      <c r="MG273" s="1"/>
      <c r="MH273" s="1"/>
      <c r="MI273" s="1"/>
      <c r="MJ273" s="1"/>
      <c r="MK273" s="1"/>
      <c r="ML273" s="1"/>
      <c r="MM273" s="1"/>
      <c r="MN273" s="1"/>
      <c r="MO273" s="1"/>
      <c r="MP273" s="1"/>
      <c r="MQ273" s="1"/>
      <c r="MR273" s="1"/>
      <c r="MS273" s="1"/>
      <c r="MT273" s="1"/>
      <c r="MU273" s="1"/>
      <c r="MV273" s="1"/>
      <c r="MW273" s="1"/>
      <c r="MX273" s="1"/>
      <c r="MY273" s="1"/>
      <c r="MZ273" s="1"/>
      <c r="NA273" s="1"/>
      <c r="NB273" s="1"/>
      <c r="NC273" s="1"/>
      <c r="ND273" s="1"/>
      <c r="NE273" s="1"/>
      <c r="NF273" s="1"/>
      <c r="NG273" s="1"/>
      <c r="NH273" s="1"/>
      <c r="NI273" s="1"/>
      <c r="NJ273" s="1"/>
      <c r="NK273" s="1"/>
      <c r="NL273" s="1"/>
      <c r="NM273" s="1"/>
      <c r="NN273" s="1"/>
      <c r="NO273" s="1"/>
      <c r="NP273" s="1"/>
      <c r="NQ273" s="1"/>
      <c r="NR273" s="1"/>
      <c r="NS273" s="1"/>
      <c r="NT273" s="1"/>
      <c r="NU273" s="1"/>
      <c r="NV273" s="1"/>
      <c r="NW273" s="1"/>
      <c r="NX273" s="1"/>
      <c r="NY273" s="1"/>
      <c r="NZ273" s="1"/>
      <c r="OA273" s="1"/>
      <c r="OB273" s="1"/>
      <c r="OC273" s="1"/>
      <c r="OD273" s="1"/>
      <c r="OE273" s="1"/>
      <c r="OF273" s="1"/>
      <c r="OG273" s="1"/>
      <c r="OH273" s="1"/>
      <c r="OI273" s="1"/>
      <c r="OJ273" s="1"/>
      <c r="OK273" s="1"/>
      <c r="OL273" s="1"/>
      <c r="OM273" s="1"/>
      <c r="ON273" s="1"/>
      <c r="OO273" s="1"/>
      <c r="OP273" s="1"/>
      <c r="OQ273" s="1"/>
      <c r="OR273" s="1"/>
      <c r="OS273" s="1"/>
      <c r="OT273" s="1"/>
      <c r="OU273" s="1"/>
      <c r="OV273" s="1"/>
      <c r="OW273" s="1"/>
      <c r="OX273" s="1"/>
      <c r="OY273" s="1"/>
      <c r="OZ273" s="1"/>
      <c r="PA273" s="1"/>
      <c r="PB273" s="1"/>
      <c r="PC273" s="1"/>
      <c r="PD273" s="1"/>
      <c r="PE273" s="1"/>
      <c r="PF273" s="1"/>
      <c r="PG273" s="1"/>
      <c r="PH273" s="1"/>
      <c r="PI273" s="1"/>
      <c r="PJ273" s="1"/>
      <c r="PK273" s="1"/>
      <c r="PL273" s="1"/>
      <c r="PM273" s="1"/>
      <c r="PN273" s="1"/>
      <c r="PO273" s="1"/>
      <c r="PP273" s="1"/>
      <c r="PQ273" s="1"/>
      <c r="PR273" s="1"/>
      <c r="PS273" s="1"/>
      <c r="PT273" s="1"/>
      <c r="PU273" s="1"/>
      <c r="PV273" s="1"/>
      <c r="PW273" s="1"/>
      <c r="PX273" s="1"/>
      <c r="PY273" s="1"/>
      <c r="PZ273" s="1"/>
      <c r="QA273" s="1"/>
      <c r="QB273" s="1"/>
      <c r="QC273" s="1"/>
      <c r="QD273" s="1"/>
      <c r="QE273" s="1"/>
      <c r="QF273" s="1"/>
      <c r="QG273" s="1"/>
      <c r="QH273" s="1"/>
      <c r="QI273" s="1"/>
      <c r="QJ273" s="1"/>
      <c r="QK273" s="1"/>
      <c r="QL273" s="1"/>
      <c r="QM273" s="1"/>
      <c r="QN273" s="1"/>
      <c r="QO273" s="1"/>
      <c r="QP273" s="1"/>
      <c r="QQ273" s="1"/>
      <c r="QR273" s="1"/>
      <c r="QS273" s="1"/>
      <c r="QT273" s="1"/>
      <c r="QU273" s="1"/>
      <c r="QV273" s="1"/>
      <c r="QW273" s="1"/>
      <c r="QX273" s="1"/>
      <c r="QY273" s="1"/>
      <c r="QZ273" s="1"/>
      <c r="RA273" s="1"/>
      <c r="RB273" s="1"/>
      <c r="RC273" s="1"/>
      <c r="RD273" s="1"/>
      <c r="RE273" s="1"/>
      <c r="RF273" s="1"/>
      <c r="RG273" s="1"/>
      <c r="RH273" s="1"/>
      <c r="RI273" s="1"/>
      <c r="RJ273" s="1"/>
      <c r="RK273" s="1"/>
      <c r="RL273" s="1"/>
      <c r="RM273" s="1"/>
      <c r="RN273" s="1"/>
      <c r="RO273" s="1"/>
      <c r="RP273" s="1"/>
      <c r="RQ273" s="1"/>
      <c r="RR273" s="1"/>
      <c r="RS273" s="1"/>
      <c r="RT273" s="1"/>
      <c r="RU273" s="1"/>
      <c r="RV273" s="1"/>
      <c r="RW273" s="1"/>
      <c r="RX273" s="1"/>
      <c r="RY273" s="1"/>
      <c r="RZ273" s="1"/>
      <c r="SA273" s="1"/>
      <c r="SB273" s="1"/>
      <c r="SC273" s="1"/>
      <c r="SD273" s="1"/>
      <c r="SE273" s="1"/>
      <c r="SF273" s="1"/>
      <c r="SG273" s="1"/>
      <c r="SH273" s="1"/>
      <c r="SI273" s="1"/>
      <c r="SJ273" s="1"/>
      <c r="SK273" s="1"/>
      <c r="SL273" s="1"/>
      <c r="SM273" s="1"/>
      <c r="SN273" s="1"/>
      <c r="SO273" s="1"/>
      <c r="SP273" s="1"/>
      <c r="SQ273" s="1"/>
      <c r="SR273" s="1"/>
      <c r="SS273" s="1"/>
      <c r="ST273" s="1"/>
      <c r="SU273" s="1"/>
      <c r="SV273" s="1"/>
      <c r="SW273" s="1"/>
      <c r="SX273" s="1"/>
      <c r="SY273" s="1"/>
      <c r="SZ273" s="1"/>
      <c r="TA273" s="1"/>
      <c r="TB273" s="1"/>
      <c r="TC273" s="1"/>
      <c r="TD273" s="1"/>
      <c r="TE273" s="1"/>
      <c r="TF273" s="1"/>
      <c r="TG273" s="1"/>
      <c r="TH273" s="1"/>
      <c r="TI273" s="1"/>
      <c r="TJ273" s="1"/>
      <c r="TK273" s="1"/>
      <c r="TL273" s="1"/>
      <c r="TM273" s="1"/>
      <c r="TN273" s="1"/>
      <c r="TO273" s="1"/>
      <c r="TP273" s="1"/>
      <c r="TQ273" s="1"/>
      <c r="TR273" s="1"/>
      <c r="TS273" s="1"/>
      <c r="TT273" s="1"/>
      <c r="TU273" s="1"/>
      <c r="TV273" s="1"/>
      <c r="TW273" s="1"/>
      <c r="TX273" s="1"/>
      <c r="TY273" s="1"/>
      <c r="TZ273" s="1"/>
      <c r="UA273" s="1"/>
      <c r="UB273" s="1"/>
      <c r="UC273" s="1"/>
      <c r="UD273" s="1"/>
      <c r="UE273" s="1"/>
      <c r="UF273" s="1"/>
      <c r="UG273" s="1"/>
      <c r="UH273" s="1"/>
      <c r="UI273" s="1"/>
    </row>
    <row r="274" spans="1:555" s="509" customFormat="1" ht="54">
      <c r="A274" s="296">
        <v>373</v>
      </c>
      <c r="B274" s="297" t="s">
        <v>4109</v>
      </c>
      <c r="C274" s="298">
        <v>79632798</v>
      </c>
      <c r="D274" s="354" t="s">
        <v>67</v>
      </c>
      <c r="E274" s="299">
        <v>42720</v>
      </c>
      <c r="F274" s="300">
        <v>42705</v>
      </c>
      <c r="G274" s="301" t="s">
        <v>4094</v>
      </c>
      <c r="H274" s="297"/>
      <c r="I274" s="297"/>
      <c r="J274" s="299"/>
      <c r="K274" s="300"/>
      <c r="L274" s="301"/>
      <c r="M274" s="297"/>
      <c r="N274" s="297"/>
      <c r="O274" s="299"/>
      <c r="P274" s="302"/>
      <c r="Q274" s="301"/>
      <c r="R274" s="297"/>
      <c r="S274" s="297"/>
      <c r="T274" s="299"/>
      <c r="U274" s="300"/>
      <c r="V274" s="301"/>
      <c r="W274" s="297"/>
      <c r="X274" s="297"/>
      <c r="Y274" s="299"/>
      <c r="Z274" s="300"/>
      <c r="AA274" s="301"/>
      <c r="AB274" s="297"/>
      <c r="AC274" s="297"/>
      <c r="AD274" s="299"/>
      <c r="AE274" s="300"/>
      <c r="AF274" s="301"/>
      <c r="AG274" s="297"/>
      <c r="AH274" s="297"/>
      <c r="AI274" s="322"/>
      <c r="AJ274" s="300"/>
      <c r="AK274" s="301"/>
      <c r="AL274" s="297"/>
      <c r="AM274" s="297"/>
      <c r="AN274" s="297"/>
      <c r="AO274" s="473"/>
      <c r="AP274" s="297"/>
      <c r="AQ274" s="301" t="s">
        <v>7825</v>
      </c>
      <c r="AR274" s="297" t="s">
        <v>66</v>
      </c>
      <c r="AS274" s="299" t="s">
        <v>67</v>
      </c>
      <c r="AT274" s="299" t="s">
        <v>67</v>
      </c>
      <c r="AU274" s="297" t="s">
        <v>3827</v>
      </c>
      <c r="AV274" s="297"/>
      <c r="AW274" s="297" t="s">
        <v>69</v>
      </c>
      <c r="AX274" s="297" t="s">
        <v>7826</v>
      </c>
      <c r="AY274" s="299">
        <v>42641</v>
      </c>
      <c r="AZ274" s="297" t="s">
        <v>67</v>
      </c>
      <c r="BA274" s="299" t="s">
        <v>67</v>
      </c>
      <c r="BB274" s="382">
        <v>42649</v>
      </c>
      <c r="BC274" s="297" t="s">
        <v>3829</v>
      </c>
      <c r="BD274" s="297" t="s">
        <v>6447</v>
      </c>
      <c r="BE274" s="297"/>
      <c r="BF274" s="301"/>
      <c r="BG274" s="301" t="s">
        <v>67</v>
      </c>
      <c r="BH274" s="301" t="s">
        <v>4110</v>
      </c>
      <c r="BI274" s="301" t="s">
        <v>536</v>
      </c>
      <c r="BJ274" s="312">
        <v>552129</v>
      </c>
      <c r="BK274" s="312">
        <v>552129</v>
      </c>
      <c r="BL274" s="313">
        <v>5630317</v>
      </c>
      <c r="BM274" s="299">
        <v>42752</v>
      </c>
      <c r="BN274" s="314">
        <v>42736</v>
      </c>
      <c r="BO274" s="434" t="s">
        <v>4111</v>
      </c>
      <c r="BP274" s="397"/>
      <c r="BQ274" s="398"/>
      <c r="BR274" s="320"/>
      <c r="BS274" s="301"/>
      <c r="BT274" s="301"/>
      <c r="BU274" s="301"/>
      <c r="BV274" s="301"/>
      <c r="BW274" s="316"/>
      <c r="BX274" s="304"/>
      <c r="BY274" s="299"/>
      <c r="BZ274" s="317"/>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c r="IY274" s="1"/>
      <c r="IZ274" s="1"/>
      <c r="JA274" s="1"/>
      <c r="JB274" s="1"/>
      <c r="JC274" s="1"/>
      <c r="JD274" s="1"/>
      <c r="JE274" s="1"/>
      <c r="JF274" s="1"/>
      <c r="JG274" s="1"/>
      <c r="JH274" s="1"/>
      <c r="JI274" s="1"/>
      <c r="JJ274" s="1"/>
      <c r="JK274" s="1"/>
      <c r="JL274" s="1"/>
      <c r="JM274" s="1"/>
      <c r="JN274" s="1"/>
      <c r="JO274" s="1"/>
      <c r="JP274" s="1"/>
      <c r="JQ274" s="1"/>
      <c r="JR274" s="1"/>
      <c r="JS274" s="1"/>
      <c r="JT274" s="1"/>
      <c r="JU274" s="1"/>
      <c r="JV274" s="1"/>
      <c r="JW274" s="1"/>
      <c r="JX274" s="1"/>
      <c r="JY274" s="1"/>
      <c r="JZ274" s="1"/>
      <c r="KA274" s="1"/>
      <c r="KB274" s="1"/>
      <c r="KC274" s="1"/>
      <c r="KD274" s="1"/>
      <c r="KE274" s="1"/>
      <c r="KF274" s="1"/>
      <c r="KG274" s="1"/>
      <c r="KH274" s="1"/>
      <c r="KI274" s="1"/>
      <c r="KJ274" s="1"/>
      <c r="KK274" s="1"/>
      <c r="KL274" s="1"/>
      <c r="KM274" s="1"/>
      <c r="KN274" s="1"/>
      <c r="KO274" s="1"/>
      <c r="KP274" s="1"/>
      <c r="KQ274" s="1"/>
      <c r="KR274" s="1"/>
      <c r="KS274" s="1"/>
      <c r="KT274" s="1"/>
      <c r="KU274" s="1"/>
      <c r="KV274" s="1"/>
      <c r="KW274" s="1"/>
      <c r="KX274" s="1"/>
      <c r="KY274" s="1"/>
      <c r="KZ274" s="1"/>
      <c r="LA274" s="1"/>
      <c r="LB274" s="1"/>
      <c r="LC274" s="1"/>
      <c r="LD274" s="1"/>
      <c r="LE274" s="1"/>
      <c r="LF274" s="1"/>
      <c r="LG274" s="1"/>
      <c r="LH274" s="1"/>
      <c r="LI274" s="1"/>
      <c r="LJ274" s="1"/>
      <c r="LK274" s="1"/>
      <c r="LL274" s="1"/>
      <c r="LM274" s="1"/>
      <c r="LN274" s="1"/>
      <c r="LO274" s="1"/>
      <c r="LP274" s="1"/>
      <c r="LQ274" s="1"/>
      <c r="LR274" s="1"/>
      <c r="LS274" s="1"/>
      <c r="LT274" s="1"/>
      <c r="LU274" s="1"/>
      <c r="LV274" s="1"/>
      <c r="LW274" s="1"/>
      <c r="LX274" s="1"/>
      <c r="LY274" s="1"/>
      <c r="LZ274" s="1"/>
      <c r="MA274" s="1"/>
      <c r="MB274" s="1"/>
      <c r="MC274" s="1"/>
      <c r="MD274" s="1"/>
      <c r="ME274" s="1"/>
      <c r="MF274" s="1"/>
      <c r="MG274" s="1"/>
      <c r="MH274" s="1"/>
      <c r="MI274" s="1"/>
      <c r="MJ274" s="1"/>
      <c r="MK274" s="1"/>
      <c r="ML274" s="1"/>
      <c r="MM274" s="1"/>
      <c r="MN274" s="1"/>
      <c r="MO274" s="1"/>
      <c r="MP274" s="1"/>
      <c r="MQ274" s="1"/>
      <c r="MR274" s="1"/>
      <c r="MS274" s="1"/>
      <c r="MT274" s="1"/>
      <c r="MU274" s="1"/>
      <c r="MV274" s="1"/>
      <c r="MW274" s="1"/>
      <c r="MX274" s="1"/>
      <c r="MY274" s="1"/>
      <c r="MZ274" s="1"/>
      <c r="NA274" s="1"/>
      <c r="NB274" s="1"/>
      <c r="NC274" s="1"/>
      <c r="ND274" s="1"/>
      <c r="NE274" s="1"/>
      <c r="NF274" s="1"/>
      <c r="NG274" s="1"/>
      <c r="NH274" s="1"/>
      <c r="NI274" s="1"/>
      <c r="NJ274" s="1"/>
      <c r="NK274" s="1"/>
      <c r="NL274" s="1"/>
      <c r="NM274" s="1"/>
      <c r="NN274" s="1"/>
      <c r="NO274" s="1"/>
      <c r="NP274" s="1"/>
      <c r="NQ274" s="1"/>
      <c r="NR274" s="1"/>
      <c r="NS274" s="1"/>
      <c r="NT274" s="1"/>
      <c r="NU274" s="1"/>
      <c r="NV274" s="1"/>
      <c r="NW274" s="1"/>
      <c r="NX274" s="1"/>
      <c r="NY274" s="1"/>
      <c r="NZ274" s="1"/>
      <c r="OA274" s="1"/>
      <c r="OB274" s="1"/>
      <c r="OC274" s="1"/>
      <c r="OD274" s="1"/>
      <c r="OE274" s="1"/>
      <c r="OF274" s="1"/>
      <c r="OG274" s="1"/>
      <c r="OH274" s="1"/>
      <c r="OI274" s="1"/>
      <c r="OJ274" s="1"/>
      <c r="OK274" s="1"/>
      <c r="OL274" s="1"/>
      <c r="OM274" s="1"/>
      <c r="ON274" s="1"/>
      <c r="OO274" s="1"/>
      <c r="OP274" s="1"/>
      <c r="OQ274" s="1"/>
      <c r="OR274" s="1"/>
      <c r="OS274" s="1"/>
      <c r="OT274" s="1"/>
      <c r="OU274" s="1"/>
      <c r="OV274" s="1"/>
      <c r="OW274" s="1"/>
      <c r="OX274" s="1"/>
      <c r="OY274" s="1"/>
      <c r="OZ274" s="1"/>
      <c r="PA274" s="1"/>
      <c r="PB274" s="1"/>
      <c r="PC274" s="1"/>
      <c r="PD274" s="1"/>
      <c r="PE274" s="1"/>
      <c r="PF274" s="1"/>
      <c r="PG274" s="1"/>
      <c r="PH274" s="1"/>
      <c r="PI274" s="1"/>
      <c r="PJ274" s="1"/>
      <c r="PK274" s="1"/>
      <c r="PL274" s="1"/>
      <c r="PM274" s="1"/>
      <c r="PN274" s="1"/>
      <c r="PO274" s="1"/>
      <c r="PP274" s="1"/>
      <c r="PQ274" s="1"/>
      <c r="PR274" s="1"/>
      <c r="PS274" s="1"/>
      <c r="PT274" s="1"/>
      <c r="PU274" s="1"/>
      <c r="PV274" s="1"/>
      <c r="PW274" s="1"/>
      <c r="PX274" s="1"/>
      <c r="PY274" s="1"/>
      <c r="PZ274" s="1"/>
      <c r="QA274" s="1"/>
      <c r="QB274" s="1"/>
      <c r="QC274" s="1"/>
      <c r="QD274" s="1"/>
      <c r="QE274" s="1"/>
      <c r="QF274" s="1"/>
      <c r="QG274" s="1"/>
      <c r="QH274" s="1"/>
      <c r="QI274" s="1"/>
      <c r="QJ274" s="1"/>
      <c r="QK274" s="1"/>
      <c r="QL274" s="1"/>
      <c r="QM274" s="1"/>
      <c r="QN274" s="1"/>
      <c r="QO274" s="1"/>
      <c r="QP274" s="1"/>
      <c r="QQ274" s="1"/>
      <c r="QR274" s="1"/>
      <c r="QS274" s="1"/>
      <c r="QT274" s="1"/>
      <c r="QU274" s="1"/>
      <c r="QV274" s="1"/>
      <c r="QW274" s="1"/>
      <c r="QX274" s="1"/>
      <c r="QY274" s="1"/>
      <c r="QZ274" s="1"/>
      <c r="RA274" s="1"/>
      <c r="RB274" s="1"/>
      <c r="RC274" s="1"/>
      <c r="RD274" s="1"/>
      <c r="RE274" s="1"/>
      <c r="RF274" s="1"/>
      <c r="RG274" s="1"/>
      <c r="RH274" s="1"/>
      <c r="RI274" s="1"/>
      <c r="RJ274" s="1"/>
      <c r="RK274" s="1"/>
      <c r="RL274" s="1"/>
      <c r="RM274" s="1"/>
      <c r="RN274" s="1"/>
      <c r="RO274" s="1"/>
      <c r="RP274" s="1"/>
      <c r="RQ274" s="1"/>
      <c r="RR274" s="1"/>
      <c r="RS274" s="1"/>
      <c r="RT274" s="1"/>
      <c r="RU274" s="1"/>
      <c r="RV274" s="1"/>
      <c r="RW274" s="1"/>
      <c r="RX274" s="1"/>
      <c r="RY274" s="1"/>
      <c r="RZ274" s="1"/>
      <c r="SA274" s="1"/>
      <c r="SB274" s="1"/>
      <c r="SC274" s="1"/>
      <c r="SD274" s="1"/>
      <c r="SE274" s="1"/>
      <c r="SF274" s="1"/>
      <c r="SG274" s="1"/>
      <c r="SH274" s="1"/>
      <c r="SI274" s="1"/>
      <c r="SJ274" s="1"/>
      <c r="SK274" s="1"/>
      <c r="SL274" s="1"/>
      <c r="SM274" s="1"/>
      <c r="SN274" s="1"/>
      <c r="SO274" s="1"/>
      <c r="SP274" s="1"/>
      <c r="SQ274" s="1"/>
      <c r="SR274" s="1"/>
      <c r="SS274" s="1"/>
      <c r="ST274" s="1"/>
      <c r="SU274" s="1"/>
      <c r="SV274" s="1"/>
      <c r="SW274" s="1"/>
      <c r="SX274" s="1"/>
      <c r="SY274" s="1"/>
      <c r="SZ274" s="1"/>
      <c r="TA274" s="1"/>
      <c r="TB274" s="1"/>
      <c r="TC274" s="1"/>
      <c r="TD274" s="1"/>
      <c r="TE274" s="1"/>
      <c r="TF274" s="1"/>
      <c r="TG274" s="1"/>
      <c r="TH274" s="1"/>
      <c r="TI274" s="1"/>
      <c r="TJ274" s="1"/>
      <c r="TK274" s="1"/>
      <c r="TL274" s="1"/>
      <c r="TM274" s="1"/>
      <c r="TN274" s="1"/>
      <c r="TO274" s="1"/>
      <c r="TP274" s="1"/>
      <c r="TQ274" s="1"/>
      <c r="TR274" s="1"/>
      <c r="TS274" s="1"/>
      <c r="TT274" s="1"/>
      <c r="TU274" s="1"/>
      <c r="TV274" s="1"/>
      <c r="TW274" s="1"/>
      <c r="TX274" s="1"/>
      <c r="TY274" s="1"/>
      <c r="TZ274" s="1"/>
      <c r="UA274" s="1"/>
      <c r="UB274" s="1"/>
      <c r="UC274" s="1"/>
      <c r="UD274" s="1"/>
      <c r="UE274" s="1"/>
      <c r="UF274" s="1"/>
      <c r="UG274" s="1"/>
      <c r="UH274" s="1"/>
      <c r="UI274" s="1"/>
    </row>
    <row r="275" spans="1:555" s="509" customFormat="1" ht="54">
      <c r="A275" s="296">
        <v>374</v>
      </c>
      <c r="B275" s="297" t="s">
        <v>7635</v>
      </c>
      <c r="C275" s="298">
        <v>3276504</v>
      </c>
      <c r="D275" s="354" t="s">
        <v>67</v>
      </c>
      <c r="E275" s="299">
        <v>42720</v>
      </c>
      <c r="F275" s="300">
        <v>42705</v>
      </c>
      <c r="G275" s="301" t="s">
        <v>4094</v>
      </c>
      <c r="H275" s="297"/>
      <c r="I275" s="297"/>
      <c r="J275" s="299">
        <v>42723</v>
      </c>
      <c r="K275" s="300">
        <v>42705</v>
      </c>
      <c r="L275" s="301" t="s">
        <v>4112</v>
      </c>
      <c r="M275" s="297" t="s">
        <v>171</v>
      </c>
      <c r="N275" s="297" t="s">
        <v>4113</v>
      </c>
      <c r="O275" s="299">
        <v>42724</v>
      </c>
      <c r="P275" s="302">
        <v>42705</v>
      </c>
      <c r="Q275" s="301" t="s">
        <v>4114</v>
      </c>
      <c r="R275" s="297" t="s">
        <v>171</v>
      </c>
      <c r="S275" s="297" t="s">
        <v>4113</v>
      </c>
      <c r="T275" s="299"/>
      <c r="U275" s="300"/>
      <c r="V275" s="301"/>
      <c r="W275" s="297"/>
      <c r="X275" s="297"/>
      <c r="Y275" s="299"/>
      <c r="Z275" s="300"/>
      <c r="AA275" s="301"/>
      <c r="AB275" s="297"/>
      <c r="AC275" s="297"/>
      <c r="AD275" s="299"/>
      <c r="AE275" s="300"/>
      <c r="AF275" s="301"/>
      <c r="AG275" s="297"/>
      <c r="AH275" s="297"/>
      <c r="AI275" s="322"/>
      <c r="AJ275" s="300"/>
      <c r="AK275" s="301"/>
      <c r="AL275" s="297"/>
      <c r="AM275" s="297"/>
      <c r="AN275" s="325"/>
      <c r="AO275" s="475"/>
      <c r="AP275" s="325"/>
      <c r="AQ275" s="301" t="s">
        <v>7636</v>
      </c>
      <c r="AR275" s="297" t="s">
        <v>66</v>
      </c>
      <c r="AS275" s="299" t="s">
        <v>67</v>
      </c>
      <c r="AT275" s="299" t="s">
        <v>67</v>
      </c>
      <c r="AU275" s="297" t="s">
        <v>3827</v>
      </c>
      <c r="AV275" s="297"/>
      <c r="AW275" s="297" t="s">
        <v>69</v>
      </c>
      <c r="AX275" s="297" t="s">
        <v>4115</v>
      </c>
      <c r="AY275" s="299">
        <v>42705</v>
      </c>
      <c r="AZ275" s="297" t="s">
        <v>67</v>
      </c>
      <c r="BA275" s="299" t="s">
        <v>67</v>
      </c>
      <c r="BB275" s="382">
        <v>42711</v>
      </c>
      <c r="BC275" s="297" t="s">
        <v>3829</v>
      </c>
      <c r="BD275" s="297" t="s">
        <v>6447</v>
      </c>
      <c r="BE275" s="297"/>
      <c r="BF275" s="301"/>
      <c r="BG275" s="301" t="s">
        <v>67</v>
      </c>
      <c r="BH275" s="301" t="s">
        <v>4116</v>
      </c>
      <c r="BI275" s="301" t="s">
        <v>536</v>
      </c>
      <c r="BJ275" s="312">
        <v>2668165</v>
      </c>
      <c r="BK275" s="312">
        <v>2668165</v>
      </c>
      <c r="BL275" s="313">
        <v>5672917</v>
      </c>
      <c r="BM275" s="299">
        <v>42752</v>
      </c>
      <c r="BN275" s="314">
        <v>42736</v>
      </c>
      <c r="BO275" s="434" t="s">
        <v>4117</v>
      </c>
      <c r="BP275" s="397"/>
      <c r="BQ275" s="398"/>
      <c r="BR275" s="320"/>
      <c r="BS275" s="301"/>
      <c r="BT275" s="301"/>
      <c r="BU275" s="301"/>
      <c r="BV275" s="301"/>
      <c r="BW275" s="316"/>
      <c r="BX275" s="304"/>
      <c r="BY275" s="299"/>
      <c r="BZ275" s="317"/>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c r="IY275" s="1"/>
      <c r="IZ275" s="1"/>
      <c r="JA275" s="1"/>
      <c r="JB275" s="1"/>
      <c r="JC275" s="1"/>
      <c r="JD275" s="1"/>
      <c r="JE275" s="1"/>
      <c r="JF275" s="1"/>
      <c r="JG275" s="1"/>
      <c r="JH275" s="1"/>
      <c r="JI275" s="1"/>
      <c r="JJ275" s="1"/>
      <c r="JK275" s="1"/>
      <c r="JL275" s="1"/>
      <c r="JM275" s="1"/>
      <c r="JN275" s="1"/>
      <c r="JO275" s="1"/>
      <c r="JP275" s="1"/>
      <c r="JQ275" s="1"/>
      <c r="JR275" s="1"/>
      <c r="JS275" s="1"/>
      <c r="JT275" s="1"/>
      <c r="JU275" s="1"/>
      <c r="JV275" s="1"/>
      <c r="JW275" s="1"/>
      <c r="JX275" s="1"/>
      <c r="JY275" s="1"/>
      <c r="JZ275" s="1"/>
      <c r="KA275" s="1"/>
      <c r="KB275" s="1"/>
      <c r="KC275" s="1"/>
      <c r="KD275" s="1"/>
      <c r="KE275" s="1"/>
      <c r="KF275" s="1"/>
      <c r="KG275" s="1"/>
      <c r="KH275" s="1"/>
      <c r="KI275" s="1"/>
      <c r="KJ275" s="1"/>
      <c r="KK275" s="1"/>
      <c r="KL275" s="1"/>
      <c r="KM275" s="1"/>
      <c r="KN275" s="1"/>
      <c r="KO275" s="1"/>
      <c r="KP275" s="1"/>
      <c r="KQ275" s="1"/>
      <c r="KR275" s="1"/>
      <c r="KS275" s="1"/>
      <c r="KT275" s="1"/>
      <c r="KU275" s="1"/>
      <c r="KV275" s="1"/>
      <c r="KW275" s="1"/>
      <c r="KX275" s="1"/>
      <c r="KY275" s="1"/>
      <c r="KZ275" s="1"/>
      <c r="LA275" s="1"/>
      <c r="LB275" s="1"/>
      <c r="LC275" s="1"/>
      <c r="LD275" s="1"/>
      <c r="LE275" s="1"/>
      <c r="LF275" s="1"/>
      <c r="LG275" s="1"/>
      <c r="LH275" s="1"/>
      <c r="LI275" s="1"/>
      <c r="LJ275" s="1"/>
      <c r="LK275" s="1"/>
      <c r="LL275" s="1"/>
      <c r="LM275" s="1"/>
      <c r="LN275" s="1"/>
      <c r="LO275" s="1"/>
      <c r="LP275" s="1"/>
      <c r="LQ275" s="1"/>
      <c r="LR275" s="1"/>
      <c r="LS275" s="1"/>
      <c r="LT275" s="1"/>
      <c r="LU275" s="1"/>
      <c r="LV275" s="1"/>
      <c r="LW275" s="1"/>
      <c r="LX275" s="1"/>
      <c r="LY275" s="1"/>
      <c r="LZ275" s="1"/>
      <c r="MA275" s="1"/>
      <c r="MB275" s="1"/>
      <c r="MC275" s="1"/>
      <c r="MD275" s="1"/>
      <c r="ME275" s="1"/>
      <c r="MF275" s="1"/>
      <c r="MG275" s="1"/>
      <c r="MH275" s="1"/>
      <c r="MI275" s="1"/>
      <c r="MJ275" s="1"/>
      <c r="MK275" s="1"/>
      <c r="ML275" s="1"/>
      <c r="MM275" s="1"/>
      <c r="MN275" s="1"/>
      <c r="MO275" s="1"/>
      <c r="MP275" s="1"/>
      <c r="MQ275" s="1"/>
      <c r="MR275" s="1"/>
      <c r="MS275" s="1"/>
      <c r="MT275" s="1"/>
      <c r="MU275" s="1"/>
      <c r="MV275" s="1"/>
      <c r="MW275" s="1"/>
      <c r="MX275" s="1"/>
      <c r="MY275" s="1"/>
      <c r="MZ275" s="1"/>
      <c r="NA275" s="1"/>
      <c r="NB275" s="1"/>
      <c r="NC275" s="1"/>
      <c r="ND275" s="1"/>
      <c r="NE275" s="1"/>
      <c r="NF275" s="1"/>
      <c r="NG275" s="1"/>
      <c r="NH275" s="1"/>
      <c r="NI275" s="1"/>
      <c r="NJ275" s="1"/>
      <c r="NK275" s="1"/>
      <c r="NL275" s="1"/>
      <c r="NM275" s="1"/>
      <c r="NN275" s="1"/>
      <c r="NO275" s="1"/>
      <c r="NP275" s="1"/>
      <c r="NQ275" s="1"/>
      <c r="NR275" s="1"/>
      <c r="NS275" s="1"/>
      <c r="NT275" s="1"/>
      <c r="NU275" s="1"/>
      <c r="NV275" s="1"/>
      <c r="NW275" s="1"/>
      <c r="NX275" s="1"/>
      <c r="NY275" s="1"/>
      <c r="NZ275" s="1"/>
      <c r="OA275" s="1"/>
      <c r="OB275" s="1"/>
      <c r="OC275" s="1"/>
      <c r="OD275" s="1"/>
      <c r="OE275" s="1"/>
      <c r="OF275" s="1"/>
      <c r="OG275" s="1"/>
      <c r="OH275" s="1"/>
      <c r="OI275" s="1"/>
      <c r="OJ275" s="1"/>
      <c r="OK275" s="1"/>
      <c r="OL275" s="1"/>
      <c r="OM275" s="1"/>
      <c r="ON275" s="1"/>
      <c r="OO275" s="1"/>
      <c r="OP275" s="1"/>
      <c r="OQ275" s="1"/>
      <c r="OR275" s="1"/>
      <c r="OS275" s="1"/>
      <c r="OT275" s="1"/>
      <c r="OU275" s="1"/>
      <c r="OV275" s="1"/>
      <c r="OW275" s="1"/>
      <c r="OX275" s="1"/>
      <c r="OY275" s="1"/>
      <c r="OZ275" s="1"/>
      <c r="PA275" s="1"/>
      <c r="PB275" s="1"/>
      <c r="PC275" s="1"/>
      <c r="PD275" s="1"/>
      <c r="PE275" s="1"/>
      <c r="PF275" s="1"/>
      <c r="PG275" s="1"/>
      <c r="PH275" s="1"/>
      <c r="PI275" s="1"/>
      <c r="PJ275" s="1"/>
      <c r="PK275" s="1"/>
      <c r="PL275" s="1"/>
      <c r="PM275" s="1"/>
      <c r="PN275" s="1"/>
      <c r="PO275" s="1"/>
      <c r="PP275" s="1"/>
      <c r="PQ275" s="1"/>
      <c r="PR275" s="1"/>
      <c r="PS275" s="1"/>
      <c r="PT275" s="1"/>
      <c r="PU275" s="1"/>
      <c r="PV275" s="1"/>
      <c r="PW275" s="1"/>
      <c r="PX275" s="1"/>
      <c r="PY275" s="1"/>
      <c r="PZ275" s="1"/>
      <c r="QA275" s="1"/>
      <c r="QB275" s="1"/>
      <c r="QC275" s="1"/>
      <c r="QD275" s="1"/>
      <c r="QE275" s="1"/>
      <c r="QF275" s="1"/>
      <c r="QG275" s="1"/>
      <c r="QH275" s="1"/>
      <c r="QI275" s="1"/>
      <c r="QJ275" s="1"/>
      <c r="QK275" s="1"/>
      <c r="QL275" s="1"/>
      <c r="QM275" s="1"/>
      <c r="QN275" s="1"/>
      <c r="QO275" s="1"/>
      <c r="QP275" s="1"/>
      <c r="QQ275" s="1"/>
      <c r="QR275" s="1"/>
      <c r="QS275" s="1"/>
      <c r="QT275" s="1"/>
      <c r="QU275" s="1"/>
      <c r="QV275" s="1"/>
      <c r="QW275" s="1"/>
      <c r="QX275" s="1"/>
      <c r="QY275" s="1"/>
      <c r="QZ275" s="1"/>
      <c r="RA275" s="1"/>
      <c r="RB275" s="1"/>
      <c r="RC275" s="1"/>
      <c r="RD275" s="1"/>
      <c r="RE275" s="1"/>
      <c r="RF275" s="1"/>
      <c r="RG275" s="1"/>
      <c r="RH275" s="1"/>
      <c r="RI275" s="1"/>
      <c r="RJ275" s="1"/>
      <c r="RK275" s="1"/>
      <c r="RL275" s="1"/>
      <c r="RM275" s="1"/>
      <c r="RN275" s="1"/>
      <c r="RO275" s="1"/>
      <c r="RP275" s="1"/>
      <c r="RQ275" s="1"/>
      <c r="RR275" s="1"/>
      <c r="RS275" s="1"/>
      <c r="RT275" s="1"/>
      <c r="RU275" s="1"/>
      <c r="RV275" s="1"/>
      <c r="RW275" s="1"/>
      <c r="RX275" s="1"/>
      <c r="RY275" s="1"/>
      <c r="RZ275" s="1"/>
      <c r="SA275" s="1"/>
      <c r="SB275" s="1"/>
      <c r="SC275" s="1"/>
      <c r="SD275" s="1"/>
      <c r="SE275" s="1"/>
      <c r="SF275" s="1"/>
      <c r="SG275" s="1"/>
      <c r="SH275" s="1"/>
      <c r="SI275" s="1"/>
      <c r="SJ275" s="1"/>
      <c r="SK275" s="1"/>
      <c r="SL275" s="1"/>
      <c r="SM275" s="1"/>
      <c r="SN275" s="1"/>
      <c r="SO275" s="1"/>
      <c r="SP275" s="1"/>
      <c r="SQ275" s="1"/>
      <c r="SR275" s="1"/>
      <c r="SS275" s="1"/>
      <c r="ST275" s="1"/>
      <c r="SU275" s="1"/>
      <c r="SV275" s="1"/>
      <c r="SW275" s="1"/>
      <c r="SX275" s="1"/>
      <c r="SY275" s="1"/>
      <c r="SZ275" s="1"/>
      <c r="TA275" s="1"/>
      <c r="TB275" s="1"/>
      <c r="TC275" s="1"/>
      <c r="TD275" s="1"/>
      <c r="TE275" s="1"/>
      <c r="TF275" s="1"/>
      <c r="TG275" s="1"/>
      <c r="TH275" s="1"/>
      <c r="TI275" s="1"/>
      <c r="TJ275" s="1"/>
      <c r="TK275" s="1"/>
      <c r="TL275" s="1"/>
      <c r="TM275" s="1"/>
      <c r="TN275" s="1"/>
      <c r="TO275" s="1"/>
      <c r="TP275" s="1"/>
      <c r="TQ275" s="1"/>
      <c r="TR275" s="1"/>
      <c r="TS275" s="1"/>
      <c r="TT275" s="1"/>
      <c r="TU275" s="1"/>
      <c r="TV275" s="1"/>
      <c r="TW275" s="1"/>
      <c r="TX275" s="1"/>
      <c r="TY275" s="1"/>
      <c r="TZ275" s="1"/>
      <c r="UA275" s="1"/>
      <c r="UB275" s="1"/>
      <c r="UC275" s="1"/>
      <c r="UD275" s="1"/>
      <c r="UE275" s="1"/>
      <c r="UF275" s="1"/>
      <c r="UG275" s="1"/>
      <c r="UH275" s="1"/>
      <c r="UI275" s="1"/>
    </row>
    <row r="276" spans="1:555" ht="40.5">
      <c r="A276" s="296">
        <v>375</v>
      </c>
      <c r="B276" s="297" t="s">
        <v>4118</v>
      </c>
      <c r="C276" s="298">
        <v>80393811</v>
      </c>
      <c r="D276" s="354" t="s">
        <v>67</v>
      </c>
      <c r="E276" s="299">
        <v>42720</v>
      </c>
      <c r="F276" s="300">
        <v>42705</v>
      </c>
      <c r="G276" s="301" t="s">
        <v>4094</v>
      </c>
      <c r="H276" s="297"/>
      <c r="I276" s="297"/>
      <c r="J276" s="299"/>
      <c r="K276" s="300"/>
      <c r="L276" s="301"/>
      <c r="M276" s="297"/>
      <c r="N276" s="297"/>
      <c r="O276" s="299"/>
      <c r="P276" s="302"/>
      <c r="Q276" s="301"/>
      <c r="R276" s="297"/>
      <c r="S276" s="297"/>
      <c r="T276" s="299"/>
      <c r="U276" s="300"/>
      <c r="V276" s="301"/>
      <c r="W276" s="297"/>
      <c r="X276" s="297"/>
      <c r="Y276" s="299"/>
      <c r="Z276" s="300"/>
      <c r="AA276" s="301"/>
      <c r="AB276" s="297"/>
      <c r="AC276" s="297"/>
      <c r="AD276" s="299"/>
      <c r="AE276" s="300"/>
      <c r="AF276" s="301"/>
      <c r="AG276" s="297"/>
      <c r="AH276" s="297"/>
      <c r="AI276" s="322"/>
      <c r="AJ276" s="300"/>
      <c r="AK276" s="301"/>
      <c r="AL276" s="297"/>
      <c r="AM276" s="297"/>
      <c r="AN276" s="297"/>
      <c r="AO276" s="473"/>
      <c r="AP276" s="297"/>
      <c r="AQ276" s="301" t="s">
        <v>4119</v>
      </c>
      <c r="AR276" s="297" t="s">
        <v>66</v>
      </c>
      <c r="AS276" s="299" t="s">
        <v>67</v>
      </c>
      <c r="AT276" s="299" t="s">
        <v>67</v>
      </c>
      <c r="AU276" s="297" t="s">
        <v>3827</v>
      </c>
      <c r="AV276" s="297"/>
      <c r="AW276" s="297" t="s">
        <v>69</v>
      </c>
      <c r="AX276" s="297" t="s">
        <v>3967</v>
      </c>
      <c r="AY276" s="299">
        <v>42663</v>
      </c>
      <c r="AZ276" s="297" t="s">
        <v>67</v>
      </c>
      <c r="BA276" s="299" t="s">
        <v>67</v>
      </c>
      <c r="BB276" s="382">
        <v>42671</v>
      </c>
      <c r="BC276" s="297" t="s">
        <v>3829</v>
      </c>
      <c r="BD276" s="297" t="s">
        <v>6447</v>
      </c>
      <c r="BE276" s="297"/>
      <c r="BF276" s="301"/>
      <c r="BG276" s="301" t="s">
        <v>67</v>
      </c>
      <c r="BH276" s="301" t="s">
        <v>4120</v>
      </c>
      <c r="BI276" s="301" t="s">
        <v>536</v>
      </c>
      <c r="BJ276" s="312">
        <v>1403331</v>
      </c>
      <c r="BK276" s="312">
        <v>1403331</v>
      </c>
      <c r="BL276" s="313">
        <v>5011717</v>
      </c>
      <c r="BM276" s="299">
        <v>42752</v>
      </c>
      <c r="BN276" s="314">
        <v>42736</v>
      </c>
      <c r="BO276" s="434" t="s">
        <v>4121</v>
      </c>
      <c r="BP276" s="397"/>
      <c r="BQ276" s="398"/>
      <c r="BR276" s="320"/>
      <c r="BS276" s="301"/>
      <c r="BT276" s="301"/>
      <c r="BU276" s="301"/>
      <c r="BV276" s="301"/>
      <c r="BW276" s="316"/>
      <c r="BX276" s="304"/>
      <c r="BY276" s="299"/>
      <c r="BZ276" s="317"/>
    </row>
    <row r="277" spans="1:555" s="509" customFormat="1" ht="54">
      <c r="A277" s="296">
        <v>376</v>
      </c>
      <c r="B277" s="297" t="s">
        <v>4122</v>
      </c>
      <c r="C277" s="298">
        <v>86081526</v>
      </c>
      <c r="D277" s="354" t="s">
        <v>67</v>
      </c>
      <c r="E277" s="299">
        <v>42720</v>
      </c>
      <c r="F277" s="300">
        <v>42705</v>
      </c>
      <c r="G277" s="301" t="s">
        <v>4094</v>
      </c>
      <c r="H277" s="297"/>
      <c r="I277" s="297"/>
      <c r="J277" s="299"/>
      <c r="K277" s="300"/>
      <c r="L277" s="301"/>
      <c r="M277" s="297"/>
      <c r="N277" s="297"/>
      <c r="O277" s="299"/>
      <c r="P277" s="302"/>
      <c r="Q277" s="301"/>
      <c r="R277" s="297"/>
      <c r="S277" s="297"/>
      <c r="T277" s="299"/>
      <c r="U277" s="300"/>
      <c r="V277" s="301"/>
      <c r="W277" s="297"/>
      <c r="X277" s="297"/>
      <c r="Y277" s="299"/>
      <c r="Z277" s="300"/>
      <c r="AA277" s="301"/>
      <c r="AB277" s="297"/>
      <c r="AC277" s="297"/>
      <c r="AD277" s="299"/>
      <c r="AE277" s="300"/>
      <c r="AF277" s="301"/>
      <c r="AG277" s="297"/>
      <c r="AH277" s="297"/>
      <c r="AI277" s="322"/>
      <c r="AJ277" s="300"/>
      <c r="AK277" s="301"/>
      <c r="AL277" s="297"/>
      <c r="AM277" s="297"/>
      <c r="AN277" s="297"/>
      <c r="AO277" s="473"/>
      <c r="AP277" s="297"/>
      <c r="AQ277" s="301" t="s">
        <v>7666</v>
      </c>
      <c r="AR277" s="297" t="s">
        <v>66</v>
      </c>
      <c r="AS277" s="299" t="s">
        <v>67</v>
      </c>
      <c r="AT277" s="299" t="s">
        <v>67</v>
      </c>
      <c r="AU277" s="297" t="s">
        <v>3827</v>
      </c>
      <c r="AV277" s="297"/>
      <c r="AW277" s="297" t="s">
        <v>69</v>
      </c>
      <c r="AX277" s="297" t="s">
        <v>7613</v>
      </c>
      <c r="AY277" s="299">
        <v>42697</v>
      </c>
      <c r="AZ277" s="297" t="s">
        <v>67</v>
      </c>
      <c r="BA277" s="299" t="s">
        <v>67</v>
      </c>
      <c r="BB277" s="382">
        <v>42704</v>
      </c>
      <c r="BC277" s="297" t="s">
        <v>3829</v>
      </c>
      <c r="BD277" s="297" t="s">
        <v>6447</v>
      </c>
      <c r="BE277" s="297"/>
      <c r="BF277" s="301"/>
      <c r="BG277" s="301" t="s">
        <v>67</v>
      </c>
      <c r="BH277" s="301" t="s">
        <v>4123</v>
      </c>
      <c r="BI277" s="301" t="s">
        <v>536</v>
      </c>
      <c r="BJ277" s="312">
        <v>860265</v>
      </c>
      <c r="BK277" s="312">
        <v>860265</v>
      </c>
      <c r="BL277" s="313">
        <v>5679017</v>
      </c>
      <c r="BM277" s="299">
        <v>42752</v>
      </c>
      <c r="BN277" s="314">
        <v>42736</v>
      </c>
      <c r="BO277" s="460"/>
      <c r="BP277" s="390"/>
      <c r="BQ277" s="297"/>
      <c r="BR277" s="303"/>
      <c r="BS277" s="301"/>
      <c r="BT277" s="301"/>
      <c r="BU277" s="301"/>
      <c r="BV277" s="301"/>
      <c r="BW277" s="316"/>
      <c r="BX277" s="304"/>
      <c r="BY277" s="299"/>
      <c r="BZ277" s="317"/>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c r="IY277" s="1"/>
      <c r="IZ277" s="1"/>
      <c r="JA277" s="1"/>
      <c r="JB277" s="1"/>
      <c r="JC277" s="1"/>
      <c r="JD277" s="1"/>
      <c r="JE277" s="1"/>
      <c r="JF277" s="1"/>
      <c r="JG277" s="1"/>
      <c r="JH277" s="1"/>
      <c r="JI277" s="1"/>
      <c r="JJ277" s="1"/>
      <c r="JK277" s="1"/>
      <c r="JL277" s="1"/>
      <c r="JM277" s="1"/>
      <c r="JN277" s="1"/>
      <c r="JO277" s="1"/>
      <c r="JP277" s="1"/>
      <c r="JQ277" s="1"/>
      <c r="JR277" s="1"/>
      <c r="JS277" s="1"/>
      <c r="JT277" s="1"/>
      <c r="JU277" s="1"/>
      <c r="JV277" s="1"/>
      <c r="JW277" s="1"/>
      <c r="JX277" s="1"/>
      <c r="JY277" s="1"/>
      <c r="JZ277" s="1"/>
      <c r="KA277" s="1"/>
      <c r="KB277" s="1"/>
      <c r="KC277" s="1"/>
      <c r="KD277" s="1"/>
      <c r="KE277" s="1"/>
      <c r="KF277" s="1"/>
      <c r="KG277" s="1"/>
      <c r="KH277" s="1"/>
      <c r="KI277" s="1"/>
      <c r="KJ277" s="1"/>
      <c r="KK277" s="1"/>
      <c r="KL277" s="1"/>
      <c r="KM277" s="1"/>
      <c r="KN277" s="1"/>
      <c r="KO277" s="1"/>
      <c r="KP277" s="1"/>
      <c r="KQ277" s="1"/>
      <c r="KR277" s="1"/>
      <c r="KS277" s="1"/>
      <c r="KT277" s="1"/>
      <c r="KU277" s="1"/>
      <c r="KV277" s="1"/>
      <c r="KW277" s="1"/>
      <c r="KX277" s="1"/>
      <c r="KY277" s="1"/>
      <c r="KZ277" s="1"/>
      <c r="LA277" s="1"/>
      <c r="LB277" s="1"/>
      <c r="LC277" s="1"/>
      <c r="LD277" s="1"/>
      <c r="LE277" s="1"/>
      <c r="LF277" s="1"/>
      <c r="LG277" s="1"/>
      <c r="LH277" s="1"/>
      <c r="LI277" s="1"/>
      <c r="LJ277" s="1"/>
      <c r="LK277" s="1"/>
      <c r="LL277" s="1"/>
      <c r="LM277" s="1"/>
      <c r="LN277" s="1"/>
      <c r="LO277" s="1"/>
      <c r="LP277" s="1"/>
      <c r="LQ277" s="1"/>
      <c r="LR277" s="1"/>
      <c r="LS277" s="1"/>
      <c r="LT277" s="1"/>
      <c r="LU277" s="1"/>
      <c r="LV277" s="1"/>
      <c r="LW277" s="1"/>
      <c r="LX277" s="1"/>
      <c r="LY277" s="1"/>
      <c r="LZ277" s="1"/>
      <c r="MA277" s="1"/>
      <c r="MB277" s="1"/>
      <c r="MC277" s="1"/>
      <c r="MD277" s="1"/>
      <c r="ME277" s="1"/>
      <c r="MF277" s="1"/>
      <c r="MG277" s="1"/>
      <c r="MH277" s="1"/>
      <c r="MI277" s="1"/>
      <c r="MJ277" s="1"/>
      <c r="MK277" s="1"/>
      <c r="ML277" s="1"/>
      <c r="MM277" s="1"/>
      <c r="MN277" s="1"/>
      <c r="MO277" s="1"/>
      <c r="MP277" s="1"/>
      <c r="MQ277" s="1"/>
      <c r="MR277" s="1"/>
      <c r="MS277" s="1"/>
      <c r="MT277" s="1"/>
      <c r="MU277" s="1"/>
      <c r="MV277" s="1"/>
      <c r="MW277" s="1"/>
      <c r="MX277" s="1"/>
      <c r="MY277" s="1"/>
      <c r="MZ277" s="1"/>
      <c r="NA277" s="1"/>
      <c r="NB277" s="1"/>
      <c r="NC277" s="1"/>
      <c r="ND277" s="1"/>
      <c r="NE277" s="1"/>
      <c r="NF277" s="1"/>
      <c r="NG277" s="1"/>
      <c r="NH277" s="1"/>
      <c r="NI277" s="1"/>
      <c r="NJ277" s="1"/>
      <c r="NK277" s="1"/>
      <c r="NL277" s="1"/>
      <c r="NM277" s="1"/>
      <c r="NN277" s="1"/>
      <c r="NO277" s="1"/>
      <c r="NP277" s="1"/>
      <c r="NQ277" s="1"/>
      <c r="NR277" s="1"/>
      <c r="NS277" s="1"/>
      <c r="NT277" s="1"/>
      <c r="NU277" s="1"/>
      <c r="NV277" s="1"/>
      <c r="NW277" s="1"/>
      <c r="NX277" s="1"/>
      <c r="NY277" s="1"/>
      <c r="NZ277" s="1"/>
      <c r="OA277" s="1"/>
      <c r="OB277" s="1"/>
      <c r="OC277" s="1"/>
      <c r="OD277" s="1"/>
      <c r="OE277" s="1"/>
      <c r="OF277" s="1"/>
      <c r="OG277" s="1"/>
      <c r="OH277" s="1"/>
      <c r="OI277" s="1"/>
      <c r="OJ277" s="1"/>
      <c r="OK277" s="1"/>
      <c r="OL277" s="1"/>
      <c r="OM277" s="1"/>
      <c r="ON277" s="1"/>
      <c r="OO277" s="1"/>
      <c r="OP277" s="1"/>
      <c r="OQ277" s="1"/>
      <c r="OR277" s="1"/>
      <c r="OS277" s="1"/>
      <c r="OT277" s="1"/>
      <c r="OU277" s="1"/>
      <c r="OV277" s="1"/>
      <c r="OW277" s="1"/>
      <c r="OX277" s="1"/>
      <c r="OY277" s="1"/>
      <c r="OZ277" s="1"/>
      <c r="PA277" s="1"/>
      <c r="PB277" s="1"/>
      <c r="PC277" s="1"/>
      <c r="PD277" s="1"/>
      <c r="PE277" s="1"/>
      <c r="PF277" s="1"/>
      <c r="PG277" s="1"/>
      <c r="PH277" s="1"/>
      <c r="PI277" s="1"/>
      <c r="PJ277" s="1"/>
      <c r="PK277" s="1"/>
      <c r="PL277" s="1"/>
      <c r="PM277" s="1"/>
      <c r="PN277" s="1"/>
      <c r="PO277" s="1"/>
      <c r="PP277" s="1"/>
      <c r="PQ277" s="1"/>
      <c r="PR277" s="1"/>
      <c r="PS277" s="1"/>
      <c r="PT277" s="1"/>
      <c r="PU277" s="1"/>
      <c r="PV277" s="1"/>
      <c r="PW277" s="1"/>
      <c r="PX277" s="1"/>
      <c r="PY277" s="1"/>
      <c r="PZ277" s="1"/>
      <c r="QA277" s="1"/>
      <c r="QB277" s="1"/>
      <c r="QC277" s="1"/>
      <c r="QD277" s="1"/>
      <c r="QE277" s="1"/>
      <c r="QF277" s="1"/>
      <c r="QG277" s="1"/>
      <c r="QH277" s="1"/>
      <c r="QI277" s="1"/>
      <c r="QJ277" s="1"/>
      <c r="QK277" s="1"/>
      <c r="QL277" s="1"/>
      <c r="QM277" s="1"/>
      <c r="QN277" s="1"/>
      <c r="QO277" s="1"/>
      <c r="QP277" s="1"/>
      <c r="QQ277" s="1"/>
      <c r="QR277" s="1"/>
      <c r="QS277" s="1"/>
      <c r="QT277" s="1"/>
      <c r="QU277" s="1"/>
      <c r="QV277" s="1"/>
      <c r="QW277" s="1"/>
      <c r="QX277" s="1"/>
      <c r="QY277" s="1"/>
      <c r="QZ277" s="1"/>
      <c r="RA277" s="1"/>
      <c r="RB277" s="1"/>
      <c r="RC277" s="1"/>
      <c r="RD277" s="1"/>
      <c r="RE277" s="1"/>
      <c r="RF277" s="1"/>
      <c r="RG277" s="1"/>
      <c r="RH277" s="1"/>
      <c r="RI277" s="1"/>
      <c r="RJ277" s="1"/>
      <c r="RK277" s="1"/>
      <c r="RL277" s="1"/>
      <c r="RM277" s="1"/>
      <c r="RN277" s="1"/>
      <c r="RO277" s="1"/>
      <c r="RP277" s="1"/>
      <c r="RQ277" s="1"/>
      <c r="RR277" s="1"/>
      <c r="RS277" s="1"/>
      <c r="RT277" s="1"/>
      <c r="RU277" s="1"/>
      <c r="RV277" s="1"/>
      <c r="RW277" s="1"/>
      <c r="RX277" s="1"/>
      <c r="RY277" s="1"/>
      <c r="RZ277" s="1"/>
      <c r="SA277" s="1"/>
      <c r="SB277" s="1"/>
      <c r="SC277" s="1"/>
      <c r="SD277" s="1"/>
      <c r="SE277" s="1"/>
      <c r="SF277" s="1"/>
      <c r="SG277" s="1"/>
      <c r="SH277" s="1"/>
      <c r="SI277" s="1"/>
      <c r="SJ277" s="1"/>
      <c r="SK277" s="1"/>
      <c r="SL277" s="1"/>
      <c r="SM277" s="1"/>
      <c r="SN277" s="1"/>
      <c r="SO277" s="1"/>
      <c r="SP277" s="1"/>
      <c r="SQ277" s="1"/>
      <c r="SR277" s="1"/>
      <c r="SS277" s="1"/>
      <c r="ST277" s="1"/>
      <c r="SU277" s="1"/>
      <c r="SV277" s="1"/>
      <c r="SW277" s="1"/>
      <c r="SX277" s="1"/>
      <c r="SY277" s="1"/>
      <c r="SZ277" s="1"/>
      <c r="TA277" s="1"/>
      <c r="TB277" s="1"/>
      <c r="TC277" s="1"/>
      <c r="TD277" s="1"/>
      <c r="TE277" s="1"/>
      <c r="TF277" s="1"/>
      <c r="TG277" s="1"/>
      <c r="TH277" s="1"/>
      <c r="TI277" s="1"/>
      <c r="TJ277" s="1"/>
      <c r="TK277" s="1"/>
      <c r="TL277" s="1"/>
      <c r="TM277" s="1"/>
      <c r="TN277" s="1"/>
      <c r="TO277" s="1"/>
      <c r="TP277" s="1"/>
      <c r="TQ277" s="1"/>
      <c r="TR277" s="1"/>
      <c r="TS277" s="1"/>
      <c r="TT277" s="1"/>
      <c r="TU277" s="1"/>
      <c r="TV277" s="1"/>
      <c r="TW277" s="1"/>
      <c r="TX277" s="1"/>
      <c r="TY277" s="1"/>
      <c r="TZ277" s="1"/>
      <c r="UA277" s="1"/>
      <c r="UB277" s="1"/>
      <c r="UC277" s="1"/>
      <c r="UD277" s="1"/>
      <c r="UE277" s="1"/>
      <c r="UF277" s="1"/>
      <c r="UG277" s="1"/>
      <c r="UH277" s="1"/>
      <c r="UI277" s="1"/>
    </row>
    <row r="278" spans="1:555" ht="54">
      <c r="A278" s="296">
        <v>377</v>
      </c>
      <c r="B278" s="297" t="s">
        <v>4124</v>
      </c>
      <c r="C278" s="298">
        <v>71251285</v>
      </c>
      <c r="D278" s="354" t="s">
        <v>67</v>
      </c>
      <c r="E278" s="299">
        <v>42720</v>
      </c>
      <c r="F278" s="300">
        <v>42705</v>
      </c>
      <c r="G278" s="301" t="s">
        <v>4094</v>
      </c>
      <c r="H278" s="297"/>
      <c r="I278" s="297"/>
      <c r="J278" s="299"/>
      <c r="K278" s="300"/>
      <c r="L278" s="301"/>
      <c r="M278" s="297"/>
      <c r="N278" s="297"/>
      <c r="O278" s="299"/>
      <c r="P278" s="302"/>
      <c r="Q278" s="301"/>
      <c r="R278" s="297"/>
      <c r="S278" s="297"/>
      <c r="T278" s="299"/>
      <c r="U278" s="300"/>
      <c r="V278" s="301"/>
      <c r="W278" s="297"/>
      <c r="X278" s="297"/>
      <c r="Y278" s="299"/>
      <c r="Z278" s="300"/>
      <c r="AA278" s="301"/>
      <c r="AB278" s="297"/>
      <c r="AC278" s="297"/>
      <c r="AD278" s="299"/>
      <c r="AE278" s="300"/>
      <c r="AF278" s="301"/>
      <c r="AG278" s="297"/>
      <c r="AH278" s="297"/>
      <c r="AI278" s="322"/>
      <c r="AJ278" s="300"/>
      <c r="AK278" s="301"/>
      <c r="AL278" s="297"/>
      <c r="AM278" s="297"/>
      <c r="AN278" s="297"/>
      <c r="AO278" s="473"/>
      <c r="AP278" s="297"/>
      <c r="AQ278" s="301" t="s">
        <v>7637</v>
      </c>
      <c r="AR278" s="297" t="s">
        <v>66</v>
      </c>
      <c r="AS278" s="299" t="s">
        <v>67</v>
      </c>
      <c r="AT278" s="299" t="s">
        <v>67</v>
      </c>
      <c r="AU278" s="297" t="s">
        <v>3827</v>
      </c>
      <c r="AV278" s="297"/>
      <c r="AW278" s="297" t="s">
        <v>69</v>
      </c>
      <c r="AX278" s="297" t="s">
        <v>7613</v>
      </c>
      <c r="AY278" s="299">
        <v>42592</v>
      </c>
      <c r="AZ278" s="297" t="s">
        <v>67</v>
      </c>
      <c r="BA278" s="299" t="s">
        <v>67</v>
      </c>
      <c r="BB278" s="382">
        <v>42601</v>
      </c>
      <c r="BC278" s="297" t="s">
        <v>3829</v>
      </c>
      <c r="BD278" s="297" t="s">
        <v>6447</v>
      </c>
      <c r="BE278" s="297"/>
      <c r="BF278" s="301"/>
      <c r="BG278" s="301" t="s">
        <v>67</v>
      </c>
      <c r="BH278" s="301" t="s">
        <v>4125</v>
      </c>
      <c r="BI278" s="301" t="s">
        <v>536</v>
      </c>
      <c r="BJ278" s="312">
        <v>1559067</v>
      </c>
      <c r="BK278" s="312">
        <v>1559067</v>
      </c>
      <c r="BL278" s="313">
        <v>5695017</v>
      </c>
      <c r="BM278" s="299">
        <v>42752</v>
      </c>
      <c r="BN278" s="314">
        <v>42736</v>
      </c>
      <c r="BO278" s="460"/>
      <c r="BP278" s="390"/>
      <c r="BQ278" s="297"/>
      <c r="BR278" s="303"/>
      <c r="BS278" s="301"/>
      <c r="BT278" s="301"/>
      <c r="BU278" s="301"/>
      <c r="BV278" s="301"/>
      <c r="BW278" s="316"/>
      <c r="BX278" s="304"/>
      <c r="BY278" s="299"/>
      <c r="BZ278" s="317"/>
    </row>
    <row r="279" spans="1:555" ht="54">
      <c r="A279" s="296">
        <v>378</v>
      </c>
      <c r="B279" s="297" t="s">
        <v>4126</v>
      </c>
      <c r="C279" s="298">
        <v>18102450</v>
      </c>
      <c r="D279" s="354" t="s">
        <v>67</v>
      </c>
      <c r="E279" s="299">
        <v>42720</v>
      </c>
      <c r="F279" s="300">
        <v>42705</v>
      </c>
      <c r="G279" s="301" t="s">
        <v>4094</v>
      </c>
      <c r="H279" s="297"/>
      <c r="I279" s="297"/>
      <c r="J279" s="299"/>
      <c r="K279" s="300"/>
      <c r="L279" s="301"/>
      <c r="M279" s="297"/>
      <c r="N279" s="297"/>
      <c r="O279" s="299"/>
      <c r="P279" s="302"/>
      <c r="Q279" s="301"/>
      <c r="R279" s="297"/>
      <c r="S279" s="297"/>
      <c r="T279" s="299"/>
      <c r="U279" s="300"/>
      <c r="V279" s="301"/>
      <c r="W279" s="297"/>
      <c r="X279" s="297"/>
      <c r="Y279" s="299"/>
      <c r="Z279" s="300"/>
      <c r="AA279" s="301"/>
      <c r="AB279" s="297"/>
      <c r="AC279" s="297"/>
      <c r="AD279" s="299"/>
      <c r="AE279" s="300"/>
      <c r="AF279" s="301"/>
      <c r="AG279" s="297"/>
      <c r="AH279" s="297"/>
      <c r="AI279" s="322"/>
      <c r="AJ279" s="300"/>
      <c r="AK279" s="301"/>
      <c r="AL279" s="297"/>
      <c r="AM279" s="297"/>
      <c r="AN279" s="297"/>
      <c r="AO279" s="473"/>
      <c r="AP279" s="297"/>
      <c r="AQ279" s="301" t="s">
        <v>7629</v>
      </c>
      <c r="AR279" s="297" t="s">
        <v>66</v>
      </c>
      <c r="AS279" s="299" t="s">
        <v>67</v>
      </c>
      <c r="AT279" s="299" t="s">
        <v>67</v>
      </c>
      <c r="AU279" s="297" t="s">
        <v>3827</v>
      </c>
      <c r="AV279" s="297"/>
      <c r="AW279" s="297" t="s">
        <v>69</v>
      </c>
      <c r="AX279" s="297" t="s">
        <v>7630</v>
      </c>
      <c r="AY279" s="299">
        <v>42706</v>
      </c>
      <c r="AZ279" s="297" t="s">
        <v>67</v>
      </c>
      <c r="BA279" s="299" t="s">
        <v>67</v>
      </c>
      <c r="BB279" s="382">
        <v>42713</v>
      </c>
      <c r="BC279" s="297" t="s">
        <v>3829</v>
      </c>
      <c r="BD279" s="297" t="s">
        <v>6447</v>
      </c>
      <c r="BE279" s="297"/>
      <c r="BF279" s="301"/>
      <c r="BG279" s="301" t="s">
        <v>67</v>
      </c>
      <c r="BH279" s="301" t="s">
        <v>4127</v>
      </c>
      <c r="BI279" s="301" t="s">
        <v>536</v>
      </c>
      <c r="BJ279" s="312">
        <v>1559067</v>
      </c>
      <c r="BK279" s="312">
        <v>1559067</v>
      </c>
      <c r="BL279" s="313">
        <v>5715517</v>
      </c>
      <c r="BM279" s="299">
        <v>42752</v>
      </c>
      <c r="BN279" s="314">
        <v>42736</v>
      </c>
      <c r="BO279" s="460"/>
      <c r="BP279" s="390"/>
      <c r="BQ279" s="297"/>
      <c r="BR279" s="303"/>
      <c r="BS279" s="301"/>
      <c r="BT279" s="301"/>
      <c r="BU279" s="301"/>
      <c r="BV279" s="301"/>
      <c r="BW279" s="316"/>
      <c r="BX279" s="304"/>
      <c r="BY279" s="299"/>
      <c r="BZ279" s="317"/>
    </row>
    <row r="280" spans="1:555" ht="66.75" customHeight="1">
      <c r="A280" s="296">
        <v>379</v>
      </c>
      <c r="B280" s="297" t="s">
        <v>4128</v>
      </c>
      <c r="C280" s="298">
        <v>80881952</v>
      </c>
      <c r="D280" s="354" t="s">
        <v>67</v>
      </c>
      <c r="E280" s="299">
        <v>42720</v>
      </c>
      <c r="F280" s="300">
        <v>42705</v>
      </c>
      <c r="G280" s="301" t="s">
        <v>4094</v>
      </c>
      <c r="H280" s="297"/>
      <c r="I280" s="297"/>
      <c r="J280" s="299"/>
      <c r="K280" s="300"/>
      <c r="L280" s="301"/>
      <c r="M280" s="297"/>
      <c r="N280" s="297"/>
      <c r="O280" s="299"/>
      <c r="P280" s="302"/>
      <c r="Q280" s="301"/>
      <c r="R280" s="297"/>
      <c r="S280" s="297"/>
      <c r="T280" s="299"/>
      <c r="U280" s="300"/>
      <c r="V280" s="301"/>
      <c r="W280" s="297"/>
      <c r="X280" s="297"/>
      <c r="Y280" s="299"/>
      <c r="Z280" s="300"/>
      <c r="AA280" s="301"/>
      <c r="AB280" s="297"/>
      <c r="AC280" s="297"/>
      <c r="AD280" s="299"/>
      <c r="AE280" s="300"/>
      <c r="AF280" s="301"/>
      <c r="AG280" s="297"/>
      <c r="AH280" s="297"/>
      <c r="AI280" s="322"/>
      <c r="AJ280" s="300"/>
      <c r="AK280" s="301"/>
      <c r="AL280" s="297"/>
      <c r="AM280" s="297"/>
      <c r="AN280" s="297"/>
      <c r="AO280" s="473"/>
      <c r="AP280" s="297"/>
      <c r="AQ280" s="301" t="s">
        <v>7670</v>
      </c>
      <c r="AR280" s="297" t="s">
        <v>66</v>
      </c>
      <c r="AS280" s="299" t="s">
        <v>67</v>
      </c>
      <c r="AT280" s="299" t="s">
        <v>67</v>
      </c>
      <c r="AU280" s="297" t="s">
        <v>3827</v>
      </c>
      <c r="AV280" s="297"/>
      <c r="AW280" s="297" t="s">
        <v>69</v>
      </c>
      <c r="AX280" s="297" t="s">
        <v>7671</v>
      </c>
      <c r="AY280" s="299">
        <v>42674</v>
      </c>
      <c r="AZ280" s="297" t="s">
        <v>67</v>
      </c>
      <c r="BA280" s="299" t="s">
        <v>67</v>
      </c>
      <c r="BB280" s="382">
        <v>42720</v>
      </c>
      <c r="BC280" s="297" t="s">
        <v>3829</v>
      </c>
      <c r="BD280" s="297" t="s">
        <v>6447</v>
      </c>
      <c r="BE280" s="297"/>
      <c r="BF280" s="301"/>
      <c r="BG280" s="301" t="s">
        <v>67</v>
      </c>
      <c r="BH280" s="301" t="s">
        <v>4129</v>
      </c>
      <c r="BI280" s="301" t="s">
        <v>536</v>
      </c>
      <c r="BJ280" s="312">
        <v>275764</v>
      </c>
      <c r="BK280" s="312">
        <v>275764</v>
      </c>
      <c r="BL280" s="313">
        <v>5723317</v>
      </c>
      <c r="BM280" s="299">
        <v>42752</v>
      </c>
      <c r="BN280" s="314">
        <v>42736</v>
      </c>
      <c r="BO280" s="460"/>
      <c r="BP280" s="390"/>
      <c r="BQ280" s="297"/>
      <c r="BR280" s="303"/>
      <c r="BS280" s="301"/>
      <c r="BT280" s="301"/>
      <c r="BU280" s="301"/>
      <c r="BV280" s="301"/>
      <c r="BW280" s="316"/>
      <c r="BX280" s="304"/>
      <c r="BY280" s="299"/>
      <c r="BZ280" s="317"/>
    </row>
    <row r="281" spans="1:555" ht="102" customHeight="1">
      <c r="A281" s="296">
        <v>380</v>
      </c>
      <c r="B281" s="297" t="s">
        <v>4130</v>
      </c>
      <c r="C281" s="298">
        <v>75084268</v>
      </c>
      <c r="D281" s="354" t="s">
        <v>67</v>
      </c>
      <c r="E281" s="299">
        <v>42720</v>
      </c>
      <c r="F281" s="300">
        <v>42705</v>
      </c>
      <c r="G281" s="301" t="s">
        <v>4094</v>
      </c>
      <c r="H281" s="297"/>
      <c r="I281" s="297"/>
      <c r="J281" s="299"/>
      <c r="K281" s="300"/>
      <c r="L281" s="301"/>
      <c r="M281" s="297"/>
      <c r="N281" s="297"/>
      <c r="O281" s="299"/>
      <c r="P281" s="302"/>
      <c r="Q281" s="301"/>
      <c r="R281" s="297"/>
      <c r="S281" s="297"/>
      <c r="T281" s="299"/>
      <c r="U281" s="300"/>
      <c r="V281" s="301"/>
      <c r="W281" s="297"/>
      <c r="X281" s="297"/>
      <c r="Y281" s="299"/>
      <c r="Z281" s="300"/>
      <c r="AA281" s="301"/>
      <c r="AB281" s="297"/>
      <c r="AC281" s="297"/>
      <c r="AD281" s="299"/>
      <c r="AE281" s="300"/>
      <c r="AF281" s="301"/>
      <c r="AG281" s="297"/>
      <c r="AH281" s="297"/>
      <c r="AI281" s="322"/>
      <c r="AJ281" s="300"/>
      <c r="AK281" s="301"/>
      <c r="AL281" s="297"/>
      <c r="AM281" s="297"/>
      <c r="AN281" s="297"/>
      <c r="AO281" s="473"/>
      <c r="AP281" s="297"/>
      <c r="AQ281" s="301" t="s">
        <v>7808</v>
      </c>
      <c r="AR281" s="297" t="s">
        <v>66</v>
      </c>
      <c r="AS281" s="299" t="s">
        <v>67</v>
      </c>
      <c r="AT281" s="299" t="s">
        <v>67</v>
      </c>
      <c r="AU281" s="297" t="s">
        <v>3827</v>
      </c>
      <c r="AV281" s="297"/>
      <c r="AW281" s="297" t="s">
        <v>69</v>
      </c>
      <c r="AX281" s="297" t="s">
        <v>7633</v>
      </c>
      <c r="AY281" s="299">
        <v>42723</v>
      </c>
      <c r="AZ281" s="297" t="s">
        <v>67</v>
      </c>
      <c r="BA281" s="299" t="s">
        <v>67</v>
      </c>
      <c r="BB281" s="382">
        <v>42678</v>
      </c>
      <c r="BC281" s="297" t="s">
        <v>3829</v>
      </c>
      <c r="BD281" s="297" t="s">
        <v>6447</v>
      </c>
      <c r="BE281" s="297"/>
      <c r="BF281" s="301"/>
      <c r="BG281" s="301" t="s">
        <v>67</v>
      </c>
      <c r="BH281" s="301" t="s">
        <v>4131</v>
      </c>
      <c r="BI281" s="301" t="s">
        <v>536</v>
      </c>
      <c r="BJ281" s="312">
        <v>881212</v>
      </c>
      <c r="BK281" s="312">
        <v>881212</v>
      </c>
      <c r="BL281" s="313">
        <v>5729217</v>
      </c>
      <c r="BM281" s="299">
        <v>42752</v>
      </c>
      <c r="BN281" s="314">
        <v>42736</v>
      </c>
      <c r="BO281" s="460"/>
      <c r="BP281" s="390"/>
      <c r="BQ281" s="297"/>
      <c r="BR281" s="303"/>
      <c r="BS281" s="301"/>
      <c r="BT281" s="301"/>
      <c r="BU281" s="301"/>
      <c r="BV281" s="301"/>
      <c r="BW281" s="316"/>
      <c r="BX281" s="304"/>
      <c r="BY281" s="299"/>
      <c r="BZ281" s="317"/>
    </row>
    <row r="282" spans="1:555" ht="124.5" customHeight="1">
      <c r="A282" s="296">
        <v>381</v>
      </c>
      <c r="B282" s="297" t="s">
        <v>4132</v>
      </c>
      <c r="C282" s="298">
        <v>7687645</v>
      </c>
      <c r="D282" s="354" t="s">
        <v>67</v>
      </c>
      <c r="E282" s="299">
        <v>42720</v>
      </c>
      <c r="F282" s="300">
        <v>42705</v>
      </c>
      <c r="G282" s="301" t="s">
        <v>4094</v>
      </c>
      <c r="H282" s="297"/>
      <c r="I282" s="297"/>
      <c r="J282" s="299"/>
      <c r="K282" s="300"/>
      <c r="L282" s="301"/>
      <c r="M282" s="297"/>
      <c r="N282" s="297"/>
      <c r="O282" s="299"/>
      <c r="P282" s="302"/>
      <c r="Q282" s="301"/>
      <c r="R282" s="297"/>
      <c r="S282" s="297"/>
      <c r="T282" s="299"/>
      <c r="U282" s="300"/>
      <c r="V282" s="301"/>
      <c r="W282" s="297"/>
      <c r="X282" s="297"/>
      <c r="Y282" s="299"/>
      <c r="Z282" s="300"/>
      <c r="AA282" s="301"/>
      <c r="AB282" s="297"/>
      <c r="AC282" s="297"/>
      <c r="AD282" s="299"/>
      <c r="AE282" s="300"/>
      <c r="AF282" s="301"/>
      <c r="AG282" s="297"/>
      <c r="AH282" s="297"/>
      <c r="AI282" s="322"/>
      <c r="AJ282" s="300"/>
      <c r="AK282" s="301"/>
      <c r="AL282" s="297"/>
      <c r="AM282" s="297"/>
      <c r="AN282" s="297"/>
      <c r="AO282" s="473"/>
      <c r="AP282" s="297"/>
      <c r="AQ282" s="301" t="s">
        <v>7781</v>
      </c>
      <c r="AR282" s="297" t="s">
        <v>66</v>
      </c>
      <c r="AS282" s="299" t="s">
        <v>67</v>
      </c>
      <c r="AT282" s="299" t="s">
        <v>67</v>
      </c>
      <c r="AU282" s="297" t="s">
        <v>3827</v>
      </c>
      <c r="AV282" s="297"/>
      <c r="AW282" s="297" t="s">
        <v>69</v>
      </c>
      <c r="AX282" s="297" t="s">
        <v>7595</v>
      </c>
      <c r="AY282" s="299">
        <v>42723</v>
      </c>
      <c r="AZ282" s="297" t="s">
        <v>67</v>
      </c>
      <c r="BA282" s="299" t="s">
        <v>67</v>
      </c>
      <c r="BB282" s="382">
        <v>42723</v>
      </c>
      <c r="BC282" s="297" t="s">
        <v>3829</v>
      </c>
      <c r="BD282" s="297" t="s">
        <v>6447</v>
      </c>
      <c r="BE282" s="297"/>
      <c r="BF282" s="301"/>
      <c r="BG282" s="301" t="s">
        <v>67</v>
      </c>
      <c r="BH282" s="301" t="s">
        <v>4134</v>
      </c>
      <c r="BI282" s="301" t="s">
        <v>536</v>
      </c>
      <c r="BJ282" s="312">
        <v>1965841</v>
      </c>
      <c r="BK282" s="312">
        <v>1965841</v>
      </c>
      <c r="BL282" s="313">
        <v>5734117</v>
      </c>
      <c r="BM282" s="299">
        <v>42752</v>
      </c>
      <c r="BN282" s="314">
        <v>42736</v>
      </c>
      <c r="BO282" s="460"/>
      <c r="BP282" s="390"/>
      <c r="BQ282" s="297"/>
      <c r="BR282" s="303"/>
      <c r="BS282" s="301"/>
      <c r="BT282" s="301"/>
      <c r="BU282" s="301"/>
      <c r="BV282" s="301"/>
      <c r="BW282" s="316"/>
      <c r="BX282" s="304"/>
      <c r="BY282" s="299"/>
      <c r="BZ282" s="317"/>
    </row>
    <row r="283" spans="1:555" s="259" customFormat="1" ht="106.5" customHeight="1">
      <c r="A283" s="296">
        <v>382</v>
      </c>
      <c r="B283" s="297" t="s">
        <v>4135</v>
      </c>
      <c r="C283" s="298">
        <v>17343242</v>
      </c>
      <c r="D283" s="354" t="s">
        <v>67</v>
      </c>
      <c r="E283" s="299">
        <v>42720</v>
      </c>
      <c r="F283" s="300">
        <v>42705</v>
      </c>
      <c r="G283" s="301" t="s">
        <v>4094</v>
      </c>
      <c r="H283" s="297"/>
      <c r="I283" s="297"/>
      <c r="J283" s="299"/>
      <c r="K283" s="300"/>
      <c r="L283" s="301"/>
      <c r="M283" s="297"/>
      <c r="N283" s="297"/>
      <c r="O283" s="299"/>
      <c r="P283" s="302"/>
      <c r="Q283" s="301"/>
      <c r="R283" s="297"/>
      <c r="S283" s="297"/>
      <c r="T283" s="299"/>
      <c r="U283" s="300"/>
      <c r="V283" s="301"/>
      <c r="W283" s="297"/>
      <c r="X283" s="297"/>
      <c r="Y283" s="299"/>
      <c r="Z283" s="300"/>
      <c r="AA283" s="301"/>
      <c r="AB283" s="297"/>
      <c r="AC283" s="297"/>
      <c r="AD283" s="299"/>
      <c r="AE283" s="300"/>
      <c r="AF283" s="301"/>
      <c r="AG283" s="297"/>
      <c r="AH283" s="297"/>
      <c r="AI283" s="322"/>
      <c r="AJ283" s="300"/>
      <c r="AK283" s="301"/>
      <c r="AL283" s="297"/>
      <c r="AM283" s="297"/>
      <c r="AN283" s="297"/>
      <c r="AO283" s="473"/>
      <c r="AP283" s="297"/>
      <c r="AQ283" s="301" t="s">
        <v>7704</v>
      </c>
      <c r="AR283" s="297" t="s">
        <v>66</v>
      </c>
      <c r="AS283" s="299" t="s">
        <v>67</v>
      </c>
      <c r="AT283" s="299" t="s">
        <v>67</v>
      </c>
      <c r="AU283" s="297" t="s">
        <v>3827</v>
      </c>
      <c r="AV283" s="297"/>
      <c r="AW283" s="297" t="s">
        <v>69</v>
      </c>
      <c r="AX283" s="297" t="s">
        <v>4133</v>
      </c>
      <c r="AY283" s="299">
        <v>42723</v>
      </c>
      <c r="AZ283" s="297" t="s">
        <v>67</v>
      </c>
      <c r="BA283" s="299" t="s">
        <v>67</v>
      </c>
      <c r="BB283" s="382">
        <v>42723</v>
      </c>
      <c r="BC283" s="297" t="s">
        <v>3829</v>
      </c>
      <c r="BD283" s="297" t="s">
        <v>6447</v>
      </c>
      <c r="BE283" s="297"/>
      <c r="BF283" s="301"/>
      <c r="BG283" s="301" t="s">
        <v>67</v>
      </c>
      <c r="BH283" s="301" t="s">
        <v>4136</v>
      </c>
      <c r="BI283" s="301" t="s">
        <v>536</v>
      </c>
      <c r="BJ283" s="312">
        <v>1897995</v>
      </c>
      <c r="BK283" s="312">
        <v>1897995</v>
      </c>
      <c r="BL283" s="313">
        <v>5739917</v>
      </c>
      <c r="BM283" s="299">
        <v>42752</v>
      </c>
      <c r="BN283" s="314">
        <v>42736</v>
      </c>
      <c r="BO283" s="460"/>
      <c r="BP283" s="390"/>
      <c r="BQ283" s="297"/>
      <c r="BR283" s="303"/>
      <c r="BS283" s="301"/>
      <c r="BT283" s="301"/>
      <c r="BU283" s="301"/>
      <c r="BV283" s="301"/>
      <c r="BW283" s="316"/>
      <c r="BX283" s="304"/>
      <c r="BY283" s="299"/>
      <c r="BZ283" s="317"/>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c r="IY283" s="1"/>
      <c r="IZ283" s="1"/>
      <c r="JA283" s="1"/>
      <c r="JB283" s="1"/>
      <c r="JC283" s="1"/>
      <c r="JD283" s="1"/>
      <c r="JE283" s="1"/>
      <c r="JF283" s="1"/>
      <c r="JG283" s="1"/>
      <c r="JH283" s="1"/>
      <c r="JI283" s="1"/>
      <c r="JJ283" s="1"/>
      <c r="JK283" s="1"/>
      <c r="JL283" s="1"/>
      <c r="JM283" s="1"/>
      <c r="JN283" s="1"/>
      <c r="JO283" s="1"/>
      <c r="JP283" s="1"/>
      <c r="JQ283" s="1"/>
      <c r="JR283" s="1"/>
      <c r="JS283" s="1"/>
      <c r="JT283" s="1"/>
      <c r="JU283" s="1"/>
      <c r="JV283" s="1"/>
      <c r="JW283" s="1"/>
      <c r="JX283" s="1"/>
      <c r="JY283" s="1"/>
      <c r="JZ283" s="1"/>
      <c r="KA283" s="1"/>
      <c r="KB283" s="1"/>
      <c r="KC283" s="1"/>
      <c r="KD283" s="1"/>
      <c r="KE283" s="1"/>
      <c r="KF283" s="1"/>
      <c r="KG283" s="1"/>
      <c r="KH283" s="1"/>
      <c r="KI283" s="1"/>
      <c r="KJ283" s="1"/>
      <c r="KK283" s="1"/>
      <c r="KL283" s="1"/>
      <c r="KM283" s="1"/>
      <c r="KN283" s="1"/>
      <c r="KO283" s="1"/>
      <c r="KP283" s="1"/>
      <c r="KQ283" s="1"/>
      <c r="KR283" s="1"/>
      <c r="KS283" s="1"/>
      <c r="KT283" s="1"/>
      <c r="KU283" s="1"/>
      <c r="KV283" s="1"/>
      <c r="KW283" s="1"/>
      <c r="KX283" s="1"/>
      <c r="KY283" s="1"/>
      <c r="KZ283" s="1"/>
      <c r="LA283" s="1"/>
      <c r="LB283" s="1"/>
      <c r="LC283" s="1"/>
      <c r="LD283" s="1"/>
      <c r="LE283" s="1"/>
      <c r="LF283" s="1"/>
      <c r="LG283" s="1"/>
      <c r="LH283" s="1"/>
      <c r="LI283" s="1"/>
      <c r="LJ283" s="1"/>
      <c r="LK283" s="1"/>
      <c r="LL283" s="1"/>
      <c r="LM283" s="1"/>
      <c r="LN283" s="1"/>
      <c r="LO283" s="1"/>
      <c r="LP283" s="1"/>
      <c r="LQ283" s="1"/>
      <c r="LR283" s="1"/>
      <c r="LS283" s="1"/>
      <c r="LT283" s="1"/>
      <c r="LU283" s="1"/>
      <c r="LV283" s="1"/>
      <c r="LW283" s="1"/>
      <c r="LX283" s="1"/>
      <c r="LY283" s="1"/>
      <c r="LZ283" s="1"/>
      <c r="MA283" s="1"/>
      <c r="MB283" s="1"/>
      <c r="MC283" s="1"/>
      <c r="MD283" s="1"/>
      <c r="ME283" s="1"/>
      <c r="MF283" s="1"/>
      <c r="MG283" s="1"/>
      <c r="MH283" s="1"/>
      <c r="MI283" s="1"/>
      <c r="MJ283" s="1"/>
      <c r="MK283" s="1"/>
      <c r="ML283" s="1"/>
      <c r="MM283" s="1"/>
      <c r="MN283" s="1"/>
      <c r="MO283" s="1"/>
      <c r="MP283" s="1"/>
      <c r="MQ283" s="1"/>
      <c r="MR283" s="1"/>
      <c r="MS283" s="1"/>
      <c r="MT283" s="1"/>
      <c r="MU283" s="1"/>
      <c r="MV283" s="1"/>
      <c r="MW283" s="1"/>
      <c r="MX283" s="1"/>
      <c r="MY283" s="1"/>
      <c r="MZ283" s="1"/>
      <c r="NA283" s="1"/>
      <c r="NB283" s="1"/>
      <c r="NC283" s="1"/>
      <c r="ND283" s="1"/>
      <c r="NE283" s="1"/>
      <c r="NF283" s="1"/>
      <c r="NG283" s="1"/>
      <c r="NH283" s="1"/>
      <c r="NI283" s="1"/>
      <c r="NJ283" s="1"/>
      <c r="NK283" s="1"/>
      <c r="NL283" s="1"/>
      <c r="NM283" s="1"/>
      <c r="NN283" s="1"/>
      <c r="NO283" s="1"/>
      <c r="NP283" s="1"/>
      <c r="NQ283" s="1"/>
      <c r="NR283" s="1"/>
      <c r="NS283" s="1"/>
      <c r="NT283" s="1"/>
      <c r="NU283" s="1"/>
      <c r="NV283" s="1"/>
      <c r="NW283" s="1"/>
      <c r="NX283" s="1"/>
      <c r="NY283" s="1"/>
      <c r="NZ283" s="1"/>
      <c r="OA283" s="1"/>
      <c r="OB283" s="1"/>
      <c r="OC283" s="1"/>
      <c r="OD283" s="1"/>
      <c r="OE283" s="1"/>
      <c r="OF283" s="1"/>
      <c r="OG283" s="1"/>
      <c r="OH283" s="1"/>
      <c r="OI283" s="1"/>
      <c r="OJ283" s="1"/>
      <c r="OK283" s="1"/>
      <c r="OL283" s="1"/>
      <c r="OM283" s="1"/>
      <c r="ON283" s="1"/>
      <c r="OO283" s="1"/>
      <c r="OP283" s="1"/>
      <c r="OQ283" s="1"/>
      <c r="OR283" s="1"/>
      <c r="OS283" s="1"/>
      <c r="OT283" s="1"/>
      <c r="OU283" s="1"/>
      <c r="OV283" s="1"/>
      <c r="OW283" s="1"/>
      <c r="OX283" s="1"/>
      <c r="OY283" s="1"/>
      <c r="OZ283" s="1"/>
      <c r="PA283" s="1"/>
      <c r="PB283" s="1"/>
      <c r="PC283" s="1"/>
      <c r="PD283" s="1"/>
      <c r="PE283" s="1"/>
      <c r="PF283" s="1"/>
      <c r="PG283" s="1"/>
      <c r="PH283" s="1"/>
      <c r="PI283" s="1"/>
      <c r="PJ283" s="1"/>
      <c r="PK283" s="1"/>
      <c r="PL283" s="1"/>
      <c r="PM283" s="1"/>
      <c r="PN283" s="1"/>
      <c r="PO283" s="1"/>
      <c r="PP283" s="1"/>
      <c r="PQ283" s="1"/>
      <c r="PR283" s="1"/>
      <c r="PS283" s="1"/>
      <c r="PT283" s="1"/>
      <c r="PU283" s="1"/>
      <c r="PV283" s="1"/>
      <c r="PW283" s="1"/>
      <c r="PX283" s="1"/>
      <c r="PY283" s="1"/>
      <c r="PZ283" s="1"/>
      <c r="QA283" s="1"/>
      <c r="QB283" s="1"/>
      <c r="QC283" s="1"/>
      <c r="QD283" s="1"/>
      <c r="QE283" s="1"/>
      <c r="QF283" s="1"/>
      <c r="QG283" s="1"/>
      <c r="QH283" s="1"/>
      <c r="QI283" s="1"/>
      <c r="QJ283" s="1"/>
      <c r="QK283" s="1"/>
      <c r="QL283" s="1"/>
      <c r="QM283" s="1"/>
      <c r="QN283" s="1"/>
      <c r="QO283" s="1"/>
      <c r="QP283" s="1"/>
      <c r="QQ283" s="1"/>
      <c r="QR283" s="1"/>
      <c r="QS283" s="1"/>
      <c r="QT283" s="1"/>
      <c r="QU283" s="1"/>
      <c r="QV283" s="1"/>
      <c r="QW283" s="1"/>
      <c r="QX283" s="1"/>
      <c r="QY283" s="1"/>
      <c r="QZ283" s="1"/>
      <c r="RA283" s="1"/>
      <c r="RB283" s="1"/>
      <c r="RC283" s="1"/>
      <c r="RD283" s="1"/>
      <c r="RE283" s="1"/>
      <c r="RF283" s="1"/>
      <c r="RG283" s="1"/>
      <c r="RH283" s="1"/>
      <c r="RI283" s="1"/>
      <c r="RJ283" s="1"/>
      <c r="RK283" s="1"/>
      <c r="RL283" s="1"/>
      <c r="RM283" s="1"/>
      <c r="RN283" s="1"/>
      <c r="RO283" s="1"/>
      <c r="RP283" s="1"/>
      <c r="RQ283" s="1"/>
      <c r="RR283" s="1"/>
      <c r="RS283" s="1"/>
      <c r="RT283" s="1"/>
      <c r="RU283" s="1"/>
      <c r="RV283" s="1"/>
      <c r="RW283" s="1"/>
      <c r="RX283" s="1"/>
      <c r="RY283" s="1"/>
      <c r="RZ283" s="1"/>
      <c r="SA283" s="1"/>
      <c r="SB283" s="1"/>
      <c r="SC283" s="1"/>
      <c r="SD283" s="1"/>
      <c r="SE283" s="1"/>
      <c r="SF283" s="1"/>
      <c r="SG283" s="1"/>
      <c r="SH283" s="1"/>
      <c r="SI283" s="1"/>
      <c r="SJ283" s="1"/>
      <c r="SK283" s="1"/>
      <c r="SL283" s="1"/>
      <c r="SM283" s="1"/>
      <c r="SN283" s="1"/>
      <c r="SO283" s="1"/>
      <c r="SP283" s="1"/>
      <c r="SQ283" s="1"/>
      <c r="SR283" s="1"/>
      <c r="SS283" s="1"/>
      <c r="ST283" s="1"/>
      <c r="SU283" s="1"/>
      <c r="SV283" s="1"/>
      <c r="SW283" s="1"/>
      <c r="SX283" s="1"/>
      <c r="SY283" s="1"/>
      <c r="SZ283" s="1"/>
      <c r="TA283" s="1"/>
      <c r="TB283" s="1"/>
      <c r="TC283" s="1"/>
      <c r="TD283" s="1"/>
      <c r="TE283" s="1"/>
      <c r="TF283" s="1"/>
      <c r="TG283" s="1"/>
      <c r="TH283" s="1"/>
      <c r="TI283" s="1"/>
      <c r="TJ283" s="1"/>
      <c r="TK283" s="1"/>
      <c r="TL283" s="1"/>
      <c r="TM283" s="1"/>
      <c r="TN283" s="1"/>
      <c r="TO283" s="1"/>
      <c r="TP283" s="1"/>
      <c r="TQ283" s="1"/>
      <c r="TR283" s="1"/>
      <c r="TS283" s="1"/>
      <c r="TT283" s="1"/>
      <c r="TU283" s="1"/>
      <c r="TV283" s="1"/>
      <c r="TW283" s="1"/>
      <c r="TX283" s="1"/>
      <c r="TY283" s="1"/>
      <c r="TZ283" s="1"/>
      <c r="UA283" s="1"/>
      <c r="UB283" s="1"/>
      <c r="UC283" s="1"/>
      <c r="UD283" s="1"/>
      <c r="UE283" s="1"/>
      <c r="UF283" s="1"/>
      <c r="UG283" s="1"/>
      <c r="UH283" s="1"/>
      <c r="UI283" s="1"/>
    </row>
    <row r="284" spans="1:555" s="509" customFormat="1" ht="124.5" customHeight="1">
      <c r="A284" s="296">
        <v>383</v>
      </c>
      <c r="B284" s="297" t="s">
        <v>4137</v>
      </c>
      <c r="C284" s="298">
        <v>19392417</v>
      </c>
      <c r="D284" s="354" t="s">
        <v>67</v>
      </c>
      <c r="E284" s="299">
        <v>42720</v>
      </c>
      <c r="F284" s="300">
        <v>42705</v>
      </c>
      <c r="G284" s="301" t="s">
        <v>4094</v>
      </c>
      <c r="H284" s="297"/>
      <c r="I284" s="297"/>
      <c r="J284" s="299"/>
      <c r="K284" s="300"/>
      <c r="L284" s="301"/>
      <c r="M284" s="297"/>
      <c r="N284" s="297"/>
      <c r="O284" s="299"/>
      <c r="P284" s="302"/>
      <c r="Q284" s="301"/>
      <c r="R284" s="297"/>
      <c r="S284" s="297"/>
      <c r="T284" s="299"/>
      <c r="U284" s="300"/>
      <c r="V284" s="301"/>
      <c r="W284" s="297"/>
      <c r="X284" s="297"/>
      <c r="Y284" s="299"/>
      <c r="Z284" s="300"/>
      <c r="AA284" s="301"/>
      <c r="AB284" s="297"/>
      <c r="AC284" s="297"/>
      <c r="AD284" s="299"/>
      <c r="AE284" s="300"/>
      <c r="AF284" s="301"/>
      <c r="AG284" s="297"/>
      <c r="AH284" s="297"/>
      <c r="AI284" s="322"/>
      <c r="AJ284" s="300"/>
      <c r="AK284" s="301"/>
      <c r="AL284" s="297"/>
      <c r="AM284" s="297"/>
      <c r="AN284" s="297"/>
      <c r="AO284" s="473"/>
      <c r="AP284" s="297"/>
      <c r="AQ284" s="301" t="s">
        <v>7647</v>
      </c>
      <c r="AR284" s="297" t="s">
        <v>66</v>
      </c>
      <c r="AS284" s="299" t="s">
        <v>67</v>
      </c>
      <c r="AT284" s="299" t="s">
        <v>67</v>
      </c>
      <c r="AU284" s="297" t="s">
        <v>3827</v>
      </c>
      <c r="AV284" s="297"/>
      <c r="AW284" s="297" t="s">
        <v>69</v>
      </c>
      <c r="AX284" s="297" t="s">
        <v>7595</v>
      </c>
      <c r="AY284" s="299">
        <v>42723</v>
      </c>
      <c r="AZ284" s="297" t="s">
        <v>67</v>
      </c>
      <c r="BA284" s="299" t="s">
        <v>67</v>
      </c>
      <c r="BB284" s="382">
        <v>42723</v>
      </c>
      <c r="BC284" s="297" t="s">
        <v>3829</v>
      </c>
      <c r="BD284" s="297" t="s">
        <v>6447</v>
      </c>
      <c r="BE284" s="297"/>
      <c r="BF284" s="301"/>
      <c r="BG284" s="301" t="s">
        <v>67</v>
      </c>
      <c r="BH284" s="301" t="s">
        <v>4138</v>
      </c>
      <c r="BI284" s="301" t="s">
        <v>536</v>
      </c>
      <c r="BJ284" s="312">
        <v>382328</v>
      </c>
      <c r="BK284" s="312">
        <v>382328</v>
      </c>
      <c r="BL284" s="313">
        <v>5044517</v>
      </c>
      <c r="BM284" s="299">
        <v>42751</v>
      </c>
      <c r="BN284" s="314">
        <v>42736</v>
      </c>
      <c r="BO284" s="434" t="s">
        <v>4139</v>
      </c>
      <c r="BP284" s="397"/>
      <c r="BQ284" s="398"/>
      <c r="BR284" s="320"/>
      <c r="BS284" s="301"/>
      <c r="BT284" s="301"/>
      <c r="BU284" s="301"/>
      <c r="BV284" s="301"/>
      <c r="BW284" s="316"/>
      <c r="BX284" s="304"/>
      <c r="BY284" s="299"/>
      <c r="BZ284" s="317"/>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c r="IY284" s="1"/>
      <c r="IZ284" s="1"/>
      <c r="JA284" s="1"/>
      <c r="JB284" s="1"/>
      <c r="JC284" s="1"/>
      <c r="JD284" s="1"/>
      <c r="JE284" s="1"/>
      <c r="JF284" s="1"/>
      <c r="JG284" s="1"/>
      <c r="JH284" s="1"/>
      <c r="JI284" s="1"/>
      <c r="JJ284" s="1"/>
      <c r="JK284" s="1"/>
      <c r="JL284" s="1"/>
      <c r="JM284" s="1"/>
      <c r="JN284" s="1"/>
      <c r="JO284" s="1"/>
      <c r="JP284" s="1"/>
      <c r="JQ284" s="1"/>
      <c r="JR284" s="1"/>
      <c r="JS284" s="1"/>
      <c r="JT284" s="1"/>
      <c r="JU284" s="1"/>
      <c r="JV284" s="1"/>
      <c r="JW284" s="1"/>
      <c r="JX284" s="1"/>
      <c r="JY284" s="1"/>
      <c r="JZ284" s="1"/>
      <c r="KA284" s="1"/>
      <c r="KB284" s="1"/>
      <c r="KC284" s="1"/>
      <c r="KD284" s="1"/>
      <c r="KE284" s="1"/>
      <c r="KF284" s="1"/>
      <c r="KG284" s="1"/>
      <c r="KH284" s="1"/>
      <c r="KI284" s="1"/>
      <c r="KJ284" s="1"/>
      <c r="KK284" s="1"/>
      <c r="KL284" s="1"/>
      <c r="KM284" s="1"/>
      <c r="KN284" s="1"/>
      <c r="KO284" s="1"/>
      <c r="KP284" s="1"/>
      <c r="KQ284" s="1"/>
      <c r="KR284" s="1"/>
      <c r="KS284" s="1"/>
      <c r="KT284" s="1"/>
      <c r="KU284" s="1"/>
      <c r="KV284" s="1"/>
      <c r="KW284" s="1"/>
      <c r="KX284" s="1"/>
      <c r="KY284" s="1"/>
      <c r="KZ284" s="1"/>
      <c r="LA284" s="1"/>
      <c r="LB284" s="1"/>
      <c r="LC284" s="1"/>
      <c r="LD284" s="1"/>
      <c r="LE284" s="1"/>
      <c r="LF284" s="1"/>
      <c r="LG284" s="1"/>
      <c r="LH284" s="1"/>
      <c r="LI284" s="1"/>
      <c r="LJ284" s="1"/>
      <c r="LK284" s="1"/>
      <c r="LL284" s="1"/>
      <c r="LM284" s="1"/>
      <c r="LN284" s="1"/>
      <c r="LO284" s="1"/>
      <c r="LP284" s="1"/>
      <c r="LQ284" s="1"/>
      <c r="LR284" s="1"/>
      <c r="LS284" s="1"/>
      <c r="LT284" s="1"/>
      <c r="LU284" s="1"/>
      <c r="LV284" s="1"/>
      <c r="LW284" s="1"/>
      <c r="LX284" s="1"/>
      <c r="LY284" s="1"/>
      <c r="LZ284" s="1"/>
      <c r="MA284" s="1"/>
      <c r="MB284" s="1"/>
      <c r="MC284" s="1"/>
      <c r="MD284" s="1"/>
      <c r="ME284" s="1"/>
      <c r="MF284" s="1"/>
      <c r="MG284" s="1"/>
      <c r="MH284" s="1"/>
      <c r="MI284" s="1"/>
      <c r="MJ284" s="1"/>
      <c r="MK284" s="1"/>
      <c r="ML284" s="1"/>
      <c r="MM284" s="1"/>
      <c r="MN284" s="1"/>
      <c r="MO284" s="1"/>
      <c r="MP284" s="1"/>
      <c r="MQ284" s="1"/>
      <c r="MR284" s="1"/>
      <c r="MS284" s="1"/>
      <c r="MT284" s="1"/>
      <c r="MU284" s="1"/>
      <c r="MV284" s="1"/>
      <c r="MW284" s="1"/>
      <c r="MX284" s="1"/>
      <c r="MY284" s="1"/>
      <c r="MZ284" s="1"/>
      <c r="NA284" s="1"/>
      <c r="NB284" s="1"/>
      <c r="NC284" s="1"/>
      <c r="ND284" s="1"/>
      <c r="NE284" s="1"/>
      <c r="NF284" s="1"/>
      <c r="NG284" s="1"/>
      <c r="NH284" s="1"/>
      <c r="NI284" s="1"/>
      <c r="NJ284" s="1"/>
      <c r="NK284" s="1"/>
      <c r="NL284" s="1"/>
      <c r="NM284" s="1"/>
      <c r="NN284" s="1"/>
      <c r="NO284" s="1"/>
      <c r="NP284" s="1"/>
      <c r="NQ284" s="1"/>
      <c r="NR284" s="1"/>
      <c r="NS284" s="1"/>
      <c r="NT284" s="1"/>
      <c r="NU284" s="1"/>
      <c r="NV284" s="1"/>
      <c r="NW284" s="1"/>
      <c r="NX284" s="1"/>
      <c r="NY284" s="1"/>
      <c r="NZ284" s="1"/>
      <c r="OA284" s="1"/>
      <c r="OB284" s="1"/>
      <c r="OC284" s="1"/>
      <c r="OD284" s="1"/>
      <c r="OE284" s="1"/>
      <c r="OF284" s="1"/>
      <c r="OG284" s="1"/>
      <c r="OH284" s="1"/>
      <c r="OI284" s="1"/>
      <c r="OJ284" s="1"/>
      <c r="OK284" s="1"/>
      <c r="OL284" s="1"/>
      <c r="OM284" s="1"/>
      <c r="ON284" s="1"/>
      <c r="OO284" s="1"/>
      <c r="OP284" s="1"/>
      <c r="OQ284" s="1"/>
      <c r="OR284" s="1"/>
      <c r="OS284" s="1"/>
      <c r="OT284" s="1"/>
      <c r="OU284" s="1"/>
      <c r="OV284" s="1"/>
      <c r="OW284" s="1"/>
      <c r="OX284" s="1"/>
      <c r="OY284" s="1"/>
      <c r="OZ284" s="1"/>
      <c r="PA284" s="1"/>
      <c r="PB284" s="1"/>
      <c r="PC284" s="1"/>
      <c r="PD284" s="1"/>
      <c r="PE284" s="1"/>
      <c r="PF284" s="1"/>
      <c r="PG284" s="1"/>
      <c r="PH284" s="1"/>
      <c r="PI284" s="1"/>
      <c r="PJ284" s="1"/>
      <c r="PK284" s="1"/>
      <c r="PL284" s="1"/>
      <c r="PM284" s="1"/>
      <c r="PN284" s="1"/>
      <c r="PO284" s="1"/>
      <c r="PP284" s="1"/>
      <c r="PQ284" s="1"/>
      <c r="PR284" s="1"/>
      <c r="PS284" s="1"/>
      <c r="PT284" s="1"/>
      <c r="PU284" s="1"/>
      <c r="PV284" s="1"/>
      <c r="PW284" s="1"/>
      <c r="PX284" s="1"/>
      <c r="PY284" s="1"/>
      <c r="PZ284" s="1"/>
      <c r="QA284" s="1"/>
      <c r="QB284" s="1"/>
      <c r="QC284" s="1"/>
      <c r="QD284" s="1"/>
      <c r="QE284" s="1"/>
      <c r="QF284" s="1"/>
      <c r="QG284" s="1"/>
      <c r="QH284" s="1"/>
      <c r="QI284" s="1"/>
      <c r="QJ284" s="1"/>
      <c r="QK284" s="1"/>
      <c r="QL284" s="1"/>
      <c r="QM284" s="1"/>
      <c r="QN284" s="1"/>
      <c r="QO284" s="1"/>
      <c r="QP284" s="1"/>
      <c r="QQ284" s="1"/>
      <c r="QR284" s="1"/>
      <c r="QS284" s="1"/>
      <c r="QT284" s="1"/>
      <c r="QU284" s="1"/>
      <c r="QV284" s="1"/>
      <c r="QW284" s="1"/>
      <c r="QX284" s="1"/>
      <c r="QY284" s="1"/>
      <c r="QZ284" s="1"/>
      <c r="RA284" s="1"/>
      <c r="RB284" s="1"/>
      <c r="RC284" s="1"/>
      <c r="RD284" s="1"/>
      <c r="RE284" s="1"/>
      <c r="RF284" s="1"/>
      <c r="RG284" s="1"/>
      <c r="RH284" s="1"/>
      <c r="RI284" s="1"/>
      <c r="RJ284" s="1"/>
      <c r="RK284" s="1"/>
      <c r="RL284" s="1"/>
      <c r="RM284" s="1"/>
      <c r="RN284" s="1"/>
      <c r="RO284" s="1"/>
      <c r="RP284" s="1"/>
      <c r="RQ284" s="1"/>
      <c r="RR284" s="1"/>
      <c r="RS284" s="1"/>
      <c r="RT284" s="1"/>
      <c r="RU284" s="1"/>
      <c r="RV284" s="1"/>
      <c r="RW284" s="1"/>
      <c r="RX284" s="1"/>
      <c r="RY284" s="1"/>
      <c r="RZ284" s="1"/>
      <c r="SA284" s="1"/>
      <c r="SB284" s="1"/>
      <c r="SC284" s="1"/>
      <c r="SD284" s="1"/>
      <c r="SE284" s="1"/>
      <c r="SF284" s="1"/>
      <c r="SG284" s="1"/>
      <c r="SH284" s="1"/>
      <c r="SI284" s="1"/>
      <c r="SJ284" s="1"/>
      <c r="SK284" s="1"/>
      <c r="SL284" s="1"/>
      <c r="SM284" s="1"/>
      <c r="SN284" s="1"/>
      <c r="SO284" s="1"/>
      <c r="SP284" s="1"/>
      <c r="SQ284" s="1"/>
      <c r="SR284" s="1"/>
      <c r="SS284" s="1"/>
      <c r="ST284" s="1"/>
      <c r="SU284" s="1"/>
      <c r="SV284" s="1"/>
      <c r="SW284" s="1"/>
      <c r="SX284" s="1"/>
      <c r="SY284" s="1"/>
      <c r="SZ284" s="1"/>
      <c r="TA284" s="1"/>
      <c r="TB284" s="1"/>
      <c r="TC284" s="1"/>
      <c r="TD284" s="1"/>
      <c r="TE284" s="1"/>
      <c r="TF284" s="1"/>
      <c r="TG284" s="1"/>
      <c r="TH284" s="1"/>
      <c r="TI284" s="1"/>
      <c r="TJ284" s="1"/>
      <c r="TK284" s="1"/>
      <c r="TL284" s="1"/>
      <c r="TM284" s="1"/>
      <c r="TN284" s="1"/>
      <c r="TO284" s="1"/>
      <c r="TP284" s="1"/>
      <c r="TQ284" s="1"/>
      <c r="TR284" s="1"/>
      <c r="TS284" s="1"/>
      <c r="TT284" s="1"/>
      <c r="TU284" s="1"/>
      <c r="TV284" s="1"/>
      <c r="TW284" s="1"/>
      <c r="TX284" s="1"/>
      <c r="TY284" s="1"/>
      <c r="TZ284" s="1"/>
      <c r="UA284" s="1"/>
      <c r="UB284" s="1"/>
      <c r="UC284" s="1"/>
      <c r="UD284" s="1"/>
      <c r="UE284" s="1"/>
      <c r="UF284" s="1"/>
      <c r="UG284" s="1"/>
      <c r="UH284" s="1"/>
      <c r="UI284" s="1"/>
    </row>
    <row r="285" spans="1:555" s="509" customFormat="1" ht="54">
      <c r="A285" s="296">
        <v>384</v>
      </c>
      <c r="B285" s="297" t="s">
        <v>4140</v>
      </c>
      <c r="C285" s="298">
        <v>6074131</v>
      </c>
      <c r="D285" s="354" t="s">
        <v>67</v>
      </c>
      <c r="E285" s="299">
        <v>42720</v>
      </c>
      <c r="F285" s="300">
        <v>42705</v>
      </c>
      <c r="G285" s="301" t="s">
        <v>4094</v>
      </c>
      <c r="H285" s="297"/>
      <c r="I285" s="297"/>
      <c r="J285" s="299"/>
      <c r="K285" s="300"/>
      <c r="L285" s="301"/>
      <c r="M285" s="297"/>
      <c r="N285" s="297"/>
      <c r="O285" s="299"/>
      <c r="P285" s="302"/>
      <c r="Q285" s="301"/>
      <c r="R285" s="297"/>
      <c r="S285" s="297"/>
      <c r="T285" s="299"/>
      <c r="U285" s="300"/>
      <c r="V285" s="301"/>
      <c r="W285" s="297"/>
      <c r="X285" s="297"/>
      <c r="Y285" s="299"/>
      <c r="Z285" s="300"/>
      <c r="AA285" s="301"/>
      <c r="AB285" s="297"/>
      <c r="AC285" s="297"/>
      <c r="AD285" s="299"/>
      <c r="AE285" s="300"/>
      <c r="AF285" s="301"/>
      <c r="AG285" s="297"/>
      <c r="AH285" s="297"/>
      <c r="AI285" s="322"/>
      <c r="AJ285" s="300"/>
      <c r="AK285" s="301"/>
      <c r="AL285" s="297"/>
      <c r="AM285" s="297"/>
      <c r="AN285" s="297"/>
      <c r="AO285" s="473"/>
      <c r="AP285" s="297"/>
      <c r="AQ285" s="301" t="s">
        <v>7846</v>
      </c>
      <c r="AR285" s="297" t="s">
        <v>66</v>
      </c>
      <c r="AS285" s="299" t="s">
        <v>67</v>
      </c>
      <c r="AT285" s="299" t="s">
        <v>67</v>
      </c>
      <c r="AU285" s="297" t="s">
        <v>3827</v>
      </c>
      <c r="AV285" s="297"/>
      <c r="AW285" s="297" t="s">
        <v>69</v>
      </c>
      <c r="AX285" s="297" t="s">
        <v>7595</v>
      </c>
      <c r="AY285" s="299">
        <v>42723</v>
      </c>
      <c r="AZ285" s="297" t="s">
        <v>67</v>
      </c>
      <c r="BA285" s="299" t="s">
        <v>67</v>
      </c>
      <c r="BB285" s="382">
        <v>42723</v>
      </c>
      <c r="BC285" s="297" t="s">
        <v>3829</v>
      </c>
      <c r="BD285" s="297" t="s">
        <v>6447</v>
      </c>
      <c r="BE285" s="297"/>
      <c r="BF285" s="301"/>
      <c r="BG285" s="301" t="s">
        <v>67</v>
      </c>
      <c r="BH285" s="301" t="s">
        <v>4141</v>
      </c>
      <c r="BI285" s="301" t="s">
        <v>4142</v>
      </c>
      <c r="BJ285" s="312">
        <v>1292784</v>
      </c>
      <c r="BK285" s="312">
        <v>1292784</v>
      </c>
      <c r="BL285" s="313">
        <v>5530517</v>
      </c>
      <c r="BM285" s="299">
        <v>42752</v>
      </c>
      <c r="BN285" s="314">
        <v>42736</v>
      </c>
      <c r="BO285" s="460"/>
      <c r="BP285" s="390"/>
      <c r="BQ285" s="297"/>
      <c r="BR285" s="303"/>
      <c r="BS285" s="301"/>
      <c r="BT285" s="301"/>
      <c r="BU285" s="301"/>
      <c r="BV285" s="301"/>
      <c r="BW285" s="316"/>
      <c r="BX285" s="304"/>
      <c r="BY285" s="299"/>
      <c r="BZ285" s="317"/>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c r="IY285" s="1"/>
      <c r="IZ285" s="1"/>
      <c r="JA285" s="1"/>
      <c r="JB285" s="1"/>
      <c r="JC285" s="1"/>
      <c r="JD285" s="1"/>
      <c r="JE285" s="1"/>
      <c r="JF285" s="1"/>
      <c r="JG285" s="1"/>
      <c r="JH285" s="1"/>
      <c r="JI285" s="1"/>
      <c r="JJ285" s="1"/>
      <c r="JK285" s="1"/>
      <c r="JL285" s="1"/>
      <c r="JM285" s="1"/>
      <c r="JN285" s="1"/>
      <c r="JO285" s="1"/>
      <c r="JP285" s="1"/>
      <c r="JQ285" s="1"/>
      <c r="JR285" s="1"/>
      <c r="JS285" s="1"/>
      <c r="JT285" s="1"/>
      <c r="JU285" s="1"/>
      <c r="JV285" s="1"/>
      <c r="JW285" s="1"/>
      <c r="JX285" s="1"/>
      <c r="JY285" s="1"/>
      <c r="JZ285" s="1"/>
      <c r="KA285" s="1"/>
      <c r="KB285" s="1"/>
      <c r="KC285" s="1"/>
      <c r="KD285" s="1"/>
      <c r="KE285" s="1"/>
      <c r="KF285" s="1"/>
      <c r="KG285" s="1"/>
      <c r="KH285" s="1"/>
      <c r="KI285" s="1"/>
      <c r="KJ285" s="1"/>
      <c r="KK285" s="1"/>
      <c r="KL285" s="1"/>
      <c r="KM285" s="1"/>
      <c r="KN285" s="1"/>
      <c r="KO285" s="1"/>
      <c r="KP285" s="1"/>
      <c r="KQ285" s="1"/>
      <c r="KR285" s="1"/>
      <c r="KS285" s="1"/>
      <c r="KT285" s="1"/>
      <c r="KU285" s="1"/>
      <c r="KV285" s="1"/>
      <c r="KW285" s="1"/>
      <c r="KX285" s="1"/>
      <c r="KY285" s="1"/>
      <c r="KZ285" s="1"/>
      <c r="LA285" s="1"/>
      <c r="LB285" s="1"/>
      <c r="LC285" s="1"/>
      <c r="LD285" s="1"/>
      <c r="LE285" s="1"/>
      <c r="LF285" s="1"/>
      <c r="LG285" s="1"/>
      <c r="LH285" s="1"/>
      <c r="LI285" s="1"/>
      <c r="LJ285" s="1"/>
      <c r="LK285" s="1"/>
      <c r="LL285" s="1"/>
      <c r="LM285" s="1"/>
      <c r="LN285" s="1"/>
      <c r="LO285" s="1"/>
      <c r="LP285" s="1"/>
      <c r="LQ285" s="1"/>
      <c r="LR285" s="1"/>
      <c r="LS285" s="1"/>
      <c r="LT285" s="1"/>
      <c r="LU285" s="1"/>
      <c r="LV285" s="1"/>
      <c r="LW285" s="1"/>
      <c r="LX285" s="1"/>
      <c r="LY285" s="1"/>
      <c r="LZ285" s="1"/>
      <c r="MA285" s="1"/>
      <c r="MB285" s="1"/>
      <c r="MC285" s="1"/>
      <c r="MD285" s="1"/>
      <c r="ME285" s="1"/>
      <c r="MF285" s="1"/>
      <c r="MG285" s="1"/>
      <c r="MH285" s="1"/>
      <c r="MI285" s="1"/>
      <c r="MJ285" s="1"/>
      <c r="MK285" s="1"/>
      <c r="ML285" s="1"/>
      <c r="MM285" s="1"/>
      <c r="MN285" s="1"/>
      <c r="MO285" s="1"/>
      <c r="MP285" s="1"/>
      <c r="MQ285" s="1"/>
      <c r="MR285" s="1"/>
      <c r="MS285" s="1"/>
      <c r="MT285" s="1"/>
      <c r="MU285" s="1"/>
      <c r="MV285" s="1"/>
      <c r="MW285" s="1"/>
      <c r="MX285" s="1"/>
      <c r="MY285" s="1"/>
      <c r="MZ285" s="1"/>
      <c r="NA285" s="1"/>
      <c r="NB285" s="1"/>
      <c r="NC285" s="1"/>
      <c r="ND285" s="1"/>
      <c r="NE285" s="1"/>
      <c r="NF285" s="1"/>
      <c r="NG285" s="1"/>
      <c r="NH285" s="1"/>
      <c r="NI285" s="1"/>
      <c r="NJ285" s="1"/>
      <c r="NK285" s="1"/>
      <c r="NL285" s="1"/>
      <c r="NM285" s="1"/>
      <c r="NN285" s="1"/>
      <c r="NO285" s="1"/>
      <c r="NP285" s="1"/>
      <c r="NQ285" s="1"/>
      <c r="NR285" s="1"/>
      <c r="NS285" s="1"/>
      <c r="NT285" s="1"/>
      <c r="NU285" s="1"/>
      <c r="NV285" s="1"/>
      <c r="NW285" s="1"/>
      <c r="NX285" s="1"/>
      <c r="NY285" s="1"/>
      <c r="NZ285" s="1"/>
      <c r="OA285" s="1"/>
      <c r="OB285" s="1"/>
      <c r="OC285" s="1"/>
      <c r="OD285" s="1"/>
      <c r="OE285" s="1"/>
      <c r="OF285" s="1"/>
      <c r="OG285" s="1"/>
      <c r="OH285" s="1"/>
      <c r="OI285" s="1"/>
      <c r="OJ285" s="1"/>
      <c r="OK285" s="1"/>
      <c r="OL285" s="1"/>
      <c r="OM285" s="1"/>
      <c r="ON285" s="1"/>
      <c r="OO285" s="1"/>
      <c r="OP285" s="1"/>
      <c r="OQ285" s="1"/>
      <c r="OR285" s="1"/>
      <c r="OS285" s="1"/>
      <c r="OT285" s="1"/>
      <c r="OU285" s="1"/>
      <c r="OV285" s="1"/>
      <c r="OW285" s="1"/>
      <c r="OX285" s="1"/>
      <c r="OY285" s="1"/>
      <c r="OZ285" s="1"/>
      <c r="PA285" s="1"/>
      <c r="PB285" s="1"/>
      <c r="PC285" s="1"/>
      <c r="PD285" s="1"/>
      <c r="PE285" s="1"/>
      <c r="PF285" s="1"/>
      <c r="PG285" s="1"/>
      <c r="PH285" s="1"/>
      <c r="PI285" s="1"/>
      <c r="PJ285" s="1"/>
      <c r="PK285" s="1"/>
      <c r="PL285" s="1"/>
      <c r="PM285" s="1"/>
      <c r="PN285" s="1"/>
      <c r="PO285" s="1"/>
      <c r="PP285" s="1"/>
      <c r="PQ285" s="1"/>
      <c r="PR285" s="1"/>
      <c r="PS285" s="1"/>
      <c r="PT285" s="1"/>
      <c r="PU285" s="1"/>
      <c r="PV285" s="1"/>
      <c r="PW285" s="1"/>
      <c r="PX285" s="1"/>
      <c r="PY285" s="1"/>
      <c r="PZ285" s="1"/>
      <c r="QA285" s="1"/>
      <c r="QB285" s="1"/>
      <c r="QC285" s="1"/>
      <c r="QD285" s="1"/>
      <c r="QE285" s="1"/>
      <c r="QF285" s="1"/>
      <c r="QG285" s="1"/>
      <c r="QH285" s="1"/>
      <c r="QI285" s="1"/>
      <c r="QJ285" s="1"/>
      <c r="QK285" s="1"/>
      <c r="QL285" s="1"/>
      <c r="QM285" s="1"/>
      <c r="QN285" s="1"/>
      <c r="QO285" s="1"/>
      <c r="QP285" s="1"/>
      <c r="QQ285" s="1"/>
      <c r="QR285" s="1"/>
      <c r="QS285" s="1"/>
      <c r="QT285" s="1"/>
      <c r="QU285" s="1"/>
      <c r="QV285" s="1"/>
      <c r="QW285" s="1"/>
      <c r="QX285" s="1"/>
      <c r="QY285" s="1"/>
      <c r="QZ285" s="1"/>
      <c r="RA285" s="1"/>
      <c r="RB285" s="1"/>
      <c r="RC285" s="1"/>
      <c r="RD285" s="1"/>
      <c r="RE285" s="1"/>
      <c r="RF285" s="1"/>
      <c r="RG285" s="1"/>
      <c r="RH285" s="1"/>
      <c r="RI285" s="1"/>
      <c r="RJ285" s="1"/>
      <c r="RK285" s="1"/>
      <c r="RL285" s="1"/>
      <c r="RM285" s="1"/>
      <c r="RN285" s="1"/>
      <c r="RO285" s="1"/>
      <c r="RP285" s="1"/>
      <c r="RQ285" s="1"/>
      <c r="RR285" s="1"/>
      <c r="RS285" s="1"/>
      <c r="RT285" s="1"/>
      <c r="RU285" s="1"/>
      <c r="RV285" s="1"/>
      <c r="RW285" s="1"/>
      <c r="RX285" s="1"/>
      <c r="RY285" s="1"/>
      <c r="RZ285" s="1"/>
      <c r="SA285" s="1"/>
      <c r="SB285" s="1"/>
      <c r="SC285" s="1"/>
      <c r="SD285" s="1"/>
      <c r="SE285" s="1"/>
      <c r="SF285" s="1"/>
      <c r="SG285" s="1"/>
      <c r="SH285" s="1"/>
      <c r="SI285" s="1"/>
      <c r="SJ285" s="1"/>
      <c r="SK285" s="1"/>
      <c r="SL285" s="1"/>
      <c r="SM285" s="1"/>
      <c r="SN285" s="1"/>
      <c r="SO285" s="1"/>
      <c r="SP285" s="1"/>
      <c r="SQ285" s="1"/>
      <c r="SR285" s="1"/>
      <c r="SS285" s="1"/>
      <c r="ST285" s="1"/>
      <c r="SU285" s="1"/>
      <c r="SV285" s="1"/>
      <c r="SW285" s="1"/>
      <c r="SX285" s="1"/>
      <c r="SY285" s="1"/>
      <c r="SZ285" s="1"/>
      <c r="TA285" s="1"/>
      <c r="TB285" s="1"/>
      <c r="TC285" s="1"/>
      <c r="TD285" s="1"/>
      <c r="TE285" s="1"/>
      <c r="TF285" s="1"/>
      <c r="TG285" s="1"/>
      <c r="TH285" s="1"/>
      <c r="TI285" s="1"/>
      <c r="TJ285" s="1"/>
      <c r="TK285" s="1"/>
      <c r="TL285" s="1"/>
      <c r="TM285" s="1"/>
      <c r="TN285" s="1"/>
      <c r="TO285" s="1"/>
      <c r="TP285" s="1"/>
      <c r="TQ285" s="1"/>
      <c r="TR285" s="1"/>
      <c r="TS285" s="1"/>
      <c r="TT285" s="1"/>
      <c r="TU285" s="1"/>
      <c r="TV285" s="1"/>
      <c r="TW285" s="1"/>
      <c r="TX285" s="1"/>
      <c r="TY285" s="1"/>
      <c r="TZ285" s="1"/>
      <c r="UA285" s="1"/>
      <c r="UB285" s="1"/>
      <c r="UC285" s="1"/>
      <c r="UD285" s="1"/>
      <c r="UE285" s="1"/>
      <c r="UF285" s="1"/>
      <c r="UG285" s="1"/>
      <c r="UH285" s="1"/>
      <c r="UI285" s="1"/>
    </row>
    <row r="286" spans="1:555" ht="58.5" customHeight="1">
      <c r="A286" s="296">
        <v>385</v>
      </c>
      <c r="B286" s="297" t="s">
        <v>4143</v>
      </c>
      <c r="C286" s="298">
        <v>7363651</v>
      </c>
      <c r="D286" s="354" t="s">
        <v>67</v>
      </c>
      <c r="E286" s="299">
        <v>42720</v>
      </c>
      <c r="F286" s="300">
        <v>42705</v>
      </c>
      <c r="G286" s="301" t="s">
        <v>4094</v>
      </c>
      <c r="H286" s="297"/>
      <c r="I286" s="297"/>
      <c r="J286" s="299"/>
      <c r="K286" s="300"/>
      <c r="L286" s="301"/>
      <c r="M286" s="297"/>
      <c r="N286" s="297"/>
      <c r="O286" s="299"/>
      <c r="P286" s="302"/>
      <c r="Q286" s="301"/>
      <c r="R286" s="297"/>
      <c r="S286" s="297"/>
      <c r="T286" s="299"/>
      <c r="U286" s="300"/>
      <c r="V286" s="301"/>
      <c r="W286" s="297"/>
      <c r="X286" s="297"/>
      <c r="Y286" s="299"/>
      <c r="Z286" s="300"/>
      <c r="AA286" s="301"/>
      <c r="AB286" s="297"/>
      <c r="AC286" s="297"/>
      <c r="AD286" s="299"/>
      <c r="AE286" s="300"/>
      <c r="AF286" s="301"/>
      <c r="AG286" s="297"/>
      <c r="AH286" s="297"/>
      <c r="AI286" s="322"/>
      <c r="AJ286" s="300"/>
      <c r="AK286" s="301"/>
      <c r="AL286" s="297"/>
      <c r="AM286" s="297"/>
      <c r="AN286" s="297"/>
      <c r="AO286" s="473"/>
      <c r="AP286" s="297"/>
      <c r="AQ286" s="301" t="s">
        <v>7778</v>
      </c>
      <c r="AR286" s="297" t="s">
        <v>66</v>
      </c>
      <c r="AS286" s="299" t="s">
        <v>67</v>
      </c>
      <c r="AT286" s="299" t="s">
        <v>67</v>
      </c>
      <c r="AU286" s="297" t="s">
        <v>3827</v>
      </c>
      <c r="AV286" s="297"/>
      <c r="AW286" s="297" t="s">
        <v>69</v>
      </c>
      <c r="AX286" s="297" t="s">
        <v>7595</v>
      </c>
      <c r="AY286" s="299">
        <v>42723</v>
      </c>
      <c r="AZ286" s="297" t="s">
        <v>67</v>
      </c>
      <c r="BA286" s="299" t="s">
        <v>67</v>
      </c>
      <c r="BB286" s="382">
        <v>42723</v>
      </c>
      <c r="BC286" s="297" t="s">
        <v>3829</v>
      </c>
      <c r="BD286" s="297" t="s">
        <v>6447</v>
      </c>
      <c r="BE286" s="297"/>
      <c r="BF286" s="301"/>
      <c r="BG286" s="301" t="s">
        <v>67</v>
      </c>
      <c r="BH286" s="301" t="s">
        <v>4144</v>
      </c>
      <c r="BI286" s="301" t="s">
        <v>536</v>
      </c>
      <c r="BJ286" s="312">
        <v>1280141</v>
      </c>
      <c r="BK286" s="312">
        <v>1280141</v>
      </c>
      <c r="BL286" s="313">
        <v>5025917</v>
      </c>
      <c r="BM286" s="299">
        <v>42751</v>
      </c>
      <c r="BN286" s="314">
        <v>42736</v>
      </c>
      <c r="BO286" s="434" t="s">
        <v>4145</v>
      </c>
      <c r="BP286" s="397"/>
      <c r="BQ286" s="398"/>
      <c r="BR286" s="320"/>
      <c r="BS286" s="301"/>
      <c r="BT286" s="301"/>
      <c r="BU286" s="301"/>
      <c r="BV286" s="301"/>
      <c r="BW286" s="316"/>
      <c r="BX286" s="304"/>
      <c r="BY286" s="299"/>
      <c r="BZ286" s="317"/>
    </row>
    <row r="287" spans="1:555" s="259" customFormat="1" ht="54">
      <c r="A287" s="296">
        <v>386</v>
      </c>
      <c r="B287" s="297" t="s">
        <v>7782</v>
      </c>
      <c r="C287" s="298">
        <v>17417018</v>
      </c>
      <c r="D287" s="354" t="s">
        <v>67</v>
      </c>
      <c r="E287" s="299">
        <v>42720</v>
      </c>
      <c r="F287" s="300">
        <v>42705</v>
      </c>
      <c r="G287" s="301" t="s">
        <v>4094</v>
      </c>
      <c r="H287" s="297"/>
      <c r="I287" s="297"/>
      <c r="J287" s="299"/>
      <c r="K287" s="300"/>
      <c r="L287" s="301"/>
      <c r="M287" s="297"/>
      <c r="N287" s="297"/>
      <c r="O287" s="299"/>
      <c r="P287" s="302"/>
      <c r="Q287" s="301"/>
      <c r="R287" s="297"/>
      <c r="S287" s="297"/>
      <c r="T287" s="299"/>
      <c r="U287" s="300"/>
      <c r="V287" s="301"/>
      <c r="W287" s="297"/>
      <c r="X287" s="297"/>
      <c r="Y287" s="299"/>
      <c r="Z287" s="300"/>
      <c r="AA287" s="301"/>
      <c r="AB287" s="297"/>
      <c r="AC287" s="297"/>
      <c r="AD287" s="299"/>
      <c r="AE287" s="300"/>
      <c r="AF287" s="301"/>
      <c r="AG287" s="297"/>
      <c r="AH287" s="297"/>
      <c r="AI287" s="322"/>
      <c r="AJ287" s="300"/>
      <c r="AK287" s="301"/>
      <c r="AL287" s="297"/>
      <c r="AM287" s="297"/>
      <c r="AN287" s="297"/>
      <c r="AO287" s="473"/>
      <c r="AP287" s="297"/>
      <c r="AQ287" s="301" t="s">
        <v>7783</v>
      </c>
      <c r="AR287" s="297" t="s">
        <v>66</v>
      </c>
      <c r="AS287" s="299" t="s">
        <v>67</v>
      </c>
      <c r="AT287" s="299" t="s">
        <v>67</v>
      </c>
      <c r="AU287" s="297" t="s">
        <v>3827</v>
      </c>
      <c r="AV287" s="297"/>
      <c r="AW287" s="297" t="s">
        <v>69</v>
      </c>
      <c r="AX287" s="297" t="s">
        <v>7595</v>
      </c>
      <c r="AY287" s="299">
        <v>42723</v>
      </c>
      <c r="AZ287" s="297" t="s">
        <v>67</v>
      </c>
      <c r="BA287" s="299" t="s">
        <v>67</v>
      </c>
      <c r="BB287" s="382">
        <v>42723</v>
      </c>
      <c r="BC287" s="297" t="s">
        <v>3829</v>
      </c>
      <c r="BD287" s="297" t="s">
        <v>6447</v>
      </c>
      <c r="BE287" s="297"/>
      <c r="BF287" s="301"/>
      <c r="BG287" s="301" t="s">
        <v>67</v>
      </c>
      <c r="BH287" s="301" t="s">
        <v>4146</v>
      </c>
      <c r="BI287" s="301" t="s">
        <v>536</v>
      </c>
      <c r="BJ287" s="312">
        <v>394378</v>
      </c>
      <c r="BK287" s="312">
        <v>394378</v>
      </c>
      <c r="BL287" s="313">
        <v>5767017</v>
      </c>
      <c r="BM287" s="299">
        <v>42752</v>
      </c>
      <c r="BN287" s="314">
        <v>42736</v>
      </c>
      <c r="BO287" s="434" t="s">
        <v>4147</v>
      </c>
      <c r="BP287" s="397"/>
      <c r="BQ287" s="398"/>
      <c r="BR287" s="320"/>
      <c r="BS287" s="301"/>
      <c r="BT287" s="301"/>
      <c r="BU287" s="301"/>
      <c r="BV287" s="301"/>
      <c r="BW287" s="316"/>
      <c r="BX287" s="304"/>
      <c r="BY287" s="299"/>
      <c r="BZ287" s="317"/>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c r="IY287" s="1"/>
      <c r="IZ287" s="1"/>
      <c r="JA287" s="1"/>
      <c r="JB287" s="1"/>
      <c r="JC287" s="1"/>
      <c r="JD287" s="1"/>
      <c r="JE287" s="1"/>
      <c r="JF287" s="1"/>
      <c r="JG287" s="1"/>
      <c r="JH287" s="1"/>
      <c r="JI287" s="1"/>
      <c r="JJ287" s="1"/>
      <c r="JK287" s="1"/>
      <c r="JL287" s="1"/>
      <c r="JM287" s="1"/>
      <c r="JN287" s="1"/>
      <c r="JO287" s="1"/>
      <c r="JP287" s="1"/>
      <c r="JQ287" s="1"/>
      <c r="JR287" s="1"/>
      <c r="JS287" s="1"/>
      <c r="JT287" s="1"/>
      <c r="JU287" s="1"/>
      <c r="JV287" s="1"/>
      <c r="JW287" s="1"/>
      <c r="JX287" s="1"/>
      <c r="JY287" s="1"/>
      <c r="JZ287" s="1"/>
      <c r="KA287" s="1"/>
      <c r="KB287" s="1"/>
      <c r="KC287" s="1"/>
      <c r="KD287" s="1"/>
      <c r="KE287" s="1"/>
      <c r="KF287" s="1"/>
      <c r="KG287" s="1"/>
      <c r="KH287" s="1"/>
      <c r="KI287" s="1"/>
      <c r="KJ287" s="1"/>
      <c r="KK287" s="1"/>
      <c r="KL287" s="1"/>
      <c r="KM287" s="1"/>
      <c r="KN287" s="1"/>
      <c r="KO287" s="1"/>
      <c r="KP287" s="1"/>
      <c r="KQ287" s="1"/>
      <c r="KR287" s="1"/>
      <c r="KS287" s="1"/>
      <c r="KT287" s="1"/>
      <c r="KU287" s="1"/>
      <c r="KV287" s="1"/>
      <c r="KW287" s="1"/>
      <c r="KX287" s="1"/>
      <c r="KY287" s="1"/>
      <c r="KZ287" s="1"/>
      <c r="LA287" s="1"/>
      <c r="LB287" s="1"/>
      <c r="LC287" s="1"/>
      <c r="LD287" s="1"/>
      <c r="LE287" s="1"/>
      <c r="LF287" s="1"/>
      <c r="LG287" s="1"/>
      <c r="LH287" s="1"/>
      <c r="LI287" s="1"/>
      <c r="LJ287" s="1"/>
      <c r="LK287" s="1"/>
      <c r="LL287" s="1"/>
      <c r="LM287" s="1"/>
      <c r="LN287" s="1"/>
      <c r="LO287" s="1"/>
      <c r="LP287" s="1"/>
      <c r="LQ287" s="1"/>
      <c r="LR287" s="1"/>
      <c r="LS287" s="1"/>
      <c r="LT287" s="1"/>
      <c r="LU287" s="1"/>
      <c r="LV287" s="1"/>
      <c r="LW287" s="1"/>
      <c r="LX287" s="1"/>
      <c r="LY287" s="1"/>
      <c r="LZ287" s="1"/>
      <c r="MA287" s="1"/>
      <c r="MB287" s="1"/>
      <c r="MC287" s="1"/>
      <c r="MD287" s="1"/>
      <c r="ME287" s="1"/>
      <c r="MF287" s="1"/>
      <c r="MG287" s="1"/>
      <c r="MH287" s="1"/>
      <c r="MI287" s="1"/>
      <c r="MJ287" s="1"/>
      <c r="MK287" s="1"/>
      <c r="ML287" s="1"/>
      <c r="MM287" s="1"/>
      <c r="MN287" s="1"/>
      <c r="MO287" s="1"/>
      <c r="MP287" s="1"/>
      <c r="MQ287" s="1"/>
      <c r="MR287" s="1"/>
      <c r="MS287" s="1"/>
      <c r="MT287" s="1"/>
      <c r="MU287" s="1"/>
      <c r="MV287" s="1"/>
      <c r="MW287" s="1"/>
      <c r="MX287" s="1"/>
      <c r="MY287" s="1"/>
      <c r="MZ287" s="1"/>
      <c r="NA287" s="1"/>
      <c r="NB287" s="1"/>
      <c r="NC287" s="1"/>
      <c r="ND287" s="1"/>
      <c r="NE287" s="1"/>
      <c r="NF287" s="1"/>
      <c r="NG287" s="1"/>
      <c r="NH287" s="1"/>
      <c r="NI287" s="1"/>
      <c r="NJ287" s="1"/>
      <c r="NK287" s="1"/>
      <c r="NL287" s="1"/>
      <c r="NM287" s="1"/>
      <c r="NN287" s="1"/>
      <c r="NO287" s="1"/>
      <c r="NP287" s="1"/>
      <c r="NQ287" s="1"/>
      <c r="NR287" s="1"/>
      <c r="NS287" s="1"/>
      <c r="NT287" s="1"/>
      <c r="NU287" s="1"/>
      <c r="NV287" s="1"/>
      <c r="NW287" s="1"/>
      <c r="NX287" s="1"/>
      <c r="NY287" s="1"/>
      <c r="NZ287" s="1"/>
      <c r="OA287" s="1"/>
      <c r="OB287" s="1"/>
      <c r="OC287" s="1"/>
      <c r="OD287" s="1"/>
      <c r="OE287" s="1"/>
      <c r="OF287" s="1"/>
      <c r="OG287" s="1"/>
      <c r="OH287" s="1"/>
      <c r="OI287" s="1"/>
      <c r="OJ287" s="1"/>
      <c r="OK287" s="1"/>
      <c r="OL287" s="1"/>
      <c r="OM287" s="1"/>
      <c r="ON287" s="1"/>
      <c r="OO287" s="1"/>
      <c r="OP287" s="1"/>
      <c r="OQ287" s="1"/>
      <c r="OR287" s="1"/>
      <c r="OS287" s="1"/>
      <c r="OT287" s="1"/>
      <c r="OU287" s="1"/>
      <c r="OV287" s="1"/>
      <c r="OW287" s="1"/>
      <c r="OX287" s="1"/>
      <c r="OY287" s="1"/>
      <c r="OZ287" s="1"/>
      <c r="PA287" s="1"/>
      <c r="PB287" s="1"/>
      <c r="PC287" s="1"/>
      <c r="PD287" s="1"/>
      <c r="PE287" s="1"/>
      <c r="PF287" s="1"/>
      <c r="PG287" s="1"/>
      <c r="PH287" s="1"/>
      <c r="PI287" s="1"/>
      <c r="PJ287" s="1"/>
      <c r="PK287" s="1"/>
      <c r="PL287" s="1"/>
      <c r="PM287" s="1"/>
      <c r="PN287" s="1"/>
      <c r="PO287" s="1"/>
      <c r="PP287" s="1"/>
      <c r="PQ287" s="1"/>
      <c r="PR287" s="1"/>
      <c r="PS287" s="1"/>
      <c r="PT287" s="1"/>
      <c r="PU287" s="1"/>
      <c r="PV287" s="1"/>
      <c r="PW287" s="1"/>
      <c r="PX287" s="1"/>
      <c r="PY287" s="1"/>
      <c r="PZ287" s="1"/>
      <c r="QA287" s="1"/>
      <c r="QB287" s="1"/>
      <c r="QC287" s="1"/>
      <c r="QD287" s="1"/>
      <c r="QE287" s="1"/>
      <c r="QF287" s="1"/>
      <c r="QG287" s="1"/>
      <c r="QH287" s="1"/>
      <c r="QI287" s="1"/>
      <c r="QJ287" s="1"/>
      <c r="QK287" s="1"/>
      <c r="QL287" s="1"/>
      <c r="QM287" s="1"/>
      <c r="QN287" s="1"/>
      <c r="QO287" s="1"/>
      <c r="QP287" s="1"/>
      <c r="QQ287" s="1"/>
      <c r="QR287" s="1"/>
      <c r="QS287" s="1"/>
      <c r="QT287" s="1"/>
      <c r="QU287" s="1"/>
      <c r="QV287" s="1"/>
      <c r="QW287" s="1"/>
      <c r="QX287" s="1"/>
      <c r="QY287" s="1"/>
      <c r="QZ287" s="1"/>
      <c r="RA287" s="1"/>
      <c r="RB287" s="1"/>
      <c r="RC287" s="1"/>
      <c r="RD287" s="1"/>
      <c r="RE287" s="1"/>
      <c r="RF287" s="1"/>
      <c r="RG287" s="1"/>
      <c r="RH287" s="1"/>
      <c r="RI287" s="1"/>
      <c r="RJ287" s="1"/>
      <c r="RK287" s="1"/>
      <c r="RL287" s="1"/>
      <c r="RM287" s="1"/>
      <c r="RN287" s="1"/>
      <c r="RO287" s="1"/>
      <c r="RP287" s="1"/>
      <c r="RQ287" s="1"/>
      <c r="RR287" s="1"/>
      <c r="RS287" s="1"/>
      <c r="RT287" s="1"/>
      <c r="RU287" s="1"/>
      <c r="RV287" s="1"/>
      <c r="RW287" s="1"/>
      <c r="RX287" s="1"/>
      <c r="RY287" s="1"/>
      <c r="RZ287" s="1"/>
      <c r="SA287" s="1"/>
      <c r="SB287" s="1"/>
      <c r="SC287" s="1"/>
      <c r="SD287" s="1"/>
      <c r="SE287" s="1"/>
      <c r="SF287" s="1"/>
      <c r="SG287" s="1"/>
      <c r="SH287" s="1"/>
      <c r="SI287" s="1"/>
      <c r="SJ287" s="1"/>
      <c r="SK287" s="1"/>
      <c r="SL287" s="1"/>
      <c r="SM287" s="1"/>
      <c r="SN287" s="1"/>
      <c r="SO287" s="1"/>
      <c r="SP287" s="1"/>
      <c r="SQ287" s="1"/>
      <c r="SR287" s="1"/>
      <c r="SS287" s="1"/>
      <c r="ST287" s="1"/>
      <c r="SU287" s="1"/>
      <c r="SV287" s="1"/>
      <c r="SW287" s="1"/>
      <c r="SX287" s="1"/>
      <c r="SY287" s="1"/>
      <c r="SZ287" s="1"/>
      <c r="TA287" s="1"/>
      <c r="TB287" s="1"/>
      <c r="TC287" s="1"/>
      <c r="TD287" s="1"/>
      <c r="TE287" s="1"/>
      <c r="TF287" s="1"/>
      <c r="TG287" s="1"/>
      <c r="TH287" s="1"/>
      <c r="TI287" s="1"/>
      <c r="TJ287" s="1"/>
      <c r="TK287" s="1"/>
      <c r="TL287" s="1"/>
      <c r="TM287" s="1"/>
      <c r="TN287" s="1"/>
      <c r="TO287" s="1"/>
      <c r="TP287" s="1"/>
      <c r="TQ287" s="1"/>
      <c r="TR287" s="1"/>
      <c r="TS287" s="1"/>
      <c r="TT287" s="1"/>
      <c r="TU287" s="1"/>
      <c r="TV287" s="1"/>
      <c r="TW287" s="1"/>
      <c r="TX287" s="1"/>
      <c r="TY287" s="1"/>
      <c r="TZ287" s="1"/>
      <c r="UA287" s="1"/>
      <c r="UB287" s="1"/>
      <c r="UC287" s="1"/>
      <c r="UD287" s="1"/>
      <c r="UE287" s="1"/>
      <c r="UF287" s="1"/>
      <c r="UG287" s="1"/>
      <c r="UH287" s="1"/>
      <c r="UI287" s="1"/>
    </row>
    <row r="288" spans="1:555" s="509" customFormat="1" ht="93" customHeight="1">
      <c r="A288" s="296">
        <v>387</v>
      </c>
      <c r="B288" s="297" t="s">
        <v>4148</v>
      </c>
      <c r="C288" s="298">
        <v>79130530</v>
      </c>
      <c r="D288" s="354" t="s">
        <v>67</v>
      </c>
      <c r="E288" s="299">
        <v>42720</v>
      </c>
      <c r="F288" s="300">
        <v>42705</v>
      </c>
      <c r="G288" s="301" t="s">
        <v>4094</v>
      </c>
      <c r="H288" s="297"/>
      <c r="I288" s="297"/>
      <c r="J288" s="299"/>
      <c r="K288" s="300"/>
      <c r="L288" s="301"/>
      <c r="M288" s="297"/>
      <c r="N288" s="297"/>
      <c r="O288" s="299"/>
      <c r="P288" s="302"/>
      <c r="Q288" s="301"/>
      <c r="R288" s="297"/>
      <c r="S288" s="297"/>
      <c r="T288" s="299"/>
      <c r="U288" s="300"/>
      <c r="V288" s="301"/>
      <c r="W288" s="297"/>
      <c r="X288" s="297"/>
      <c r="Y288" s="299"/>
      <c r="Z288" s="300"/>
      <c r="AA288" s="301"/>
      <c r="AB288" s="297"/>
      <c r="AC288" s="297"/>
      <c r="AD288" s="299"/>
      <c r="AE288" s="300"/>
      <c r="AF288" s="301"/>
      <c r="AG288" s="297"/>
      <c r="AH288" s="297"/>
      <c r="AI288" s="322"/>
      <c r="AJ288" s="300"/>
      <c r="AK288" s="301"/>
      <c r="AL288" s="297"/>
      <c r="AM288" s="297"/>
      <c r="AN288" s="297"/>
      <c r="AO288" s="473"/>
      <c r="AP288" s="297"/>
      <c r="AQ288" s="301" t="s">
        <v>7816</v>
      </c>
      <c r="AR288" s="297" t="s">
        <v>66</v>
      </c>
      <c r="AS288" s="299" t="s">
        <v>67</v>
      </c>
      <c r="AT288" s="299" t="s">
        <v>67</v>
      </c>
      <c r="AU288" s="297" t="s">
        <v>3827</v>
      </c>
      <c r="AV288" s="297"/>
      <c r="AW288" s="297" t="s">
        <v>69</v>
      </c>
      <c r="AX288" s="297" t="s">
        <v>7817</v>
      </c>
      <c r="AY288" s="299">
        <v>42720</v>
      </c>
      <c r="AZ288" s="297" t="s">
        <v>67</v>
      </c>
      <c r="BA288" s="299" t="s">
        <v>67</v>
      </c>
      <c r="BB288" s="382">
        <v>42723</v>
      </c>
      <c r="BC288" s="297" t="s">
        <v>3829</v>
      </c>
      <c r="BD288" s="297" t="s">
        <v>6447</v>
      </c>
      <c r="BE288" s="297"/>
      <c r="BF288" s="301"/>
      <c r="BG288" s="301" t="s">
        <v>67</v>
      </c>
      <c r="BH288" s="301" t="s">
        <v>4149</v>
      </c>
      <c r="BI288" s="301" t="s">
        <v>536</v>
      </c>
      <c r="BJ288" s="312">
        <v>2508064</v>
      </c>
      <c r="BK288" s="312">
        <v>2508064</v>
      </c>
      <c r="BL288" s="313">
        <v>5774217</v>
      </c>
      <c r="BM288" s="299">
        <v>42752</v>
      </c>
      <c r="BN288" s="314">
        <v>42736</v>
      </c>
      <c r="BO288" s="460"/>
      <c r="BP288" s="390"/>
      <c r="BQ288" s="297"/>
      <c r="BR288" s="303"/>
      <c r="BS288" s="301"/>
      <c r="BT288" s="301"/>
      <c r="BU288" s="301"/>
      <c r="BV288" s="301"/>
      <c r="BW288" s="316"/>
      <c r="BX288" s="304"/>
      <c r="BY288" s="299"/>
      <c r="BZ288" s="317"/>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c r="IY288" s="1"/>
      <c r="IZ288" s="1"/>
      <c r="JA288" s="1"/>
      <c r="JB288" s="1"/>
      <c r="JC288" s="1"/>
      <c r="JD288" s="1"/>
      <c r="JE288" s="1"/>
      <c r="JF288" s="1"/>
      <c r="JG288" s="1"/>
      <c r="JH288" s="1"/>
      <c r="JI288" s="1"/>
      <c r="JJ288" s="1"/>
      <c r="JK288" s="1"/>
      <c r="JL288" s="1"/>
      <c r="JM288" s="1"/>
      <c r="JN288" s="1"/>
      <c r="JO288" s="1"/>
      <c r="JP288" s="1"/>
      <c r="JQ288" s="1"/>
      <c r="JR288" s="1"/>
      <c r="JS288" s="1"/>
      <c r="JT288" s="1"/>
      <c r="JU288" s="1"/>
      <c r="JV288" s="1"/>
      <c r="JW288" s="1"/>
      <c r="JX288" s="1"/>
      <c r="JY288" s="1"/>
      <c r="JZ288" s="1"/>
      <c r="KA288" s="1"/>
      <c r="KB288" s="1"/>
      <c r="KC288" s="1"/>
      <c r="KD288" s="1"/>
      <c r="KE288" s="1"/>
      <c r="KF288" s="1"/>
      <c r="KG288" s="1"/>
      <c r="KH288" s="1"/>
      <c r="KI288" s="1"/>
      <c r="KJ288" s="1"/>
      <c r="KK288" s="1"/>
      <c r="KL288" s="1"/>
      <c r="KM288" s="1"/>
      <c r="KN288" s="1"/>
      <c r="KO288" s="1"/>
      <c r="KP288" s="1"/>
      <c r="KQ288" s="1"/>
      <c r="KR288" s="1"/>
      <c r="KS288" s="1"/>
      <c r="KT288" s="1"/>
      <c r="KU288" s="1"/>
      <c r="KV288" s="1"/>
      <c r="KW288" s="1"/>
      <c r="KX288" s="1"/>
      <c r="KY288" s="1"/>
      <c r="KZ288" s="1"/>
      <c r="LA288" s="1"/>
      <c r="LB288" s="1"/>
      <c r="LC288" s="1"/>
      <c r="LD288" s="1"/>
      <c r="LE288" s="1"/>
      <c r="LF288" s="1"/>
      <c r="LG288" s="1"/>
      <c r="LH288" s="1"/>
      <c r="LI288" s="1"/>
      <c r="LJ288" s="1"/>
      <c r="LK288" s="1"/>
      <c r="LL288" s="1"/>
      <c r="LM288" s="1"/>
      <c r="LN288" s="1"/>
      <c r="LO288" s="1"/>
      <c r="LP288" s="1"/>
      <c r="LQ288" s="1"/>
      <c r="LR288" s="1"/>
      <c r="LS288" s="1"/>
      <c r="LT288" s="1"/>
      <c r="LU288" s="1"/>
      <c r="LV288" s="1"/>
      <c r="LW288" s="1"/>
      <c r="LX288" s="1"/>
      <c r="LY288" s="1"/>
      <c r="LZ288" s="1"/>
      <c r="MA288" s="1"/>
      <c r="MB288" s="1"/>
      <c r="MC288" s="1"/>
      <c r="MD288" s="1"/>
      <c r="ME288" s="1"/>
      <c r="MF288" s="1"/>
      <c r="MG288" s="1"/>
      <c r="MH288" s="1"/>
      <c r="MI288" s="1"/>
      <c r="MJ288" s="1"/>
      <c r="MK288" s="1"/>
      <c r="ML288" s="1"/>
      <c r="MM288" s="1"/>
      <c r="MN288" s="1"/>
      <c r="MO288" s="1"/>
      <c r="MP288" s="1"/>
      <c r="MQ288" s="1"/>
      <c r="MR288" s="1"/>
      <c r="MS288" s="1"/>
      <c r="MT288" s="1"/>
      <c r="MU288" s="1"/>
      <c r="MV288" s="1"/>
      <c r="MW288" s="1"/>
      <c r="MX288" s="1"/>
      <c r="MY288" s="1"/>
      <c r="MZ288" s="1"/>
      <c r="NA288" s="1"/>
      <c r="NB288" s="1"/>
      <c r="NC288" s="1"/>
      <c r="ND288" s="1"/>
      <c r="NE288" s="1"/>
      <c r="NF288" s="1"/>
      <c r="NG288" s="1"/>
      <c r="NH288" s="1"/>
      <c r="NI288" s="1"/>
      <c r="NJ288" s="1"/>
      <c r="NK288" s="1"/>
      <c r="NL288" s="1"/>
      <c r="NM288" s="1"/>
      <c r="NN288" s="1"/>
      <c r="NO288" s="1"/>
      <c r="NP288" s="1"/>
      <c r="NQ288" s="1"/>
      <c r="NR288" s="1"/>
      <c r="NS288" s="1"/>
      <c r="NT288" s="1"/>
      <c r="NU288" s="1"/>
      <c r="NV288" s="1"/>
      <c r="NW288" s="1"/>
      <c r="NX288" s="1"/>
      <c r="NY288" s="1"/>
      <c r="NZ288" s="1"/>
      <c r="OA288" s="1"/>
      <c r="OB288" s="1"/>
      <c r="OC288" s="1"/>
      <c r="OD288" s="1"/>
      <c r="OE288" s="1"/>
      <c r="OF288" s="1"/>
      <c r="OG288" s="1"/>
      <c r="OH288" s="1"/>
      <c r="OI288" s="1"/>
      <c r="OJ288" s="1"/>
      <c r="OK288" s="1"/>
      <c r="OL288" s="1"/>
      <c r="OM288" s="1"/>
      <c r="ON288" s="1"/>
      <c r="OO288" s="1"/>
      <c r="OP288" s="1"/>
      <c r="OQ288" s="1"/>
      <c r="OR288" s="1"/>
      <c r="OS288" s="1"/>
      <c r="OT288" s="1"/>
      <c r="OU288" s="1"/>
      <c r="OV288" s="1"/>
      <c r="OW288" s="1"/>
      <c r="OX288" s="1"/>
      <c r="OY288" s="1"/>
      <c r="OZ288" s="1"/>
      <c r="PA288" s="1"/>
      <c r="PB288" s="1"/>
      <c r="PC288" s="1"/>
      <c r="PD288" s="1"/>
      <c r="PE288" s="1"/>
      <c r="PF288" s="1"/>
      <c r="PG288" s="1"/>
      <c r="PH288" s="1"/>
      <c r="PI288" s="1"/>
      <c r="PJ288" s="1"/>
      <c r="PK288" s="1"/>
      <c r="PL288" s="1"/>
      <c r="PM288" s="1"/>
      <c r="PN288" s="1"/>
      <c r="PO288" s="1"/>
      <c r="PP288" s="1"/>
      <c r="PQ288" s="1"/>
      <c r="PR288" s="1"/>
      <c r="PS288" s="1"/>
      <c r="PT288" s="1"/>
      <c r="PU288" s="1"/>
      <c r="PV288" s="1"/>
      <c r="PW288" s="1"/>
      <c r="PX288" s="1"/>
      <c r="PY288" s="1"/>
      <c r="PZ288" s="1"/>
      <c r="QA288" s="1"/>
      <c r="QB288" s="1"/>
      <c r="QC288" s="1"/>
      <c r="QD288" s="1"/>
      <c r="QE288" s="1"/>
      <c r="QF288" s="1"/>
      <c r="QG288" s="1"/>
      <c r="QH288" s="1"/>
      <c r="QI288" s="1"/>
      <c r="QJ288" s="1"/>
      <c r="QK288" s="1"/>
      <c r="QL288" s="1"/>
      <c r="QM288" s="1"/>
      <c r="QN288" s="1"/>
      <c r="QO288" s="1"/>
      <c r="QP288" s="1"/>
      <c r="QQ288" s="1"/>
      <c r="QR288" s="1"/>
      <c r="QS288" s="1"/>
      <c r="QT288" s="1"/>
      <c r="QU288" s="1"/>
      <c r="QV288" s="1"/>
      <c r="QW288" s="1"/>
      <c r="QX288" s="1"/>
      <c r="QY288" s="1"/>
      <c r="QZ288" s="1"/>
      <c r="RA288" s="1"/>
      <c r="RB288" s="1"/>
      <c r="RC288" s="1"/>
      <c r="RD288" s="1"/>
      <c r="RE288" s="1"/>
      <c r="RF288" s="1"/>
      <c r="RG288" s="1"/>
      <c r="RH288" s="1"/>
      <c r="RI288" s="1"/>
      <c r="RJ288" s="1"/>
      <c r="RK288" s="1"/>
      <c r="RL288" s="1"/>
      <c r="RM288" s="1"/>
      <c r="RN288" s="1"/>
      <c r="RO288" s="1"/>
      <c r="RP288" s="1"/>
      <c r="RQ288" s="1"/>
      <c r="RR288" s="1"/>
      <c r="RS288" s="1"/>
      <c r="RT288" s="1"/>
      <c r="RU288" s="1"/>
      <c r="RV288" s="1"/>
      <c r="RW288" s="1"/>
      <c r="RX288" s="1"/>
      <c r="RY288" s="1"/>
      <c r="RZ288" s="1"/>
      <c r="SA288" s="1"/>
      <c r="SB288" s="1"/>
      <c r="SC288" s="1"/>
      <c r="SD288" s="1"/>
      <c r="SE288" s="1"/>
      <c r="SF288" s="1"/>
      <c r="SG288" s="1"/>
      <c r="SH288" s="1"/>
      <c r="SI288" s="1"/>
      <c r="SJ288" s="1"/>
      <c r="SK288" s="1"/>
      <c r="SL288" s="1"/>
      <c r="SM288" s="1"/>
      <c r="SN288" s="1"/>
      <c r="SO288" s="1"/>
      <c r="SP288" s="1"/>
      <c r="SQ288" s="1"/>
      <c r="SR288" s="1"/>
      <c r="SS288" s="1"/>
      <c r="ST288" s="1"/>
      <c r="SU288" s="1"/>
      <c r="SV288" s="1"/>
      <c r="SW288" s="1"/>
      <c r="SX288" s="1"/>
      <c r="SY288" s="1"/>
      <c r="SZ288" s="1"/>
      <c r="TA288" s="1"/>
      <c r="TB288" s="1"/>
      <c r="TC288" s="1"/>
      <c r="TD288" s="1"/>
      <c r="TE288" s="1"/>
      <c r="TF288" s="1"/>
      <c r="TG288" s="1"/>
      <c r="TH288" s="1"/>
      <c r="TI288" s="1"/>
      <c r="TJ288" s="1"/>
      <c r="TK288" s="1"/>
      <c r="TL288" s="1"/>
      <c r="TM288" s="1"/>
      <c r="TN288" s="1"/>
      <c r="TO288" s="1"/>
      <c r="TP288" s="1"/>
      <c r="TQ288" s="1"/>
      <c r="TR288" s="1"/>
      <c r="TS288" s="1"/>
      <c r="TT288" s="1"/>
      <c r="TU288" s="1"/>
      <c r="TV288" s="1"/>
      <c r="TW288" s="1"/>
      <c r="TX288" s="1"/>
      <c r="TY288" s="1"/>
      <c r="TZ288" s="1"/>
      <c r="UA288" s="1"/>
      <c r="UB288" s="1"/>
      <c r="UC288" s="1"/>
      <c r="UD288" s="1"/>
      <c r="UE288" s="1"/>
      <c r="UF288" s="1"/>
      <c r="UG288" s="1"/>
      <c r="UH288" s="1"/>
      <c r="UI288" s="1"/>
    </row>
    <row r="289" spans="1:555" ht="93" customHeight="1">
      <c r="A289" s="296">
        <v>388</v>
      </c>
      <c r="B289" s="297" t="s">
        <v>4150</v>
      </c>
      <c r="C289" s="298">
        <v>80409280</v>
      </c>
      <c r="D289" s="354" t="s">
        <v>67</v>
      </c>
      <c r="E289" s="299">
        <v>42720</v>
      </c>
      <c r="F289" s="300">
        <v>42705</v>
      </c>
      <c r="G289" s="301" t="s">
        <v>4094</v>
      </c>
      <c r="H289" s="297"/>
      <c r="I289" s="297"/>
      <c r="J289" s="299"/>
      <c r="K289" s="300"/>
      <c r="L289" s="301"/>
      <c r="M289" s="297"/>
      <c r="N289" s="297"/>
      <c r="O289" s="299"/>
      <c r="P289" s="302"/>
      <c r="Q289" s="301"/>
      <c r="R289" s="297"/>
      <c r="S289" s="297"/>
      <c r="T289" s="299"/>
      <c r="U289" s="300"/>
      <c r="V289" s="301"/>
      <c r="W289" s="297"/>
      <c r="X289" s="297"/>
      <c r="Y289" s="299"/>
      <c r="Z289" s="300"/>
      <c r="AA289" s="301"/>
      <c r="AB289" s="297"/>
      <c r="AC289" s="297"/>
      <c r="AD289" s="299"/>
      <c r="AE289" s="300"/>
      <c r="AF289" s="301"/>
      <c r="AG289" s="297"/>
      <c r="AH289" s="297"/>
      <c r="AI289" s="322"/>
      <c r="AJ289" s="300"/>
      <c r="AK289" s="301"/>
      <c r="AL289" s="297"/>
      <c r="AM289" s="297"/>
      <c r="AN289" s="297"/>
      <c r="AO289" s="473"/>
      <c r="AP289" s="297"/>
      <c r="AQ289" s="301" t="s">
        <v>7594</v>
      </c>
      <c r="AR289" s="297" t="s">
        <v>66</v>
      </c>
      <c r="AS289" s="299" t="s">
        <v>67</v>
      </c>
      <c r="AT289" s="299" t="s">
        <v>67</v>
      </c>
      <c r="AU289" s="297" t="s">
        <v>3827</v>
      </c>
      <c r="AV289" s="297"/>
      <c r="AW289" s="297" t="s">
        <v>69</v>
      </c>
      <c r="AX289" s="297" t="s">
        <v>7595</v>
      </c>
      <c r="AY289" s="299">
        <v>42723</v>
      </c>
      <c r="AZ289" s="297" t="s">
        <v>67</v>
      </c>
      <c r="BA289" s="299" t="s">
        <v>67</v>
      </c>
      <c r="BB289" s="382">
        <v>42723</v>
      </c>
      <c r="BC289" s="297" t="s">
        <v>3829</v>
      </c>
      <c r="BD289" s="297" t="s">
        <v>6447</v>
      </c>
      <c r="BE289" s="297"/>
      <c r="BF289" s="301"/>
      <c r="BG289" s="301" t="s">
        <v>67</v>
      </c>
      <c r="BH289" s="301" t="s">
        <v>4151</v>
      </c>
      <c r="BI289" s="301" t="s">
        <v>536</v>
      </c>
      <c r="BJ289" s="312">
        <v>1641711</v>
      </c>
      <c r="BK289" s="312">
        <v>1641711</v>
      </c>
      <c r="BL289" s="313">
        <v>5788717</v>
      </c>
      <c r="BM289" s="299">
        <v>42752</v>
      </c>
      <c r="BN289" s="314">
        <v>42736</v>
      </c>
      <c r="BO289" s="434" t="s">
        <v>4152</v>
      </c>
      <c r="BP289" s="397"/>
      <c r="BQ289" s="398"/>
      <c r="BR289" s="320"/>
      <c r="BS289" s="301"/>
      <c r="BT289" s="301"/>
      <c r="BU289" s="301"/>
      <c r="BV289" s="301"/>
      <c r="BW289" s="316"/>
      <c r="BX289" s="304"/>
      <c r="BY289" s="299"/>
      <c r="BZ289" s="317"/>
    </row>
    <row r="290" spans="1:555" ht="40.5">
      <c r="A290" s="296">
        <v>389</v>
      </c>
      <c r="B290" s="297" t="s">
        <v>4153</v>
      </c>
      <c r="C290" s="298">
        <v>98569040</v>
      </c>
      <c r="D290" s="354" t="s">
        <v>67</v>
      </c>
      <c r="E290" s="299">
        <v>42720</v>
      </c>
      <c r="F290" s="300">
        <v>42705</v>
      </c>
      <c r="G290" s="301" t="s">
        <v>4094</v>
      </c>
      <c r="H290" s="297"/>
      <c r="I290" s="297"/>
      <c r="J290" s="299"/>
      <c r="K290" s="300"/>
      <c r="L290" s="301"/>
      <c r="M290" s="297"/>
      <c r="N290" s="297"/>
      <c r="O290" s="299"/>
      <c r="P290" s="302"/>
      <c r="Q290" s="301"/>
      <c r="R290" s="297"/>
      <c r="S290" s="297"/>
      <c r="T290" s="299"/>
      <c r="U290" s="300"/>
      <c r="V290" s="301"/>
      <c r="W290" s="297"/>
      <c r="X290" s="297"/>
      <c r="Y290" s="299"/>
      <c r="Z290" s="300"/>
      <c r="AA290" s="301"/>
      <c r="AB290" s="297"/>
      <c r="AC290" s="297"/>
      <c r="AD290" s="299"/>
      <c r="AE290" s="300"/>
      <c r="AF290" s="301"/>
      <c r="AG290" s="297"/>
      <c r="AH290" s="297"/>
      <c r="AI290" s="322"/>
      <c r="AJ290" s="300"/>
      <c r="AK290" s="301"/>
      <c r="AL290" s="297"/>
      <c r="AM290" s="297"/>
      <c r="AN290" s="297"/>
      <c r="AO290" s="473"/>
      <c r="AP290" s="297"/>
      <c r="AQ290" s="301" t="s">
        <v>7933</v>
      </c>
      <c r="AR290" s="297" t="s">
        <v>66</v>
      </c>
      <c r="AS290" s="299" t="s">
        <v>67</v>
      </c>
      <c r="AT290" s="299" t="s">
        <v>67</v>
      </c>
      <c r="AU290" s="297" t="s">
        <v>3827</v>
      </c>
      <c r="AV290" s="297"/>
      <c r="AW290" s="297" t="s">
        <v>69</v>
      </c>
      <c r="AX290" s="297" t="s">
        <v>4133</v>
      </c>
      <c r="AY290" s="299">
        <v>42723</v>
      </c>
      <c r="AZ290" s="297" t="s">
        <v>67</v>
      </c>
      <c r="BA290" s="299" t="s">
        <v>67</v>
      </c>
      <c r="BB290" s="382">
        <v>42723</v>
      </c>
      <c r="BC290" s="297" t="s">
        <v>3829</v>
      </c>
      <c r="BD290" s="297" t="s">
        <v>6447</v>
      </c>
      <c r="BE290" s="297"/>
      <c r="BF290" s="301"/>
      <c r="BG290" s="301" t="s">
        <v>67</v>
      </c>
      <c r="BH290" s="301" t="s">
        <v>4154</v>
      </c>
      <c r="BI290" s="301" t="s">
        <v>536</v>
      </c>
      <c r="BJ290" s="312">
        <v>610070</v>
      </c>
      <c r="BK290" s="312">
        <v>610070</v>
      </c>
      <c r="BL290" s="313">
        <v>18941017</v>
      </c>
      <c r="BM290" s="299">
        <v>42767</v>
      </c>
      <c r="BN290" s="314">
        <v>42767</v>
      </c>
      <c r="BO290" s="460"/>
      <c r="BP290" s="390"/>
      <c r="BQ290" s="297"/>
      <c r="BR290" s="303"/>
      <c r="BS290" s="301"/>
      <c r="BT290" s="301"/>
      <c r="BU290" s="301"/>
      <c r="BV290" s="301"/>
      <c r="BW290" s="316"/>
      <c r="BX290" s="304"/>
      <c r="BY290" s="299"/>
      <c r="BZ290" s="317"/>
    </row>
    <row r="291" spans="1:555" s="509" customFormat="1" ht="54.75" customHeight="1">
      <c r="A291" s="296">
        <v>391</v>
      </c>
      <c r="B291" s="297" t="s">
        <v>4160</v>
      </c>
      <c r="C291" s="298">
        <v>6162507</v>
      </c>
      <c r="D291" s="354" t="s">
        <v>1153</v>
      </c>
      <c r="E291" s="299">
        <v>42732</v>
      </c>
      <c r="F291" s="300">
        <v>42705</v>
      </c>
      <c r="G291" s="301" t="s">
        <v>4161</v>
      </c>
      <c r="H291" s="297" t="s">
        <v>5</v>
      </c>
      <c r="I291" s="297" t="s">
        <v>101</v>
      </c>
      <c r="J291" s="299">
        <v>42790</v>
      </c>
      <c r="K291" s="300">
        <v>42767</v>
      </c>
      <c r="L291" s="301" t="s">
        <v>4162</v>
      </c>
      <c r="M291" s="297" t="s">
        <v>5</v>
      </c>
      <c r="N291" s="297" t="s">
        <v>336</v>
      </c>
      <c r="O291" s="299">
        <v>43039</v>
      </c>
      <c r="P291" s="302">
        <v>43009</v>
      </c>
      <c r="Q291" s="301" t="s">
        <v>4163</v>
      </c>
      <c r="R291" s="297" t="s">
        <v>5</v>
      </c>
      <c r="S291" s="297" t="s">
        <v>85</v>
      </c>
      <c r="T291" s="299"/>
      <c r="U291" s="300"/>
      <c r="V291" s="301"/>
      <c r="W291" s="297"/>
      <c r="X291" s="297"/>
      <c r="Y291" s="299"/>
      <c r="Z291" s="300"/>
      <c r="AA291" s="301"/>
      <c r="AB291" s="297"/>
      <c r="AC291" s="297"/>
      <c r="AD291" s="299"/>
      <c r="AE291" s="300"/>
      <c r="AF291" s="301"/>
      <c r="AG291" s="297"/>
      <c r="AH291" s="297"/>
      <c r="AI291" s="322"/>
      <c r="AJ291" s="300"/>
      <c r="AK291" s="301"/>
      <c r="AL291" s="297"/>
      <c r="AM291" s="297"/>
      <c r="AN291" s="297" t="s">
        <v>1359</v>
      </c>
      <c r="AO291" s="473"/>
      <c r="AP291" s="297"/>
      <c r="AQ291" s="301" t="s">
        <v>4164</v>
      </c>
      <c r="AR291" s="297" t="s">
        <v>66</v>
      </c>
      <c r="AS291" s="299">
        <v>37956</v>
      </c>
      <c r="AT291" s="299">
        <v>39794</v>
      </c>
      <c r="AU291" s="297" t="s">
        <v>4165</v>
      </c>
      <c r="AV291" s="297"/>
      <c r="AW291" s="297" t="s">
        <v>92</v>
      </c>
      <c r="AX291" s="297" t="s">
        <v>265</v>
      </c>
      <c r="AY291" s="299">
        <v>41547</v>
      </c>
      <c r="AZ291" s="297" t="s">
        <v>2657</v>
      </c>
      <c r="BA291" s="299">
        <v>42618</v>
      </c>
      <c r="BB291" s="382">
        <v>42627</v>
      </c>
      <c r="BC291" s="297" t="s">
        <v>95</v>
      </c>
      <c r="BD291" s="297" t="s">
        <v>566</v>
      </c>
      <c r="BE291" s="297"/>
      <c r="BF291" s="301"/>
      <c r="BG291" s="301" t="s">
        <v>4166</v>
      </c>
      <c r="BH291" s="301" t="s">
        <v>4167</v>
      </c>
      <c r="BI291" s="301"/>
      <c r="BJ291" s="312">
        <v>139856858</v>
      </c>
      <c r="BK291" s="312">
        <v>139856858</v>
      </c>
      <c r="BL291" s="313" t="s">
        <v>4168</v>
      </c>
      <c r="BM291" s="299">
        <v>43118</v>
      </c>
      <c r="BN291" s="314">
        <v>43101</v>
      </c>
      <c r="BO291" s="460" t="s">
        <v>4169</v>
      </c>
      <c r="BP291" s="390"/>
      <c r="BQ291" s="297"/>
      <c r="BR291" s="303"/>
      <c r="BS291" s="301"/>
      <c r="BT291" s="301"/>
      <c r="BU291" s="301"/>
      <c r="BV291" s="301"/>
      <c r="BW291" s="316"/>
      <c r="BX291" s="304"/>
      <c r="BY291" s="299"/>
      <c r="BZ291" s="317"/>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c r="IY291" s="1"/>
      <c r="IZ291" s="1"/>
      <c r="JA291" s="1"/>
      <c r="JB291" s="1"/>
      <c r="JC291" s="1"/>
      <c r="JD291" s="1"/>
      <c r="JE291" s="1"/>
      <c r="JF291" s="1"/>
      <c r="JG291" s="1"/>
      <c r="JH291" s="1"/>
      <c r="JI291" s="1"/>
      <c r="JJ291" s="1"/>
      <c r="JK291" s="1"/>
      <c r="JL291" s="1"/>
      <c r="JM291" s="1"/>
      <c r="JN291" s="1"/>
      <c r="JO291" s="1"/>
      <c r="JP291" s="1"/>
      <c r="JQ291" s="1"/>
      <c r="JR291" s="1"/>
      <c r="JS291" s="1"/>
      <c r="JT291" s="1"/>
      <c r="JU291" s="1"/>
      <c r="JV291" s="1"/>
      <c r="JW291" s="1"/>
      <c r="JX291" s="1"/>
      <c r="JY291" s="1"/>
      <c r="JZ291" s="1"/>
      <c r="KA291" s="1"/>
      <c r="KB291" s="1"/>
      <c r="KC291" s="1"/>
      <c r="KD291" s="1"/>
      <c r="KE291" s="1"/>
      <c r="KF291" s="1"/>
      <c r="KG291" s="1"/>
      <c r="KH291" s="1"/>
      <c r="KI291" s="1"/>
      <c r="KJ291" s="1"/>
      <c r="KK291" s="1"/>
      <c r="KL291" s="1"/>
      <c r="KM291" s="1"/>
      <c r="KN291" s="1"/>
      <c r="KO291" s="1"/>
      <c r="KP291" s="1"/>
      <c r="KQ291" s="1"/>
      <c r="KR291" s="1"/>
      <c r="KS291" s="1"/>
      <c r="KT291" s="1"/>
      <c r="KU291" s="1"/>
      <c r="KV291" s="1"/>
      <c r="KW291" s="1"/>
      <c r="KX291" s="1"/>
      <c r="KY291" s="1"/>
      <c r="KZ291" s="1"/>
      <c r="LA291" s="1"/>
      <c r="LB291" s="1"/>
      <c r="LC291" s="1"/>
      <c r="LD291" s="1"/>
      <c r="LE291" s="1"/>
      <c r="LF291" s="1"/>
      <c r="LG291" s="1"/>
      <c r="LH291" s="1"/>
      <c r="LI291" s="1"/>
      <c r="LJ291" s="1"/>
      <c r="LK291" s="1"/>
      <c r="LL291" s="1"/>
      <c r="LM291" s="1"/>
      <c r="LN291" s="1"/>
      <c r="LO291" s="1"/>
      <c r="LP291" s="1"/>
      <c r="LQ291" s="1"/>
      <c r="LR291" s="1"/>
      <c r="LS291" s="1"/>
      <c r="LT291" s="1"/>
      <c r="LU291" s="1"/>
      <c r="LV291" s="1"/>
      <c r="LW291" s="1"/>
      <c r="LX291" s="1"/>
      <c r="LY291" s="1"/>
      <c r="LZ291" s="1"/>
      <c r="MA291" s="1"/>
      <c r="MB291" s="1"/>
      <c r="MC291" s="1"/>
      <c r="MD291" s="1"/>
      <c r="ME291" s="1"/>
      <c r="MF291" s="1"/>
      <c r="MG291" s="1"/>
      <c r="MH291" s="1"/>
      <c r="MI291" s="1"/>
      <c r="MJ291" s="1"/>
      <c r="MK291" s="1"/>
      <c r="ML291" s="1"/>
      <c r="MM291" s="1"/>
      <c r="MN291" s="1"/>
      <c r="MO291" s="1"/>
      <c r="MP291" s="1"/>
      <c r="MQ291" s="1"/>
      <c r="MR291" s="1"/>
      <c r="MS291" s="1"/>
      <c r="MT291" s="1"/>
      <c r="MU291" s="1"/>
      <c r="MV291" s="1"/>
      <c r="MW291" s="1"/>
      <c r="MX291" s="1"/>
      <c r="MY291" s="1"/>
      <c r="MZ291" s="1"/>
      <c r="NA291" s="1"/>
      <c r="NB291" s="1"/>
      <c r="NC291" s="1"/>
      <c r="ND291" s="1"/>
      <c r="NE291" s="1"/>
      <c r="NF291" s="1"/>
      <c r="NG291" s="1"/>
      <c r="NH291" s="1"/>
      <c r="NI291" s="1"/>
      <c r="NJ291" s="1"/>
      <c r="NK291" s="1"/>
      <c r="NL291" s="1"/>
      <c r="NM291" s="1"/>
      <c r="NN291" s="1"/>
      <c r="NO291" s="1"/>
      <c r="NP291" s="1"/>
      <c r="NQ291" s="1"/>
      <c r="NR291" s="1"/>
      <c r="NS291" s="1"/>
      <c r="NT291" s="1"/>
      <c r="NU291" s="1"/>
      <c r="NV291" s="1"/>
      <c r="NW291" s="1"/>
      <c r="NX291" s="1"/>
      <c r="NY291" s="1"/>
      <c r="NZ291" s="1"/>
      <c r="OA291" s="1"/>
      <c r="OB291" s="1"/>
      <c r="OC291" s="1"/>
      <c r="OD291" s="1"/>
      <c r="OE291" s="1"/>
      <c r="OF291" s="1"/>
      <c r="OG291" s="1"/>
      <c r="OH291" s="1"/>
      <c r="OI291" s="1"/>
      <c r="OJ291" s="1"/>
      <c r="OK291" s="1"/>
      <c r="OL291" s="1"/>
      <c r="OM291" s="1"/>
      <c r="ON291" s="1"/>
      <c r="OO291" s="1"/>
      <c r="OP291" s="1"/>
      <c r="OQ291" s="1"/>
      <c r="OR291" s="1"/>
      <c r="OS291" s="1"/>
      <c r="OT291" s="1"/>
      <c r="OU291" s="1"/>
      <c r="OV291" s="1"/>
      <c r="OW291" s="1"/>
      <c r="OX291" s="1"/>
      <c r="OY291" s="1"/>
      <c r="OZ291" s="1"/>
      <c r="PA291" s="1"/>
      <c r="PB291" s="1"/>
      <c r="PC291" s="1"/>
      <c r="PD291" s="1"/>
      <c r="PE291" s="1"/>
      <c r="PF291" s="1"/>
      <c r="PG291" s="1"/>
      <c r="PH291" s="1"/>
      <c r="PI291" s="1"/>
      <c r="PJ291" s="1"/>
      <c r="PK291" s="1"/>
      <c r="PL291" s="1"/>
      <c r="PM291" s="1"/>
      <c r="PN291" s="1"/>
      <c r="PO291" s="1"/>
      <c r="PP291" s="1"/>
      <c r="PQ291" s="1"/>
      <c r="PR291" s="1"/>
      <c r="PS291" s="1"/>
      <c r="PT291" s="1"/>
      <c r="PU291" s="1"/>
      <c r="PV291" s="1"/>
      <c r="PW291" s="1"/>
      <c r="PX291" s="1"/>
      <c r="PY291" s="1"/>
      <c r="PZ291" s="1"/>
      <c r="QA291" s="1"/>
      <c r="QB291" s="1"/>
      <c r="QC291" s="1"/>
      <c r="QD291" s="1"/>
      <c r="QE291" s="1"/>
      <c r="QF291" s="1"/>
      <c r="QG291" s="1"/>
      <c r="QH291" s="1"/>
      <c r="QI291" s="1"/>
      <c r="QJ291" s="1"/>
      <c r="QK291" s="1"/>
      <c r="QL291" s="1"/>
      <c r="QM291" s="1"/>
      <c r="QN291" s="1"/>
      <c r="QO291" s="1"/>
      <c r="QP291" s="1"/>
      <c r="QQ291" s="1"/>
      <c r="QR291" s="1"/>
      <c r="QS291" s="1"/>
      <c r="QT291" s="1"/>
      <c r="QU291" s="1"/>
      <c r="QV291" s="1"/>
      <c r="QW291" s="1"/>
      <c r="QX291" s="1"/>
      <c r="QY291" s="1"/>
      <c r="QZ291" s="1"/>
      <c r="RA291" s="1"/>
      <c r="RB291" s="1"/>
      <c r="RC291" s="1"/>
      <c r="RD291" s="1"/>
      <c r="RE291" s="1"/>
      <c r="RF291" s="1"/>
      <c r="RG291" s="1"/>
      <c r="RH291" s="1"/>
      <c r="RI291" s="1"/>
      <c r="RJ291" s="1"/>
      <c r="RK291" s="1"/>
      <c r="RL291" s="1"/>
      <c r="RM291" s="1"/>
      <c r="RN291" s="1"/>
      <c r="RO291" s="1"/>
      <c r="RP291" s="1"/>
      <c r="RQ291" s="1"/>
      <c r="RR291" s="1"/>
      <c r="RS291" s="1"/>
      <c r="RT291" s="1"/>
      <c r="RU291" s="1"/>
      <c r="RV291" s="1"/>
      <c r="RW291" s="1"/>
      <c r="RX291" s="1"/>
      <c r="RY291" s="1"/>
      <c r="RZ291" s="1"/>
      <c r="SA291" s="1"/>
      <c r="SB291" s="1"/>
      <c r="SC291" s="1"/>
      <c r="SD291" s="1"/>
      <c r="SE291" s="1"/>
      <c r="SF291" s="1"/>
      <c r="SG291" s="1"/>
      <c r="SH291" s="1"/>
      <c r="SI291" s="1"/>
      <c r="SJ291" s="1"/>
      <c r="SK291" s="1"/>
      <c r="SL291" s="1"/>
      <c r="SM291" s="1"/>
      <c r="SN291" s="1"/>
      <c r="SO291" s="1"/>
      <c r="SP291" s="1"/>
      <c r="SQ291" s="1"/>
      <c r="SR291" s="1"/>
      <c r="SS291" s="1"/>
      <c r="ST291" s="1"/>
      <c r="SU291" s="1"/>
      <c r="SV291" s="1"/>
      <c r="SW291" s="1"/>
      <c r="SX291" s="1"/>
      <c r="SY291" s="1"/>
      <c r="SZ291" s="1"/>
      <c r="TA291" s="1"/>
      <c r="TB291" s="1"/>
      <c r="TC291" s="1"/>
      <c r="TD291" s="1"/>
      <c r="TE291" s="1"/>
      <c r="TF291" s="1"/>
      <c r="TG291" s="1"/>
      <c r="TH291" s="1"/>
      <c r="TI291" s="1"/>
      <c r="TJ291" s="1"/>
      <c r="TK291" s="1"/>
      <c r="TL291" s="1"/>
      <c r="TM291" s="1"/>
      <c r="TN291" s="1"/>
      <c r="TO291" s="1"/>
      <c r="TP291" s="1"/>
      <c r="TQ291" s="1"/>
      <c r="TR291" s="1"/>
      <c r="TS291" s="1"/>
      <c r="TT291" s="1"/>
      <c r="TU291" s="1"/>
      <c r="TV291" s="1"/>
      <c r="TW291" s="1"/>
      <c r="TX291" s="1"/>
      <c r="TY291" s="1"/>
      <c r="TZ291" s="1"/>
      <c r="UA291" s="1"/>
      <c r="UB291" s="1"/>
      <c r="UC291" s="1"/>
      <c r="UD291" s="1"/>
      <c r="UE291" s="1"/>
      <c r="UF291" s="1"/>
      <c r="UG291" s="1"/>
      <c r="UH291" s="1"/>
      <c r="UI291" s="1"/>
    </row>
    <row r="292" spans="1:555" ht="175.5">
      <c r="A292" s="296">
        <v>392</v>
      </c>
      <c r="B292" s="297" t="s">
        <v>4170</v>
      </c>
      <c r="C292" s="298">
        <v>79804285</v>
      </c>
      <c r="D292" s="354" t="s">
        <v>597</v>
      </c>
      <c r="E292" s="299">
        <v>42748</v>
      </c>
      <c r="F292" s="300">
        <v>42736</v>
      </c>
      <c r="G292" s="301" t="s">
        <v>4171</v>
      </c>
      <c r="H292" s="297" t="s">
        <v>63</v>
      </c>
      <c r="I292" s="297" t="s">
        <v>183</v>
      </c>
      <c r="J292" s="299">
        <v>42760</v>
      </c>
      <c r="K292" s="300">
        <v>42736</v>
      </c>
      <c r="L292" s="301" t="s">
        <v>4172</v>
      </c>
      <c r="M292" s="297" t="s">
        <v>63</v>
      </c>
      <c r="N292" s="297" t="s">
        <v>183</v>
      </c>
      <c r="O292" s="299">
        <v>42752</v>
      </c>
      <c r="P292" s="302">
        <v>42736</v>
      </c>
      <c r="Q292" s="301" t="s">
        <v>3280</v>
      </c>
      <c r="R292" s="297" t="s">
        <v>63</v>
      </c>
      <c r="S292" s="297" t="s">
        <v>79</v>
      </c>
      <c r="T292" s="299">
        <v>43032</v>
      </c>
      <c r="U292" s="300">
        <v>43009</v>
      </c>
      <c r="V292" s="301" t="s">
        <v>4173</v>
      </c>
      <c r="W292" s="297" t="s">
        <v>63</v>
      </c>
      <c r="X292" s="297" t="s">
        <v>3284</v>
      </c>
      <c r="Y292" s="299"/>
      <c r="Z292" s="300"/>
      <c r="AA292" s="301"/>
      <c r="AB292" s="297"/>
      <c r="AC292" s="297"/>
      <c r="AD292" s="299"/>
      <c r="AE292" s="300"/>
      <c r="AF292" s="301"/>
      <c r="AG292" s="297"/>
      <c r="AH292" s="297"/>
      <c r="AI292" s="322"/>
      <c r="AJ292" s="300"/>
      <c r="AK292" s="301"/>
      <c r="AL292" s="297"/>
      <c r="AM292" s="297"/>
      <c r="AN292" s="297" t="s">
        <v>4174</v>
      </c>
      <c r="AO292" s="540">
        <v>42822</v>
      </c>
      <c r="AP292" s="297"/>
      <c r="AQ292" s="301" t="s">
        <v>4175</v>
      </c>
      <c r="AR292" s="297" t="s">
        <v>161</v>
      </c>
      <c r="AS292" s="299">
        <v>38869</v>
      </c>
      <c r="AT292" s="299">
        <v>40862</v>
      </c>
      <c r="AU292" s="297" t="s">
        <v>4176</v>
      </c>
      <c r="AV292" s="297"/>
      <c r="AW292" s="297" t="s">
        <v>4177</v>
      </c>
      <c r="AX292" s="297" t="s">
        <v>4178</v>
      </c>
      <c r="AY292" s="299">
        <v>42415</v>
      </c>
      <c r="AZ292" s="297" t="s">
        <v>67</v>
      </c>
      <c r="BA292" s="299" t="s">
        <v>67</v>
      </c>
      <c r="BB292" s="382">
        <v>42425</v>
      </c>
      <c r="BC292" s="297" t="s">
        <v>95</v>
      </c>
      <c r="BD292" s="297" t="s">
        <v>566</v>
      </c>
      <c r="BE292" s="297"/>
      <c r="BF292" s="301" t="s">
        <v>7409</v>
      </c>
      <c r="BG292" s="301"/>
      <c r="BH292" s="301" t="s">
        <v>9863</v>
      </c>
      <c r="BI292" s="301"/>
      <c r="BJ292" s="301"/>
      <c r="BK292" s="312">
        <v>112425071</v>
      </c>
      <c r="BL292" s="313">
        <v>379607720</v>
      </c>
      <c r="BM292" s="299">
        <v>44189</v>
      </c>
      <c r="BN292" s="314">
        <v>44189</v>
      </c>
      <c r="BO292" s="460"/>
      <c r="BP292" s="390"/>
      <c r="BQ292" s="297"/>
      <c r="BR292" s="303"/>
      <c r="BS292" s="301"/>
      <c r="BT292" s="301"/>
      <c r="BU292" s="301"/>
      <c r="BV292" s="301"/>
      <c r="BW292" s="316"/>
      <c r="BX292" s="304"/>
      <c r="BY292" s="299"/>
      <c r="BZ292" s="317"/>
      <c r="CA292" s="509"/>
      <c r="CB292" s="509"/>
      <c r="CC292" s="509"/>
      <c r="CD292" s="509"/>
      <c r="CE292" s="509"/>
      <c r="CF292" s="509"/>
      <c r="CG292" s="509"/>
      <c r="CH292" s="509"/>
      <c r="CI292" s="509"/>
      <c r="CJ292" s="509"/>
      <c r="CK292" s="509"/>
      <c r="CL292" s="509"/>
      <c r="CM292" s="509"/>
      <c r="CN292" s="509"/>
      <c r="CO292" s="509"/>
      <c r="CP292" s="509"/>
      <c r="CQ292" s="509"/>
      <c r="CR292" s="509"/>
      <c r="CS292" s="509"/>
      <c r="CT292" s="509"/>
      <c r="CU292" s="509"/>
      <c r="CV292" s="509"/>
      <c r="CW292" s="509"/>
      <c r="CX292" s="509"/>
      <c r="CY292" s="509"/>
      <c r="CZ292" s="509"/>
      <c r="DA292" s="509"/>
      <c r="DB292" s="509"/>
      <c r="DC292" s="509"/>
      <c r="DD292" s="509"/>
      <c r="DE292" s="509"/>
      <c r="DF292" s="509"/>
      <c r="DG292" s="509"/>
      <c r="DH292" s="509"/>
      <c r="DI292" s="509"/>
      <c r="DJ292" s="509"/>
      <c r="DK292" s="509"/>
      <c r="DL292" s="509"/>
      <c r="DM292" s="509"/>
      <c r="DN292" s="509"/>
      <c r="DO292" s="509"/>
      <c r="DP292" s="509"/>
      <c r="DQ292" s="509"/>
      <c r="DR292" s="509"/>
      <c r="DS292" s="509"/>
      <c r="DT292" s="509"/>
      <c r="DU292" s="509"/>
      <c r="DV292" s="509"/>
      <c r="DW292" s="509"/>
      <c r="DX292" s="509"/>
      <c r="DY292" s="509"/>
      <c r="DZ292" s="509"/>
      <c r="EA292" s="509"/>
      <c r="EB292" s="509"/>
      <c r="EC292" s="509"/>
      <c r="ED292" s="509"/>
      <c r="EE292" s="509"/>
      <c r="EF292" s="509"/>
      <c r="EG292" s="509"/>
      <c r="EH292" s="509"/>
      <c r="EI292" s="509"/>
      <c r="EJ292" s="509"/>
      <c r="EK292" s="509"/>
      <c r="EL292" s="509"/>
      <c r="EM292" s="509"/>
      <c r="EN292" s="509"/>
      <c r="EO292" s="509"/>
      <c r="EP292" s="509"/>
      <c r="EQ292" s="509"/>
      <c r="ER292" s="509"/>
      <c r="ES292" s="509"/>
      <c r="ET292" s="509"/>
      <c r="EU292" s="509"/>
      <c r="EV292" s="509"/>
      <c r="EW292" s="509"/>
      <c r="EX292" s="509"/>
      <c r="EY292" s="509"/>
      <c r="EZ292" s="509"/>
      <c r="FA292" s="509"/>
      <c r="FB292" s="509"/>
      <c r="FC292" s="509"/>
      <c r="FD292" s="509"/>
      <c r="FE292" s="509"/>
      <c r="FF292" s="509"/>
      <c r="FG292" s="509"/>
      <c r="FH292" s="509"/>
      <c r="FI292" s="509"/>
      <c r="FJ292" s="509"/>
      <c r="FK292" s="509"/>
      <c r="FL292" s="509"/>
      <c r="FM292" s="509"/>
      <c r="FN292" s="509"/>
      <c r="FO292" s="509"/>
      <c r="FP292" s="509"/>
      <c r="FQ292" s="509"/>
      <c r="FR292" s="509"/>
      <c r="FS292" s="509"/>
      <c r="FT292" s="509"/>
      <c r="FU292" s="509"/>
      <c r="FV292" s="509"/>
      <c r="FW292" s="509"/>
      <c r="FX292" s="509"/>
      <c r="FY292" s="509"/>
      <c r="FZ292" s="509"/>
      <c r="GA292" s="509"/>
      <c r="GB292" s="509"/>
      <c r="GC292" s="509"/>
      <c r="GD292" s="509"/>
      <c r="GE292" s="509"/>
      <c r="GF292" s="509"/>
      <c r="GG292" s="509"/>
      <c r="GH292" s="509"/>
      <c r="GI292" s="509"/>
      <c r="GJ292" s="509"/>
      <c r="GK292" s="509"/>
      <c r="GL292" s="509"/>
      <c r="GM292" s="509"/>
      <c r="GN292" s="509"/>
      <c r="GO292" s="509"/>
      <c r="GP292" s="509"/>
      <c r="GQ292" s="509"/>
      <c r="GR292" s="509"/>
      <c r="GS292" s="509"/>
      <c r="GT292" s="509"/>
      <c r="GU292" s="509"/>
      <c r="GV292" s="509"/>
      <c r="GW292" s="509"/>
      <c r="GX292" s="509"/>
      <c r="GY292" s="509"/>
      <c r="GZ292" s="509"/>
      <c r="HA292" s="509"/>
      <c r="HB292" s="509"/>
      <c r="HC292" s="509"/>
      <c r="HD292" s="509"/>
      <c r="HE292" s="509"/>
      <c r="HF292" s="509"/>
      <c r="HG292" s="509"/>
      <c r="HH292" s="509"/>
      <c r="HI292" s="509"/>
      <c r="HJ292" s="509"/>
      <c r="HK292" s="509"/>
      <c r="HL292" s="509"/>
      <c r="HM292" s="509"/>
      <c r="HN292" s="509"/>
      <c r="HO292" s="509"/>
      <c r="HP292" s="509"/>
      <c r="HQ292" s="509"/>
      <c r="HR292" s="509"/>
      <c r="HS292" s="509"/>
      <c r="HT292" s="509"/>
      <c r="HU292" s="509"/>
      <c r="HV292" s="509"/>
      <c r="HW292" s="509"/>
      <c r="HX292" s="509"/>
      <c r="HY292" s="509"/>
      <c r="HZ292" s="509"/>
      <c r="IA292" s="509"/>
      <c r="IB292" s="509"/>
      <c r="IC292" s="509"/>
      <c r="ID292" s="509"/>
      <c r="IE292" s="509"/>
      <c r="IF292" s="509"/>
      <c r="IG292" s="509"/>
      <c r="IH292" s="509"/>
      <c r="II292" s="509"/>
      <c r="IJ292" s="509"/>
      <c r="IK292" s="509"/>
      <c r="IL292" s="509"/>
      <c r="IM292" s="509"/>
      <c r="IN292" s="509"/>
      <c r="IO292" s="509"/>
      <c r="IP292" s="509"/>
      <c r="IQ292" s="509"/>
      <c r="IR292" s="509"/>
      <c r="IS292" s="509"/>
      <c r="IT292" s="509"/>
      <c r="IU292" s="509"/>
      <c r="IV292" s="509"/>
      <c r="IW292" s="509"/>
      <c r="IX292" s="509"/>
      <c r="IY292" s="509"/>
      <c r="IZ292" s="509"/>
      <c r="JA292" s="509"/>
      <c r="JB292" s="509"/>
      <c r="JC292" s="509"/>
      <c r="JD292" s="509"/>
      <c r="JE292" s="509"/>
      <c r="JF292" s="509"/>
      <c r="JG292" s="509"/>
      <c r="JH292" s="509"/>
      <c r="JI292" s="509"/>
      <c r="JJ292" s="509"/>
      <c r="JK292" s="509"/>
      <c r="JL292" s="509"/>
      <c r="JM292" s="509"/>
      <c r="JN292" s="509"/>
      <c r="JO292" s="509"/>
      <c r="JP292" s="509"/>
      <c r="JQ292" s="509"/>
      <c r="JR292" s="509"/>
      <c r="JS292" s="509"/>
      <c r="JT292" s="509"/>
      <c r="JU292" s="509"/>
      <c r="JV292" s="509"/>
      <c r="JW292" s="509"/>
      <c r="JX292" s="509"/>
      <c r="JY292" s="509"/>
      <c r="JZ292" s="509"/>
      <c r="KA292" s="509"/>
      <c r="KB292" s="509"/>
      <c r="KC292" s="509"/>
      <c r="KD292" s="509"/>
      <c r="KE292" s="509"/>
      <c r="KF292" s="509"/>
      <c r="KG292" s="509"/>
      <c r="KH292" s="509"/>
      <c r="KI292" s="509"/>
      <c r="KJ292" s="509"/>
      <c r="KK292" s="509"/>
      <c r="KL292" s="509"/>
      <c r="KM292" s="509"/>
      <c r="KN292" s="509"/>
      <c r="KO292" s="509"/>
      <c r="KP292" s="509"/>
      <c r="KQ292" s="509"/>
      <c r="KR292" s="509"/>
      <c r="KS292" s="509"/>
      <c r="KT292" s="509"/>
      <c r="KU292" s="509"/>
      <c r="KV292" s="509"/>
      <c r="KW292" s="509"/>
      <c r="KX292" s="509"/>
      <c r="KY292" s="509"/>
      <c r="KZ292" s="509"/>
      <c r="LA292" s="509"/>
      <c r="LB292" s="509"/>
      <c r="LC292" s="509"/>
      <c r="LD292" s="509"/>
      <c r="LE292" s="509"/>
      <c r="LF292" s="509"/>
      <c r="LG292" s="509"/>
      <c r="LH292" s="509"/>
      <c r="LI292" s="509"/>
      <c r="LJ292" s="509"/>
      <c r="LK292" s="509"/>
      <c r="LL292" s="509"/>
      <c r="LM292" s="509"/>
      <c r="LN292" s="509"/>
      <c r="LO292" s="509"/>
      <c r="LP292" s="509"/>
      <c r="LQ292" s="509"/>
      <c r="LR292" s="509"/>
      <c r="LS292" s="509"/>
      <c r="LT292" s="509"/>
      <c r="LU292" s="509"/>
      <c r="LV292" s="509"/>
      <c r="LW292" s="509"/>
      <c r="LX292" s="509"/>
      <c r="LY292" s="509"/>
      <c r="LZ292" s="509"/>
      <c r="MA292" s="509"/>
      <c r="MB292" s="509"/>
      <c r="MC292" s="509"/>
      <c r="MD292" s="509"/>
      <c r="ME292" s="509"/>
      <c r="MF292" s="509"/>
      <c r="MG292" s="509"/>
      <c r="MH292" s="509"/>
      <c r="MI292" s="509"/>
      <c r="MJ292" s="509"/>
      <c r="MK292" s="509"/>
      <c r="ML292" s="509"/>
      <c r="MM292" s="509"/>
      <c r="MN292" s="509"/>
      <c r="MO292" s="509"/>
      <c r="MP292" s="509"/>
      <c r="MQ292" s="509"/>
      <c r="MR292" s="509"/>
      <c r="MS292" s="509"/>
      <c r="MT292" s="509"/>
      <c r="MU292" s="509"/>
      <c r="MV292" s="509"/>
      <c r="MW292" s="509"/>
      <c r="MX292" s="509"/>
      <c r="MY292" s="509"/>
      <c r="MZ292" s="509"/>
      <c r="NA292" s="509"/>
      <c r="NB292" s="509"/>
      <c r="NC292" s="509"/>
      <c r="ND292" s="509"/>
      <c r="NE292" s="509"/>
      <c r="NF292" s="509"/>
      <c r="NG292" s="509"/>
      <c r="NH292" s="509"/>
      <c r="NI292" s="509"/>
      <c r="NJ292" s="509"/>
      <c r="NK292" s="509"/>
      <c r="NL292" s="509"/>
      <c r="NM292" s="509"/>
      <c r="NN292" s="509"/>
      <c r="NO292" s="509"/>
      <c r="NP292" s="509"/>
      <c r="NQ292" s="509"/>
      <c r="NR292" s="509"/>
      <c r="NS292" s="509"/>
      <c r="NT292" s="509"/>
      <c r="NU292" s="509"/>
      <c r="NV292" s="509"/>
      <c r="NW292" s="509"/>
      <c r="NX292" s="509"/>
      <c r="NY292" s="509"/>
      <c r="NZ292" s="509"/>
      <c r="OA292" s="509"/>
      <c r="OB292" s="509"/>
      <c r="OC292" s="509"/>
      <c r="OD292" s="509"/>
      <c r="OE292" s="509"/>
      <c r="OF292" s="509"/>
      <c r="OG292" s="509"/>
      <c r="OH292" s="509"/>
      <c r="OI292" s="509"/>
      <c r="OJ292" s="509"/>
      <c r="OK292" s="509"/>
      <c r="OL292" s="509"/>
      <c r="OM292" s="509"/>
      <c r="ON292" s="509"/>
      <c r="OO292" s="509"/>
      <c r="OP292" s="509"/>
      <c r="OQ292" s="509"/>
      <c r="OR292" s="509"/>
      <c r="OS292" s="509"/>
      <c r="OT292" s="509"/>
      <c r="OU292" s="509"/>
      <c r="OV292" s="509"/>
      <c r="OW292" s="509"/>
      <c r="OX292" s="509"/>
      <c r="OY292" s="509"/>
      <c r="OZ292" s="509"/>
      <c r="PA292" s="509"/>
      <c r="PB292" s="509"/>
      <c r="PC292" s="509"/>
      <c r="PD292" s="509"/>
      <c r="PE292" s="509"/>
      <c r="PF292" s="509"/>
      <c r="PG292" s="509"/>
      <c r="PH292" s="509"/>
      <c r="PI292" s="509"/>
      <c r="PJ292" s="509"/>
      <c r="PK292" s="509"/>
      <c r="PL292" s="509"/>
      <c r="PM292" s="509"/>
      <c r="PN292" s="509"/>
      <c r="PO292" s="509"/>
      <c r="PP292" s="509"/>
      <c r="PQ292" s="509"/>
      <c r="PR292" s="509"/>
      <c r="PS292" s="509"/>
      <c r="PT292" s="509"/>
      <c r="PU292" s="509"/>
      <c r="PV292" s="509"/>
      <c r="PW292" s="509"/>
      <c r="PX292" s="509"/>
      <c r="PY292" s="509"/>
      <c r="PZ292" s="509"/>
      <c r="QA292" s="509"/>
      <c r="QB292" s="509"/>
      <c r="QC292" s="509"/>
      <c r="QD292" s="509"/>
      <c r="QE292" s="509"/>
      <c r="QF292" s="509"/>
      <c r="QG292" s="509"/>
      <c r="QH292" s="509"/>
      <c r="QI292" s="509"/>
      <c r="QJ292" s="509"/>
      <c r="QK292" s="509"/>
      <c r="QL292" s="509"/>
      <c r="QM292" s="509"/>
      <c r="QN292" s="509"/>
      <c r="QO292" s="509"/>
      <c r="QP292" s="509"/>
      <c r="QQ292" s="509"/>
      <c r="QR292" s="509"/>
      <c r="QS292" s="509"/>
      <c r="QT292" s="509"/>
      <c r="QU292" s="509"/>
      <c r="QV292" s="509"/>
      <c r="QW292" s="509"/>
      <c r="QX292" s="509"/>
      <c r="QY292" s="509"/>
      <c r="QZ292" s="509"/>
      <c r="RA292" s="509"/>
      <c r="RB292" s="509"/>
      <c r="RC292" s="509"/>
      <c r="RD292" s="509"/>
      <c r="RE292" s="509"/>
      <c r="RF292" s="509"/>
      <c r="RG292" s="509"/>
      <c r="RH292" s="509"/>
      <c r="RI292" s="509"/>
      <c r="RJ292" s="509"/>
      <c r="RK292" s="509"/>
      <c r="RL292" s="509"/>
      <c r="RM292" s="509"/>
      <c r="RN292" s="509"/>
      <c r="RO292" s="509"/>
      <c r="RP292" s="509"/>
      <c r="RQ292" s="509"/>
      <c r="RR292" s="509"/>
      <c r="RS292" s="509"/>
      <c r="RT292" s="509"/>
      <c r="RU292" s="509"/>
      <c r="RV292" s="509"/>
      <c r="RW292" s="509"/>
      <c r="RX292" s="509"/>
      <c r="RY292" s="509"/>
      <c r="RZ292" s="509"/>
      <c r="SA292" s="509"/>
      <c r="SB292" s="509"/>
      <c r="SC292" s="509"/>
      <c r="SD292" s="509"/>
      <c r="SE292" s="509"/>
      <c r="SF292" s="509"/>
      <c r="SG292" s="509"/>
      <c r="SH292" s="509"/>
      <c r="SI292" s="509"/>
      <c r="SJ292" s="509"/>
      <c r="SK292" s="509"/>
      <c r="SL292" s="509"/>
      <c r="SM292" s="509"/>
      <c r="SN292" s="509"/>
      <c r="SO292" s="509"/>
      <c r="SP292" s="509"/>
      <c r="SQ292" s="509"/>
      <c r="SR292" s="509"/>
      <c r="SS292" s="509"/>
      <c r="ST292" s="509"/>
      <c r="SU292" s="509"/>
      <c r="SV292" s="509"/>
      <c r="SW292" s="509"/>
      <c r="SX292" s="509"/>
      <c r="SY292" s="509"/>
      <c r="SZ292" s="509"/>
      <c r="TA292" s="509"/>
      <c r="TB292" s="509"/>
      <c r="TC292" s="509"/>
      <c r="TD292" s="509"/>
      <c r="TE292" s="509"/>
      <c r="TF292" s="509"/>
      <c r="TG292" s="509"/>
      <c r="TH292" s="509"/>
      <c r="TI292" s="509"/>
      <c r="TJ292" s="509"/>
      <c r="TK292" s="509"/>
      <c r="TL292" s="509"/>
      <c r="TM292" s="509"/>
      <c r="TN292" s="509"/>
      <c r="TO292" s="509"/>
      <c r="TP292" s="509"/>
      <c r="TQ292" s="509"/>
      <c r="TR292" s="509"/>
      <c r="TS292" s="509"/>
      <c r="TT292" s="509"/>
      <c r="TU292" s="509"/>
      <c r="TV292" s="509"/>
      <c r="TW292" s="509"/>
      <c r="TX292" s="509"/>
      <c r="TY292" s="509"/>
      <c r="TZ292" s="509"/>
      <c r="UA292" s="509"/>
      <c r="UB292" s="509"/>
      <c r="UC292" s="509"/>
      <c r="UD292" s="509"/>
      <c r="UE292" s="509"/>
      <c r="UF292" s="509"/>
      <c r="UG292" s="509"/>
      <c r="UH292" s="509"/>
      <c r="UI292" s="509"/>
    </row>
    <row r="293" spans="1:555" ht="103.5" customHeight="1">
      <c r="A293" s="296">
        <v>395</v>
      </c>
      <c r="B293" s="297" t="s">
        <v>4194</v>
      </c>
      <c r="C293" s="298">
        <v>19326095</v>
      </c>
      <c r="D293" s="354" t="s">
        <v>67</v>
      </c>
      <c r="E293" s="299">
        <v>42748</v>
      </c>
      <c r="F293" s="300">
        <v>42736</v>
      </c>
      <c r="G293" s="301" t="s">
        <v>4195</v>
      </c>
      <c r="H293" s="297" t="s">
        <v>63</v>
      </c>
      <c r="I293" s="297" t="s">
        <v>101</v>
      </c>
      <c r="J293" s="299"/>
      <c r="K293" s="300"/>
      <c r="L293" s="301"/>
      <c r="M293" s="297"/>
      <c r="N293" s="297"/>
      <c r="O293" s="299"/>
      <c r="P293" s="302"/>
      <c r="Q293" s="301"/>
      <c r="R293" s="297"/>
      <c r="S293" s="297"/>
      <c r="T293" s="299"/>
      <c r="U293" s="300"/>
      <c r="V293" s="301"/>
      <c r="W293" s="297"/>
      <c r="X293" s="297"/>
      <c r="Y293" s="299"/>
      <c r="Z293" s="300"/>
      <c r="AA293" s="301"/>
      <c r="AB293" s="297"/>
      <c r="AC293" s="297"/>
      <c r="AD293" s="299"/>
      <c r="AE293" s="300"/>
      <c r="AF293" s="301"/>
      <c r="AG293" s="297"/>
      <c r="AH293" s="297"/>
      <c r="AI293" s="322"/>
      <c r="AJ293" s="300"/>
      <c r="AK293" s="301"/>
      <c r="AL293" s="297"/>
      <c r="AM293" s="297"/>
      <c r="AN293" s="297"/>
      <c r="AO293" s="473"/>
      <c r="AP293" s="297"/>
      <c r="AQ293" s="301" t="s">
        <v>7841</v>
      </c>
      <c r="AR293" s="297" t="s">
        <v>66</v>
      </c>
      <c r="AS293" s="299" t="s">
        <v>67</v>
      </c>
      <c r="AT293" s="299" t="s">
        <v>67</v>
      </c>
      <c r="AU293" s="297" t="s">
        <v>3827</v>
      </c>
      <c r="AV293" s="297"/>
      <c r="AW293" s="297" t="s">
        <v>69</v>
      </c>
      <c r="AX293" s="297" t="s">
        <v>7595</v>
      </c>
      <c r="AY293" s="299">
        <v>42747</v>
      </c>
      <c r="AZ293" s="297" t="s">
        <v>67</v>
      </c>
      <c r="BA293" s="299" t="s">
        <v>67</v>
      </c>
      <c r="BB293" s="382">
        <v>42753</v>
      </c>
      <c r="BC293" s="297" t="s">
        <v>3829</v>
      </c>
      <c r="BD293" s="297" t="s">
        <v>6447</v>
      </c>
      <c r="BE293" s="297"/>
      <c r="BF293" s="301"/>
      <c r="BG293" s="301" t="s">
        <v>67</v>
      </c>
      <c r="BH293" s="301" t="s">
        <v>4196</v>
      </c>
      <c r="BI293" s="301" t="s">
        <v>4197</v>
      </c>
      <c r="BJ293" s="312">
        <v>1500184</v>
      </c>
      <c r="BK293" s="312">
        <v>1500184</v>
      </c>
      <c r="BL293" s="313">
        <v>467785517</v>
      </c>
      <c r="BM293" s="299">
        <v>42797</v>
      </c>
      <c r="BN293" s="314">
        <v>42795</v>
      </c>
      <c r="BO293" s="460"/>
      <c r="BP293" s="390"/>
      <c r="BQ293" s="297"/>
      <c r="BR293" s="303"/>
      <c r="BS293" s="301"/>
      <c r="BT293" s="301"/>
      <c r="BU293" s="301"/>
      <c r="BV293" s="301"/>
      <c r="BW293" s="316"/>
      <c r="BX293" s="304"/>
      <c r="BY293" s="299"/>
      <c r="BZ293" s="317"/>
    </row>
    <row r="294" spans="1:555" ht="54">
      <c r="A294" s="296">
        <v>396</v>
      </c>
      <c r="B294" s="297" t="s">
        <v>3481</v>
      </c>
      <c r="C294" s="298">
        <v>79539242</v>
      </c>
      <c r="D294" s="354" t="s">
        <v>67</v>
      </c>
      <c r="E294" s="299">
        <v>42748</v>
      </c>
      <c r="F294" s="300">
        <v>42736</v>
      </c>
      <c r="G294" s="301" t="s">
        <v>4195</v>
      </c>
      <c r="H294" s="297" t="s">
        <v>171</v>
      </c>
      <c r="I294" s="297" t="s">
        <v>183</v>
      </c>
      <c r="J294" s="299"/>
      <c r="K294" s="300"/>
      <c r="L294" s="301"/>
      <c r="M294" s="297"/>
      <c r="N294" s="297"/>
      <c r="O294" s="299"/>
      <c r="P294" s="302"/>
      <c r="Q294" s="301"/>
      <c r="R294" s="297"/>
      <c r="S294" s="297"/>
      <c r="T294" s="299"/>
      <c r="U294" s="300"/>
      <c r="V294" s="301"/>
      <c r="W294" s="297"/>
      <c r="X294" s="297"/>
      <c r="Y294" s="299"/>
      <c r="Z294" s="300"/>
      <c r="AA294" s="301"/>
      <c r="AB294" s="297"/>
      <c r="AC294" s="297"/>
      <c r="AD294" s="299"/>
      <c r="AE294" s="300"/>
      <c r="AF294" s="301"/>
      <c r="AG294" s="297"/>
      <c r="AH294" s="297"/>
      <c r="AI294" s="322"/>
      <c r="AJ294" s="300"/>
      <c r="AK294" s="301"/>
      <c r="AL294" s="297"/>
      <c r="AM294" s="297"/>
      <c r="AN294" s="297"/>
      <c r="AO294" s="473"/>
      <c r="AP294" s="297"/>
      <c r="AQ294" s="301" t="s">
        <v>7715</v>
      </c>
      <c r="AR294" s="297" t="s">
        <v>66</v>
      </c>
      <c r="AS294" s="299" t="s">
        <v>67</v>
      </c>
      <c r="AT294" s="299" t="s">
        <v>67</v>
      </c>
      <c r="AU294" s="297" t="s">
        <v>3827</v>
      </c>
      <c r="AV294" s="297"/>
      <c r="AW294" s="297" t="s">
        <v>69</v>
      </c>
      <c r="AX294" s="297" t="s">
        <v>7595</v>
      </c>
      <c r="AY294" s="299">
        <v>42747</v>
      </c>
      <c r="AZ294" s="297" t="s">
        <v>67</v>
      </c>
      <c r="BA294" s="299" t="s">
        <v>67</v>
      </c>
      <c r="BB294" s="382">
        <v>42753</v>
      </c>
      <c r="BC294" s="297" t="s">
        <v>3829</v>
      </c>
      <c r="BD294" s="297" t="s">
        <v>6447</v>
      </c>
      <c r="BE294" s="297"/>
      <c r="BF294" s="301"/>
      <c r="BG294" s="301" t="s">
        <v>67</v>
      </c>
      <c r="BH294" s="301" t="s">
        <v>4198</v>
      </c>
      <c r="BI294" s="301" t="s">
        <v>4199</v>
      </c>
      <c r="BJ294" s="312">
        <v>3050349</v>
      </c>
      <c r="BK294" s="312">
        <v>3050349</v>
      </c>
      <c r="BL294" s="313">
        <v>54489517</v>
      </c>
      <c r="BM294" s="299">
        <v>42803</v>
      </c>
      <c r="BN294" s="300">
        <v>42795</v>
      </c>
      <c r="BO294" s="434" t="s">
        <v>4200</v>
      </c>
      <c r="BP294" s="397"/>
      <c r="BQ294" s="453"/>
      <c r="BR294" s="454"/>
      <c r="BS294" s="301"/>
      <c r="BT294" s="301"/>
      <c r="BU294" s="301"/>
      <c r="BV294" s="301"/>
      <c r="BW294" s="316"/>
      <c r="BX294" s="304"/>
      <c r="BY294" s="299"/>
      <c r="BZ294" s="317"/>
    </row>
    <row r="295" spans="1:555" s="509" customFormat="1" ht="94.5" customHeight="1">
      <c r="A295" s="296">
        <v>408</v>
      </c>
      <c r="B295" s="297" t="s">
        <v>4317</v>
      </c>
      <c r="C295" s="298">
        <v>5824714</v>
      </c>
      <c r="D295" s="354" t="s">
        <v>67</v>
      </c>
      <c r="E295" s="299">
        <v>42772</v>
      </c>
      <c r="F295" s="300">
        <v>42767</v>
      </c>
      <c r="G295" s="301" t="s">
        <v>4318</v>
      </c>
      <c r="H295" s="297" t="s">
        <v>1199</v>
      </c>
      <c r="I295" s="297" t="s">
        <v>336</v>
      </c>
      <c r="J295" s="299"/>
      <c r="K295" s="300"/>
      <c r="L295" s="301"/>
      <c r="M295" s="297"/>
      <c r="N295" s="297"/>
      <c r="O295" s="299"/>
      <c r="P295" s="302"/>
      <c r="Q295" s="301"/>
      <c r="R295" s="297"/>
      <c r="S295" s="297"/>
      <c r="T295" s="299"/>
      <c r="U295" s="300"/>
      <c r="V295" s="301"/>
      <c r="W295" s="297"/>
      <c r="X295" s="297"/>
      <c r="Y295" s="299"/>
      <c r="Z295" s="300"/>
      <c r="AA295" s="301"/>
      <c r="AB295" s="297"/>
      <c r="AC295" s="297"/>
      <c r="AD295" s="299"/>
      <c r="AE295" s="300"/>
      <c r="AF295" s="301"/>
      <c r="AG295" s="297"/>
      <c r="AH295" s="297"/>
      <c r="AI295" s="322"/>
      <c r="AJ295" s="300"/>
      <c r="AK295" s="301"/>
      <c r="AL295" s="297"/>
      <c r="AM295" s="297"/>
      <c r="AN295" s="297"/>
      <c r="AO295" s="473"/>
      <c r="AP295" s="297"/>
      <c r="AQ295" s="301" t="s">
        <v>7694</v>
      </c>
      <c r="AR295" s="297" t="s">
        <v>66</v>
      </c>
      <c r="AS295" s="299" t="s">
        <v>67</v>
      </c>
      <c r="AT295" s="299" t="s">
        <v>67</v>
      </c>
      <c r="AU295" s="297" t="s">
        <v>3827</v>
      </c>
      <c r="AV295" s="297"/>
      <c r="AW295" s="297" t="s">
        <v>69</v>
      </c>
      <c r="AX295" s="297" t="s">
        <v>7695</v>
      </c>
      <c r="AY295" s="299">
        <v>42723</v>
      </c>
      <c r="AZ295" s="297" t="s">
        <v>67</v>
      </c>
      <c r="BA295" s="299" t="s">
        <v>67</v>
      </c>
      <c r="BB295" s="382">
        <v>42835</v>
      </c>
      <c r="BC295" s="297" t="s">
        <v>3829</v>
      </c>
      <c r="BD295" s="297" t="s">
        <v>6447</v>
      </c>
      <c r="BE295" s="297"/>
      <c r="BF295" s="301"/>
      <c r="BG295" s="301" t="s">
        <v>67</v>
      </c>
      <c r="BH295" s="301" t="s">
        <v>4319</v>
      </c>
      <c r="BI295" s="301" t="s">
        <v>4320</v>
      </c>
      <c r="BJ295" s="312">
        <v>1423496</v>
      </c>
      <c r="BK295" s="312">
        <v>1423496</v>
      </c>
      <c r="BL295" s="313">
        <v>217343217</v>
      </c>
      <c r="BM295" s="299">
        <v>42955</v>
      </c>
      <c r="BN295" s="300">
        <v>42948</v>
      </c>
      <c r="BO295" s="460"/>
      <c r="BP295" s="390"/>
      <c r="BQ295" s="297"/>
      <c r="BR295" s="303"/>
      <c r="BS295" s="301"/>
      <c r="BT295" s="301"/>
      <c r="BU295" s="301"/>
      <c r="BV295" s="301"/>
      <c r="BW295" s="316"/>
      <c r="BX295" s="304"/>
      <c r="BY295" s="299"/>
      <c r="BZ295" s="317"/>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c r="IY295" s="1"/>
      <c r="IZ295" s="1"/>
      <c r="JA295" s="1"/>
      <c r="JB295" s="1"/>
      <c r="JC295" s="1"/>
      <c r="JD295" s="1"/>
      <c r="JE295" s="1"/>
      <c r="JF295" s="1"/>
      <c r="JG295" s="1"/>
      <c r="JH295" s="1"/>
      <c r="JI295" s="1"/>
      <c r="JJ295" s="1"/>
      <c r="JK295" s="1"/>
      <c r="JL295" s="1"/>
      <c r="JM295" s="1"/>
      <c r="JN295" s="1"/>
      <c r="JO295" s="1"/>
      <c r="JP295" s="1"/>
      <c r="JQ295" s="1"/>
      <c r="JR295" s="1"/>
      <c r="JS295" s="1"/>
      <c r="JT295" s="1"/>
      <c r="JU295" s="1"/>
      <c r="JV295" s="1"/>
      <c r="JW295" s="1"/>
      <c r="JX295" s="1"/>
      <c r="JY295" s="1"/>
      <c r="JZ295" s="1"/>
      <c r="KA295" s="1"/>
      <c r="KB295" s="1"/>
      <c r="KC295" s="1"/>
      <c r="KD295" s="1"/>
      <c r="KE295" s="1"/>
      <c r="KF295" s="1"/>
      <c r="KG295" s="1"/>
      <c r="KH295" s="1"/>
      <c r="KI295" s="1"/>
      <c r="KJ295" s="1"/>
      <c r="KK295" s="1"/>
      <c r="KL295" s="1"/>
      <c r="KM295" s="1"/>
      <c r="KN295" s="1"/>
      <c r="KO295" s="1"/>
      <c r="KP295" s="1"/>
      <c r="KQ295" s="1"/>
      <c r="KR295" s="1"/>
      <c r="KS295" s="1"/>
      <c r="KT295" s="1"/>
      <c r="KU295" s="1"/>
      <c r="KV295" s="1"/>
      <c r="KW295" s="1"/>
      <c r="KX295" s="1"/>
      <c r="KY295" s="1"/>
      <c r="KZ295" s="1"/>
      <c r="LA295" s="1"/>
      <c r="LB295" s="1"/>
      <c r="LC295" s="1"/>
      <c r="LD295" s="1"/>
      <c r="LE295" s="1"/>
      <c r="LF295" s="1"/>
      <c r="LG295" s="1"/>
      <c r="LH295" s="1"/>
      <c r="LI295" s="1"/>
      <c r="LJ295" s="1"/>
      <c r="LK295" s="1"/>
      <c r="LL295" s="1"/>
      <c r="LM295" s="1"/>
      <c r="LN295" s="1"/>
      <c r="LO295" s="1"/>
      <c r="LP295" s="1"/>
      <c r="LQ295" s="1"/>
      <c r="LR295" s="1"/>
      <c r="LS295" s="1"/>
      <c r="LT295" s="1"/>
      <c r="LU295" s="1"/>
      <c r="LV295" s="1"/>
      <c r="LW295" s="1"/>
      <c r="LX295" s="1"/>
      <c r="LY295" s="1"/>
      <c r="LZ295" s="1"/>
      <c r="MA295" s="1"/>
      <c r="MB295" s="1"/>
      <c r="MC295" s="1"/>
      <c r="MD295" s="1"/>
      <c r="ME295" s="1"/>
      <c r="MF295" s="1"/>
      <c r="MG295" s="1"/>
      <c r="MH295" s="1"/>
      <c r="MI295" s="1"/>
      <c r="MJ295" s="1"/>
      <c r="MK295" s="1"/>
      <c r="ML295" s="1"/>
      <c r="MM295" s="1"/>
      <c r="MN295" s="1"/>
      <c r="MO295" s="1"/>
      <c r="MP295" s="1"/>
      <c r="MQ295" s="1"/>
      <c r="MR295" s="1"/>
      <c r="MS295" s="1"/>
      <c r="MT295" s="1"/>
      <c r="MU295" s="1"/>
      <c r="MV295" s="1"/>
      <c r="MW295" s="1"/>
      <c r="MX295" s="1"/>
      <c r="MY295" s="1"/>
      <c r="MZ295" s="1"/>
      <c r="NA295" s="1"/>
      <c r="NB295" s="1"/>
      <c r="NC295" s="1"/>
      <c r="ND295" s="1"/>
      <c r="NE295" s="1"/>
      <c r="NF295" s="1"/>
      <c r="NG295" s="1"/>
      <c r="NH295" s="1"/>
      <c r="NI295" s="1"/>
      <c r="NJ295" s="1"/>
      <c r="NK295" s="1"/>
      <c r="NL295" s="1"/>
      <c r="NM295" s="1"/>
      <c r="NN295" s="1"/>
      <c r="NO295" s="1"/>
      <c r="NP295" s="1"/>
      <c r="NQ295" s="1"/>
      <c r="NR295" s="1"/>
      <c r="NS295" s="1"/>
      <c r="NT295" s="1"/>
      <c r="NU295" s="1"/>
      <c r="NV295" s="1"/>
      <c r="NW295" s="1"/>
      <c r="NX295" s="1"/>
      <c r="NY295" s="1"/>
      <c r="NZ295" s="1"/>
      <c r="OA295" s="1"/>
      <c r="OB295" s="1"/>
      <c r="OC295" s="1"/>
      <c r="OD295" s="1"/>
      <c r="OE295" s="1"/>
      <c r="OF295" s="1"/>
      <c r="OG295" s="1"/>
      <c r="OH295" s="1"/>
      <c r="OI295" s="1"/>
      <c r="OJ295" s="1"/>
      <c r="OK295" s="1"/>
      <c r="OL295" s="1"/>
      <c r="OM295" s="1"/>
      <c r="ON295" s="1"/>
      <c r="OO295" s="1"/>
      <c r="OP295" s="1"/>
      <c r="OQ295" s="1"/>
      <c r="OR295" s="1"/>
      <c r="OS295" s="1"/>
      <c r="OT295" s="1"/>
      <c r="OU295" s="1"/>
      <c r="OV295" s="1"/>
      <c r="OW295" s="1"/>
      <c r="OX295" s="1"/>
      <c r="OY295" s="1"/>
      <c r="OZ295" s="1"/>
      <c r="PA295" s="1"/>
      <c r="PB295" s="1"/>
      <c r="PC295" s="1"/>
      <c r="PD295" s="1"/>
      <c r="PE295" s="1"/>
      <c r="PF295" s="1"/>
      <c r="PG295" s="1"/>
      <c r="PH295" s="1"/>
      <c r="PI295" s="1"/>
      <c r="PJ295" s="1"/>
      <c r="PK295" s="1"/>
      <c r="PL295" s="1"/>
      <c r="PM295" s="1"/>
      <c r="PN295" s="1"/>
      <c r="PO295" s="1"/>
      <c r="PP295" s="1"/>
      <c r="PQ295" s="1"/>
      <c r="PR295" s="1"/>
      <c r="PS295" s="1"/>
      <c r="PT295" s="1"/>
      <c r="PU295" s="1"/>
      <c r="PV295" s="1"/>
      <c r="PW295" s="1"/>
      <c r="PX295" s="1"/>
      <c r="PY295" s="1"/>
      <c r="PZ295" s="1"/>
      <c r="QA295" s="1"/>
      <c r="QB295" s="1"/>
      <c r="QC295" s="1"/>
      <c r="QD295" s="1"/>
      <c r="QE295" s="1"/>
      <c r="QF295" s="1"/>
      <c r="QG295" s="1"/>
      <c r="QH295" s="1"/>
      <c r="QI295" s="1"/>
      <c r="QJ295" s="1"/>
      <c r="QK295" s="1"/>
      <c r="QL295" s="1"/>
      <c r="QM295" s="1"/>
      <c r="QN295" s="1"/>
      <c r="QO295" s="1"/>
      <c r="QP295" s="1"/>
      <c r="QQ295" s="1"/>
      <c r="QR295" s="1"/>
      <c r="QS295" s="1"/>
      <c r="QT295" s="1"/>
      <c r="QU295" s="1"/>
      <c r="QV295" s="1"/>
      <c r="QW295" s="1"/>
      <c r="QX295" s="1"/>
      <c r="QY295" s="1"/>
      <c r="QZ295" s="1"/>
      <c r="RA295" s="1"/>
      <c r="RB295" s="1"/>
      <c r="RC295" s="1"/>
      <c r="RD295" s="1"/>
      <c r="RE295" s="1"/>
      <c r="RF295" s="1"/>
      <c r="RG295" s="1"/>
      <c r="RH295" s="1"/>
      <c r="RI295" s="1"/>
      <c r="RJ295" s="1"/>
      <c r="RK295" s="1"/>
      <c r="RL295" s="1"/>
      <c r="RM295" s="1"/>
      <c r="RN295" s="1"/>
      <c r="RO295" s="1"/>
      <c r="RP295" s="1"/>
      <c r="RQ295" s="1"/>
      <c r="RR295" s="1"/>
      <c r="RS295" s="1"/>
      <c r="RT295" s="1"/>
      <c r="RU295" s="1"/>
      <c r="RV295" s="1"/>
      <c r="RW295" s="1"/>
      <c r="RX295" s="1"/>
      <c r="RY295" s="1"/>
      <c r="RZ295" s="1"/>
      <c r="SA295" s="1"/>
      <c r="SB295" s="1"/>
      <c r="SC295" s="1"/>
      <c r="SD295" s="1"/>
      <c r="SE295" s="1"/>
      <c r="SF295" s="1"/>
      <c r="SG295" s="1"/>
      <c r="SH295" s="1"/>
      <c r="SI295" s="1"/>
      <c r="SJ295" s="1"/>
      <c r="SK295" s="1"/>
      <c r="SL295" s="1"/>
      <c r="SM295" s="1"/>
      <c r="SN295" s="1"/>
      <c r="SO295" s="1"/>
      <c r="SP295" s="1"/>
      <c r="SQ295" s="1"/>
      <c r="SR295" s="1"/>
      <c r="SS295" s="1"/>
      <c r="ST295" s="1"/>
      <c r="SU295" s="1"/>
      <c r="SV295" s="1"/>
      <c r="SW295" s="1"/>
      <c r="SX295" s="1"/>
      <c r="SY295" s="1"/>
      <c r="SZ295" s="1"/>
      <c r="TA295" s="1"/>
      <c r="TB295" s="1"/>
      <c r="TC295" s="1"/>
      <c r="TD295" s="1"/>
      <c r="TE295" s="1"/>
      <c r="TF295" s="1"/>
      <c r="TG295" s="1"/>
      <c r="TH295" s="1"/>
      <c r="TI295" s="1"/>
      <c r="TJ295" s="1"/>
      <c r="TK295" s="1"/>
      <c r="TL295" s="1"/>
      <c r="TM295" s="1"/>
      <c r="TN295" s="1"/>
      <c r="TO295" s="1"/>
      <c r="TP295" s="1"/>
      <c r="TQ295" s="1"/>
      <c r="TR295" s="1"/>
      <c r="TS295" s="1"/>
      <c r="TT295" s="1"/>
      <c r="TU295" s="1"/>
      <c r="TV295" s="1"/>
      <c r="TW295" s="1"/>
      <c r="TX295" s="1"/>
      <c r="TY295" s="1"/>
      <c r="TZ295" s="1"/>
      <c r="UA295" s="1"/>
      <c r="UB295" s="1"/>
      <c r="UC295" s="1"/>
      <c r="UD295" s="1"/>
      <c r="UE295" s="1"/>
      <c r="UF295" s="1"/>
      <c r="UG295" s="1"/>
      <c r="UH295" s="1"/>
      <c r="UI295" s="1"/>
    </row>
    <row r="296" spans="1:555" ht="93" customHeight="1">
      <c r="A296" s="296">
        <v>410</v>
      </c>
      <c r="B296" s="297" t="s">
        <v>4334</v>
      </c>
      <c r="C296" s="298">
        <v>71250072</v>
      </c>
      <c r="D296" s="354" t="s">
        <v>67</v>
      </c>
      <c r="E296" s="299">
        <v>42773</v>
      </c>
      <c r="F296" s="300">
        <v>42767</v>
      </c>
      <c r="G296" s="301" t="s">
        <v>271</v>
      </c>
      <c r="H296" s="297" t="s">
        <v>63</v>
      </c>
      <c r="I296" s="297" t="s">
        <v>101</v>
      </c>
      <c r="J296" s="299">
        <v>42767</v>
      </c>
      <c r="K296" s="300">
        <v>42767</v>
      </c>
      <c r="L296" s="301" t="s">
        <v>4335</v>
      </c>
      <c r="M296" s="297" t="s">
        <v>208</v>
      </c>
      <c r="N296" s="297" t="s">
        <v>85</v>
      </c>
      <c r="O296" s="305">
        <v>43280</v>
      </c>
      <c r="P296" s="302">
        <v>43252</v>
      </c>
      <c r="Q296" s="308" t="s">
        <v>4336</v>
      </c>
      <c r="R296" s="303" t="s">
        <v>152</v>
      </c>
      <c r="S296" s="303" t="s">
        <v>4337</v>
      </c>
      <c r="T296" s="299"/>
      <c r="U296" s="300"/>
      <c r="V296" s="301"/>
      <c r="W296" s="297"/>
      <c r="X296" s="297"/>
      <c r="Y296" s="299"/>
      <c r="Z296" s="300"/>
      <c r="AA296" s="301"/>
      <c r="AB296" s="297"/>
      <c r="AC296" s="297"/>
      <c r="AD296" s="299"/>
      <c r="AE296" s="300"/>
      <c r="AF296" s="301"/>
      <c r="AG296" s="297"/>
      <c r="AH296" s="297"/>
      <c r="AI296" s="322"/>
      <c r="AJ296" s="300"/>
      <c r="AK296" s="301"/>
      <c r="AL296" s="297"/>
      <c r="AM296" s="297"/>
      <c r="AN296" s="297"/>
      <c r="AO296" s="473"/>
      <c r="AP296" s="297"/>
      <c r="AQ296" s="301" t="s">
        <v>7777</v>
      </c>
      <c r="AR296" s="297" t="s">
        <v>66</v>
      </c>
      <c r="AS296" s="299" t="s">
        <v>67</v>
      </c>
      <c r="AT296" s="299" t="s">
        <v>67</v>
      </c>
      <c r="AU296" s="297" t="s">
        <v>4338</v>
      </c>
      <c r="AV296" s="297"/>
      <c r="AW296" s="297" t="s">
        <v>69</v>
      </c>
      <c r="AX296" s="297" t="s">
        <v>7595</v>
      </c>
      <c r="AY296" s="299">
        <v>42761</v>
      </c>
      <c r="AZ296" s="297" t="s">
        <v>67</v>
      </c>
      <c r="BA296" s="299" t="s">
        <v>67</v>
      </c>
      <c r="BB296" s="382">
        <v>42753</v>
      </c>
      <c r="BC296" s="297" t="s">
        <v>3829</v>
      </c>
      <c r="BD296" s="297" t="s">
        <v>6447</v>
      </c>
      <c r="BE296" s="297"/>
      <c r="BF296" s="301"/>
      <c r="BG296" s="301" t="s">
        <v>67</v>
      </c>
      <c r="BH296" s="301" t="s">
        <v>4339</v>
      </c>
      <c r="BI296" s="301" t="s">
        <v>4197</v>
      </c>
      <c r="BJ296" s="312">
        <v>2982564</v>
      </c>
      <c r="BK296" s="312">
        <v>2982564</v>
      </c>
      <c r="BL296" s="313">
        <v>46908917</v>
      </c>
      <c r="BM296" s="299">
        <v>42797</v>
      </c>
      <c r="BN296" s="300">
        <v>42795</v>
      </c>
      <c r="BO296" s="460"/>
      <c r="BP296" s="390"/>
      <c r="BQ296" s="297"/>
      <c r="BR296" s="303"/>
      <c r="BS296" s="301"/>
      <c r="BT296" s="301"/>
      <c r="BU296" s="301"/>
      <c r="BV296" s="301"/>
      <c r="BW296" s="316"/>
      <c r="BX296" s="304"/>
      <c r="BY296" s="299"/>
      <c r="BZ296" s="317"/>
    </row>
    <row r="297" spans="1:555" s="509" customFormat="1" ht="85.5" customHeight="1">
      <c r="A297" s="296">
        <v>411</v>
      </c>
      <c r="B297" s="297" t="s">
        <v>4340</v>
      </c>
      <c r="C297" s="298">
        <v>98502577</v>
      </c>
      <c r="D297" s="354" t="s">
        <v>67</v>
      </c>
      <c r="E297" s="299">
        <v>42773</v>
      </c>
      <c r="F297" s="300">
        <v>42767</v>
      </c>
      <c r="G297" s="301" t="s">
        <v>271</v>
      </c>
      <c r="H297" s="297" t="s">
        <v>63</v>
      </c>
      <c r="I297" s="297" t="s">
        <v>101</v>
      </c>
      <c r="J297" s="299"/>
      <c r="K297" s="300"/>
      <c r="L297" s="301"/>
      <c r="M297" s="297"/>
      <c r="N297" s="297"/>
      <c r="O297" s="299"/>
      <c r="P297" s="302"/>
      <c r="Q297" s="301"/>
      <c r="R297" s="297"/>
      <c r="S297" s="297"/>
      <c r="T297" s="299"/>
      <c r="U297" s="300"/>
      <c r="V297" s="301"/>
      <c r="W297" s="297"/>
      <c r="X297" s="297"/>
      <c r="Y297" s="299"/>
      <c r="Z297" s="300"/>
      <c r="AA297" s="301"/>
      <c r="AB297" s="297"/>
      <c r="AC297" s="297"/>
      <c r="AD297" s="299"/>
      <c r="AE297" s="300"/>
      <c r="AF297" s="301"/>
      <c r="AG297" s="297"/>
      <c r="AH297" s="297"/>
      <c r="AI297" s="322"/>
      <c r="AJ297" s="300"/>
      <c r="AK297" s="301"/>
      <c r="AL297" s="297"/>
      <c r="AM297" s="297"/>
      <c r="AN297" s="297"/>
      <c r="AO297" s="473"/>
      <c r="AP297" s="297"/>
      <c r="AQ297" s="301" t="s">
        <v>7896</v>
      </c>
      <c r="AR297" s="297" t="s">
        <v>66</v>
      </c>
      <c r="AS297" s="299" t="s">
        <v>67</v>
      </c>
      <c r="AT297" s="299" t="s">
        <v>67</v>
      </c>
      <c r="AU297" s="297" t="s">
        <v>3827</v>
      </c>
      <c r="AV297" s="297"/>
      <c r="AW297" s="297" t="s">
        <v>69</v>
      </c>
      <c r="AX297" s="297" t="s">
        <v>7897</v>
      </c>
      <c r="AY297" s="299">
        <v>42711</v>
      </c>
      <c r="AZ297" s="297" t="s">
        <v>67</v>
      </c>
      <c r="BA297" s="299" t="s">
        <v>67</v>
      </c>
      <c r="BB297" s="382">
        <v>42753</v>
      </c>
      <c r="BC297" s="297" t="s">
        <v>3829</v>
      </c>
      <c r="BD297" s="297" t="s">
        <v>6447</v>
      </c>
      <c r="BE297" s="297"/>
      <c r="BF297" s="301"/>
      <c r="BG297" s="301" t="s">
        <v>67</v>
      </c>
      <c r="BH297" s="301" t="s">
        <v>4341</v>
      </c>
      <c r="BI297" s="301" t="s">
        <v>4197</v>
      </c>
      <c r="BJ297" s="312">
        <v>745641</v>
      </c>
      <c r="BK297" s="312">
        <v>745641</v>
      </c>
      <c r="BL297" s="313">
        <v>46753817</v>
      </c>
      <c r="BM297" s="299">
        <v>42797</v>
      </c>
      <c r="BN297" s="300">
        <v>42795</v>
      </c>
      <c r="BO297" s="460"/>
      <c r="BP297" s="390"/>
      <c r="BQ297" s="297"/>
      <c r="BR297" s="303"/>
      <c r="BS297" s="301"/>
      <c r="BT297" s="301"/>
      <c r="BU297" s="301"/>
      <c r="BV297" s="301"/>
      <c r="BW297" s="316"/>
      <c r="BX297" s="304"/>
      <c r="BY297" s="299"/>
      <c r="BZ297" s="317"/>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c r="IY297" s="1"/>
      <c r="IZ297" s="1"/>
      <c r="JA297" s="1"/>
      <c r="JB297" s="1"/>
      <c r="JC297" s="1"/>
      <c r="JD297" s="1"/>
      <c r="JE297" s="1"/>
      <c r="JF297" s="1"/>
      <c r="JG297" s="1"/>
      <c r="JH297" s="1"/>
      <c r="JI297" s="1"/>
      <c r="JJ297" s="1"/>
      <c r="JK297" s="1"/>
      <c r="JL297" s="1"/>
      <c r="JM297" s="1"/>
      <c r="JN297" s="1"/>
      <c r="JO297" s="1"/>
      <c r="JP297" s="1"/>
      <c r="JQ297" s="1"/>
      <c r="JR297" s="1"/>
      <c r="JS297" s="1"/>
      <c r="JT297" s="1"/>
      <c r="JU297" s="1"/>
      <c r="JV297" s="1"/>
      <c r="JW297" s="1"/>
      <c r="JX297" s="1"/>
      <c r="JY297" s="1"/>
      <c r="JZ297" s="1"/>
      <c r="KA297" s="1"/>
      <c r="KB297" s="1"/>
      <c r="KC297" s="1"/>
      <c r="KD297" s="1"/>
      <c r="KE297" s="1"/>
      <c r="KF297" s="1"/>
      <c r="KG297" s="1"/>
      <c r="KH297" s="1"/>
      <c r="KI297" s="1"/>
      <c r="KJ297" s="1"/>
      <c r="KK297" s="1"/>
      <c r="KL297" s="1"/>
      <c r="KM297" s="1"/>
      <c r="KN297" s="1"/>
      <c r="KO297" s="1"/>
      <c r="KP297" s="1"/>
      <c r="KQ297" s="1"/>
      <c r="KR297" s="1"/>
      <c r="KS297" s="1"/>
      <c r="KT297" s="1"/>
      <c r="KU297" s="1"/>
      <c r="KV297" s="1"/>
      <c r="KW297" s="1"/>
      <c r="KX297" s="1"/>
      <c r="KY297" s="1"/>
      <c r="KZ297" s="1"/>
      <c r="LA297" s="1"/>
      <c r="LB297" s="1"/>
      <c r="LC297" s="1"/>
      <c r="LD297" s="1"/>
      <c r="LE297" s="1"/>
      <c r="LF297" s="1"/>
      <c r="LG297" s="1"/>
      <c r="LH297" s="1"/>
      <c r="LI297" s="1"/>
      <c r="LJ297" s="1"/>
      <c r="LK297" s="1"/>
      <c r="LL297" s="1"/>
      <c r="LM297" s="1"/>
      <c r="LN297" s="1"/>
      <c r="LO297" s="1"/>
      <c r="LP297" s="1"/>
      <c r="LQ297" s="1"/>
      <c r="LR297" s="1"/>
      <c r="LS297" s="1"/>
      <c r="LT297" s="1"/>
      <c r="LU297" s="1"/>
      <c r="LV297" s="1"/>
      <c r="LW297" s="1"/>
      <c r="LX297" s="1"/>
      <c r="LY297" s="1"/>
      <c r="LZ297" s="1"/>
      <c r="MA297" s="1"/>
      <c r="MB297" s="1"/>
      <c r="MC297" s="1"/>
      <c r="MD297" s="1"/>
      <c r="ME297" s="1"/>
      <c r="MF297" s="1"/>
      <c r="MG297" s="1"/>
      <c r="MH297" s="1"/>
      <c r="MI297" s="1"/>
      <c r="MJ297" s="1"/>
      <c r="MK297" s="1"/>
      <c r="ML297" s="1"/>
      <c r="MM297" s="1"/>
      <c r="MN297" s="1"/>
      <c r="MO297" s="1"/>
      <c r="MP297" s="1"/>
      <c r="MQ297" s="1"/>
      <c r="MR297" s="1"/>
      <c r="MS297" s="1"/>
      <c r="MT297" s="1"/>
      <c r="MU297" s="1"/>
      <c r="MV297" s="1"/>
      <c r="MW297" s="1"/>
      <c r="MX297" s="1"/>
      <c r="MY297" s="1"/>
      <c r="MZ297" s="1"/>
      <c r="NA297" s="1"/>
      <c r="NB297" s="1"/>
      <c r="NC297" s="1"/>
      <c r="ND297" s="1"/>
      <c r="NE297" s="1"/>
      <c r="NF297" s="1"/>
      <c r="NG297" s="1"/>
      <c r="NH297" s="1"/>
      <c r="NI297" s="1"/>
      <c r="NJ297" s="1"/>
      <c r="NK297" s="1"/>
      <c r="NL297" s="1"/>
      <c r="NM297" s="1"/>
      <c r="NN297" s="1"/>
      <c r="NO297" s="1"/>
      <c r="NP297" s="1"/>
      <c r="NQ297" s="1"/>
      <c r="NR297" s="1"/>
      <c r="NS297" s="1"/>
      <c r="NT297" s="1"/>
      <c r="NU297" s="1"/>
      <c r="NV297" s="1"/>
      <c r="NW297" s="1"/>
      <c r="NX297" s="1"/>
      <c r="NY297" s="1"/>
      <c r="NZ297" s="1"/>
      <c r="OA297" s="1"/>
      <c r="OB297" s="1"/>
      <c r="OC297" s="1"/>
      <c r="OD297" s="1"/>
      <c r="OE297" s="1"/>
      <c r="OF297" s="1"/>
      <c r="OG297" s="1"/>
      <c r="OH297" s="1"/>
      <c r="OI297" s="1"/>
      <c r="OJ297" s="1"/>
      <c r="OK297" s="1"/>
      <c r="OL297" s="1"/>
      <c r="OM297" s="1"/>
      <c r="ON297" s="1"/>
      <c r="OO297" s="1"/>
      <c r="OP297" s="1"/>
      <c r="OQ297" s="1"/>
      <c r="OR297" s="1"/>
      <c r="OS297" s="1"/>
      <c r="OT297" s="1"/>
      <c r="OU297" s="1"/>
      <c r="OV297" s="1"/>
      <c r="OW297" s="1"/>
      <c r="OX297" s="1"/>
      <c r="OY297" s="1"/>
      <c r="OZ297" s="1"/>
      <c r="PA297" s="1"/>
      <c r="PB297" s="1"/>
      <c r="PC297" s="1"/>
      <c r="PD297" s="1"/>
      <c r="PE297" s="1"/>
      <c r="PF297" s="1"/>
      <c r="PG297" s="1"/>
      <c r="PH297" s="1"/>
      <c r="PI297" s="1"/>
      <c r="PJ297" s="1"/>
      <c r="PK297" s="1"/>
      <c r="PL297" s="1"/>
      <c r="PM297" s="1"/>
      <c r="PN297" s="1"/>
      <c r="PO297" s="1"/>
      <c r="PP297" s="1"/>
      <c r="PQ297" s="1"/>
      <c r="PR297" s="1"/>
      <c r="PS297" s="1"/>
      <c r="PT297" s="1"/>
      <c r="PU297" s="1"/>
      <c r="PV297" s="1"/>
      <c r="PW297" s="1"/>
      <c r="PX297" s="1"/>
      <c r="PY297" s="1"/>
      <c r="PZ297" s="1"/>
      <c r="QA297" s="1"/>
      <c r="QB297" s="1"/>
      <c r="QC297" s="1"/>
      <c r="QD297" s="1"/>
      <c r="QE297" s="1"/>
      <c r="QF297" s="1"/>
      <c r="QG297" s="1"/>
      <c r="QH297" s="1"/>
      <c r="QI297" s="1"/>
      <c r="QJ297" s="1"/>
      <c r="QK297" s="1"/>
      <c r="QL297" s="1"/>
      <c r="QM297" s="1"/>
      <c r="QN297" s="1"/>
      <c r="QO297" s="1"/>
      <c r="QP297" s="1"/>
      <c r="QQ297" s="1"/>
      <c r="QR297" s="1"/>
      <c r="QS297" s="1"/>
      <c r="QT297" s="1"/>
      <c r="QU297" s="1"/>
      <c r="QV297" s="1"/>
      <c r="QW297" s="1"/>
      <c r="QX297" s="1"/>
      <c r="QY297" s="1"/>
      <c r="QZ297" s="1"/>
      <c r="RA297" s="1"/>
      <c r="RB297" s="1"/>
      <c r="RC297" s="1"/>
      <c r="RD297" s="1"/>
      <c r="RE297" s="1"/>
      <c r="RF297" s="1"/>
      <c r="RG297" s="1"/>
      <c r="RH297" s="1"/>
      <c r="RI297" s="1"/>
      <c r="RJ297" s="1"/>
      <c r="RK297" s="1"/>
      <c r="RL297" s="1"/>
      <c r="RM297" s="1"/>
      <c r="RN297" s="1"/>
      <c r="RO297" s="1"/>
      <c r="RP297" s="1"/>
      <c r="RQ297" s="1"/>
      <c r="RR297" s="1"/>
      <c r="RS297" s="1"/>
      <c r="RT297" s="1"/>
      <c r="RU297" s="1"/>
      <c r="RV297" s="1"/>
      <c r="RW297" s="1"/>
      <c r="RX297" s="1"/>
      <c r="RY297" s="1"/>
      <c r="RZ297" s="1"/>
      <c r="SA297" s="1"/>
      <c r="SB297" s="1"/>
      <c r="SC297" s="1"/>
      <c r="SD297" s="1"/>
      <c r="SE297" s="1"/>
      <c r="SF297" s="1"/>
      <c r="SG297" s="1"/>
      <c r="SH297" s="1"/>
      <c r="SI297" s="1"/>
      <c r="SJ297" s="1"/>
      <c r="SK297" s="1"/>
      <c r="SL297" s="1"/>
      <c r="SM297" s="1"/>
      <c r="SN297" s="1"/>
      <c r="SO297" s="1"/>
      <c r="SP297" s="1"/>
      <c r="SQ297" s="1"/>
      <c r="SR297" s="1"/>
      <c r="SS297" s="1"/>
      <c r="ST297" s="1"/>
      <c r="SU297" s="1"/>
      <c r="SV297" s="1"/>
      <c r="SW297" s="1"/>
      <c r="SX297" s="1"/>
      <c r="SY297" s="1"/>
      <c r="SZ297" s="1"/>
      <c r="TA297" s="1"/>
      <c r="TB297" s="1"/>
      <c r="TC297" s="1"/>
      <c r="TD297" s="1"/>
      <c r="TE297" s="1"/>
      <c r="TF297" s="1"/>
      <c r="TG297" s="1"/>
      <c r="TH297" s="1"/>
      <c r="TI297" s="1"/>
      <c r="TJ297" s="1"/>
      <c r="TK297" s="1"/>
      <c r="TL297" s="1"/>
      <c r="TM297" s="1"/>
      <c r="TN297" s="1"/>
      <c r="TO297" s="1"/>
      <c r="TP297" s="1"/>
      <c r="TQ297" s="1"/>
      <c r="TR297" s="1"/>
      <c r="TS297" s="1"/>
      <c r="TT297" s="1"/>
      <c r="TU297" s="1"/>
      <c r="TV297" s="1"/>
      <c r="TW297" s="1"/>
      <c r="TX297" s="1"/>
      <c r="TY297" s="1"/>
      <c r="TZ297" s="1"/>
      <c r="UA297" s="1"/>
      <c r="UB297" s="1"/>
      <c r="UC297" s="1"/>
      <c r="UD297" s="1"/>
      <c r="UE297" s="1"/>
      <c r="UF297" s="1"/>
      <c r="UG297" s="1"/>
      <c r="UH297" s="1"/>
      <c r="UI297" s="1"/>
    </row>
    <row r="298" spans="1:555" s="259" customFormat="1" ht="90" customHeight="1">
      <c r="A298" s="296">
        <v>412</v>
      </c>
      <c r="B298" s="297" t="s">
        <v>4342</v>
      </c>
      <c r="C298" s="298">
        <v>71676538</v>
      </c>
      <c r="D298" s="354" t="s">
        <v>67</v>
      </c>
      <c r="E298" s="299">
        <v>42773</v>
      </c>
      <c r="F298" s="300">
        <v>42767</v>
      </c>
      <c r="G298" s="301" t="s">
        <v>271</v>
      </c>
      <c r="H298" s="297" t="s">
        <v>63</v>
      </c>
      <c r="I298" s="297" t="s">
        <v>101</v>
      </c>
      <c r="J298" s="299"/>
      <c r="K298" s="300"/>
      <c r="L298" s="301"/>
      <c r="M298" s="297"/>
      <c r="N298" s="297"/>
      <c r="O298" s="299"/>
      <c r="P298" s="302"/>
      <c r="Q298" s="301"/>
      <c r="R298" s="297"/>
      <c r="S298" s="297"/>
      <c r="T298" s="299"/>
      <c r="U298" s="300"/>
      <c r="V298" s="301"/>
      <c r="W298" s="297"/>
      <c r="X298" s="297"/>
      <c r="Y298" s="299"/>
      <c r="Z298" s="300"/>
      <c r="AA298" s="301"/>
      <c r="AB298" s="297"/>
      <c r="AC298" s="297"/>
      <c r="AD298" s="299"/>
      <c r="AE298" s="300"/>
      <c r="AF298" s="301"/>
      <c r="AG298" s="297"/>
      <c r="AH298" s="297"/>
      <c r="AI298" s="322"/>
      <c r="AJ298" s="300"/>
      <c r="AK298" s="301"/>
      <c r="AL298" s="297"/>
      <c r="AM298" s="297"/>
      <c r="AN298" s="297"/>
      <c r="AO298" s="473"/>
      <c r="AP298" s="297"/>
      <c r="AQ298" s="301" t="s">
        <v>7634</v>
      </c>
      <c r="AR298" s="297" t="s">
        <v>66</v>
      </c>
      <c r="AS298" s="299" t="s">
        <v>67</v>
      </c>
      <c r="AT298" s="299" t="s">
        <v>67</v>
      </c>
      <c r="AU298" s="297" t="s">
        <v>3827</v>
      </c>
      <c r="AV298" s="297"/>
      <c r="AW298" s="297" t="s">
        <v>69</v>
      </c>
      <c r="AX298" s="297" t="s">
        <v>7633</v>
      </c>
      <c r="AY298" s="299">
        <v>42761</v>
      </c>
      <c r="AZ298" s="297" t="s">
        <v>67</v>
      </c>
      <c r="BA298" s="299" t="s">
        <v>67</v>
      </c>
      <c r="BB298" s="382">
        <v>42768</v>
      </c>
      <c r="BC298" s="297" t="s">
        <v>3829</v>
      </c>
      <c r="BD298" s="297" t="s">
        <v>6447</v>
      </c>
      <c r="BE298" s="297"/>
      <c r="BF298" s="301"/>
      <c r="BG298" s="301" t="s">
        <v>67</v>
      </c>
      <c r="BH298" s="301" t="s">
        <v>4343</v>
      </c>
      <c r="BI298" s="301" t="s">
        <v>4344</v>
      </c>
      <c r="BJ298" s="312">
        <v>2440280</v>
      </c>
      <c r="BK298" s="312">
        <v>2440280</v>
      </c>
      <c r="BL298" s="313">
        <v>47949017</v>
      </c>
      <c r="BM298" s="299">
        <v>42800</v>
      </c>
      <c r="BN298" s="300">
        <v>42795</v>
      </c>
      <c r="BO298" s="460"/>
      <c r="BP298" s="390"/>
      <c r="BQ298" s="297"/>
      <c r="BR298" s="303"/>
      <c r="BS298" s="301"/>
      <c r="BT298" s="301"/>
      <c r="BU298" s="301"/>
      <c r="BV298" s="301"/>
      <c r="BW298" s="316"/>
      <c r="BX298" s="304"/>
      <c r="BY298" s="299"/>
      <c r="BZ298" s="317"/>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c r="IY298" s="1"/>
      <c r="IZ298" s="1"/>
      <c r="JA298" s="1"/>
      <c r="JB298" s="1"/>
      <c r="JC298" s="1"/>
      <c r="JD298" s="1"/>
      <c r="JE298" s="1"/>
      <c r="JF298" s="1"/>
      <c r="JG298" s="1"/>
      <c r="JH298" s="1"/>
      <c r="JI298" s="1"/>
      <c r="JJ298" s="1"/>
      <c r="JK298" s="1"/>
      <c r="JL298" s="1"/>
      <c r="JM298" s="1"/>
      <c r="JN298" s="1"/>
      <c r="JO298" s="1"/>
      <c r="JP298" s="1"/>
      <c r="JQ298" s="1"/>
      <c r="JR298" s="1"/>
      <c r="JS298" s="1"/>
      <c r="JT298" s="1"/>
      <c r="JU298" s="1"/>
      <c r="JV298" s="1"/>
      <c r="JW298" s="1"/>
      <c r="JX298" s="1"/>
      <c r="JY298" s="1"/>
      <c r="JZ298" s="1"/>
      <c r="KA298" s="1"/>
      <c r="KB298" s="1"/>
      <c r="KC298" s="1"/>
      <c r="KD298" s="1"/>
      <c r="KE298" s="1"/>
      <c r="KF298" s="1"/>
      <c r="KG298" s="1"/>
      <c r="KH298" s="1"/>
      <c r="KI298" s="1"/>
      <c r="KJ298" s="1"/>
      <c r="KK298" s="1"/>
      <c r="KL298" s="1"/>
      <c r="KM298" s="1"/>
      <c r="KN298" s="1"/>
      <c r="KO298" s="1"/>
      <c r="KP298" s="1"/>
      <c r="KQ298" s="1"/>
      <c r="KR298" s="1"/>
      <c r="KS298" s="1"/>
      <c r="KT298" s="1"/>
      <c r="KU298" s="1"/>
      <c r="KV298" s="1"/>
      <c r="KW298" s="1"/>
      <c r="KX298" s="1"/>
      <c r="KY298" s="1"/>
      <c r="KZ298" s="1"/>
      <c r="LA298" s="1"/>
      <c r="LB298" s="1"/>
      <c r="LC298" s="1"/>
      <c r="LD298" s="1"/>
      <c r="LE298" s="1"/>
      <c r="LF298" s="1"/>
      <c r="LG298" s="1"/>
      <c r="LH298" s="1"/>
      <c r="LI298" s="1"/>
      <c r="LJ298" s="1"/>
      <c r="LK298" s="1"/>
      <c r="LL298" s="1"/>
      <c r="LM298" s="1"/>
      <c r="LN298" s="1"/>
      <c r="LO298" s="1"/>
      <c r="LP298" s="1"/>
      <c r="LQ298" s="1"/>
      <c r="LR298" s="1"/>
      <c r="LS298" s="1"/>
      <c r="LT298" s="1"/>
      <c r="LU298" s="1"/>
      <c r="LV298" s="1"/>
      <c r="LW298" s="1"/>
      <c r="LX298" s="1"/>
      <c r="LY298" s="1"/>
      <c r="LZ298" s="1"/>
      <c r="MA298" s="1"/>
      <c r="MB298" s="1"/>
      <c r="MC298" s="1"/>
      <c r="MD298" s="1"/>
      <c r="ME298" s="1"/>
      <c r="MF298" s="1"/>
      <c r="MG298" s="1"/>
      <c r="MH298" s="1"/>
      <c r="MI298" s="1"/>
      <c r="MJ298" s="1"/>
      <c r="MK298" s="1"/>
      <c r="ML298" s="1"/>
      <c r="MM298" s="1"/>
      <c r="MN298" s="1"/>
      <c r="MO298" s="1"/>
      <c r="MP298" s="1"/>
      <c r="MQ298" s="1"/>
      <c r="MR298" s="1"/>
      <c r="MS298" s="1"/>
      <c r="MT298" s="1"/>
      <c r="MU298" s="1"/>
      <c r="MV298" s="1"/>
      <c r="MW298" s="1"/>
      <c r="MX298" s="1"/>
      <c r="MY298" s="1"/>
      <c r="MZ298" s="1"/>
      <c r="NA298" s="1"/>
      <c r="NB298" s="1"/>
      <c r="NC298" s="1"/>
      <c r="ND298" s="1"/>
      <c r="NE298" s="1"/>
      <c r="NF298" s="1"/>
      <c r="NG298" s="1"/>
      <c r="NH298" s="1"/>
      <c r="NI298" s="1"/>
      <c r="NJ298" s="1"/>
      <c r="NK298" s="1"/>
      <c r="NL298" s="1"/>
      <c r="NM298" s="1"/>
      <c r="NN298" s="1"/>
      <c r="NO298" s="1"/>
      <c r="NP298" s="1"/>
      <c r="NQ298" s="1"/>
      <c r="NR298" s="1"/>
      <c r="NS298" s="1"/>
      <c r="NT298" s="1"/>
      <c r="NU298" s="1"/>
      <c r="NV298" s="1"/>
      <c r="NW298" s="1"/>
      <c r="NX298" s="1"/>
      <c r="NY298" s="1"/>
      <c r="NZ298" s="1"/>
      <c r="OA298" s="1"/>
      <c r="OB298" s="1"/>
      <c r="OC298" s="1"/>
      <c r="OD298" s="1"/>
      <c r="OE298" s="1"/>
      <c r="OF298" s="1"/>
      <c r="OG298" s="1"/>
      <c r="OH298" s="1"/>
      <c r="OI298" s="1"/>
      <c r="OJ298" s="1"/>
      <c r="OK298" s="1"/>
      <c r="OL298" s="1"/>
      <c r="OM298" s="1"/>
      <c r="ON298" s="1"/>
      <c r="OO298" s="1"/>
      <c r="OP298" s="1"/>
      <c r="OQ298" s="1"/>
      <c r="OR298" s="1"/>
      <c r="OS298" s="1"/>
      <c r="OT298" s="1"/>
      <c r="OU298" s="1"/>
      <c r="OV298" s="1"/>
      <c r="OW298" s="1"/>
      <c r="OX298" s="1"/>
      <c r="OY298" s="1"/>
      <c r="OZ298" s="1"/>
      <c r="PA298" s="1"/>
      <c r="PB298" s="1"/>
      <c r="PC298" s="1"/>
      <c r="PD298" s="1"/>
      <c r="PE298" s="1"/>
      <c r="PF298" s="1"/>
      <c r="PG298" s="1"/>
      <c r="PH298" s="1"/>
      <c r="PI298" s="1"/>
      <c r="PJ298" s="1"/>
      <c r="PK298" s="1"/>
      <c r="PL298" s="1"/>
      <c r="PM298" s="1"/>
      <c r="PN298" s="1"/>
      <c r="PO298" s="1"/>
      <c r="PP298" s="1"/>
      <c r="PQ298" s="1"/>
      <c r="PR298" s="1"/>
      <c r="PS298" s="1"/>
      <c r="PT298" s="1"/>
      <c r="PU298" s="1"/>
      <c r="PV298" s="1"/>
      <c r="PW298" s="1"/>
      <c r="PX298" s="1"/>
      <c r="PY298" s="1"/>
      <c r="PZ298" s="1"/>
      <c r="QA298" s="1"/>
      <c r="QB298" s="1"/>
      <c r="QC298" s="1"/>
      <c r="QD298" s="1"/>
      <c r="QE298" s="1"/>
      <c r="QF298" s="1"/>
      <c r="QG298" s="1"/>
      <c r="QH298" s="1"/>
      <c r="QI298" s="1"/>
      <c r="QJ298" s="1"/>
      <c r="QK298" s="1"/>
      <c r="QL298" s="1"/>
      <c r="QM298" s="1"/>
      <c r="QN298" s="1"/>
      <c r="QO298" s="1"/>
      <c r="QP298" s="1"/>
      <c r="QQ298" s="1"/>
      <c r="QR298" s="1"/>
      <c r="QS298" s="1"/>
      <c r="QT298" s="1"/>
      <c r="QU298" s="1"/>
      <c r="QV298" s="1"/>
      <c r="QW298" s="1"/>
      <c r="QX298" s="1"/>
      <c r="QY298" s="1"/>
      <c r="QZ298" s="1"/>
      <c r="RA298" s="1"/>
      <c r="RB298" s="1"/>
      <c r="RC298" s="1"/>
      <c r="RD298" s="1"/>
      <c r="RE298" s="1"/>
      <c r="RF298" s="1"/>
      <c r="RG298" s="1"/>
      <c r="RH298" s="1"/>
      <c r="RI298" s="1"/>
      <c r="RJ298" s="1"/>
      <c r="RK298" s="1"/>
      <c r="RL298" s="1"/>
      <c r="RM298" s="1"/>
      <c r="RN298" s="1"/>
      <c r="RO298" s="1"/>
      <c r="RP298" s="1"/>
      <c r="RQ298" s="1"/>
      <c r="RR298" s="1"/>
      <c r="RS298" s="1"/>
      <c r="RT298" s="1"/>
      <c r="RU298" s="1"/>
      <c r="RV298" s="1"/>
      <c r="RW298" s="1"/>
      <c r="RX298" s="1"/>
      <c r="RY298" s="1"/>
      <c r="RZ298" s="1"/>
      <c r="SA298" s="1"/>
      <c r="SB298" s="1"/>
      <c r="SC298" s="1"/>
      <c r="SD298" s="1"/>
      <c r="SE298" s="1"/>
      <c r="SF298" s="1"/>
      <c r="SG298" s="1"/>
      <c r="SH298" s="1"/>
      <c r="SI298" s="1"/>
      <c r="SJ298" s="1"/>
      <c r="SK298" s="1"/>
      <c r="SL298" s="1"/>
      <c r="SM298" s="1"/>
      <c r="SN298" s="1"/>
      <c r="SO298" s="1"/>
      <c r="SP298" s="1"/>
      <c r="SQ298" s="1"/>
      <c r="SR298" s="1"/>
      <c r="SS298" s="1"/>
      <c r="ST298" s="1"/>
      <c r="SU298" s="1"/>
      <c r="SV298" s="1"/>
      <c r="SW298" s="1"/>
      <c r="SX298" s="1"/>
      <c r="SY298" s="1"/>
      <c r="SZ298" s="1"/>
      <c r="TA298" s="1"/>
      <c r="TB298" s="1"/>
      <c r="TC298" s="1"/>
      <c r="TD298" s="1"/>
      <c r="TE298" s="1"/>
      <c r="TF298" s="1"/>
      <c r="TG298" s="1"/>
      <c r="TH298" s="1"/>
      <c r="TI298" s="1"/>
      <c r="TJ298" s="1"/>
      <c r="TK298" s="1"/>
      <c r="TL298" s="1"/>
      <c r="TM298" s="1"/>
      <c r="TN298" s="1"/>
      <c r="TO298" s="1"/>
      <c r="TP298" s="1"/>
      <c r="TQ298" s="1"/>
      <c r="TR298" s="1"/>
      <c r="TS298" s="1"/>
      <c r="TT298" s="1"/>
      <c r="TU298" s="1"/>
      <c r="TV298" s="1"/>
      <c r="TW298" s="1"/>
      <c r="TX298" s="1"/>
      <c r="TY298" s="1"/>
      <c r="TZ298" s="1"/>
      <c r="UA298" s="1"/>
      <c r="UB298" s="1"/>
      <c r="UC298" s="1"/>
      <c r="UD298" s="1"/>
      <c r="UE298" s="1"/>
      <c r="UF298" s="1"/>
      <c r="UG298" s="1"/>
      <c r="UH298" s="1"/>
      <c r="UI298" s="1"/>
    </row>
    <row r="299" spans="1:555" ht="90" customHeight="1">
      <c r="A299" s="296">
        <v>413</v>
      </c>
      <c r="B299" s="297" t="s">
        <v>4345</v>
      </c>
      <c r="C299" s="298">
        <v>76315239</v>
      </c>
      <c r="D299" s="354" t="s">
        <v>67</v>
      </c>
      <c r="E299" s="299">
        <v>42773</v>
      </c>
      <c r="F299" s="300">
        <v>42767</v>
      </c>
      <c r="G299" s="301" t="s">
        <v>271</v>
      </c>
      <c r="H299" s="297" t="s">
        <v>63</v>
      </c>
      <c r="I299" s="297" t="s">
        <v>101</v>
      </c>
      <c r="J299" s="299"/>
      <c r="K299" s="300"/>
      <c r="L299" s="301"/>
      <c r="M299" s="297"/>
      <c r="N299" s="297"/>
      <c r="O299" s="299"/>
      <c r="P299" s="302"/>
      <c r="Q299" s="301"/>
      <c r="R299" s="297"/>
      <c r="S299" s="297"/>
      <c r="T299" s="299"/>
      <c r="U299" s="300"/>
      <c r="V299" s="301"/>
      <c r="W299" s="297"/>
      <c r="X299" s="297"/>
      <c r="Y299" s="299"/>
      <c r="Z299" s="300"/>
      <c r="AA299" s="301"/>
      <c r="AB299" s="297"/>
      <c r="AC299" s="297"/>
      <c r="AD299" s="299"/>
      <c r="AE299" s="300"/>
      <c r="AF299" s="301"/>
      <c r="AG299" s="297"/>
      <c r="AH299" s="297"/>
      <c r="AI299" s="322"/>
      <c r="AJ299" s="300"/>
      <c r="AK299" s="301"/>
      <c r="AL299" s="297"/>
      <c r="AM299" s="297"/>
      <c r="AN299" s="297"/>
      <c r="AO299" s="473"/>
      <c r="AP299" s="297"/>
      <c r="AQ299" s="301" t="s">
        <v>7603</v>
      </c>
      <c r="AR299" s="297" t="s">
        <v>66</v>
      </c>
      <c r="AS299" s="299" t="s">
        <v>67</v>
      </c>
      <c r="AT299" s="299" t="s">
        <v>67</v>
      </c>
      <c r="AU299" s="297" t="s">
        <v>3827</v>
      </c>
      <c r="AV299" s="297"/>
      <c r="AW299" s="297" t="s">
        <v>69</v>
      </c>
      <c r="AX299" s="297" t="s">
        <v>7604</v>
      </c>
      <c r="AY299" s="299">
        <v>42768</v>
      </c>
      <c r="AZ299" s="297" t="s">
        <v>67</v>
      </c>
      <c r="BA299" s="299" t="s">
        <v>67</v>
      </c>
      <c r="BB299" s="382">
        <v>42776</v>
      </c>
      <c r="BC299" s="297" t="s">
        <v>3829</v>
      </c>
      <c r="BD299" s="297" t="s">
        <v>6447</v>
      </c>
      <c r="BE299" s="297"/>
      <c r="BF299" s="301"/>
      <c r="BG299" s="301" t="s">
        <v>67</v>
      </c>
      <c r="BH299" s="301" t="s">
        <v>4347</v>
      </c>
      <c r="BI299" s="301" t="s">
        <v>4197</v>
      </c>
      <c r="BJ299" s="312">
        <v>394378</v>
      </c>
      <c r="BK299" s="312">
        <v>394378</v>
      </c>
      <c r="BL299" s="313">
        <v>46773017</v>
      </c>
      <c r="BM299" s="299">
        <v>42797</v>
      </c>
      <c r="BN299" s="300">
        <v>42795</v>
      </c>
      <c r="BO299" s="460"/>
      <c r="BP299" s="390"/>
      <c r="BQ299" s="297"/>
      <c r="BR299" s="303"/>
      <c r="BS299" s="301"/>
      <c r="BT299" s="301"/>
      <c r="BU299" s="301"/>
      <c r="BV299" s="301"/>
      <c r="BW299" s="316"/>
      <c r="BX299" s="304"/>
      <c r="BY299" s="299"/>
      <c r="BZ299" s="317"/>
    </row>
    <row r="300" spans="1:555" s="259" customFormat="1" ht="90" customHeight="1">
      <c r="A300" s="296">
        <v>414</v>
      </c>
      <c r="B300" s="297" t="s">
        <v>4348</v>
      </c>
      <c r="C300" s="298">
        <v>93452882</v>
      </c>
      <c r="D300" s="354" t="s">
        <v>67</v>
      </c>
      <c r="E300" s="299">
        <v>42773</v>
      </c>
      <c r="F300" s="300">
        <v>42767</v>
      </c>
      <c r="G300" s="301" t="s">
        <v>271</v>
      </c>
      <c r="H300" s="297" t="s">
        <v>63</v>
      </c>
      <c r="I300" s="297" t="s">
        <v>101</v>
      </c>
      <c r="J300" s="299"/>
      <c r="K300" s="300"/>
      <c r="L300" s="301"/>
      <c r="M300" s="297"/>
      <c r="N300" s="297"/>
      <c r="O300" s="299"/>
      <c r="P300" s="302"/>
      <c r="Q300" s="301"/>
      <c r="R300" s="297"/>
      <c r="S300" s="297"/>
      <c r="T300" s="299"/>
      <c r="U300" s="300"/>
      <c r="V300" s="301"/>
      <c r="W300" s="297"/>
      <c r="X300" s="297"/>
      <c r="Y300" s="299"/>
      <c r="Z300" s="300"/>
      <c r="AA300" s="301"/>
      <c r="AB300" s="297"/>
      <c r="AC300" s="297"/>
      <c r="AD300" s="299"/>
      <c r="AE300" s="300"/>
      <c r="AF300" s="301"/>
      <c r="AG300" s="297"/>
      <c r="AH300" s="297"/>
      <c r="AI300" s="322"/>
      <c r="AJ300" s="300"/>
      <c r="AK300" s="301"/>
      <c r="AL300" s="297"/>
      <c r="AM300" s="297"/>
      <c r="AN300" s="297"/>
      <c r="AO300" s="473"/>
      <c r="AP300" s="297"/>
      <c r="AQ300" s="301" t="s">
        <v>7768</v>
      </c>
      <c r="AR300" s="297" t="s">
        <v>66</v>
      </c>
      <c r="AS300" s="299" t="s">
        <v>67</v>
      </c>
      <c r="AT300" s="299" t="s">
        <v>67</v>
      </c>
      <c r="AU300" s="297" t="s">
        <v>3827</v>
      </c>
      <c r="AV300" s="297"/>
      <c r="AW300" s="297" t="s">
        <v>69</v>
      </c>
      <c r="AX300" s="297" t="s">
        <v>7628</v>
      </c>
      <c r="AY300" s="299">
        <v>42768</v>
      </c>
      <c r="AZ300" s="297" t="s">
        <v>67</v>
      </c>
      <c r="BA300" s="299" t="s">
        <v>67</v>
      </c>
      <c r="BB300" s="382">
        <v>42776</v>
      </c>
      <c r="BC300" s="297" t="s">
        <v>3829</v>
      </c>
      <c r="BD300" s="297" t="s">
        <v>6447</v>
      </c>
      <c r="BE300" s="297"/>
      <c r="BF300" s="301"/>
      <c r="BG300" s="301" t="s">
        <v>67</v>
      </c>
      <c r="BH300" s="301" t="s">
        <v>4349</v>
      </c>
      <c r="BI300" s="301" t="s">
        <v>4197</v>
      </c>
      <c r="BJ300" s="312">
        <v>745641</v>
      </c>
      <c r="BK300" s="312">
        <v>745641</v>
      </c>
      <c r="BL300" s="313">
        <v>46798517</v>
      </c>
      <c r="BM300" s="299">
        <v>42797</v>
      </c>
      <c r="BN300" s="300">
        <v>42795</v>
      </c>
      <c r="BO300" s="460"/>
      <c r="BP300" s="390"/>
      <c r="BQ300" s="297"/>
      <c r="BR300" s="303"/>
      <c r="BS300" s="301"/>
      <c r="BT300" s="301"/>
      <c r="BU300" s="301"/>
      <c r="BV300" s="301"/>
      <c r="BW300" s="316"/>
      <c r="BX300" s="304"/>
      <c r="BY300" s="299"/>
      <c r="BZ300" s="317"/>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c r="IY300" s="1"/>
      <c r="IZ300" s="1"/>
      <c r="JA300" s="1"/>
      <c r="JB300" s="1"/>
      <c r="JC300" s="1"/>
      <c r="JD300" s="1"/>
      <c r="JE300" s="1"/>
      <c r="JF300" s="1"/>
      <c r="JG300" s="1"/>
      <c r="JH300" s="1"/>
      <c r="JI300" s="1"/>
      <c r="JJ300" s="1"/>
      <c r="JK300" s="1"/>
      <c r="JL300" s="1"/>
      <c r="JM300" s="1"/>
      <c r="JN300" s="1"/>
      <c r="JO300" s="1"/>
      <c r="JP300" s="1"/>
      <c r="JQ300" s="1"/>
      <c r="JR300" s="1"/>
      <c r="JS300" s="1"/>
      <c r="JT300" s="1"/>
      <c r="JU300" s="1"/>
      <c r="JV300" s="1"/>
      <c r="JW300" s="1"/>
      <c r="JX300" s="1"/>
      <c r="JY300" s="1"/>
      <c r="JZ300" s="1"/>
      <c r="KA300" s="1"/>
      <c r="KB300" s="1"/>
      <c r="KC300" s="1"/>
      <c r="KD300" s="1"/>
      <c r="KE300" s="1"/>
      <c r="KF300" s="1"/>
      <c r="KG300" s="1"/>
      <c r="KH300" s="1"/>
      <c r="KI300" s="1"/>
      <c r="KJ300" s="1"/>
      <c r="KK300" s="1"/>
      <c r="KL300" s="1"/>
      <c r="KM300" s="1"/>
      <c r="KN300" s="1"/>
      <c r="KO300" s="1"/>
      <c r="KP300" s="1"/>
      <c r="KQ300" s="1"/>
      <c r="KR300" s="1"/>
      <c r="KS300" s="1"/>
      <c r="KT300" s="1"/>
      <c r="KU300" s="1"/>
      <c r="KV300" s="1"/>
      <c r="KW300" s="1"/>
      <c r="KX300" s="1"/>
      <c r="KY300" s="1"/>
      <c r="KZ300" s="1"/>
      <c r="LA300" s="1"/>
      <c r="LB300" s="1"/>
      <c r="LC300" s="1"/>
      <c r="LD300" s="1"/>
      <c r="LE300" s="1"/>
      <c r="LF300" s="1"/>
      <c r="LG300" s="1"/>
      <c r="LH300" s="1"/>
      <c r="LI300" s="1"/>
      <c r="LJ300" s="1"/>
      <c r="LK300" s="1"/>
      <c r="LL300" s="1"/>
      <c r="LM300" s="1"/>
      <c r="LN300" s="1"/>
      <c r="LO300" s="1"/>
      <c r="LP300" s="1"/>
      <c r="LQ300" s="1"/>
      <c r="LR300" s="1"/>
      <c r="LS300" s="1"/>
      <c r="LT300" s="1"/>
      <c r="LU300" s="1"/>
      <c r="LV300" s="1"/>
      <c r="LW300" s="1"/>
      <c r="LX300" s="1"/>
      <c r="LY300" s="1"/>
      <c r="LZ300" s="1"/>
      <c r="MA300" s="1"/>
      <c r="MB300" s="1"/>
      <c r="MC300" s="1"/>
      <c r="MD300" s="1"/>
      <c r="ME300" s="1"/>
      <c r="MF300" s="1"/>
      <c r="MG300" s="1"/>
      <c r="MH300" s="1"/>
      <c r="MI300" s="1"/>
      <c r="MJ300" s="1"/>
      <c r="MK300" s="1"/>
      <c r="ML300" s="1"/>
      <c r="MM300" s="1"/>
      <c r="MN300" s="1"/>
      <c r="MO300" s="1"/>
      <c r="MP300" s="1"/>
      <c r="MQ300" s="1"/>
      <c r="MR300" s="1"/>
      <c r="MS300" s="1"/>
      <c r="MT300" s="1"/>
      <c r="MU300" s="1"/>
      <c r="MV300" s="1"/>
      <c r="MW300" s="1"/>
      <c r="MX300" s="1"/>
      <c r="MY300" s="1"/>
      <c r="MZ300" s="1"/>
      <c r="NA300" s="1"/>
      <c r="NB300" s="1"/>
      <c r="NC300" s="1"/>
      <c r="ND300" s="1"/>
      <c r="NE300" s="1"/>
      <c r="NF300" s="1"/>
      <c r="NG300" s="1"/>
      <c r="NH300" s="1"/>
      <c r="NI300" s="1"/>
      <c r="NJ300" s="1"/>
      <c r="NK300" s="1"/>
      <c r="NL300" s="1"/>
      <c r="NM300" s="1"/>
      <c r="NN300" s="1"/>
      <c r="NO300" s="1"/>
      <c r="NP300" s="1"/>
      <c r="NQ300" s="1"/>
      <c r="NR300" s="1"/>
      <c r="NS300" s="1"/>
      <c r="NT300" s="1"/>
      <c r="NU300" s="1"/>
      <c r="NV300" s="1"/>
      <c r="NW300" s="1"/>
      <c r="NX300" s="1"/>
      <c r="NY300" s="1"/>
      <c r="NZ300" s="1"/>
      <c r="OA300" s="1"/>
      <c r="OB300" s="1"/>
      <c r="OC300" s="1"/>
      <c r="OD300" s="1"/>
      <c r="OE300" s="1"/>
      <c r="OF300" s="1"/>
      <c r="OG300" s="1"/>
      <c r="OH300" s="1"/>
      <c r="OI300" s="1"/>
      <c r="OJ300" s="1"/>
      <c r="OK300" s="1"/>
      <c r="OL300" s="1"/>
      <c r="OM300" s="1"/>
      <c r="ON300" s="1"/>
      <c r="OO300" s="1"/>
      <c r="OP300" s="1"/>
      <c r="OQ300" s="1"/>
      <c r="OR300" s="1"/>
      <c r="OS300" s="1"/>
      <c r="OT300" s="1"/>
      <c r="OU300" s="1"/>
      <c r="OV300" s="1"/>
      <c r="OW300" s="1"/>
      <c r="OX300" s="1"/>
      <c r="OY300" s="1"/>
      <c r="OZ300" s="1"/>
      <c r="PA300" s="1"/>
      <c r="PB300" s="1"/>
      <c r="PC300" s="1"/>
      <c r="PD300" s="1"/>
      <c r="PE300" s="1"/>
      <c r="PF300" s="1"/>
      <c r="PG300" s="1"/>
      <c r="PH300" s="1"/>
      <c r="PI300" s="1"/>
      <c r="PJ300" s="1"/>
      <c r="PK300" s="1"/>
      <c r="PL300" s="1"/>
      <c r="PM300" s="1"/>
      <c r="PN300" s="1"/>
      <c r="PO300" s="1"/>
      <c r="PP300" s="1"/>
      <c r="PQ300" s="1"/>
      <c r="PR300" s="1"/>
      <c r="PS300" s="1"/>
      <c r="PT300" s="1"/>
      <c r="PU300" s="1"/>
      <c r="PV300" s="1"/>
      <c r="PW300" s="1"/>
      <c r="PX300" s="1"/>
      <c r="PY300" s="1"/>
      <c r="PZ300" s="1"/>
      <c r="QA300" s="1"/>
      <c r="QB300" s="1"/>
      <c r="QC300" s="1"/>
      <c r="QD300" s="1"/>
      <c r="QE300" s="1"/>
      <c r="QF300" s="1"/>
      <c r="QG300" s="1"/>
      <c r="QH300" s="1"/>
      <c r="QI300" s="1"/>
      <c r="QJ300" s="1"/>
      <c r="QK300" s="1"/>
      <c r="QL300" s="1"/>
      <c r="QM300" s="1"/>
      <c r="QN300" s="1"/>
      <c r="QO300" s="1"/>
      <c r="QP300" s="1"/>
      <c r="QQ300" s="1"/>
      <c r="QR300" s="1"/>
      <c r="QS300" s="1"/>
      <c r="QT300" s="1"/>
      <c r="QU300" s="1"/>
      <c r="QV300" s="1"/>
      <c r="QW300" s="1"/>
      <c r="QX300" s="1"/>
      <c r="QY300" s="1"/>
      <c r="QZ300" s="1"/>
      <c r="RA300" s="1"/>
      <c r="RB300" s="1"/>
      <c r="RC300" s="1"/>
      <c r="RD300" s="1"/>
      <c r="RE300" s="1"/>
      <c r="RF300" s="1"/>
      <c r="RG300" s="1"/>
      <c r="RH300" s="1"/>
      <c r="RI300" s="1"/>
      <c r="RJ300" s="1"/>
      <c r="RK300" s="1"/>
      <c r="RL300" s="1"/>
      <c r="RM300" s="1"/>
      <c r="RN300" s="1"/>
      <c r="RO300" s="1"/>
      <c r="RP300" s="1"/>
      <c r="RQ300" s="1"/>
      <c r="RR300" s="1"/>
      <c r="RS300" s="1"/>
      <c r="RT300" s="1"/>
      <c r="RU300" s="1"/>
      <c r="RV300" s="1"/>
      <c r="RW300" s="1"/>
      <c r="RX300" s="1"/>
      <c r="RY300" s="1"/>
      <c r="RZ300" s="1"/>
      <c r="SA300" s="1"/>
      <c r="SB300" s="1"/>
      <c r="SC300" s="1"/>
      <c r="SD300" s="1"/>
      <c r="SE300" s="1"/>
      <c r="SF300" s="1"/>
      <c r="SG300" s="1"/>
      <c r="SH300" s="1"/>
      <c r="SI300" s="1"/>
      <c r="SJ300" s="1"/>
      <c r="SK300" s="1"/>
      <c r="SL300" s="1"/>
      <c r="SM300" s="1"/>
      <c r="SN300" s="1"/>
      <c r="SO300" s="1"/>
      <c r="SP300" s="1"/>
      <c r="SQ300" s="1"/>
      <c r="SR300" s="1"/>
      <c r="SS300" s="1"/>
      <c r="ST300" s="1"/>
      <c r="SU300" s="1"/>
      <c r="SV300" s="1"/>
      <c r="SW300" s="1"/>
      <c r="SX300" s="1"/>
      <c r="SY300" s="1"/>
      <c r="SZ300" s="1"/>
      <c r="TA300" s="1"/>
      <c r="TB300" s="1"/>
      <c r="TC300" s="1"/>
      <c r="TD300" s="1"/>
      <c r="TE300" s="1"/>
      <c r="TF300" s="1"/>
      <c r="TG300" s="1"/>
      <c r="TH300" s="1"/>
      <c r="TI300" s="1"/>
      <c r="TJ300" s="1"/>
      <c r="TK300" s="1"/>
      <c r="TL300" s="1"/>
      <c r="TM300" s="1"/>
      <c r="TN300" s="1"/>
      <c r="TO300" s="1"/>
      <c r="TP300" s="1"/>
      <c r="TQ300" s="1"/>
      <c r="TR300" s="1"/>
      <c r="TS300" s="1"/>
      <c r="TT300" s="1"/>
      <c r="TU300" s="1"/>
      <c r="TV300" s="1"/>
      <c r="TW300" s="1"/>
      <c r="TX300" s="1"/>
      <c r="TY300" s="1"/>
      <c r="TZ300" s="1"/>
      <c r="UA300" s="1"/>
      <c r="UB300" s="1"/>
      <c r="UC300" s="1"/>
      <c r="UD300" s="1"/>
      <c r="UE300" s="1"/>
      <c r="UF300" s="1"/>
      <c r="UG300" s="1"/>
      <c r="UH300" s="1"/>
      <c r="UI300" s="1"/>
    </row>
    <row r="301" spans="1:555" s="509" customFormat="1" ht="96.75" customHeight="1">
      <c r="A301" s="296">
        <v>415</v>
      </c>
      <c r="B301" s="297" t="s">
        <v>4350</v>
      </c>
      <c r="C301" s="298">
        <v>43799047</v>
      </c>
      <c r="D301" s="354" t="s">
        <v>67</v>
      </c>
      <c r="E301" s="299">
        <v>42773</v>
      </c>
      <c r="F301" s="300">
        <v>42767</v>
      </c>
      <c r="G301" s="301" t="s">
        <v>271</v>
      </c>
      <c r="H301" s="297" t="s">
        <v>63</v>
      </c>
      <c r="I301" s="297" t="s">
        <v>101</v>
      </c>
      <c r="J301" s="299"/>
      <c r="K301" s="300"/>
      <c r="L301" s="301"/>
      <c r="M301" s="297"/>
      <c r="N301" s="297"/>
      <c r="O301" s="299"/>
      <c r="P301" s="302"/>
      <c r="Q301" s="301"/>
      <c r="R301" s="297"/>
      <c r="S301" s="297"/>
      <c r="T301" s="299"/>
      <c r="U301" s="300"/>
      <c r="V301" s="301"/>
      <c r="W301" s="297"/>
      <c r="X301" s="297"/>
      <c r="Y301" s="299"/>
      <c r="Z301" s="300"/>
      <c r="AA301" s="301"/>
      <c r="AB301" s="297"/>
      <c r="AC301" s="297"/>
      <c r="AD301" s="299"/>
      <c r="AE301" s="300"/>
      <c r="AF301" s="301"/>
      <c r="AG301" s="297"/>
      <c r="AH301" s="297"/>
      <c r="AI301" s="322"/>
      <c r="AJ301" s="300"/>
      <c r="AK301" s="301"/>
      <c r="AL301" s="297"/>
      <c r="AM301" s="297"/>
      <c r="AN301" s="297"/>
      <c r="AO301" s="473"/>
      <c r="AP301" s="297"/>
      <c r="AQ301" s="301" t="s">
        <v>7724</v>
      </c>
      <c r="AR301" s="297" t="s">
        <v>66</v>
      </c>
      <c r="AS301" s="299" t="s">
        <v>67</v>
      </c>
      <c r="AT301" s="299" t="s">
        <v>67</v>
      </c>
      <c r="AU301" s="297" t="s">
        <v>3827</v>
      </c>
      <c r="AV301" s="297"/>
      <c r="AW301" s="297" t="s">
        <v>69</v>
      </c>
      <c r="AX301" s="297" t="s">
        <v>7628</v>
      </c>
      <c r="AY301" s="299">
        <v>42768</v>
      </c>
      <c r="AZ301" s="297" t="s">
        <v>67</v>
      </c>
      <c r="BA301" s="299" t="s">
        <v>67</v>
      </c>
      <c r="BB301" s="382">
        <v>42776</v>
      </c>
      <c r="BC301" s="297" t="s">
        <v>3829</v>
      </c>
      <c r="BD301" s="297" t="s">
        <v>6447</v>
      </c>
      <c r="BE301" s="297"/>
      <c r="BF301" s="301"/>
      <c r="BG301" s="301" t="s">
        <v>67</v>
      </c>
      <c r="BH301" s="301" t="s">
        <v>4351</v>
      </c>
      <c r="BI301" s="301" t="s">
        <v>4197</v>
      </c>
      <c r="BJ301" s="312">
        <v>624499</v>
      </c>
      <c r="BK301" s="312">
        <v>624499</v>
      </c>
      <c r="BL301" s="313">
        <v>468443217</v>
      </c>
      <c r="BM301" s="299">
        <v>42797</v>
      </c>
      <c r="BN301" s="300">
        <v>42795</v>
      </c>
      <c r="BO301" s="460"/>
      <c r="BP301" s="390"/>
      <c r="BQ301" s="297"/>
      <c r="BR301" s="303"/>
      <c r="BS301" s="301"/>
      <c r="BT301" s="301"/>
      <c r="BU301" s="301"/>
      <c r="BV301" s="301"/>
      <c r="BW301" s="316"/>
      <c r="BX301" s="304"/>
      <c r="BY301" s="299"/>
      <c r="BZ301" s="317"/>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c r="IY301" s="1"/>
      <c r="IZ301" s="1"/>
      <c r="JA301" s="1"/>
      <c r="JB301" s="1"/>
      <c r="JC301" s="1"/>
      <c r="JD301" s="1"/>
      <c r="JE301" s="1"/>
      <c r="JF301" s="1"/>
      <c r="JG301" s="1"/>
      <c r="JH301" s="1"/>
      <c r="JI301" s="1"/>
      <c r="JJ301" s="1"/>
      <c r="JK301" s="1"/>
      <c r="JL301" s="1"/>
      <c r="JM301" s="1"/>
      <c r="JN301" s="1"/>
      <c r="JO301" s="1"/>
      <c r="JP301" s="1"/>
      <c r="JQ301" s="1"/>
      <c r="JR301" s="1"/>
      <c r="JS301" s="1"/>
      <c r="JT301" s="1"/>
      <c r="JU301" s="1"/>
      <c r="JV301" s="1"/>
      <c r="JW301" s="1"/>
      <c r="JX301" s="1"/>
      <c r="JY301" s="1"/>
      <c r="JZ301" s="1"/>
      <c r="KA301" s="1"/>
      <c r="KB301" s="1"/>
      <c r="KC301" s="1"/>
      <c r="KD301" s="1"/>
      <c r="KE301" s="1"/>
      <c r="KF301" s="1"/>
      <c r="KG301" s="1"/>
      <c r="KH301" s="1"/>
      <c r="KI301" s="1"/>
      <c r="KJ301" s="1"/>
      <c r="KK301" s="1"/>
      <c r="KL301" s="1"/>
      <c r="KM301" s="1"/>
      <c r="KN301" s="1"/>
      <c r="KO301" s="1"/>
      <c r="KP301" s="1"/>
      <c r="KQ301" s="1"/>
      <c r="KR301" s="1"/>
      <c r="KS301" s="1"/>
      <c r="KT301" s="1"/>
      <c r="KU301" s="1"/>
      <c r="KV301" s="1"/>
      <c r="KW301" s="1"/>
      <c r="KX301" s="1"/>
      <c r="KY301" s="1"/>
      <c r="KZ301" s="1"/>
      <c r="LA301" s="1"/>
      <c r="LB301" s="1"/>
      <c r="LC301" s="1"/>
      <c r="LD301" s="1"/>
      <c r="LE301" s="1"/>
      <c r="LF301" s="1"/>
      <c r="LG301" s="1"/>
      <c r="LH301" s="1"/>
      <c r="LI301" s="1"/>
      <c r="LJ301" s="1"/>
      <c r="LK301" s="1"/>
      <c r="LL301" s="1"/>
      <c r="LM301" s="1"/>
      <c r="LN301" s="1"/>
      <c r="LO301" s="1"/>
      <c r="LP301" s="1"/>
      <c r="LQ301" s="1"/>
      <c r="LR301" s="1"/>
      <c r="LS301" s="1"/>
      <c r="LT301" s="1"/>
      <c r="LU301" s="1"/>
      <c r="LV301" s="1"/>
      <c r="LW301" s="1"/>
      <c r="LX301" s="1"/>
      <c r="LY301" s="1"/>
      <c r="LZ301" s="1"/>
      <c r="MA301" s="1"/>
      <c r="MB301" s="1"/>
      <c r="MC301" s="1"/>
      <c r="MD301" s="1"/>
      <c r="ME301" s="1"/>
      <c r="MF301" s="1"/>
      <c r="MG301" s="1"/>
      <c r="MH301" s="1"/>
      <c r="MI301" s="1"/>
      <c r="MJ301" s="1"/>
      <c r="MK301" s="1"/>
      <c r="ML301" s="1"/>
      <c r="MM301" s="1"/>
      <c r="MN301" s="1"/>
      <c r="MO301" s="1"/>
      <c r="MP301" s="1"/>
      <c r="MQ301" s="1"/>
      <c r="MR301" s="1"/>
      <c r="MS301" s="1"/>
      <c r="MT301" s="1"/>
      <c r="MU301" s="1"/>
      <c r="MV301" s="1"/>
      <c r="MW301" s="1"/>
      <c r="MX301" s="1"/>
      <c r="MY301" s="1"/>
      <c r="MZ301" s="1"/>
      <c r="NA301" s="1"/>
      <c r="NB301" s="1"/>
      <c r="NC301" s="1"/>
      <c r="ND301" s="1"/>
      <c r="NE301" s="1"/>
      <c r="NF301" s="1"/>
      <c r="NG301" s="1"/>
      <c r="NH301" s="1"/>
      <c r="NI301" s="1"/>
      <c r="NJ301" s="1"/>
      <c r="NK301" s="1"/>
      <c r="NL301" s="1"/>
      <c r="NM301" s="1"/>
      <c r="NN301" s="1"/>
      <c r="NO301" s="1"/>
      <c r="NP301" s="1"/>
      <c r="NQ301" s="1"/>
      <c r="NR301" s="1"/>
      <c r="NS301" s="1"/>
      <c r="NT301" s="1"/>
      <c r="NU301" s="1"/>
      <c r="NV301" s="1"/>
      <c r="NW301" s="1"/>
      <c r="NX301" s="1"/>
      <c r="NY301" s="1"/>
      <c r="NZ301" s="1"/>
      <c r="OA301" s="1"/>
      <c r="OB301" s="1"/>
      <c r="OC301" s="1"/>
      <c r="OD301" s="1"/>
      <c r="OE301" s="1"/>
      <c r="OF301" s="1"/>
      <c r="OG301" s="1"/>
      <c r="OH301" s="1"/>
      <c r="OI301" s="1"/>
      <c r="OJ301" s="1"/>
      <c r="OK301" s="1"/>
      <c r="OL301" s="1"/>
      <c r="OM301" s="1"/>
      <c r="ON301" s="1"/>
      <c r="OO301" s="1"/>
      <c r="OP301" s="1"/>
      <c r="OQ301" s="1"/>
      <c r="OR301" s="1"/>
      <c r="OS301" s="1"/>
      <c r="OT301" s="1"/>
      <c r="OU301" s="1"/>
      <c r="OV301" s="1"/>
      <c r="OW301" s="1"/>
      <c r="OX301" s="1"/>
      <c r="OY301" s="1"/>
      <c r="OZ301" s="1"/>
      <c r="PA301" s="1"/>
      <c r="PB301" s="1"/>
      <c r="PC301" s="1"/>
      <c r="PD301" s="1"/>
      <c r="PE301" s="1"/>
      <c r="PF301" s="1"/>
      <c r="PG301" s="1"/>
      <c r="PH301" s="1"/>
      <c r="PI301" s="1"/>
      <c r="PJ301" s="1"/>
      <c r="PK301" s="1"/>
      <c r="PL301" s="1"/>
      <c r="PM301" s="1"/>
      <c r="PN301" s="1"/>
      <c r="PO301" s="1"/>
      <c r="PP301" s="1"/>
      <c r="PQ301" s="1"/>
      <c r="PR301" s="1"/>
      <c r="PS301" s="1"/>
      <c r="PT301" s="1"/>
      <c r="PU301" s="1"/>
      <c r="PV301" s="1"/>
      <c r="PW301" s="1"/>
      <c r="PX301" s="1"/>
      <c r="PY301" s="1"/>
      <c r="PZ301" s="1"/>
      <c r="QA301" s="1"/>
      <c r="QB301" s="1"/>
      <c r="QC301" s="1"/>
      <c r="QD301" s="1"/>
      <c r="QE301" s="1"/>
      <c r="QF301" s="1"/>
      <c r="QG301" s="1"/>
      <c r="QH301" s="1"/>
      <c r="QI301" s="1"/>
      <c r="QJ301" s="1"/>
      <c r="QK301" s="1"/>
      <c r="QL301" s="1"/>
      <c r="QM301" s="1"/>
      <c r="QN301" s="1"/>
      <c r="QO301" s="1"/>
      <c r="QP301" s="1"/>
      <c r="QQ301" s="1"/>
      <c r="QR301" s="1"/>
      <c r="QS301" s="1"/>
      <c r="QT301" s="1"/>
      <c r="QU301" s="1"/>
      <c r="QV301" s="1"/>
      <c r="QW301" s="1"/>
      <c r="QX301" s="1"/>
      <c r="QY301" s="1"/>
      <c r="QZ301" s="1"/>
      <c r="RA301" s="1"/>
      <c r="RB301" s="1"/>
      <c r="RC301" s="1"/>
      <c r="RD301" s="1"/>
      <c r="RE301" s="1"/>
      <c r="RF301" s="1"/>
      <c r="RG301" s="1"/>
      <c r="RH301" s="1"/>
      <c r="RI301" s="1"/>
      <c r="RJ301" s="1"/>
      <c r="RK301" s="1"/>
      <c r="RL301" s="1"/>
      <c r="RM301" s="1"/>
      <c r="RN301" s="1"/>
      <c r="RO301" s="1"/>
      <c r="RP301" s="1"/>
      <c r="RQ301" s="1"/>
      <c r="RR301" s="1"/>
      <c r="RS301" s="1"/>
      <c r="RT301" s="1"/>
      <c r="RU301" s="1"/>
      <c r="RV301" s="1"/>
      <c r="RW301" s="1"/>
      <c r="RX301" s="1"/>
      <c r="RY301" s="1"/>
      <c r="RZ301" s="1"/>
      <c r="SA301" s="1"/>
      <c r="SB301" s="1"/>
      <c r="SC301" s="1"/>
      <c r="SD301" s="1"/>
      <c r="SE301" s="1"/>
      <c r="SF301" s="1"/>
      <c r="SG301" s="1"/>
      <c r="SH301" s="1"/>
      <c r="SI301" s="1"/>
      <c r="SJ301" s="1"/>
      <c r="SK301" s="1"/>
      <c r="SL301" s="1"/>
      <c r="SM301" s="1"/>
      <c r="SN301" s="1"/>
      <c r="SO301" s="1"/>
      <c r="SP301" s="1"/>
      <c r="SQ301" s="1"/>
      <c r="SR301" s="1"/>
      <c r="SS301" s="1"/>
      <c r="ST301" s="1"/>
      <c r="SU301" s="1"/>
      <c r="SV301" s="1"/>
      <c r="SW301" s="1"/>
      <c r="SX301" s="1"/>
      <c r="SY301" s="1"/>
      <c r="SZ301" s="1"/>
      <c r="TA301" s="1"/>
      <c r="TB301" s="1"/>
      <c r="TC301" s="1"/>
      <c r="TD301" s="1"/>
      <c r="TE301" s="1"/>
      <c r="TF301" s="1"/>
      <c r="TG301" s="1"/>
      <c r="TH301" s="1"/>
      <c r="TI301" s="1"/>
      <c r="TJ301" s="1"/>
      <c r="TK301" s="1"/>
      <c r="TL301" s="1"/>
      <c r="TM301" s="1"/>
      <c r="TN301" s="1"/>
      <c r="TO301" s="1"/>
      <c r="TP301" s="1"/>
      <c r="TQ301" s="1"/>
      <c r="TR301" s="1"/>
      <c r="TS301" s="1"/>
      <c r="TT301" s="1"/>
      <c r="TU301" s="1"/>
      <c r="TV301" s="1"/>
      <c r="TW301" s="1"/>
      <c r="TX301" s="1"/>
      <c r="TY301" s="1"/>
      <c r="TZ301" s="1"/>
      <c r="UA301" s="1"/>
      <c r="UB301" s="1"/>
      <c r="UC301" s="1"/>
      <c r="UD301" s="1"/>
      <c r="UE301" s="1"/>
      <c r="UF301" s="1"/>
      <c r="UG301" s="1"/>
      <c r="UH301" s="1"/>
      <c r="UI301" s="1"/>
    </row>
    <row r="302" spans="1:555" s="509" customFormat="1" ht="40.5">
      <c r="A302" s="296">
        <v>416</v>
      </c>
      <c r="B302" s="297" t="s">
        <v>4352</v>
      </c>
      <c r="C302" s="298">
        <v>70523565</v>
      </c>
      <c r="D302" s="354" t="s">
        <v>67</v>
      </c>
      <c r="E302" s="299">
        <v>42773</v>
      </c>
      <c r="F302" s="300">
        <v>42767</v>
      </c>
      <c r="G302" s="301" t="s">
        <v>271</v>
      </c>
      <c r="H302" s="297" t="s">
        <v>63</v>
      </c>
      <c r="I302" s="297" t="s">
        <v>101</v>
      </c>
      <c r="J302" s="299"/>
      <c r="K302" s="300"/>
      <c r="L302" s="301"/>
      <c r="M302" s="297"/>
      <c r="N302" s="297"/>
      <c r="O302" s="299"/>
      <c r="P302" s="302"/>
      <c r="Q302" s="301"/>
      <c r="R302" s="297"/>
      <c r="S302" s="297"/>
      <c r="T302" s="299"/>
      <c r="U302" s="300"/>
      <c r="V302" s="301"/>
      <c r="W302" s="297"/>
      <c r="X302" s="297"/>
      <c r="Y302" s="299"/>
      <c r="Z302" s="300"/>
      <c r="AA302" s="301"/>
      <c r="AB302" s="297"/>
      <c r="AC302" s="297"/>
      <c r="AD302" s="299"/>
      <c r="AE302" s="300"/>
      <c r="AF302" s="301"/>
      <c r="AG302" s="297"/>
      <c r="AH302" s="297"/>
      <c r="AI302" s="322"/>
      <c r="AJ302" s="300"/>
      <c r="AK302" s="301"/>
      <c r="AL302" s="297"/>
      <c r="AM302" s="297"/>
      <c r="AN302" s="297"/>
      <c r="AO302" s="473"/>
      <c r="AP302" s="297"/>
      <c r="AQ302" s="301" t="s">
        <v>7935</v>
      </c>
      <c r="AR302" s="297" t="s">
        <v>66</v>
      </c>
      <c r="AS302" s="299" t="s">
        <v>67</v>
      </c>
      <c r="AT302" s="299" t="s">
        <v>67</v>
      </c>
      <c r="AU302" s="297" t="s">
        <v>3827</v>
      </c>
      <c r="AV302" s="297"/>
      <c r="AW302" s="297" t="s">
        <v>69</v>
      </c>
      <c r="AX302" s="297" t="s">
        <v>4346</v>
      </c>
      <c r="AY302" s="299">
        <v>42768</v>
      </c>
      <c r="AZ302" s="297" t="s">
        <v>67</v>
      </c>
      <c r="BA302" s="299" t="s">
        <v>67</v>
      </c>
      <c r="BB302" s="382">
        <v>42776</v>
      </c>
      <c r="BC302" s="297" t="s">
        <v>3829</v>
      </c>
      <c r="BD302" s="297" t="s">
        <v>6447</v>
      </c>
      <c r="BE302" s="297"/>
      <c r="BF302" s="301"/>
      <c r="BG302" s="301" t="s">
        <v>67</v>
      </c>
      <c r="BH302" s="301" t="s">
        <v>4353</v>
      </c>
      <c r="BI302" s="301" t="s">
        <v>4197</v>
      </c>
      <c r="BJ302" s="312">
        <v>3629892</v>
      </c>
      <c r="BK302" s="312">
        <v>3629892</v>
      </c>
      <c r="BL302" s="313">
        <v>42989617</v>
      </c>
      <c r="BM302" s="299">
        <v>42794</v>
      </c>
      <c r="BN302" s="300">
        <v>42767</v>
      </c>
      <c r="BO302" s="460"/>
      <c r="BP302" s="390"/>
      <c r="BQ302" s="297"/>
      <c r="BR302" s="303"/>
      <c r="BS302" s="301"/>
      <c r="BT302" s="301"/>
      <c r="BU302" s="301"/>
      <c r="BV302" s="301"/>
      <c r="BW302" s="316"/>
      <c r="BX302" s="304"/>
      <c r="BY302" s="299"/>
      <c r="BZ302" s="317"/>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c r="IY302" s="1"/>
      <c r="IZ302" s="1"/>
      <c r="JA302" s="1"/>
      <c r="JB302" s="1"/>
      <c r="JC302" s="1"/>
      <c r="JD302" s="1"/>
      <c r="JE302" s="1"/>
      <c r="JF302" s="1"/>
      <c r="JG302" s="1"/>
      <c r="JH302" s="1"/>
      <c r="JI302" s="1"/>
      <c r="JJ302" s="1"/>
      <c r="JK302" s="1"/>
      <c r="JL302" s="1"/>
      <c r="JM302" s="1"/>
      <c r="JN302" s="1"/>
      <c r="JO302" s="1"/>
      <c r="JP302" s="1"/>
      <c r="JQ302" s="1"/>
      <c r="JR302" s="1"/>
      <c r="JS302" s="1"/>
      <c r="JT302" s="1"/>
      <c r="JU302" s="1"/>
      <c r="JV302" s="1"/>
      <c r="JW302" s="1"/>
      <c r="JX302" s="1"/>
      <c r="JY302" s="1"/>
      <c r="JZ302" s="1"/>
      <c r="KA302" s="1"/>
      <c r="KB302" s="1"/>
      <c r="KC302" s="1"/>
      <c r="KD302" s="1"/>
      <c r="KE302" s="1"/>
      <c r="KF302" s="1"/>
      <c r="KG302" s="1"/>
      <c r="KH302" s="1"/>
      <c r="KI302" s="1"/>
      <c r="KJ302" s="1"/>
      <c r="KK302" s="1"/>
      <c r="KL302" s="1"/>
      <c r="KM302" s="1"/>
      <c r="KN302" s="1"/>
      <c r="KO302" s="1"/>
      <c r="KP302" s="1"/>
      <c r="KQ302" s="1"/>
      <c r="KR302" s="1"/>
      <c r="KS302" s="1"/>
      <c r="KT302" s="1"/>
      <c r="KU302" s="1"/>
      <c r="KV302" s="1"/>
      <c r="KW302" s="1"/>
      <c r="KX302" s="1"/>
      <c r="KY302" s="1"/>
      <c r="KZ302" s="1"/>
      <c r="LA302" s="1"/>
      <c r="LB302" s="1"/>
      <c r="LC302" s="1"/>
      <c r="LD302" s="1"/>
      <c r="LE302" s="1"/>
      <c r="LF302" s="1"/>
      <c r="LG302" s="1"/>
      <c r="LH302" s="1"/>
      <c r="LI302" s="1"/>
      <c r="LJ302" s="1"/>
      <c r="LK302" s="1"/>
      <c r="LL302" s="1"/>
      <c r="LM302" s="1"/>
      <c r="LN302" s="1"/>
      <c r="LO302" s="1"/>
      <c r="LP302" s="1"/>
      <c r="LQ302" s="1"/>
      <c r="LR302" s="1"/>
      <c r="LS302" s="1"/>
      <c r="LT302" s="1"/>
      <c r="LU302" s="1"/>
      <c r="LV302" s="1"/>
      <c r="LW302" s="1"/>
      <c r="LX302" s="1"/>
      <c r="LY302" s="1"/>
      <c r="LZ302" s="1"/>
      <c r="MA302" s="1"/>
      <c r="MB302" s="1"/>
      <c r="MC302" s="1"/>
      <c r="MD302" s="1"/>
      <c r="ME302" s="1"/>
      <c r="MF302" s="1"/>
      <c r="MG302" s="1"/>
      <c r="MH302" s="1"/>
      <c r="MI302" s="1"/>
      <c r="MJ302" s="1"/>
      <c r="MK302" s="1"/>
      <c r="ML302" s="1"/>
      <c r="MM302" s="1"/>
      <c r="MN302" s="1"/>
      <c r="MO302" s="1"/>
      <c r="MP302" s="1"/>
      <c r="MQ302" s="1"/>
      <c r="MR302" s="1"/>
      <c r="MS302" s="1"/>
      <c r="MT302" s="1"/>
      <c r="MU302" s="1"/>
      <c r="MV302" s="1"/>
      <c r="MW302" s="1"/>
      <c r="MX302" s="1"/>
      <c r="MY302" s="1"/>
      <c r="MZ302" s="1"/>
      <c r="NA302" s="1"/>
      <c r="NB302" s="1"/>
      <c r="NC302" s="1"/>
      <c r="ND302" s="1"/>
      <c r="NE302" s="1"/>
      <c r="NF302" s="1"/>
      <c r="NG302" s="1"/>
      <c r="NH302" s="1"/>
      <c r="NI302" s="1"/>
      <c r="NJ302" s="1"/>
      <c r="NK302" s="1"/>
      <c r="NL302" s="1"/>
      <c r="NM302" s="1"/>
      <c r="NN302" s="1"/>
      <c r="NO302" s="1"/>
      <c r="NP302" s="1"/>
      <c r="NQ302" s="1"/>
      <c r="NR302" s="1"/>
      <c r="NS302" s="1"/>
      <c r="NT302" s="1"/>
      <c r="NU302" s="1"/>
      <c r="NV302" s="1"/>
      <c r="NW302" s="1"/>
      <c r="NX302" s="1"/>
      <c r="NY302" s="1"/>
      <c r="NZ302" s="1"/>
      <c r="OA302" s="1"/>
      <c r="OB302" s="1"/>
      <c r="OC302" s="1"/>
      <c r="OD302" s="1"/>
      <c r="OE302" s="1"/>
      <c r="OF302" s="1"/>
      <c r="OG302" s="1"/>
      <c r="OH302" s="1"/>
      <c r="OI302" s="1"/>
      <c r="OJ302" s="1"/>
      <c r="OK302" s="1"/>
      <c r="OL302" s="1"/>
      <c r="OM302" s="1"/>
      <c r="ON302" s="1"/>
      <c r="OO302" s="1"/>
      <c r="OP302" s="1"/>
      <c r="OQ302" s="1"/>
      <c r="OR302" s="1"/>
      <c r="OS302" s="1"/>
      <c r="OT302" s="1"/>
      <c r="OU302" s="1"/>
      <c r="OV302" s="1"/>
      <c r="OW302" s="1"/>
      <c r="OX302" s="1"/>
      <c r="OY302" s="1"/>
      <c r="OZ302" s="1"/>
      <c r="PA302" s="1"/>
      <c r="PB302" s="1"/>
      <c r="PC302" s="1"/>
      <c r="PD302" s="1"/>
      <c r="PE302" s="1"/>
      <c r="PF302" s="1"/>
      <c r="PG302" s="1"/>
      <c r="PH302" s="1"/>
      <c r="PI302" s="1"/>
      <c r="PJ302" s="1"/>
      <c r="PK302" s="1"/>
      <c r="PL302" s="1"/>
      <c r="PM302" s="1"/>
      <c r="PN302" s="1"/>
      <c r="PO302" s="1"/>
      <c r="PP302" s="1"/>
      <c r="PQ302" s="1"/>
      <c r="PR302" s="1"/>
      <c r="PS302" s="1"/>
      <c r="PT302" s="1"/>
      <c r="PU302" s="1"/>
      <c r="PV302" s="1"/>
      <c r="PW302" s="1"/>
      <c r="PX302" s="1"/>
      <c r="PY302" s="1"/>
      <c r="PZ302" s="1"/>
      <c r="QA302" s="1"/>
      <c r="QB302" s="1"/>
      <c r="QC302" s="1"/>
      <c r="QD302" s="1"/>
      <c r="QE302" s="1"/>
      <c r="QF302" s="1"/>
      <c r="QG302" s="1"/>
      <c r="QH302" s="1"/>
      <c r="QI302" s="1"/>
      <c r="QJ302" s="1"/>
      <c r="QK302" s="1"/>
      <c r="QL302" s="1"/>
      <c r="QM302" s="1"/>
      <c r="QN302" s="1"/>
      <c r="QO302" s="1"/>
      <c r="QP302" s="1"/>
      <c r="QQ302" s="1"/>
      <c r="QR302" s="1"/>
      <c r="QS302" s="1"/>
      <c r="QT302" s="1"/>
      <c r="QU302" s="1"/>
      <c r="QV302" s="1"/>
      <c r="QW302" s="1"/>
      <c r="QX302" s="1"/>
      <c r="QY302" s="1"/>
      <c r="QZ302" s="1"/>
      <c r="RA302" s="1"/>
      <c r="RB302" s="1"/>
      <c r="RC302" s="1"/>
      <c r="RD302" s="1"/>
      <c r="RE302" s="1"/>
      <c r="RF302" s="1"/>
      <c r="RG302" s="1"/>
      <c r="RH302" s="1"/>
      <c r="RI302" s="1"/>
      <c r="RJ302" s="1"/>
      <c r="RK302" s="1"/>
      <c r="RL302" s="1"/>
      <c r="RM302" s="1"/>
      <c r="RN302" s="1"/>
      <c r="RO302" s="1"/>
      <c r="RP302" s="1"/>
      <c r="RQ302" s="1"/>
      <c r="RR302" s="1"/>
      <c r="RS302" s="1"/>
      <c r="RT302" s="1"/>
      <c r="RU302" s="1"/>
      <c r="RV302" s="1"/>
      <c r="RW302" s="1"/>
      <c r="RX302" s="1"/>
      <c r="RY302" s="1"/>
      <c r="RZ302" s="1"/>
      <c r="SA302" s="1"/>
      <c r="SB302" s="1"/>
      <c r="SC302" s="1"/>
      <c r="SD302" s="1"/>
      <c r="SE302" s="1"/>
      <c r="SF302" s="1"/>
      <c r="SG302" s="1"/>
      <c r="SH302" s="1"/>
      <c r="SI302" s="1"/>
      <c r="SJ302" s="1"/>
      <c r="SK302" s="1"/>
      <c r="SL302" s="1"/>
      <c r="SM302" s="1"/>
      <c r="SN302" s="1"/>
      <c r="SO302" s="1"/>
      <c r="SP302" s="1"/>
      <c r="SQ302" s="1"/>
      <c r="SR302" s="1"/>
      <c r="SS302" s="1"/>
      <c r="ST302" s="1"/>
      <c r="SU302" s="1"/>
      <c r="SV302" s="1"/>
      <c r="SW302" s="1"/>
      <c r="SX302" s="1"/>
      <c r="SY302" s="1"/>
      <c r="SZ302" s="1"/>
      <c r="TA302" s="1"/>
      <c r="TB302" s="1"/>
      <c r="TC302" s="1"/>
      <c r="TD302" s="1"/>
      <c r="TE302" s="1"/>
      <c r="TF302" s="1"/>
      <c r="TG302" s="1"/>
      <c r="TH302" s="1"/>
      <c r="TI302" s="1"/>
      <c r="TJ302" s="1"/>
      <c r="TK302" s="1"/>
      <c r="TL302" s="1"/>
      <c r="TM302" s="1"/>
      <c r="TN302" s="1"/>
      <c r="TO302" s="1"/>
      <c r="TP302" s="1"/>
      <c r="TQ302" s="1"/>
      <c r="TR302" s="1"/>
      <c r="TS302" s="1"/>
      <c r="TT302" s="1"/>
      <c r="TU302" s="1"/>
      <c r="TV302" s="1"/>
      <c r="TW302" s="1"/>
      <c r="TX302" s="1"/>
      <c r="TY302" s="1"/>
      <c r="TZ302" s="1"/>
      <c r="UA302" s="1"/>
      <c r="UB302" s="1"/>
      <c r="UC302" s="1"/>
      <c r="UD302" s="1"/>
      <c r="UE302" s="1"/>
      <c r="UF302" s="1"/>
      <c r="UG302" s="1"/>
      <c r="UH302" s="1"/>
      <c r="UI302" s="1"/>
    </row>
    <row r="303" spans="1:555" s="259" customFormat="1" ht="97.5" customHeight="1">
      <c r="A303" s="296">
        <v>417</v>
      </c>
      <c r="B303" s="297" t="s">
        <v>4354</v>
      </c>
      <c r="C303" s="298">
        <v>80657200</v>
      </c>
      <c r="D303" s="354" t="s">
        <v>67</v>
      </c>
      <c r="E303" s="299">
        <v>42773</v>
      </c>
      <c r="F303" s="300">
        <v>42767</v>
      </c>
      <c r="G303" s="301" t="s">
        <v>271</v>
      </c>
      <c r="H303" s="297" t="s">
        <v>63</v>
      </c>
      <c r="I303" s="297" t="s">
        <v>101</v>
      </c>
      <c r="J303" s="299"/>
      <c r="K303" s="300"/>
      <c r="L303" s="301"/>
      <c r="M303" s="297"/>
      <c r="N303" s="297"/>
      <c r="O303" s="299"/>
      <c r="P303" s="302"/>
      <c r="Q303" s="301"/>
      <c r="R303" s="297"/>
      <c r="S303" s="297"/>
      <c r="T303" s="299"/>
      <c r="U303" s="300"/>
      <c r="V303" s="301"/>
      <c r="W303" s="297"/>
      <c r="X303" s="297"/>
      <c r="Y303" s="299"/>
      <c r="Z303" s="300"/>
      <c r="AA303" s="301"/>
      <c r="AB303" s="297"/>
      <c r="AC303" s="297"/>
      <c r="AD303" s="299"/>
      <c r="AE303" s="300"/>
      <c r="AF303" s="301"/>
      <c r="AG303" s="297"/>
      <c r="AH303" s="297"/>
      <c r="AI303" s="322"/>
      <c r="AJ303" s="300"/>
      <c r="AK303" s="301"/>
      <c r="AL303" s="297"/>
      <c r="AM303" s="297"/>
      <c r="AN303" s="297"/>
      <c r="AO303" s="473"/>
      <c r="AP303" s="297"/>
      <c r="AQ303" s="301" t="s">
        <v>7720</v>
      </c>
      <c r="AR303" s="297" t="s">
        <v>66</v>
      </c>
      <c r="AS303" s="299" t="s">
        <v>67</v>
      </c>
      <c r="AT303" s="299" t="s">
        <v>67</v>
      </c>
      <c r="AU303" s="297" t="s">
        <v>3827</v>
      </c>
      <c r="AV303" s="297"/>
      <c r="AW303" s="297" t="s">
        <v>69</v>
      </c>
      <c r="AX303" s="297" t="s">
        <v>7628</v>
      </c>
      <c r="AY303" s="299">
        <v>42768</v>
      </c>
      <c r="AZ303" s="297" t="s">
        <v>67</v>
      </c>
      <c r="BA303" s="299" t="s">
        <v>67</v>
      </c>
      <c r="BB303" s="382">
        <v>42776</v>
      </c>
      <c r="BC303" s="297" t="s">
        <v>3829</v>
      </c>
      <c r="BD303" s="297" t="s">
        <v>6447</v>
      </c>
      <c r="BE303" s="297"/>
      <c r="BF303" s="301"/>
      <c r="BG303" s="301" t="s">
        <v>67</v>
      </c>
      <c r="BH303" s="301" t="s">
        <v>4355</v>
      </c>
      <c r="BI303" s="301" t="s">
        <v>4197</v>
      </c>
      <c r="BJ303" s="312">
        <v>2236922</v>
      </c>
      <c r="BK303" s="312">
        <v>2236922</v>
      </c>
      <c r="BL303" s="313">
        <v>42897917</v>
      </c>
      <c r="BM303" s="299">
        <v>42794</v>
      </c>
      <c r="BN303" s="300">
        <v>42767</v>
      </c>
      <c r="BO303" s="460"/>
      <c r="BP303" s="390"/>
      <c r="BQ303" s="297"/>
      <c r="BR303" s="303"/>
      <c r="BS303" s="301"/>
      <c r="BT303" s="301"/>
      <c r="BU303" s="301"/>
      <c r="BV303" s="301"/>
      <c r="BW303" s="316"/>
      <c r="BX303" s="304"/>
      <c r="BY303" s="299"/>
      <c r="BZ303" s="317"/>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c r="IY303" s="1"/>
      <c r="IZ303" s="1"/>
      <c r="JA303" s="1"/>
      <c r="JB303" s="1"/>
      <c r="JC303" s="1"/>
      <c r="JD303" s="1"/>
      <c r="JE303" s="1"/>
      <c r="JF303" s="1"/>
      <c r="JG303" s="1"/>
      <c r="JH303" s="1"/>
      <c r="JI303" s="1"/>
      <c r="JJ303" s="1"/>
      <c r="JK303" s="1"/>
      <c r="JL303" s="1"/>
      <c r="JM303" s="1"/>
      <c r="JN303" s="1"/>
      <c r="JO303" s="1"/>
      <c r="JP303" s="1"/>
      <c r="JQ303" s="1"/>
      <c r="JR303" s="1"/>
      <c r="JS303" s="1"/>
      <c r="JT303" s="1"/>
      <c r="JU303" s="1"/>
      <c r="JV303" s="1"/>
      <c r="JW303" s="1"/>
      <c r="JX303" s="1"/>
      <c r="JY303" s="1"/>
      <c r="JZ303" s="1"/>
      <c r="KA303" s="1"/>
      <c r="KB303" s="1"/>
      <c r="KC303" s="1"/>
      <c r="KD303" s="1"/>
      <c r="KE303" s="1"/>
      <c r="KF303" s="1"/>
      <c r="KG303" s="1"/>
      <c r="KH303" s="1"/>
      <c r="KI303" s="1"/>
      <c r="KJ303" s="1"/>
      <c r="KK303" s="1"/>
      <c r="KL303" s="1"/>
      <c r="KM303" s="1"/>
      <c r="KN303" s="1"/>
      <c r="KO303" s="1"/>
      <c r="KP303" s="1"/>
      <c r="KQ303" s="1"/>
      <c r="KR303" s="1"/>
      <c r="KS303" s="1"/>
      <c r="KT303" s="1"/>
      <c r="KU303" s="1"/>
      <c r="KV303" s="1"/>
      <c r="KW303" s="1"/>
      <c r="KX303" s="1"/>
      <c r="KY303" s="1"/>
      <c r="KZ303" s="1"/>
      <c r="LA303" s="1"/>
      <c r="LB303" s="1"/>
      <c r="LC303" s="1"/>
      <c r="LD303" s="1"/>
      <c r="LE303" s="1"/>
      <c r="LF303" s="1"/>
      <c r="LG303" s="1"/>
      <c r="LH303" s="1"/>
      <c r="LI303" s="1"/>
      <c r="LJ303" s="1"/>
      <c r="LK303" s="1"/>
      <c r="LL303" s="1"/>
      <c r="LM303" s="1"/>
      <c r="LN303" s="1"/>
      <c r="LO303" s="1"/>
      <c r="LP303" s="1"/>
      <c r="LQ303" s="1"/>
      <c r="LR303" s="1"/>
      <c r="LS303" s="1"/>
      <c r="LT303" s="1"/>
      <c r="LU303" s="1"/>
      <c r="LV303" s="1"/>
      <c r="LW303" s="1"/>
      <c r="LX303" s="1"/>
      <c r="LY303" s="1"/>
      <c r="LZ303" s="1"/>
      <c r="MA303" s="1"/>
      <c r="MB303" s="1"/>
      <c r="MC303" s="1"/>
      <c r="MD303" s="1"/>
      <c r="ME303" s="1"/>
      <c r="MF303" s="1"/>
      <c r="MG303" s="1"/>
      <c r="MH303" s="1"/>
      <c r="MI303" s="1"/>
      <c r="MJ303" s="1"/>
      <c r="MK303" s="1"/>
      <c r="ML303" s="1"/>
      <c r="MM303" s="1"/>
      <c r="MN303" s="1"/>
      <c r="MO303" s="1"/>
      <c r="MP303" s="1"/>
      <c r="MQ303" s="1"/>
      <c r="MR303" s="1"/>
      <c r="MS303" s="1"/>
      <c r="MT303" s="1"/>
      <c r="MU303" s="1"/>
      <c r="MV303" s="1"/>
      <c r="MW303" s="1"/>
      <c r="MX303" s="1"/>
      <c r="MY303" s="1"/>
      <c r="MZ303" s="1"/>
      <c r="NA303" s="1"/>
      <c r="NB303" s="1"/>
      <c r="NC303" s="1"/>
      <c r="ND303" s="1"/>
      <c r="NE303" s="1"/>
      <c r="NF303" s="1"/>
      <c r="NG303" s="1"/>
      <c r="NH303" s="1"/>
      <c r="NI303" s="1"/>
      <c r="NJ303" s="1"/>
      <c r="NK303" s="1"/>
      <c r="NL303" s="1"/>
      <c r="NM303" s="1"/>
      <c r="NN303" s="1"/>
      <c r="NO303" s="1"/>
      <c r="NP303" s="1"/>
      <c r="NQ303" s="1"/>
      <c r="NR303" s="1"/>
      <c r="NS303" s="1"/>
      <c r="NT303" s="1"/>
      <c r="NU303" s="1"/>
      <c r="NV303" s="1"/>
      <c r="NW303" s="1"/>
      <c r="NX303" s="1"/>
      <c r="NY303" s="1"/>
      <c r="NZ303" s="1"/>
      <c r="OA303" s="1"/>
      <c r="OB303" s="1"/>
      <c r="OC303" s="1"/>
      <c r="OD303" s="1"/>
      <c r="OE303" s="1"/>
      <c r="OF303" s="1"/>
      <c r="OG303" s="1"/>
      <c r="OH303" s="1"/>
      <c r="OI303" s="1"/>
      <c r="OJ303" s="1"/>
      <c r="OK303" s="1"/>
      <c r="OL303" s="1"/>
      <c r="OM303" s="1"/>
      <c r="ON303" s="1"/>
      <c r="OO303" s="1"/>
      <c r="OP303" s="1"/>
      <c r="OQ303" s="1"/>
      <c r="OR303" s="1"/>
      <c r="OS303" s="1"/>
      <c r="OT303" s="1"/>
      <c r="OU303" s="1"/>
      <c r="OV303" s="1"/>
      <c r="OW303" s="1"/>
      <c r="OX303" s="1"/>
      <c r="OY303" s="1"/>
      <c r="OZ303" s="1"/>
      <c r="PA303" s="1"/>
      <c r="PB303" s="1"/>
      <c r="PC303" s="1"/>
      <c r="PD303" s="1"/>
      <c r="PE303" s="1"/>
      <c r="PF303" s="1"/>
      <c r="PG303" s="1"/>
      <c r="PH303" s="1"/>
      <c r="PI303" s="1"/>
      <c r="PJ303" s="1"/>
      <c r="PK303" s="1"/>
      <c r="PL303" s="1"/>
      <c r="PM303" s="1"/>
      <c r="PN303" s="1"/>
      <c r="PO303" s="1"/>
      <c r="PP303" s="1"/>
      <c r="PQ303" s="1"/>
      <c r="PR303" s="1"/>
      <c r="PS303" s="1"/>
      <c r="PT303" s="1"/>
      <c r="PU303" s="1"/>
      <c r="PV303" s="1"/>
      <c r="PW303" s="1"/>
      <c r="PX303" s="1"/>
      <c r="PY303" s="1"/>
      <c r="PZ303" s="1"/>
      <c r="QA303" s="1"/>
      <c r="QB303" s="1"/>
      <c r="QC303" s="1"/>
      <c r="QD303" s="1"/>
      <c r="QE303" s="1"/>
      <c r="QF303" s="1"/>
      <c r="QG303" s="1"/>
      <c r="QH303" s="1"/>
      <c r="QI303" s="1"/>
      <c r="QJ303" s="1"/>
      <c r="QK303" s="1"/>
      <c r="QL303" s="1"/>
      <c r="QM303" s="1"/>
      <c r="QN303" s="1"/>
      <c r="QO303" s="1"/>
      <c r="QP303" s="1"/>
      <c r="QQ303" s="1"/>
      <c r="QR303" s="1"/>
      <c r="QS303" s="1"/>
      <c r="QT303" s="1"/>
      <c r="QU303" s="1"/>
      <c r="QV303" s="1"/>
      <c r="QW303" s="1"/>
      <c r="QX303" s="1"/>
      <c r="QY303" s="1"/>
      <c r="QZ303" s="1"/>
      <c r="RA303" s="1"/>
      <c r="RB303" s="1"/>
      <c r="RC303" s="1"/>
      <c r="RD303" s="1"/>
      <c r="RE303" s="1"/>
      <c r="RF303" s="1"/>
      <c r="RG303" s="1"/>
      <c r="RH303" s="1"/>
      <c r="RI303" s="1"/>
      <c r="RJ303" s="1"/>
      <c r="RK303" s="1"/>
      <c r="RL303" s="1"/>
      <c r="RM303" s="1"/>
      <c r="RN303" s="1"/>
      <c r="RO303" s="1"/>
      <c r="RP303" s="1"/>
      <c r="RQ303" s="1"/>
      <c r="RR303" s="1"/>
      <c r="RS303" s="1"/>
      <c r="RT303" s="1"/>
      <c r="RU303" s="1"/>
      <c r="RV303" s="1"/>
      <c r="RW303" s="1"/>
      <c r="RX303" s="1"/>
      <c r="RY303" s="1"/>
      <c r="RZ303" s="1"/>
      <c r="SA303" s="1"/>
      <c r="SB303" s="1"/>
      <c r="SC303" s="1"/>
      <c r="SD303" s="1"/>
      <c r="SE303" s="1"/>
      <c r="SF303" s="1"/>
      <c r="SG303" s="1"/>
      <c r="SH303" s="1"/>
      <c r="SI303" s="1"/>
      <c r="SJ303" s="1"/>
      <c r="SK303" s="1"/>
      <c r="SL303" s="1"/>
      <c r="SM303" s="1"/>
      <c r="SN303" s="1"/>
      <c r="SO303" s="1"/>
      <c r="SP303" s="1"/>
      <c r="SQ303" s="1"/>
      <c r="SR303" s="1"/>
      <c r="SS303" s="1"/>
      <c r="ST303" s="1"/>
      <c r="SU303" s="1"/>
      <c r="SV303" s="1"/>
      <c r="SW303" s="1"/>
      <c r="SX303" s="1"/>
      <c r="SY303" s="1"/>
      <c r="SZ303" s="1"/>
      <c r="TA303" s="1"/>
      <c r="TB303" s="1"/>
      <c r="TC303" s="1"/>
      <c r="TD303" s="1"/>
      <c r="TE303" s="1"/>
      <c r="TF303" s="1"/>
      <c r="TG303" s="1"/>
      <c r="TH303" s="1"/>
      <c r="TI303" s="1"/>
      <c r="TJ303" s="1"/>
      <c r="TK303" s="1"/>
      <c r="TL303" s="1"/>
      <c r="TM303" s="1"/>
      <c r="TN303" s="1"/>
      <c r="TO303" s="1"/>
      <c r="TP303" s="1"/>
      <c r="TQ303" s="1"/>
      <c r="TR303" s="1"/>
      <c r="TS303" s="1"/>
      <c r="TT303" s="1"/>
      <c r="TU303" s="1"/>
      <c r="TV303" s="1"/>
      <c r="TW303" s="1"/>
      <c r="TX303" s="1"/>
      <c r="TY303" s="1"/>
      <c r="TZ303" s="1"/>
      <c r="UA303" s="1"/>
      <c r="UB303" s="1"/>
      <c r="UC303" s="1"/>
      <c r="UD303" s="1"/>
      <c r="UE303" s="1"/>
      <c r="UF303" s="1"/>
      <c r="UG303" s="1"/>
      <c r="UH303" s="1"/>
      <c r="UI303" s="1"/>
    </row>
    <row r="304" spans="1:555" ht="95.25" customHeight="1">
      <c r="A304" s="296">
        <v>418</v>
      </c>
      <c r="B304" s="297" t="s">
        <v>4356</v>
      </c>
      <c r="C304" s="298">
        <v>37722333</v>
      </c>
      <c r="D304" s="354" t="s">
        <v>67</v>
      </c>
      <c r="E304" s="299">
        <v>42773</v>
      </c>
      <c r="F304" s="300">
        <v>42767</v>
      </c>
      <c r="G304" s="301" t="s">
        <v>271</v>
      </c>
      <c r="H304" s="297" t="s">
        <v>63</v>
      </c>
      <c r="I304" s="297" t="s">
        <v>101</v>
      </c>
      <c r="J304" s="299"/>
      <c r="K304" s="300"/>
      <c r="L304" s="301"/>
      <c r="M304" s="297"/>
      <c r="N304" s="297"/>
      <c r="O304" s="299"/>
      <c r="P304" s="302"/>
      <c r="Q304" s="301"/>
      <c r="R304" s="297"/>
      <c r="S304" s="297"/>
      <c r="T304" s="299"/>
      <c r="U304" s="300"/>
      <c r="V304" s="301"/>
      <c r="W304" s="297"/>
      <c r="X304" s="297"/>
      <c r="Y304" s="299"/>
      <c r="Z304" s="300"/>
      <c r="AA304" s="301"/>
      <c r="AB304" s="297"/>
      <c r="AC304" s="297"/>
      <c r="AD304" s="299"/>
      <c r="AE304" s="300"/>
      <c r="AF304" s="301"/>
      <c r="AG304" s="297"/>
      <c r="AH304" s="297"/>
      <c r="AI304" s="322"/>
      <c r="AJ304" s="300"/>
      <c r="AK304" s="301"/>
      <c r="AL304" s="297"/>
      <c r="AM304" s="297"/>
      <c r="AN304" s="297"/>
      <c r="AO304" s="473"/>
      <c r="AP304" s="297"/>
      <c r="AQ304" s="301" t="s">
        <v>7774</v>
      </c>
      <c r="AR304" s="297" t="s">
        <v>66</v>
      </c>
      <c r="AS304" s="299" t="s">
        <v>67</v>
      </c>
      <c r="AT304" s="299" t="s">
        <v>67</v>
      </c>
      <c r="AU304" s="297" t="s">
        <v>3827</v>
      </c>
      <c r="AV304" s="297"/>
      <c r="AW304" s="297" t="s">
        <v>69</v>
      </c>
      <c r="AX304" s="297" t="s">
        <v>7628</v>
      </c>
      <c r="AY304" s="299">
        <v>42768</v>
      </c>
      <c r="AZ304" s="297" t="s">
        <v>67</v>
      </c>
      <c r="BA304" s="299" t="s">
        <v>67</v>
      </c>
      <c r="BB304" s="382">
        <v>42776</v>
      </c>
      <c r="BC304" s="297" t="s">
        <v>3829</v>
      </c>
      <c r="BD304" s="297" t="s">
        <v>6447</v>
      </c>
      <c r="BE304" s="297"/>
      <c r="BF304" s="301"/>
      <c r="BG304" s="301" t="s">
        <v>67</v>
      </c>
      <c r="BH304" s="301" t="s">
        <v>4357</v>
      </c>
      <c r="BI304" s="301" t="s">
        <v>4197</v>
      </c>
      <c r="BJ304" s="312">
        <v>338928</v>
      </c>
      <c r="BK304" s="312">
        <v>338928</v>
      </c>
      <c r="BL304" s="313">
        <v>46854317</v>
      </c>
      <c r="BM304" s="299">
        <v>42797</v>
      </c>
      <c r="BN304" s="300">
        <v>42795</v>
      </c>
      <c r="BO304" s="460"/>
      <c r="BP304" s="390"/>
      <c r="BQ304" s="297"/>
      <c r="BR304" s="303"/>
      <c r="BS304" s="301"/>
      <c r="BT304" s="301"/>
      <c r="BU304" s="301"/>
      <c r="BV304" s="301"/>
      <c r="BW304" s="316"/>
      <c r="BX304" s="304"/>
      <c r="BY304" s="299"/>
      <c r="BZ304" s="317"/>
    </row>
    <row r="305" spans="1:555" s="259" customFormat="1" ht="84" customHeight="1">
      <c r="A305" s="296">
        <v>419</v>
      </c>
      <c r="B305" s="297" t="s">
        <v>4248</v>
      </c>
      <c r="C305" s="298">
        <v>19404837</v>
      </c>
      <c r="D305" s="354" t="s">
        <v>67</v>
      </c>
      <c r="E305" s="299">
        <v>42773</v>
      </c>
      <c r="F305" s="300">
        <v>42767</v>
      </c>
      <c r="G305" s="301" t="s">
        <v>271</v>
      </c>
      <c r="H305" s="297" t="s">
        <v>63</v>
      </c>
      <c r="I305" s="297" t="s">
        <v>101</v>
      </c>
      <c r="J305" s="299"/>
      <c r="K305" s="300"/>
      <c r="L305" s="301"/>
      <c r="M305" s="297"/>
      <c r="N305" s="297"/>
      <c r="O305" s="299"/>
      <c r="P305" s="302"/>
      <c r="Q305" s="301"/>
      <c r="R305" s="297"/>
      <c r="S305" s="297"/>
      <c r="T305" s="299"/>
      <c r="U305" s="300"/>
      <c r="V305" s="301"/>
      <c r="W305" s="297"/>
      <c r="X305" s="297"/>
      <c r="Y305" s="299"/>
      <c r="Z305" s="300"/>
      <c r="AA305" s="301"/>
      <c r="AB305" s="297"/>
      <c r="AC305" s="297"/>
      <c r="AD305" s="299"/>
      <c r="AE305" s="300"/>
      <c r="AF305" s="301"/>
      <c r="AG305" s="297"/>
      <c r="AH305" s="297"/>
      <c r="AI305" s="322"/>
      <c r="AJ305" s="300"/>
      <c r="AK305" s="301"/>
      <c r="AL305" s="297"/>
      <c r="AM305" s="297"/>
      <c r="AN305" s="297"/>
      <c r="AO305" s="473"/>
      <c r="AP305" s="297"/>
      <c r="AQ305" s="301" t="s">
        <v>7812</v>
      </c>
      <c r="AR305" s="297" t="s">
        <v>66</v>
      </c>
      <c r="AS305" s="299" t="s">
        <v>67</v>
      </c>
      <c r="AT305" s="299" t="s">
        <v>67</v>
      </c>
      <c r="AU305" s="297" t="s">
        <v>3827</v>
      </c>
      <c r="AV305" s="297"/>
      <c r="AW305" s="297" t="s">
        <v>69</v>
      </c>
      <c r="AX305" s="297" t="s">
        <v>7628</v>
      </c>
      <c r="AY305" s="299">
        <v>42768</v>
      </c>
      <c r="AZ305" s="297" t="s">
        <v>67</v>
      </c>
      <c r="BA305" s="299" t="s">
        <v>67</v>
      </c>
      <c r="BB305" s="382">
        <v>42776</v>
      </c>
      <c r="BC305" s="297" t="s">
        <v>3829</v>
      </c>
      <c r="BD305" s="297" t="s">
        <v>6447</v>
      </c>
      <c r="BE305" s="297"/>
      <c r="BF305" s="301" t="s">
        <v>4358</v>
      </c>
      <c r="BG305" s="301" t="s">
        <v>67</v>
      </c>
      <c r="BH305" s="301" t="s">
        <v>4359</v>
      </c>
      <c r="BI305" s="301" t="s">
        <v>4197</v>
      </c>
      <c r="BJ305" s="312">
        <v>813427</v>
      </c>
      <c r="BK305" s="312">
        <v>813427</v>
      </c>
      <c r="BL305" s="313">
        <v>46880017</v>
      </c>
      <c r="BM305" s="299">
        <v>42797</v>
      </c>
      <c r="BN305" s="300">
        <v>42795</v>
      </c>
      <c r="BO305" s="460"/>
      <c r="BP305" s="390"/>
      <c r="BQ305" s="297"/>
      <c r="BR305" s="303"/>
      <c r="BS305" s="301"/>
      <c r="BT305" s="301"/>
      <c r="BU305" s="301"/>
      <c r="BV305" s="301"/>
      <c r="BW305" s="316"/>
      <c r="BX305" s="304"/>
      <c r="BY305" s="299"/>
      <c r="BZ305" s="317"/>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c r="IY305" s="1"/>
      <c r="IZ305" s="1"/>
      <c r="JA305" s="1"/>
      <c r="JB305" s="1"/>
      <c r="JC305" s="1"/>
      <c r="JD305" s="1"/>
      <c r="JE305" s="1"/>
      <c r="JF305" s="1"/>
      <c r="JG305" s="1"/>
      <c r="JH305" s="1"/>
      <c r="JI305" s="1"/>
      <c r="JJ305" s="1"/>
      <c r="JK305" s="1"/>
      <c r="JL305" s="1"/>
      <c r="JM305" s="1"/>
      <c r="JN305" s="1"/>
      <c r="JO305" s="1"/>
      <c r="JP305" s="1"/>
      <c r="JQ305" s="1"/>
      <c r="JR305" s="1"/>
      <c r="JS305" s="1"/>
      <c r="JT305" s="1"/>
      <c r="JU305" s="1"/>
      <c r="JV305" s="1"/>
      <c r="JW305" s="1"/>
      <c r="JX305" s="1"/>
      <c r="JY305" s="1"/>
      <c r="JZ305" s="1"/>
      <c r="KA305" s="1"/>
      <c r="KB305" s="1"/>
      <c r="KC305" s="1"/>
      <c r="KD305" s="1"/>
      <c r="KE305" s="1"/>
      <c r="KF305" s="1"/>
      <c r="KG305" s="1"/>
      <c r="KH305" s="1"/>
      <c r="KI305" s="1"/>
      <c r="KJ305" s="1"/>
      <c r="KK305" s="1"/>
      <c r="KL305" s="1"/>
      <c r="KM305" s="1"/>
      <c r="KN305" s="1"/>
      <c r="KO305" s="1"/>
      <c r="KP305" s="1"/>
      <c r="KQ305" s="1"/>
      <c r="KR305" s="1"/>
      <c r="KS305" s="1"/>
      <c r="KT305" s="1"/>
      <c r="KU305" s="1"/>
      <c r="KV305" s="1"/>
      <c r="KW305" s="1"/>
      <c r="KX305" s="1"/>
      <c r="KY305" s="1"/>
      <c r="KZ305" s="1"/>
      <c r="LA305" s="1"/>
      <c r="LB305" s="1"/>
      <c r="LC305" s="1"/>
      <c r="LD305" s="1"/>
      <c r="LE305" s="1"/>
      <c r="LF305" s="1"/>
      <c r="LG305" s="1"/>
      <c r="LH305" s="1"/>
      <c r="LI305" s="1"/>
      <c r="LJ305" s="1"/>
      <c r="LK305" s="1"/>
      <c r="LL305" s="1"/>
      <c r="LM305" s="1"/>
      <c r="LN305" s="1"/>
      <c r="LO305" s="1"/>
      <c r="LP305" s="1"/>
      <c r="LQ305" s="1"/>
      <c r="LR305" s="1"/>
      <c r="LS305" s="1"/>
      <c r="LT305" s="1"/>
      <c r="LU305" s="1"/>
      <c r="LV305" s="1"/>
      <c r="LW305" s="1"/>
      <c r="LX305" s="1"/>
      <c r="LY305" s="1"/>
      <c r="LZ305" s="1"/>
      <c r="MA305" s="1"/>
      <c r="MB305" s="1"/>
      <c r="MC305" s="1"/>
      <c r="MD305" s="1"/>
      <c r="ME305" s="1"/>
      <c r="MF305" s="1"/>
      <c r="MG305" s="1"/>
      <c r="MH305" s="1"/>
      <c r="MI305" s="1"/>
      <c r="MJ305" s="1"/>
      <c r="MK305" s="1"/>
      <c r="ML305" s="1"/>
      <c r="MM305" s="1"/>
      <c r="MN305" s="1"/>
      <c r="MO305" s="1"/>
      <c r="MP305" s="1"/>
      <c r="MQ305" s="1"/>
      <c r="MR305" s="1"/>
      <c r="MS305" s="1"/>
      <c r="MT305" s="1"/>
      <c r="MU305" s="1"/>
      <c r="MV305" s="1"/>
      <c r="MW305" s="1"/>
      <c r="MX305" s="1"/>
      <c r="MY305" s="1"/>
      <c r="MZ305" s="1"/>
      <c r="NA305" s="1"/>
      <c r="NB305" s="1"/>
      <c r="NC305" s="1"/>
      <c r="ND305" s="1"/>
      <c r="NE305" s="1"/>
      <c r="NF305" s="1"/>
      <c r="NG305" s="1"/>
      <c r="NH305" s="1"/>
      <c r="NI305" s="1"/>
      <c r="NJ305" s="1"/>
      <c r="NK305" s="1"/>
      <c r="NL305" s="1"/>
      <c r="NM305" s="1"/>
      <c r="NN305" s="1"/>
      <c r="NO305" s="1"/>
      <c r="NP305" s="1"/>
      <c r="NQ305" s="1"/>
      <c r="NR305" s="1"/>
      <c r="NS305" s="1"/>
      <c r="NT305" s="1"/>
      <c r="NU305" s="1"/>
      <c r="NV305" s="1"/>
      <c r="NW305" s="1"/>
      <c r="NX305" s="1"/>
      <c r="NY305" s="1"/>
      <c r="NZ305" s="1"/>
      <c r="OA305" s="1"/>
      <c r="OB305" s="1"/>
      <c r="OC305" s="1"/>
      <c r="OD305" s="1"/>
      <c r="OE305" s="1"/>
      <c r="OF305" s="1"/>
      <c r="OG305" s="1"/>
      <c r="OH305" s="1"/>
      <c r="OI305" s="1"/>
      <c r="OJ305" s="1"/>
      <c r="OK305" s="1"/>
      <c r="OL305" s="1"/>
      <c r="OM305" s="1"/>
      <c r="ON305" s="1"/>
      <c r="OO305" s="1"/>
      <c r="OP305" s="1"/>
      <c r="OQ305" s="1"/>
      <c r="OR305" s="1"/>
      <c r="OS305" s="1"/>
      <c r="OT305" s="1"/>
      <c r="OU305" s="1"/>
      <c r="OV305" s="1"/>
      <c r="OW305" s="1"/>
      <c r="OX305" s="1"/>
      <c r="OY305" s="1"/>
      <c r="OZ305" s="1"/>
      <c r="PA305" s="1"/>
      <c r="PB305" s="1"/>
      <c r="PC305" s="1"/>
      <c r="PD305" s="1"/>
      <c r="PE305" s="1"/>
      <c r="PF305" s="1"/>
      <c r="PG305" s="1"/>
      <c r="PH305" s="1"/>
      <c r="PI305" s="1"/>
      <c r="PJ305" s="1"/>
      <c r="PK305" s="1"/>
      <c r="PL305" s="1"/>
      <c r="PM305" s="1"/>
      <c r="PN305" s="1"/>
      <c r="PO305" s="1"/>
      <c r="PP305" s="1"/>
      <c r="PQ305" s="1"/>
      <c r="PR305" s="1"/>
      <c r="PS305" s="1"/>
      <c r="PT305" s="1"/>
      <c r="PU305" s="1"/>
      <c r="PV305" s="1"/>
      <c r="PW305" s="1"/>
      <c r="PX305" s="1"/>
      <c r="PY305" s="1"/>
      <c r="PZ305" s="1"/>
      <c r="QA305" s="1"/>
      <c r="QB305" s="1"/>
      <c r="QC305" s="1"/>
      <c r="QD305" s="1"/>
      <c r="QE305" s="1"/>
      <c r="QF305" s="1"/>
      <c r="QG305" s="1"/>
      <c r="QH305" s="1"/>
      <c r="QI305" s="1"/>
      <c r="QJ305" s="1"/>
      <c r="QK305" s="1"/>
      <c r="QL305" s="1"/>
      <c r="QM305" s="1"/>
      <c r="QN305" s="1"/>
      <c r="QO305" s="1"/>
      <c r="QP305" s="1"/>
      <c r="QQ305" s="1"/>
      <c r="QR305" s="1"/>
      <c r="QS305" s="1"/>
      <c r="QT305" s="1"/>
      <c r="QU305" s="1"/>
      <c r="QV305" s="1"/>
      <c r="QW305" s="1"/>
      <c r="QX305" s="1"/>
      <c r="QY305" s="1"/>
      <c r="QZ305" s="1"/>
      <c r="RA305" s="1"/>
      <c r="RB305" s="1"/>
      <c r="RC305" s="1"/>
      <c r="RD305" s="1"/>
      <c r="RE305" s="1"/>
      <c r="RF305" s="1"/>
      <c r="RG305" s="1"/>
      <c r="RH305" s="1"/>
      <c r="RI305" s="1"/>
      <c r="RJ305" s="1"/>
      <c r="RK305" s="1"/>
      <c r="RL305" s="1"/>
      <c r="RM305" s="1"/>
      <c r="RN305" s="1"/>
      <c r="RO305" s="1"/>
      <c r="RP305" s="1"/>
      <c r="RQ305" s="1"/>
      <c r="RR305" s="1"/>
      <c r="RS305" s="1"/>
      <c r="RT305" s="1"/>
      <c r="RU305" s="1"/>
      <c r="RV305" s="1"/>
      <c r="RW305" s="1"/>
      <c r="RX305" s="1"/>
      <c r="RY305" s="1"/>
      <c r="RZ305" s="1"/>
      <c r="SA305" s="1"/>
      <c r="SB305" s="1"/>
      <c r="SC305" s="1"/>
      <c r="SD305" s="1"/>
      <c r="SE305" s="1"/>
      <c r="SF305" s="1"/>
      <c r="SG305" s="1"/>
      <c r="SH305" s="1"/>
      <c r="SI305" s="1"/>
      <c r="SJ305" s="1"/>
      <c r="SK305" s="1"/>
      <c r="SL305" s="1"/>
      <c r="SM305" s="1"/>
      <c r="SN305" s="1"/>
      <c r="SO305" s="1"/>
      <c r="SP305" s="1"/>
      <c r="SQ305" s="1"/>
      <c r="SR305" s="1"/>
      <c r="SS305" s="1"/>
      <c r="ST305" s="1"/>
      <c r="SU305" s="1"/>
      <c r="SV305" s="1"/>
      <c r="SW305" s="1"/>
      <c r="SX305" s="1"/>
      <c r="SY305" s="1"/>
      <c r="SZ305" s="1"/>
      <c r="TA305" s="1"/>
      <c r="TB305" s="1"/>
      <c r="TC305" s="1"/>
      <c r="TD305" s="1"/>
      <c r="TE305" s="1"/>
      <c r="TF305" s="1"/>
      <c r="TG305" s="1"/>
      <c r="TH305" s="1"/>
      <c r="TI305" s="1"/>
      <c r="TJ305" s="1"/>
      <c r="TK305" s="1"/>
      <c r="TL305" s="1"/>
      <c r="TM305" s="1"/>
      <c r="TN305" s="1"/>
      <c r="TO305" s="1"/>
      <c r="TP305" s="1"/>
      <c r="TQ305" s="1"/>
      <c r="TR305" s="1"/>
      <c r="TS305" s="1"/>
      <c r="TT305" s="1"/>
      <c r="TU305" s="1"/>
      <c r="TV305" s="1"/>
      <c r="TW305" s="1"/>
      <c r="TX305" s="1"/>
      <c r="TY305" s="1"/>
      <c r="TZ305" s="1"/>
      <c r="UA305" s="1"/>
      <c r="UB305" s="1"/>
      <c r="UC305" s="1"/>
      <c r="UD305" s="1"/>
      <c r="UE305" s="1"/>
      <c r="UF305" s="1"/>
      <c r="UG305" s="1"/>
      <c r="UH305" s="1"/>
      <c r="UI305" s="1"/>
    </row>
    <row r="306" spans="1:555" s="509" customFormat="1" ht="86.25" customHeight="1">
      <c r="A306" s="296">
        <v>420</v>
      </c>
      <c r="B306" s="297" t="s">
        <v>4360</v>
      </c>
      <c r="C306" s="298">
        <v>79594870</v>
      </c>
      <c r="D306" s="354" t="s">
        <v>67</v>
      </c>
      <c r="E306" s="299">
        <v>42773</v>
      </c>
      <c r="F306" s="300">
        <v>42767</v>
      </c>
      <c r="G306" s="301" t="s">
        <v>271</v>
      </c>
      <c r="H306" s="297" t="s">
        <v>63</v>
      </c>
      <c r="I306" s="297" t="s">
        <v>101</v>
      </c>
      <c r="J306" s="299"/>
      <c r="K306" s="300"/>
      <c r="L306" s="301"/>
      <c r="M306" s="297"/>
      <c r="N306" s="297"/>
      <c r="O306" s="299"/>
      <c r="P306" s="302"/>
      <c r="Q306" s="301"/>
      <c r="R306" s="297"/>
      <c r="S306" s="297"/>
      <c r="T306" s="299"/>
      <c r="U306" s="300"/>
      <c r="V306" s="301"/>
      <c r="W306" s="297"/>
      <c r="X306" s="297"/>
      <c r="Y306" s="299"/>
      <c r="Z306" s="300"/>
      <c r="AA306" s="301"/>
      <c r="AB306" s="297"/>
      <c r="AC306" s="297"/>
      <c r="AD306" s="299"/>
      <c r="AE306" s="300"/>
      <c r="AF306" s="301"/>
      <c r="AG306" s="297"/>
      <c r="AH306" s="297"/>
      <c r="AI306" s="322"/>
      <c r="AJ306" s="300"/>
      <c r="AK306" s="301"/>
      <c r="AL306" s="297"/>
      <c r="AM306" s="297"/>
      <c r="AN306" s="297"/>
      <c r="AO306" s="473"/>
      <c r="AP306" s="297"/>
      <c r="AQ306" s="301" t="s">
        <v>7936</v>
      </c>
      <c r="AR306" s="297" t="s">
        <v>66</v>
      </c>
      <c r="AS306" s="299" t="s">
        <v>67</v>
      </c>
      <c r="AT306" s="299" t="s">
        <v>67</v>
      </c>
      <c r="AU306" s="297" t="s">
        <v>3827</v>
      </c>
      <c r="AV306" s="297"/>
      <c r="AW306" s="297" t="s">
        <v>69</v>
      </c>
      <c r="AX306" s="297" t="s">
        <v>4346</v>
      </c>
      <c r="AY306" s="299">
        <v>42768</v>
      </c>
      <c r="AZ306" s="297" t="s">
        <v>67</v>
      </c>
      <c r="BA306" s="299" t="s">
        <v>67</v>
      </c>
      <c r="BB306" s="382">
        <v>42776</v>
      </c>
      <c r="BC306" s="297" t="s">
        <v>3829</v>
      </c>
      <c r="BD306" s="297" t="s">
        <v>6447</v>
      </c>
      <c r="BE306" s="297"/>
      <c r="BF306" s="301"/>
      <c r="BG306" s="301" t="s">
        <v>67</v>
      </c>
      <c r="BH306" s="301" t="s">
        <v>4361</v>
      </c>
      <c r="BI306" s="301" t="s">
        <v>4199</v>
      </c>
      <c r="BJ306" s="312">
        <v>474499</v>
      </c>
      <c r="BK306" s="312">
        <v>474499</v>
      </c>
      <c r="BL306" s="313">
        <v>54508917</v>
      </c>
      <c r="BM306" s="299">
        <v>42803</v>
      </c>
      <c r="BN306" s="300">
        <v>42795</v>
      </c>
      <c r="BO306" s="460"/>
      <c r="BP306" s="390"/>
      <c r="BQ306" s="297"/>
      <c r="BR306" s="303"/>
      <c r="BS306" s="301"/>
      <c r="BT306" s="301"/>
      <c r="BU306" s="301"/>
      <c r="BV306" s="301"/>
      <c r="BW306" s="316"/>
      <c r="BX306" s="304"/>
      <c r="BY306" s="299"/>
      <c r="BZ306" s="317"/>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c r="IY306" s="1"/>
      <c r="IZ306" s="1"/>
      <c r="JA306" s="1"/>
      <c r="JB306" s="1"/>
      <c r="JC306" s="1"/>
      <c r="JD306" s="1"/>
      <c r="JE306" s="1"/>
      <c r="JF306" s="1"/>
      <c r="JG306" s="1"/>
      <c r="JH306" s="1"/>
      <c r="JI306" s="1"/>
      <c r="JJ306" s="1"/>
      <c r="JK306" s="1"/>
      <c r="JL306" s="1"/>
      <c r="JM306" s="1"/>
      <c r="JN306" s="1"/>
      <c r="JO306" s="1"/>
      <c r="JP306" s="1"/>
      <c r="JQ306" s="1"/>
      <c r="JR306" s="1"/>
      <c r="JS306" s="1"/>
      <c r="JT306" s="1"/>
      <c r="JU306" s="1"/>
      <c r="JV306" s="1"/>
      <c r="JW306" s="1"/>
      <c r="JX306" s="1"/>
      <c r="JY306" s="1"/>
      <c r="JZ306" s="1"/>
      <c r="KA306" s="1"/>
      <c r="KB306" s="1"/>
      <c r="KC306" s="1"/>
      <c r="KD306" s="1"/>
      <c r="KE306" s="1"/>
      <c r="KF306" s="1"/>
      <c r="KG306" s="1"/>
      <c r="KH306" s="1"/>
      <c r="KI306" s="1"/>
      <c r="KJ306" s="1"/>
      <c r="KK306" s="1"/>
      <c r="KL306" s="1"/>
      <c r="KM306" s="1"/>
      <c r="KN306" s="1"/>
      <c r="KO306" s="1"/>
      <c r="KP306" s="1"/>
      <c r="KQ306" s="1"/>
      <c r="KR306" s="1"/>
      <c r="KS306" s="1"/>
      <c r="KT306" s="1"/>
      <c r="KU306" s="1"/>
      <c r="KV306" s="1"/>
      <c r="KW306" s="1"/>
      <c r="KX306" s="1"/>
      <c r="KY306" s="1"/>
      <c r="KZ306" s="1"/>
      <c r="LA306" s="1"/>
      <c r="LB306" s="1"/>
      <c r="LC306" s="1"/>
      <c r="LD306" s="1"/>
      <c r="LE306" s="1"/>
      <c r="LF306" s="1"/>
      <c r="LG306" s="1"/>
      <c r="LH306" s="1"/>
      <c r="LI306" s="1"/>
      <c r="LJ306" s="1"/>
      <c r="LK306" s="1"/>
      <c r="LL306" s="1"/>
      <c r="LM306" s="1"/>
      <c r="LN306" s="1"/>
      <c r="LO306" s="1"/>
      <c r="LP306" s="1"/>
      <c r="LQ306" s="1"/>
      <c r="LR306" s="1"/>
      <c r="LS306" s="1"/>
      <c r="LT306" s="1"/>
      <c r="LU306" s="1"/>
      <c r="LV306" s="1"/>
      <c r="LW306" s="1"/>
      <c r="LX306" s="1"/>
      <c r="LY306" s="1"/>
      <c r="LZ306" s="1"/>
      <c r="MA306" s="1"/>
      <c r="MB306" s="1"/>
      <c r="MC306" s="1"/>
      <c r="MD306" s="1"/>
      <c r="ME306" s="1"/>
      <c r="MF306" s="1"/>
      <c r="MG306" s="1"/>
      <c r="MH306" s="1"/>
      <c r="MI306" s="1"/>
      <c r="MJ306" s="1"/>
      <c r="MK306" s="1"/>
      <c r="ML306" s="1"/>
      <c r="MM306" s="1"/>
      <c r="MN306" s="1"/>
      <c r="MO306" s="1"/>
      <c r="MP306" s="1"/>
      <c r="MQ306" s="1"/>
      <c r="MR306" s="1"/>
      <c r="MS306" s="1"/>
      <c r="MT306" s="1"/>
      <c r="MU306" s="1"/>
      <c r="MV306" s="1"/>
      <c r="MW306" s="1"/>
      <c r="MX306" s="1"/>
      <c r="MY306" s="1"/>
      <c r="MZ306" s="1"/>
      <c r="NA306" s="1"/>
      <c r="NB306" s="1"/>
      <c r="NC306" s="1"/>
      <c r="ND306" s="1"/>
      <c r="NE306" s="1"/>
      <c r="NF306" s="1"/>
      <c r="NG306" s="1"/>
      <c r="NH306" s="1"/>
      <c r="NI306" s="1"/>
      <c r="NJ306" s="1"/>
      <c r="NK306" s="1"/>
      <c r="NL306" s="1"/>
      <c r="NM306" s="1"/>
      <c r="NN306" s="1"/>
      <c r="NO306" s="1"/>
      <c r="NP306" s="1"/>
      <c r="NQ306" s="1"/>
      <c r="NR306" s="1"/>
      <c r="NS306" s="1"/>
      <c r="NT306" s="1"/>
      <c r="NU306" s="1"/>
      <c r="NV306" s="1"/>
      <c r="NW306" s="1"/>
      <c r="NX306" s="1"/>
      <c r="NY306" s="1"/>
      <c r="NZ306" s="1"/>
      <c r="OA306" s="1"/>
      <c r="OB306" s="1"/>
      <c r="OC306" s="1"/>
      <c r="OD306" s="1"/>
      <c r="OE306" s="1"/>
      <c r="OF306" s="1"/>
      <c r="OG306" s="1"/>
      <c r="OH306" s="1"/>
      <c r="OI306" s="1"/>
      <c r="OJ306" s="1"/>
      <c r="OK306" s="1"/>
      <c r="OL306" s="1"/>
      <c r="OM306" s="1"/>
      <c r="ON306" s="1"/>
      <c r="OO306" s="1"/>
      <c r="OP306" s="1"/>
      <c r="OQ306" s="1"/>
      <c r="OR306" s="1"/>
      <c r="OS306" s="1"/>
      <c r="OT306" s="1"/>
      <c r="OU306" s="1"/>
      <c r="OV306" s="1"/>
      <c r="OW306" s="1"/>
      <c r="OX306" s="1"/>
      <c r="OY306" s="1"/>
      <c r="OZ306" s="1"/>
      <c r="PA306" s="1"/>
      <c r="PB306" s="1"/>
      <c r="PC306" s="1"/>
      <c r="PD306" s="1"/>
      <c r="PE306" s="1"/>
      <c r="PF306" s="1"/>
      <c r="PG306" s="1"/>
      <c r="PH306" s="1"/>
      <c r="PI306" s="1"/>
      <c r="PJ306" s="1"/>
      <c r="PK306" s="1"/>
      <c r="PL306" s="1"/>
      <c r="PM306" s="1"/>
      <c r="PN306" s="1"/>
      <c r="PO306" s="1"/>
      <c r="PP306" s="1"/>
      <c r="PQ306" s="1"/>
      <c r="PR306" s="1"/>
      <c r="PS306" s="1"/>
      <c r="PT306" s="1"/>
      <c r="PU306" s="1"/>
      <c r="PV306" s="1"/>
      <c r="PW306" s="1"/>
      <c r="PX306" s="1"/>
      <c r="PY306" s="1"/>
      <c r="PZ306" s="1"/>
      <c r="QA306" s="1"/>
      <c r="QB306" s="1"/>
      <c r="QC306" s="1"/>
      <c r="QD306" s="1"/>
      <c r="QE306" s="1"/>
      <c r="QF306" s="1"/>
      <c r="QG306" s="1"/>
      <c r="QH306" s="1"/>
      <c r="QI306" s="1"/>
      <c r="QJ306" s="1"/>
      <c r="QK306" s="1"/>
      <c r="QL306" s="1"/>
      <c r="QM306" s="1"/>
      <c r="QN306" s="1"/>
      <c r="QO306" s="1"/>
      <c r="QP306" s="1"/>
      <c r="QQ306" s="1"/>
      <c r="QR306" s="1"/>
      <c r="QS306" s="1"/>
      <c r="QT306" s="1"/>
      <c r="QU306" s="1"/>
      <c r="QV306" s="1"/>
      <c r="QW306" s="1"/>
      <c r="QX306" s="1"/>
      <c r="QY306" s="1"/>
      <c r="QZ306" s="1"/>
      <c r="RA306" s="1"/>
      <c r="RB306" s="1"/>
      <c r="RC306" s="1"/>
      <c r="RD306" s="1"/>
      <c r="RE306" s="1"/>
      <c r="RF306" s="1"/>
      <c r="RG306" s="1"/>
      <c r="RH306" s="1"/>
      <c r="RI306" s="1"/>
      <c r="RJ306" s="1"/>
      <c r="RK306" s="1"/>
      <c r="RL306" s="1"/>
      <c r="RM306" s="1"/>
      <c r="RN306" s="1"/>
      <c r="RO306" s="1"/>
      <c r="RP306" s="1"/>
      <c r="RQ306" s="1"/>
      <c r="RR306" s="1"/>
      <c r="RS306" s="1"/>
      <c r="RT306" s="1"/>
      <c r="RU306" s="1"/>
      <c r="RV306" s="1"/>
      <c r="RW306" s="1"/>
      <c r="RX306" s="1"/>
      <c r="RY306" s="1"/>
      <c r="RZ306" s="1"/>
      <c r="SA306" s="1"/>
      <c r="SB306" s="1"/>
      <c r="SC306" s="1"/>
      <c r="SD306" s="1"/>
      <c r="SE306" s="1"/>
      <c r="SF306" s="1"/>
      <c r="SG306" s="1"/>
      <c r="SH306" s="1"/>
      <c r="SI306" s="1"/>
      <c r="SJ306" s="1"/>
      <c r="SK306" s="1"/>
      <c r="SL306" s="1"/>
      <c r="SM306" s="1"/>
      <c r="SN306" s="1"/>
      <c r="SO306" s="1"/>
      <c r="SP306" s="1"/>
      <c r="SQ306" s="1"/>
      <c r="SR306" s="1"/>
      <c r="SS306" s="1"/>
      <c r="ST306" s="1"/>
      <c r="SU306" s="1"/>
      <c r="SV306" s="1"/>
      <c r="SW306" s="1"/>
      <c r="SX306" s="1"/>
      <c r="SY306" s="1"/>
      <c r="SZ306" s="1"/>
      <c r="TA306" s="1"/>
      <c r="TB306" s="1"/>
      <c r="TC306" s="1"/>
      <c r="TD306" s="1"/>
      <c r="TE306" s="1"/>
      <c r="TF306" s="1"/>
      <c r="TG306" s="1"/>
      <c r="TH306" s="1"/>
      <c r="TI306" s="1"/>
      <c r="TJ306" s="1"/>
      <c r="TK306" s="1"/>
      <c r="TL306" s="1"/>
      <c r="TM306" s="1"/>
      <c r="TN306" s="1"/>
      <c r="TO306" s="1"/>
      <c r="TP306" s="1"/>
      <c r="TQ306" s="1"/>
      <c r="TR306" s="1"/>
      <c r="TS306" s="1"/>
      <c r="TT306" s="1"/>
      <c r="TU306" s="1"/>
      <c r="TV306" s="1"/>
      <c r="TW306" s="1"/>
      <c r="TX306" s="1"/>
      <c r="TY306" s="1"/>
      <c r="TZ306" s="1"/>
      <c r="UA306" s="1"/>
      <c r="UB306" s="1"/>
      <c r="UC306" s="1"/>
      <c r="UD306" s="1"/>
      <c r="UE306" s="1"/>
      <c r="UF306" s="1"/>
      <c r="UG306" s="1"/>
      <c r="UH306" s="1"/>
      <c r="UI306" s="1"/>
    </row>
    <row r="307" spans="1:555" s="509" customFormat="1" ht="84" customHeight="1">
      <c r="A307" s="296">
        <v>421</v>
      </c>
      <c r="B307" s="297" t="s">
        <v>4362</v>
      </c>
      <c r="C307" s="298">
        <v>91016575</v>
      </c>
      <c r="D307" s="354" t="s">
        <v>67</v>
      </c>
      <c r="E307" s="299">
        <v>42773</v>
      </c>
      <c r="F307" s="300">
        <v>42767</v>
      </c>
      <c r="G307" s="301" t="s">
        <v>271</v>
      </c>
      <c r="H307" s="297" t="s">
        <v>63</v>
      </c>
      <c r="I307" s="297" t="s">
        <v>101</v>
      </c>
      <c r="J307" s="299"/>
      <c r="K307" s="300"/>
      <c r="L307" s="301"/>
      <c r="M307" s="297"/>
      <c r="N307" s="297"/>
      <c r="O307" s="299"/>
      <c r="P307" s="302"/>
      <c r="Q307" s="301"/>
      <c r="R307" s="297"/>
      <c r="S307" s="297"/>
      <c r="T307" s="299"/>
      <c r="U307" s="300"/>
      <c r="V307" s="301"/>
      <c r="W307" s="297"/>
      <c r="X307" s="297"/>
      <c r="Y307" s="299"/>
      <c r="Z307" s="300"/>
      <c r="AA307" s="301"/>
      <c r="AB307" s="297"/>
      <c r="AC307" s="297"/>
      <c r="AD307" s="299"/>
      <c r="AE307" s="300"/>
      <c r="AF307" s="301"/>
      <c r="AG307" s="297"/>
      <c r="AH307" s="297"/>
      <c r="AI307" s="322"/>
      <c r="AJ307" s="300"/>
      <c r="AK307" s="301"/>
      <c r="AL307" s="297"/>
      <c r="AM307" s="297"/>
      <c r="AN307" s="297"/>
      <c r="AO307" s="473"/>
      <c r="AP307" s="297"/>
      <c r="AQ307" s="301" t="s">
        <v>7606</v>
      </c>
      <c r="AR307" s="297" t="s">
        <v>66</v>
      </c>
      <c r="AS307" s="299" t="s">
        <v>67</v>
      </c>
      <c r="AT307" s="299" t="s">
        <v>67</v>
      </c>
      <c r="AU307" s="297" t="s">
        <v>3827</v>
      </c>
      <c r="AV307" s="297"/>
      <c r="AW307" s="297" t="s">
        <v>69</v>
      </c>
      <c r="AX307" s="297" t="s">
        <v>4346</v>
      </c>
      <c r="AY307" s="299">
        <v>42768</v>
      </c>
      <c r="AZ307" s="297" t="s">
        <v>67</v>
      </c>
      <c r="BA307" s="299" t="s">
        <v>67</v>
      </c>
      <c r="BB307" s="382">
        <v>42776</v>
      </c>
      <c r="BC307" s="297" t="s">
        <v>3829</v>
      </c>
      <c r="BD307" s="297" t="s">
        <v>6447</v>
      </c>
      <c r="BE307" s="297"/>
      <c r="BF307" s="301"/>
      <c r="BG307" s="301" t="s">
        <v>67</v>
      </c>
      <c r="BH307" s="301" t="s">
        <v>4363</v>
      </c>
      <c r="BI307" s="301" t="s">
        <v>1007</v>
      </c>
      <c r="BJ307" s="312">
        <v>542285</v>
      </c>
      <c r="BK307" s="312">
        <v>542285</v>
      </c>
      <c r="BL307" s="313">
        <v>80930317</v>
      </c>
      <c r="BM307" s="299">
        <v>42831</v>
      </c>
      <c r="BN307" s="300">
        <v>42826</v>
      </c>
      <c r="BO307" s="434" t="s">
        <v>4364</v>
      </c>
      <c r="BP307" s="397"/>
      <c r="BQ307" s="398"/>
      <c r="BR307" s="320"/>
      <c r="BS307" s="301"/>
      <c r="BT307" s="301"/>
      <c r="BU307" s="301"/>
      <c r="BV307" s="301"/>
      <c r="BW307" s="316"/>
      <c r="BX307" s="304"/>
      <c r="BY307" s="299"/>
      <c r="BZ307" s="317"/>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c r="IY307" s="1"/>
      <c r="IZ307" s="1"/>
      <c r="JA307" s="1"/>
      <c r="JB307" s="1"/>
      <c r="JC307" s="1"/>
      <c r="JD307" s="1"/>
      <c r="JE307" s="1"/>
      <c r="JF307" s="1"/>
      <c r="JG307" s="1"/>
      <c r="JH307" s="1"/>
      <c r="JI307" s="1"/>
      <c r="JJ307" s="1"/>
      <c r="JK307" s="1"/>
      <c r="JL307" s="1"/>
      <c r="JM307" s="1"/>
      <c r="JN307" s="1"/>
      <c r="JO307" s="1"/>
      <c r="JP307" s="1"/>
      <c r="JQ307" s="1"/>
      <c r="JR307" s="1"/>
      <c r="JS307" s="1"/>
      <c r="JT307" s="1"/>
      <c r="JU307" s="1"/>
      <c r="JV307" s="1"/>
      <c r="JW307" s="1"/>
      <c r="JX307" s="1"/>
      <c r="JY307" s="1"/>
      <c r="JZ307" s="1"/>
      <c r="KA307" s="1"/>
      <c r="KB307" s="1"/>
      <c r="KC307" s="1"/>
      <c r="KD307" s="1"/>
      <c r="KE307" s="1"/>
      <c r="KF307" s="1"/>
      <c r="KG307" s="1"/>
      <c r="KH307" s="1"/>
      <c r="KI307" s="1"/>
      <c r="KJ307" s="1"/>
      <c r="KK307" s="1"/>
      <c r="KL307" s="1"/>
      <c r="KM307" s="1"/>
      <c r="KN307" s="1"/>
      <c r="KO307" s="1"/>
      <c r="KP307" s="1"/>
      <c r="KQ307" s="1"/>
      <c r="KR307" s="1"/>
      <c r="KS307" s="1"/>
      <c r="KT307" s="1"/>
      <c r="KU307" s="1"/>
      <c r="KV307" s="1"/>
      <c r="KW307" s="1"/>
      <c r="KX307" s="1"/>
      <c r="KY307" s="1"/>
      <c r="KZ307" s="1"/>
      <c r="LA307" s="1"/>
      <c r="LB307" s="1"/>
      <c r="LC307" s="1"/>
      <c r="LD307" s="1"/>
      <c r="LE307" s="1"/>
      <c r="LF307" s="1"/>
      <c r="LG307" s="1"/>
      <c r="LH307" s="1"/>
      <c r="LI307" s="1"/>
      <c r="LJ307" s="1"/>
      <c r="LK307" s="1"/>
      <c r="LL307" s="1"/>
      <c r="LM307" s="1"/>
      <c r="LN307" s="1"/>
      <c r="LO307" s="1"/>
      <c r="LP307" s="1"/>
      <c r="LQ307" s="1"/>
      <c r="LR307" s="1"/>
      <c r="LS307" s="1"/>
      <c r="LT307" s="1"/>
      <c r="LU307" s="1"/>
      <c r="LV307" s="1"/>
      <c r="LW307" s="1"/>
      <c r="LX307" s="1"/>
      <c r="LY307" s="1"/>
      <c r="LZ307" s="1"/>
      <c r="MA307" s="1"/>
      <c r="MB307" s="1"/>
      <c r="MC307" s="1"/>
      <c r="MD307" s="1"/>
      <c r="ME307" s="1"/>
      <c r="MF307" s="1"/>
      <c r="MG307" s="1"/>
      <c r="MH307" s="1"/>
      <c r="MI307" s="1"/>
      <c r="MJ307" s="1"/>
      <c r="MK307" s="1"/>
      <c r="ML307" s="1"/>
      <c r="MM307" s="1"/>
      <c r="MN307" s="1"/>
      <c r="MO307" s="1"/>
      <c r="MP307" s="1"/>
      <c r="MQ307" s="1"/>
      <c r="MR307" s="1"/>
      <c r="MS307" s="1"/>
      <c r="MT307" s="1"/>
      <c r="MU307" s="1"/>
      <c r="MV307" s="1"/>
      <c r="MW307" s="1"/>
      <c r="MX307" s="1"/>
      <c r="MY307" s="1"/>
      <c r="MZ307" s="1"/>
      <c r="NA307" s="1"/>
      <c r="NB307" s="1"/>
      <c r="NC307" s="1"/>
      <c r="ND307" s="1"/>
      <c r="NE307" s="1"/>
      <c r="NF307" s="1"/>
      <c r="NG307" s="1"/>
      <c r="NH307" s="1"/>
      <c r="NI307" s="1"/>
      <c r="NJ307" s="1"/>
      <c r="NK307" s="1"/>
      <c r="NL307" s="1"/>
      <c r="NM307" s="1"/>
      <c r="NN307" s="1"/>
      <c r="NO307" s="1"/>
      <c r="NP307" s="1"/>
      <c r="NQ307" s="1"/>
      <c r="NR307" s="1"/>
      <c r="NS307" s="1"/>
      <c r="NT307" s="1"/>
      <c r="NU307" s="1"/>
      <c r="NV307" s="1"/>
      <c r="NW307" s="1"/>
      <c r="NX307" s="1"/>
      <c r="NY307" s="1"/>
      <c r="NZ307" s="1"/>
      <c r="OA307" s="1"/>
      <c r="OB307" s="1"/>
      <c r="OC307" s="1"/>
      <c r="OD307" s="1"/>
      <c r="OE307" s="1"/>
      <c r="OF307" s="1"/>
      <c r="OG307" s="1"/>
      <c r="OH307" s="1"/>
      <c r="OI307" s="1"/>
      <c r="OJ307" s="1"/>
      <c r="OK307" s="1"/>
      <c r="OL307" s="1"/>
      <c r="OM307" s="1"/>
      <c r="ON307" s="1"/>
      <c r="OO307" s="1"/>
      <c r="OP307" s="1"/>
      <c r="OQ307" s="1"/>
      <c r="OR307" s="1"/>
      <c r="OS307" s="1"/>
      <c r="OT307" s="1"/>
      <c r="OU307" s="1"/>
      <c r="OV307" s="1"/>
      <c r="OW307" s="1"/>
      <c r="OX307" s="1"/>
      <c r="OY307" s="1"/>
      <c r="OZ307" s="1"/>
      <c r="PA307" s="1"/>
      <c r="PB307" s="1"/>
      <c r="PC307" s="1"/>
      <c r="PD307" s="1"/>
      <c r="PE307" s="1"/>
      <c r="PF307" s="1"/>
      <c r="PG307" s="1"/>
      <c r="PH307" s="1"/>
      <c r="PI307" s="1"/>
      <c r="PJ307" s="1"/>
      <c r="PK307" s="1"/>
      <c r="PL307" s="1"/>
      <c r="PM307" s="1"/>
      <c r="PN307" s="1"/>
      <c r="PO307" s="1"/>
      <c r="PP307" s="1"/>
      <c r="PQ307" s="1"/>
      <c r="PR307" s="1"/>
      <c r="PS307" s="1"/>
      <c r="PT307" s="1"/>
      <c r="PU307" s="1"/>
      <c r="PV307" s="1"/>
      <c r="PW307" s="1"/>
      <c r="PX307" s="1"/>
      <c r="PY307" s="1"/>
      <c r="PZ307" s="1"/>
      <c r="QA307" s="1"/>
      <c r="QB307" s="1"/>
      <c r="QC307" s="1"/>
      <c r="QD307" s="1"/>
      <c r="QE307" s="1"/>
      <c r="QF307" s="1"/>
      <c r="QG307" s="1"/>
      <c r="QH307" s="1"/>
      <c r="QI307" s="1"/>
      <c r="QJ307" s="1"/>
      <c r="QK307" s="1"/>
      <c r="QL307" s="1"/>
      <c r="QM307" s="1"/>
      <c r="QN307" s="1"/>
      <c r="QO307" s="1"/>
      <c r="QP307" s="1"/>
      <c r="QQ307" s="1"/>
      <c r="QR307" s="1"/>
      <c r="QS307" s="1"/>
      <c r="QT307" s="1"/>
      <c r="QU307" s="1"/>
      <c r="QV307" s="1"/>
      <c r="QW307" s="1"/>
      <c r="QX307" s="1"/>
      <c r="QY307" s="1"/>
      <c r="QZ307" s="1"/>
      <c r="RA307" s="1"/>
      <c r="RB307" s="1"/>
      <c r="RC307" s="1"/>
      <c r="RD307" s="1"/>
      <c r="RE307" s="1"/>
      <c r="RF307" s="1"/>
      <c r="RG307" s="1"/>
      <c r="RH307" s="1"/>
      <c r="RI307" s="1"/>
      <c r="RJ307" s="1"/>
      <c r="RK307" s="1"/>
      <c r="RL307" s="1"/>
      <c r="RM307" s="1"/>
      <c r="RN307" s="1"/>
      <c r="RO307" s="1"/>
      <c r="RP307" s="1"/>
      <c r="RQ307" s="1"/>
      <c r="RR307" s="1"/>
      <c r="RS307" s="1"/>
      <c r="RT307" s="1"/>
      <c r="RU307" s="1"/>
      <c r="RV307" s="1"/>
      <c r="RW307" s="1"/>
      <c r="RX307" s="1"/>
      <c r="RY307" s="1"/>
      <c r="RZ307" s="1"/>
      <c r="SA307" s="1"/>
      <c r="SB307" s="1"/>
      <c r="SC307" s="1"/>
      <c r="SD307" s="1"/>
      <c r="SE307" s="1"/>
      <c r="SF307" s="1"/>
      <c r="SG307" s="1"/>
      <c r="SH307" s="1"/>
      <c r="SI307" s="1"/>
      <c r="SJ307" s="1"/>
      <c r="SK307" s="1"/>
      <c r="SL307" s="1"/>
      <c r="SM307" s="1"/>
      <c r="SN307" s="1"/>
      <c r="SO307" s="1"/>
      <c r="SP307" s="1"/>
      <c r="SQ307" s="1"/>
      <c r="SR307" s="1"/>
      <c r="SS307" s="1"/>
      <c r="ST307" s="1"/>
      <c r="SU307" s="1"/>
      <c r="SV307" s="1"/>
      <c r="SW307" s="1"/>
      <c r="SX307" s="1"/>
      <c r="SY307" s="1"/>
      <c r="SZ307" s="1"/>
      <c r="TA307" s="1"/>
      <c r="TB307" s="1"/>
      <c r="TC307" s="1"/>
      <c r="TD307" s="1"/>
      <c r="TE307" s="1"/>
      <c r="TF307" s="1"/>
      <c r="TG307" s="1"/>
      <c r="TH307" s="1"/>
      <c r="TI307" s="1"/>
      <c r="TJ307" s="1"/>
      <c r="TK307" s="1"/>
      <c r="TL307" s="1"/>
      <c r="TM307" s="1"/>
      <c r="TN307" s="1"/>
      <c r="TO307" s="1"/>
      <c r="TP307" s="1"/>
      <c r="TQ307" s="1"/>
      <c r="TR307" s="1"/>
      <c r="TS307" s="1"/>
      <c r="TT307" s="1"/>
      <c r="TU307" s="1"/>
      <c r="TV307" s="1"/>
      <c r="TW307" s="1"/>
      <c r="TX307" s="1"/>
      <c r="TY307" s="1"/>
      <c r="TZ307" s="1"/>
      <c r="UA307" s="1"/>
      <c r="UB307" s="1"/>
      <c r="UC307" s="1"/>
      <c r="UD307" s="1"/>
      <c r="UE307" s="1"/>
      <c r="UF307" s="1"/>
      <c r="UG307" s="1"/>
      <c r="UH307" s="1"/>
      <c r="UI307" s="1"/>
    </row>
    <row r="308" spans="1:555" s="259" customFormat="1" ht="85.5" customHeight="1">
      <c r="A308" s="296">
        <v>422</v>
      </c>
      <c r="B308" s="297" t="s">
        <v>4365</v>
      </c>
      <c r="C308" s="298">
        <v>79958018</v>
      </c>
      <c r="D308" s="354" t="s">
        <v>67</v>
      </c>
      <c r="E308" s="299">
        <v>42773</v>
      </c>
      <c r="F308" s="300">
        <v>42767</v>
      </c>
      <c r="G308" s="301" t="s">
        <v>271</v>
      </c>
      <c r="H308" s="297" t="s">
        <v>63</v>
      </c>
      <c r="I308" s="297" t="s">
        <v>101</v>
      </c>
      <c r="J308" s="299"/>
      <c r="K308" s="300"/>
      <c r="L308" s="301"/>
      <c r="M308" s="297"/>
      <c r="N308" s="297"/>
      <c r="O308" s="299"/>
      <c r="P308" s="302"/>
      <c r="Q308" s="301"/>
      <c r="R308" s="297"/>
      <c r="S308" s="297"/>
      <c r="T308" s="299"/>
      <c r="U308" s="300"/>
      <c r="V308" s="301"/>
      <c r="W308" s="297"/>
      <c r="X308" s="297"/>
      <c r="Y308" s="299"/>
      <c r="Z308" s="300"/>
      <c r="AA308" s="301"/>
      <c r="AB308" s="297"/>
      <c r="AC308" s="297"/>
      <c r="AD308" s="299"/>
      <c r="AE308" s="300"/>
      <c r="AF308" s="301"/>
      <c r="AG308" s="297"/>
      <c r="AH308" s="297"/>
      <c r="AI308" s="322"/>
      <c r="AJ308" s="300"/>
      <c r="AK308" s="301"/>
      <c r="AL308" s="297"/>
      <c r="AM308" s="297"/>
      <c r="AN308" s="297"/>
      <c r="AO308" s="473"/>
      <c r="AP308" s="297"/>
      <c r="AQ308" s="301" t="s">
        <v>7602</v>
      </c>
      <c r="AR308" s="297" t="s">
        <v>66</v>
      </c>
      <c r="AS308" s="299" t="s">
        <v>67</v>
      </c>
      <c r="AT308" s="299" t="s">
        <v>67</v>
      </c>
      <c r="AU308" s="297" t="s">
        <v>3827</v>
      </c>
      <c r="AV308" s="297"/>
      <c r="AW308" s="297" t="s">
        <v>69</v>
      </c>
      <c r="AX308" s="297" t="s">
        <v>4346</v>
      </c>
      <c r="AY308" s="299">
        <v>42768</v>
      </c>
      <c r="AZ308" s="297" t="s">
        <v>67</v>
      </c>
      <c r="BA308" s="299" t="s">
        <v>67</v>
      </c>
      <c r="BB308" s="382">
        <v>42776</v>
      </c>
      <c r="BC308" s="297" t="s">
        <v>3829</v>
      </c>
      <c r="BD308" s="297" t="s">
        <v>6447</v>
      </c>
      <c r="BE308" s="297"/>
      <c r="BF308" s="301"/>
      <c r="BG308" s="301" t="s">
        <v>67</v>
      </c>
      <c r="BH308" s="301" t="s">
        <v>4366</v>
      </c>
      <c r="BI308" s="301" t="s">
        <v>4197</v>
      </c>
      <c r="BJ308" s="312">
        <v>2846992</v>
      </c>
      <c r="BK308" s="312">
        <v>2846992</v>
      </c>
      <c r="BL308" s="313">
        <v>46694917</v>
      </c>
      <c r="BM308" s="299">
        <v>42797</v>
      </c>
      <c r="BN308" s="300">
        <v>42795</v>
      </c>
      <c r="BO308" s="460"/>
      <c r="BP308" s="390"/>
      <c r="BQ308" s="297"/>
      <c r="BR308" s="303"/>
      <c r="BS308" s="301"/>
      <c r="BT308" s="301"/>
      <c r="BU308" s="301"/>
      <c r="BV308" s="301"/>
      <c r="BW308" s="316"/>
      <c r="BX308" s="304"/>
      <c r="BY308" s="299"/>
      <c r="BZ308" s="317"/>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c r="IY308" s="1"/>
      <c r="IZ308" s="1"/>
      <c r="JA308" s="1"/>
      <c r="JB308" s="1"/>
      <c r="JC308" s="1"/>
      <c r="JD308" s="1"/>
      <c r="JE308" s="1"/>
      <c r="JF308" s="1"/>
      <c r="JG308" s="1"/>
      <c r="JH308" s="1"/>
      <c r="JI308" s="1"/>
      <c r="JJ308" s="1"/>
      <c r="JK308" s="1"/>
      <c r="JL308" s="1"/>
      <c r="JM308" s="1"/>
      <c r="JN308" s="1"/>
      <c r="JO308" s="1"/>
      <c r="JP308" s="1"/>
      <c r="JQ308" s="1"/>
      <c r="JR308" s="1"/>
      <c r="JS308" s="1"/>
      <c r="JT308" s="1"/>
      <c r="JU308" s="1"/>
      <c r="JV308" s="1"/>
      <c r="JW308" s="1"/>
      <c r="JX308" s="1"/>
      <c r="JY308" s="1"/>
      <c r="JZ308" s="1"/>
      <c r="KA308" s="1"/>
      <c r="KB308" s="1"/>
      <c r="KC308" s="1"/>
      <c r="KD308" s="1"/>
      <c r="KE308" s="1"/>
      <c r="KF308" s="1"/>
      <c r="KG308" s="1"/>
      <c r="KH308" s="1"/>
      <c r="KI308" s="1"/>
      <c r="KJ308" s="1"/>
      <c r="KK308" s="1"/>
      <c r="KL308" s="1"/>
      <c r="KM308" s="1"/>
      <c r="KN308" s="1"/>
      <c r="KO308" s="1"/>
      <c r="KP308" s="1"/>
      <c r="KQ308" s="1"/>
      <c r="KR308" s="1"/>
      <c r="KS308" s="1"/>
      <c r="KT308" s="1"/>
      <c r="KU308" s="1"/>
      <c r="KV308" s="1"/>
      <c r="KW308" s="1"/>
      <c r="KX308" s="1"/>
      <c r="KY308" s="1"/>
      <c r="KZ308" s="1"/>
      <c r="LA308" s="1"/>
      <c r="LB308" s="1"/>
      <c r="LC308" s="1"/>
      <c r="LD308" s="1"/>
      <c r="LE308" s="1"/>
      <c r="LF308" s="1"/>
      <c r="LG308" s="1"/>
      <c r="LH308" s="1"/>
      <c r="LI308" s="1"/>
      <c r="LJ308" s="1"/>
      <c r="LK308" s="1"/>
      <c r="LL308" s="1"/>
      <c r="LM308" s="1"/>
      <c r="LN308" s="1"/>
      <c r="LO308" s="1"/>
      <c r="LP308" s="1"/>
      <c r="LQ308" s="1"/>
      <c r="LR308" s="1"/>
      <c r="LS308" s="1"/>
      <c r="LT308" s="1"/>
      <c r="LU308" s="1"/>
      <c r="LV308" s="1"/>
      <c r="LW308" s="1"/>
      <c r="LX308" s="1"/>
      <c r="LY308" s="1"/>
      <c r="LZ308" s="1"/>
      <c r="MA308" s="1"/>
      <c r="MB308" s="1"/>
      <c r="MC308" s="1"/>
      <c r="MD308" s="1"/>
      <c r="ME308" s="1"/>
      <c r="MF308" s="1"/>
      <c r="MG308" s="1"/>
      <c r="MH308" s="1"/>
      <c r="MI308" s="1"/>
      <c r="MJ308" s="1"/>
      <c r="MK308" s="1"/>
      <c r="ML308" s="1"/>
      <c r="MM308" s="1"/>
      <c r="MN308" s="1"/>
      <c r="MO308" s="1"/>
      <c r="MP308" s="1"/>
      <c r="MQ308" s="1"/>
      <c r="MR308" s="1"/>
      <c r="MS308" s="1"/>
      <c r="MT308" s="1"/>
      <c r="MU308" s="1"/>
      <c r="MV308" s="1"/>
      <c r="MW308" s="1"/>
      <c r="MX308" s="1"/>
      <c r="MY308" s="1"/>
      <c r="MZ308" s="1"/>
      <c r="NA308" s="1"/>
      <c r="NB308" s="1"/>
      <c r="NC308" s="1"/>
      <c r="ND308" s="1"/>
      <c r="NE308" s="1"/>
      <c r="NF308" s="1"/>
      <c r="NG308" s="1"/>
      <c r="NH308" s="1"/>
      <c r="NI308" s="1"/>
      <c r="NJ308" s="1"/>
      <c r="NK308" s="1"/>
      <c r="NL308" s="1"/>
      <c r="NM308" s="1"/>
      <c r="NN308" s="1"/>
      <c r="NO308" s="1"/>
      <c r="NP308" s="1"/>
      <c r="NQ308" s="1"/>
      <c r="NR308" s="1"/>
      <c r="NS308" s="1"/>
      <c r="NT308" s="1"/>
      <c r="NU308" s="1"/>
      <c r="NV308" s="1"/>
      <c r="NW308" s="1"/>
      <c r="NX308" s="1"/>
      <c r="NY308" s="1"/>
      <c r="NZ308" s="1"/>
      <c r="OA308" s="1"/>
      <c r="OB308" s="1"/>
      <c r="OC308" s="1"/>
      <c r="OD308" s="1"/>
      <c r="OE308" s="1"/>
      <c r="OF308" s="1"/>
      <c r="OG308" s="1"/>
      <c r="OH308" s="1"/>
      <c r="OI308" s="1"/>
      <c r="OJ308" s="1"/>
      <c r="OK308" s="1"/>
      <c r="OL308" s="1"/>
      <c r="OM308" s="1"/>
      <c r="ON308" s="1"/>
      <c r="OO308" s="1"/>
      <c r="OP308" s="1"/>
      <c r="OQ308" s="1"/>
      <c r="OR308" s="1"/>
      <c r="OS308" s="1"/>
      <c r="OT308" s="1"/>
      <c r="OU308" s="1"/>
      <c r="OV308" s="1"/>
      <c r="OW308" s="1"/>
      <c r="OX308" s="1"/>
      <c r="OY308" s="1"/>
      <c r="OZ308" s="1"/>
      <c r="PA308" s="1"/>
      <c r="PB308" s="1"/>
      <c r="PC308" s="1"/>
      <c r="PD308" s="1"/>
      <c r="PE308" s="1"/>
      <c r="PF308" s="1"/>
      <c r="PG308" s="1"/>
      <c r="PH308" s="1"/>
      <c r="PI308" s="1"/>
      <c r="PJ308" s="1"/>
      <c r="PK308" s="1"/>
      <c r="PL308" s="1"/>
      <c r="PM308" s="1"/>
      <c r="PN308" s="1"/>
      <c r="PO308" s="1"/>
      <c r="PP308" s="1"/>
      <c r="PQ308" s="1"/>
      <c r="PR308" s="1"/>
      <c r="PS308" s="1"/>
      <c r="PT308" s="1"/>
      <c r="PU308" s="1"/>
      <c r="PV308" s="1"/>
      <c r="PW308" s="1"/>
      <c r="PX308" s="1"/>
      <c r="PY308" s="1"/>
      <c r="PZ308" s="1"/>
      <c r="QA308" s="1"/>
      <c r="QB308" s="1"/>
      <c r="QC308" s="1"/>
      <c r="QD308" s="1"/>
      <c r="QE308" s="1"/>
      <c r="QF308" s="1"/>
      <c r="QG308" s="1"/>
      <c r="QH308" s="1"/>
      <c r="QI308" s="1"/>
      <c r="QJ308" s="1"/>
      <c r="QK308" s="1"/>
      <c r="QL308" s="1"/>
      <c r="QM308" s="1"/>
      <c r="QN308" s="1"/>
      <c r="QO308" s="1"/>
      <c r="QP308" s="1"/>
      <c r="QQ308" s="1"/>
      <c r="QR308" s="1"/>
      <c r="QS308" s="1"/>
      <c r="QT308" s="1"/>
      <c r="QU308" s="1"/>
      <c r="QV308" s="1"/>
      <c r="QW308" s="1"/>
      <c r="QX308" s="1"/>
      <c r="QY308" s="1"/>
      <c r="QZ308" s="1"/>
      <c r="RA308" s="1"/>
      <c r="RB308" s="1"/>
      <c r="RC308" s="1"/>
      <c r="RD308" s="1"/>
      <c r="RE308" s="1"/>
      <c r="RF308" s="1"/>
      <c r="RG308" s="1"/>
      <c r="RH308" s="1"/>
      <c r="RI308" s="1"/>
      <c r="RJ308" s="1"/>
      <c r="RK308" s="1"/>
      <c r="RL308" s="1"/>
      <c r="RM308" s="1"/>
      <c r="RN308" s="1"/>
      <c r="RO308" s="1"/>
      <c r="RP308" s="1"/>
      <c r="RQ308" s="1"/>
      <c r="RR308" s="1"/>
      <c r="RS308" s="1"/>
      <c r="RT308" s="1"/>
      <c r="RU308" s="1"/>
      <c r="RV308" s="1"/>
      <c r="RW308" s="1"/>
      <c r="RX308" s="1"/>
      <c r="RY308" s="1"/>
      <c r="RZ308" s="1"/>
      <c r="SA308" s="1"/>
      <c r="SB308" s="1"/>
      <c r="SC308" s="1"/>
      <c r="SD308" s="1"/>
      <c r="SE308" s="1"/>
      <c r="SF308" s="1"/>
      <c r="SG308" s="1"/>
      <c r="SH308" s="1"/>
      <c r="SI308" s="1"/>
      <c r="SJ308" s="1"/>
      <c r="SK308" s="1"/>
      <c r="SL308" s="1"/>
      <c r="SM308" s="1"/>
      <c r="SN308" s="1"/>
      <c r="SO308" s="1"/>
      <c r="SP308" s="1"/>
      <c r="SQ308" s="1"/>
      <c r="SR308" s="1"/>
      <c r="SS308" s="1"/>
      <c r="ST308" s="1"/>
      <c r="SU308" s="1"/>
      <c r="SV308" s="1"/>
      <c r="SW308" s="1"/>
      <c r="SX308" s="1"/>
      <c r="SY308" s="1"/>
      <c r="SZ308" s="1"/>
      <c r="TA308" s="1"/>
      <c r="TB308" s="1"/>
      <c r="TC308" s="1"/>
      <c r="TD308" s="1"/>
      <c r="TE308" s="1"/>
      <c r="TF308" s="1"/>
      <c r="TG308" s="1"/>
      <c r="TH308" s="1"/>
      <c r="TI308" s="1"/>
      <c r="TJ308" s="1"/>
      <c r="TK308" s="1"/>
      <c r="TL308" s="1"/>
      <c r="TM308" s="1"/>
      <c r="TN308" s="1"/>
      <c r="TO308" s="1"/>
      <c r="TP308" s="1"/>
      <c r="TQ308" s="1"/>
      <c r="TR308" s="1"/>
      <c r="TS308" s="1"/>
      <c r="TT308" s="1"/>
      <c r="TU308" s="1"/>
      <c r="TV308" s="1"/>
      <c r="TW308" s="1"/>
      <c r="TX308" s="1"/>
      <c r="TY308" s="1"/>
      <c r="TZ308" s="1"/>
      <c r="UA308" s="1"/>
      <c r="UB308" s="1"/>
      <c r="UC308" s="1"/>
      <c r="UD308" s="1"/>
      <c r="UE308" s="1"/>
      <c r="UF308" s="1"/>
      <c r="UG308" s="1"/>
      <c r="UH308" s="1"/>
      <c r="UI308" s="1"/>
    </row>
    <row r="309" spans="1:555" ht="76.5" customHeight="1">
      <c r="A309" s="296">
        <v>423</v>
      </c>
      <c r="B309" s="297" t="s">
        <v>4367</v>
      </c>
      <c r="C309" s="298">
        <v>80098618</v>
      </c>
      <c r="D309" s="354" t="s">
        <v>67</v>
      </c>
      <c r="E309" s="299">
        <v>42773</v>
      </c>
      <c r="F309" s="300">
        <v>42767</v>
      </c>
      <c r="G309" s="301" t="s">
        <v>271</v>
      </c>
      <c r="H309" s="297" t="s">
        <v>63</v>
      </c>
      <c r="I309" s="297" t="s">
        <v>101</v>
      </c>
      <c r="J309" s="299"/>
      <c r="K309" s="300"/>
      <c r="L309" s="301"/>
      <c r="M309" s="297"/>
      <c r="N309" s="297"/>
      <c r="O309" s="299"/>
      <c r="P309" s="302"/>
      <c r="Q309" s="301"/>
      <c r="R309" s="297"/>
      <c r="S309" s="297"/>
      <c r="T309" s="299"/>
      <c r="U309" s="300"/>
      <c r="V309" s="301"/>
      <c r="W309" s="297"/>
      <c r="X309" s="297"/>
      <c r="Y309" s="299"/>
      <c r="Z309" s="300"/>
      <c r="AA309" s="301"/>
      <c r="AB309" s="297"/>
      <c r="AC309" s="297"/>
      <c r="AD309" s="299"/>
      <c r="AE309" s="300"/>
      <c r="AF309" s="301"/>
      <c r="AG309" s="297"/>
      <c r="AH309" s="297"/>
      <c r="AI309" s="322"/>
      <c r="AJ309" s="300"/>
      <c r="AK309" s="301"/>
      <c r="AL309" s="297"/>
      <c r="AM309" s="297"/>
      <c r="AN309" s="297"/>
      <c r="AO309" s="473"/>
      <c r="AP309" s="297"/>
      <c r="AQ309" s="301" t="s">
        <v>7693</v>
      </c>
      <c r="AR309" s="297" t="s">
        <v>66</v>
      </c>
      <c r="AS309" s="299" t="s">
        <v>67</v>
      </c>
      <c r="AT309" s="299" t="s">
        <v>67</v>
      </c>
      <c r="AU309" s="297" t="s">
        <v>3827</v>
      </c>
      <c r="AV309" s="297"/>
      <c r="AW309" s="297" t="s">
        <v>69</v>
      </c>
      <c r="AX309" s="297" t="s">
        <v>7628</v>
      </c>
      <c r="AY309" s="299">
        <v>42768</v>
      </c>
      <c r="AZ309" s="297" t="s">
        <v>67</v>
      </c>
      <c r="BA309" s="299" t="s">
        <v>67</v>
      </c>
      <c r="BB309" s="382">
        <v>42776</v>
      </c>
      <c r="BC309" s="297" t="s">
        <v>3829</v>
      </c>
      <c r="BD309" s="297" t="s">
        <v>6447</v>
      </c>
      <c r="BE309" s="297"/>
      <c r="BF309" s="301"/>
      <c r="BG309" s="301" t="s">
        <v>67</v>
      </c>
      <c r="BH309" s="301" t="s">
        <v>4368</v>
      </c>
      <c r="BI309" s="301" t="s">
        <v>4369</v>
      </c>
      <c r="BJ309" s="312">
        <v>338928</v>
      </c>
      <c r="BK309" s="312">
        <v>338928</v>
      </c>
      <c r="BL309" s="313">
        <v>80457517</v>
      </c>
      <c r="BM309" s="299">
        <v>42831</v>
      </c>
      <c r="BN309" s="300">
        <v>42826</v>
      </c>
      <c r="BO309" s="434" t="s">
        <v>4370</v>
      </c>
      <c r="BP309" s="397"/>
      <c r="BQ309" s="453"/>
      <c r="BR309" s="454"/>
      <c r="BS309" s="301"/>
      <c r="BT309" s="301"/>
      <c r="BU309" s="301"/>
      <c r="BV309" s="301"/>
      <c r="BW309" s="316"/>
      <c r="BX309" s="304"/>
      <c r="BY309" s="299"/>
      <c r="BZ309" s="317"/>
    </row>
    <row r="310" spans="1:555" ht="73.5" customHeight="1">
      <c r="A310" s="296">
        <v>424</v>
      </c>
      <c r="B310" s="297" t="s">
        <v>4371</v>
      </c>
      <c r="C310" s="298">
        <v>86056552</v>
      </c>
      <c r="D310" s="354" t="s">
        <v>67</v>
      </c>
      <c r="E310" s="299">
        <v>42773</v>
      </c>
      <c r="F310" s="300">
        <v>42767</v>
      </c>
      <c r="G310" s="301" t="s">
        <v>271</v>
      </c>
      <c r="H310" s="297" t="s">
        <v>63</v>
      </c>
      <c r="I310" s="297" t="s">
        <v>101</v>
      </c>
      <c r="J310" s="299"/>
      <c r="K310" s="300"/>
      <c r="L310" s="301"/>
      <c r="M310" s="297"/>
      <c r="N310" s="297"/>
      <c r="O310" s="299"/>
      <c r="P310" s="302"/>
      <c r="Q310" s="301"/>
      <c r="R310" s="297"/>
      <c r="S310" s="297"/>
      <c r="T310" s="299"/>
      <c r="U310" s="300"/>
      <c r="V310" s="301"/>
      <c r="W310" s="297"/>
      <c r="X310" s="297"/>
      <c r="Y310" s="299"/>
      <c r="Z310" s="300"/>
      <c r="AA310" s="301"/>
      <c r="AB310" s="297"/>
      <c r="AC310" s="297"/>
      <c r="AD310" s="299"/>
      <c r="AE310" s="300"/>
      <c r="AF310" s="301"/>
      <c r="AG310" s="297"/>
      <c r="AH310" s="297"/>
      <c r="AI310" s="322"/>
      <c r="AJ310" s="300"/>
      <c r="AK310" s="301"/>
      <c r="AL310" s="297"/>
      <c r="AM310" s="297"/>
      <c r="AN310" s="297"/>
      <c r="AO310" s="473"/>
      <c r="AP310" s="297"/>
      <c r="AQ310" s="301" t="s">
        <v>7885</v>
      </c>
      <c r="AR310" s="297" t="s">
        <v>66</v>
      </c>
      <c r="AS310" s="299" t="s">
        <v>67</v>
      </c>
      <c r="AT310" s="299" t="s">
        <v>67</v>
      </c>
      <c r="AU310" s="297" t="s">
        <v>3827</v>
      </c>
      <c r="AV310" s="297"/>
      <c r="AW310" s="297" t="s">
        <v>69</v>
      </c>
      <c r="AX310" s="297" t="s">
        <v>7628</v>
      </c>
      <c r="AY310" s="299">
        <v>42768</v>
      </c>
      <c r="AZ310" s="297" t="s">
        <v>67</v>
      </c>
      <c r="BA310" s="299" t="s">
        <v>67</v>
      </c>
      <c r="BB310" s="382">
        <v>42776</v>
      </c>
      <c r="BC310" s="297" t="s">
        <v>3829</v>
      </c>
      <c r="BD310" s="297" t="s">
        <v>6447</v>
      </c>
      <c r="BE310" s="297"/>
      <c r="BF310" s="301"/>
      <c r="BG310" s="301" t="s">
        <v>67</v>
      </c>
      <c r="BH310" s="301" t="s">
        <v>4372</v>
      </c>
      <c r="BI310" s="301" t="s">
        <v>4373</v>
      </c>
      <c r="BJ310" s="312">
        <v>4336690</v>
      </c>
      <c r="BK310" s="312">
        <v>4336690</v>
      </c>
      <c r="BL310" s="313">
        <v>46688517</v>
      </c>
      <c r="BM310" s="299">
        <v>42797</v>
      </c>
      <c r="BN310" s="300">
        <v>42795</v>
      </c>
      <c r="BO310" s="460"/>
      <c r="BP310" s="390"/>
      <c r="BQ310" s="297"/>
      <c r="BR310" s="303"/>
      <c r="BS310" s="301"/>
      <c r="BT310" s="301"/>
      <c r="BU310" s="301"/>
      <c r="BV310" s="301"/>
      <c r="BW310" s="316"/>
      <c r="BX310" s="304"/>
      <c r="BY310" s="299"/>
      <c r="BZ310" s="317"/>
    </row>
    <row r="311" spans="1:555" s="509" customFormat="1" ht="54">
      <c r="A311" s="296">
        <v>425</v>
      </c>
      <c r="B311" s="297" t="s">
        <v>4374</v>
      </c>
      <c r="C311" s="298">
        <v>52852014</v>
      </c>
      <c r="D311" s="354"/>
      <c r="E311" s="299">
        <v>42773</v>
      </c>
      <c r="F311" s="300">
        <v>42767</v>
      </c>
      <c r="G311" s="301" t="s">
        <v>271</v>
      </c>
      <c r="H311" s="297" t="s">
        <v>63</v>
      </c>
      <c r="I311" s="297" t="s">
        <v>101</v>
      </c>
      <c r="J311" s="299"/>
      <c r="K311" s="300"/>
      <c r="L311" s="301"/>
      <c r="M311" s="297"/>
      <c r="N311" s="297"/>
      <c r="O311" s="299"/>
      <c r="P311" s="302"/>
      <c r="Q311" s="301"/>
      <c r="R311" s="297"/>
      <c r="S311" s="297"/>
      <c r="T311" s="299"/>
      <c r="U311" s="300"/>
      <c r="V311" s="301"/>
      <c r="W311" s="297"/>
      <c r="X311" s="297"/>
      <c r="Y311" s="299"/>
      <c r="Z311" s="300"/>
      <c r="AA311" s="301"/>
      <c r="AB311" s="297"/>
      <c r="AC311" s="297"/>
      <c r="AD311" s="299"/>
      <c r="AE311" s="300"/>
      <c r="AF311" s="301"/>
      <c r="AG311" s="297"/>
      <c r="AH311" s="297"/>
      <c r="AI311" s="322"/>
      <c r="AJ311" s="300"/>
      <c r="AK311" s="301"/>
      <c r="AL311" s="297"/>
      <c r="AM311" s="297"/>
      <c r="AN311" s="297"/>
      <c r="AO311" s="473"/>
      <c r="AP311" s="297"/>
      <c r="AQ311" s="301" t="s">
        <v>7610</v>
      </c>
      <c r="AR311" s="297" t="s">
        <v>66</v>
      </c>
      <c r="AS311" s="299" t="s">
        <v>67</v>
      </c>
      <c r="AT311" s="299" t="s">
        <v>67</v>
      </c>
      <c r="AU311" s="297" t="s">
        <v>3827</v>
      </c>
      <c r="AV311" s="297"/>
      <c r="AW311" s="297" t="s">
        <v>69</v>
      </c>
      <c r="AX311" s="297" t="s">
        <v>7611</v>
      </c>
      <c r="AY311" s="299">
        <v>42768</v>
      </c>
      <c r="AZ311" s="297" t="s">
        <v>67</v>
      </c>
      <c r="BA311" s="299" t="s">
        <v>67</v>
      </c>
      <c r="BB311" s="382">
        <v>42776</v>
      </c>
      <c r="BC311" s="297" t="s">
        <v>3829</v>
      </c>
      <c r="BD311" s="297" t="s">
        <v>6447</v>
      </c>
      <c r="BE311" s="297"/>
      <c r="BF311" s="301"/>
      <c r="BG311" s="301" t="s">
        <v>67</v>
      </c>
      <c r="BH311" s="301" t="s">
        <v>4375</v>
      </c>
      <c r="BI311" s="301" t="s">
        <v>4373</v>
      </c>
      <c r="BJ311" s="312">
        <v>960927</v>
      </c>
      <c r="BK311" s="312">
        <v>960927</v>
      </c>
      <c r="BL311" s="313">
        <v>46709417</v>
      </c>
      <c r="BM311" s="299">
        <v>42795</v>
      </c>
      <c r="BN311" s="314">
        <v>42795</v>
      </c>
      <c r="BO311" s="460"/>
      <c r="BP311" s="390"/>
      <c r="BQ311" s="297"/>
      <c r="BR311" s="303"/>
      <c r="BS311" s="301"/>
      <c r="BT311" s="301"/>
      <c r="BU311" s="301"/>
      <c r="BV311" s="301"/>
      <c r="BW311" s="316"/>
      <c r="BX311" s="304"/>
      <c r="BY311" s="299"/>
      <c r="BZ311" s="317"/>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c r="IY311" s="1"/>
      <c r="IZ311" s="1"/>
      <c r="JA311" s="1"/>
      <c r="JB311" s="1"/>
      <c r="JC311" s="1"/>
      <c r="JD311" s="1"/>
      <c r="JE311" s="1"/>
      <c r="JF311" s="1"/>
      <c r="JG311" s="1"/>
      <c r="JH311" s="1"/>
      <c r="JI311" s="1"/>
      <c r="JJ311" s="1"/>
      <c r="JK311" s="1"/>
      <c r="JL311" s="1"/>
      <c r="JM311" s="1"/>
      <c r="JN311" s="1"/>
      <c r="JO311" s="1"/>
      <c r="JP311" s="1"/>
      <c r="JQ311" s="1"/>
      <c r="JR311" s="1"/>
      <c r="JS311" s="1"/>
      <c r="JT311" s="1"/>
      <c r="JU311" s="1"/>
      <c r="JV311" s="1"/>
      <c r="JW311" s="1"/>
      <c r="JX311" s="1"/>
      <c r="JY311" s="1"/>
      <c r="JZ311" s="1"/>
      <c r="KA311" s="1"/>
      <c r="KB311" s="1"/>
      <c r="KC311" s="1"/>
      <c r="KD311" s="1"/>
      <c r="KE311" s="1"/>
      <c r="KF311" s="1"/>
      <c r="KG311" s="1"/>
      <c r="KH311" s="1"/>
      <c r="KI311" s="1"/>
      <c r="KJ311" s="1"/>
      <c r="KK311" s="1"/>
      <c r="KL311" s="1"/>
      <c r="KM311" s="1"/>
      <c r="KN311" s="1"/>
      <c r="KO311" s="1"/>
      <c r="KP311" s="1"/>
      <c r="KQ311" s="1"/>
      <c r="KR311" s="1"/>
      <c r="KS311" s="1"/>
      <c r="KT311" s="1"/>
      <c r="KU311" s="1"/>
      <c r="KV311" s="1"/>
      <c r="KW311" s="1"/>
      <c r="KX311" s="1"/>
      <c r="KY311" s="1"/>
      <c r="KZ311" s="1"/>
      <c r="LA311" s="1"/>
      <c r="LB311" s="1"/>
      <c r="LC311" s="1"/>
      <c r="LD311" s="1"/>
      <c r="LE311" s="1"/>
      <c r="LF311" s="1"/>
      <c r="LG311" s="1"/>
      <c r="LH311" s="1"/>
      <c r="LI311" s="1"/>
      <c r="LJ311" s="1"/>
      <c r="LK311" s="1"/>
      <c r="LL311" s="1"/>
      <c r="LM311" s="1"/>
      <c r="LN311" s="1"/>
      <c r="LO311" s="1"/>
      <c r="LP311" s="1"/>
      <c r="LQ311" s="1"/>
      <c r="LR311" s="1"/>
      <c r="LS311" s="1"/>
      <c r="LT311" s="1"/>
      <c r="LU311" s="1"/>
      <c r="LV311" s="1"/>
      <c r="LW311" s="1"/>
      <c r="LX311" s="1"/>
      <c r="LY311" s="1"/>
      <c r="LZ311" s="1"/>
      <c r="MA311" s="1"/>
      <c r="MB311" s="1"/>
      <c r="MC311" s="1"/>
      <c r="MD311" s="1"/>
      <c r="ME311" s="1"/>
      <c r="MF311" s="1"/>
      <c r="MG311" s="1"/>
      <c r="MH311" s="1"/>
      <c r="MI311" s="1"/>
      <c r="MJ311" s="1"/>
      <c r="MK311" s="1"/>
      <c r="ML311" s="1"/>
      <c r="MM311" s="1"/>
      <c r="MN311" s="1"/>
      <c r="MO311" s="1"/>
      <c r="MP311" s="1"/>
      <c r="MQ311" s="1"/>
      <c r="MR311" s="1"/>
      <c r="MS311" s="1"/>
      <c r="MT311" s="1"/>
      <c r="MU311" s="1"/>
      <c r="MV311" s="1"/>
      <c r="MW311" s="1"/>
      <c r="MX311" s="1"/>
      <c r="MY311" s="1"/>
      <c r="MZ311" s="1"/>
      <c r="NA311" s="1"/>
      <c r="NB311" s="1"/>
      <c r="NC311" s="1"/>
      <c r="ND311" s="1"/>
      <c r="NE311" s="1"/>
      <c r="NF311" s="1"/>
      <c r="NG311" s="1"/>
      <c r="NH311" s="1"/>
      <c r="NI311" s="1"/>
      <c r="NJ311" s="1"/>
      <c r="NK311" s="1"/>
      <c r="NL311" s="1"/>
      <c r="NM311" s="1"/>
      <c r="NN311" s="1"/>
      <c r="NO311" s="1"/>
      <c r="NP311" s="1"/>
      <c r="NQ311" s="1"/>
      <c r="NR311" s="1"/>
      <c r="NS311" s="1"/>
      <c r="NT311" s="1"/>
      <c r="NU311" s="1"/>
      <c r="NV311" s="1"/>
      <c r="NW311" s="1"/>
      <c r="NX311" s="1"/>
      <c r="NY311" s="1"/>
      <c r="NZ311" s="1"/>
      <c r="OA311" s="1"/>
      <c r="OB311" s="1"/>
      <c r="OC311" s="1"/>
      <c r="OD311" s="1"/>
      <c r="OE311" s="1"/>
      <c r="OF311" s="1"/>
      <c r="OG311" s="1"/>
      <c r="OH311" s="1"/>
      <c r="OI311" s="1"/>
      <c r="OJ311" s="1"/>
      <c r="OK311" s="1"/>
      <c r="OL311" s="1"/>
      <c r="OM311" s="1"/>
      <c r="ON311" s="1"/>
      <c r="OO311" s="1"/>
      <c r="OP311" s="1"/>
      <c r="OQ311" s="1"/>
      <c r="OR311" s="1"/>
      <c r="OS311" s="1"/>
      <c r="OT311" s="1"/>
      <c r="OU311" s="1"/>
      <c r="OV311" s="1"/>
      <c r="OW311" s="1"/>
      <c r="OX311" s="1"/>
      <c r="OY311" s="1"/>
      <c r="OZ311" s="1"/>
      <c r="PA311" s="1"/>
      <c r="PB311" s="1"/>
      <c r="PC311" s="1"/>
      <c r="PD311" s="1"/>
      <c r="PE311" s="1"/>
      <c r="PF311" s="1"/>
      <c r="PG311" s="1"/>
      <c r="PH311" s="1"/>
      <c r="PI311" s="1"/>
      <c r="PJ311" s="1"/>
      <c r="PK311" s="1"/>
      <c r="PL311" s="1"/>
      <c r="PM311" s="1"/>
      <c r="PN311" s="1"/>
      <c r="PO311" s="1"/>
      <c r="PP311" s="1"/>
      <c r="PQ311" s="1"/>
      <c r="PR311" s="1"/>
      <c r="PS311" s="1"/>
      <c r="PT311" s="1"/>
      <c r="PU311" s="1"/>
      <c r="PV311" s="1"/>
      <c r="PW311" s="1"/>
      <c r="PX311" s="1"/>
      <c r="PY311" s="1"/>
      <c r="PZ311" s="1"/>
      <c r="QA311" s="1"/>
      <c r="QB311" s="1"/>
      <c r="QC311" s="1"/>
      <c r="QD311" s="1"/>
      <c r="QE311" s="1"/>
      <c r="QF311" s="1"/>
      <c r="QG311" s="1"/>
      <c r="QH311" s="1"/>
      <c r="QI311" s="1"/>
      <c r="QJ311" s="1"/>
      <c r="QK311" s="1"/>
      <c r="QL311" s="1"/>
      <c r="QM311" s="1"/>
      <c r="QN311" s="1"/>
      <c r="QO311" s="1"/>
      <c r="QP311" s="1"/>
      <c r="QQ311" s="1"/>
      <c r="QR311" s="1"/>
      <c r="QS311" s="1"/>
      <c r="QT311" s="1"/>
      <c r="QU311" s="1"/>
      <c r="QV311" s="1"/>
      <c r="QW311" s="1"/>
      <c r="QX311" s="1"/>
      <c r="QY311" s="1"/>
      <c r="QZ311" s="1"/>
      <c r="RA311" s="1"/>
      <c r="RB311" s="1"/>
      <c r="RC311" s="1"/>
      <c r="RD311" s="1"/>
      <c r="RE311" s="1"/>
      <c r="RF311" s="1"/>
      <c r="RG311" s="1"/>
      <c r="RH311" s="1"/>
      <c r="RI311" s="1"/>
      <c r="RJ311" s="1"/>
      <c r="RK311" s="1"/>
      <c r="RL311" s="1"/>
      <c r="RM311" s="1"/>
      <c r="RN311" s="1"/>
      <c r="RO311" s="1"/>
      <c r="RP311" s="1"/>
      <c r="RQ311" s="1"/>
      <c r="RR311" s="1"/>
      <c r="RS311" s="1"/>
      <c r="RT311" s="1"/>
      <c r="RU311" s="1"/>
      <c r="RV311" s="1"/>
      <c r="RW311" s="1"/>
      <c r="RX311" s="1"/>
      <c r="RY311" s="1"/>
      <c r="RZ311" s="1"/>
      <c r="SA311" s="1"/>
      <c r="SB311" s="1"/>
      <c r="SC311" s="1"/>
      <c r="SD311" s="1"/>
      <c r="SE311" s="1"/>
      <c r="SF311" s="1"/>
      <c r="SG311" s="1"/>
      <c r="SH311" s="1"/>
      <c r="SI311" s="1"/>
      <c r="SJ311" s="1"/>
      <c r="SK311" s="1"/>
      <c r="SL311" s="1"/>
      <c r="SM311" s="1"/>
      <c r="SN311" s="1"/>
      <c r="SO311" s="1"/>
      <c r="SP311" s="1"/>
      <c r="SQ311" s="1"/>
      <c r="SR311" s="1"/>
      <c r="SS311" s="1"/>
      <c r="ST311" s="1"/>
      <c r="SU311" s="1"/>
      <c r="SV311" s="1"/>
      <c r="SW311" s="1"/>
      <c r="SX311" s="1"/>
      <c r="SY311" s="1"/>
      <c r="SZ311" s="1"/>
      <c r="TA311" s="1"/>
      <c r="TB311" s="1"/>
      <c r="TC311" s="1"/>
      <c r="TD311" s="1"/>
      <c r="TE311" s="1"/>
      <c r="TF311" s="1"/>
      <c r="TG311" s="1"/>
      <c r="TH311" s="1"/>
      <c r="TI311" s="1"/>
      <c r="TJ311" s="1"/>
      <c r="TK311" s="1"/>
      <c r="TL311" s="1"/>
      <c r="TM311" s="1"/>
      <c r="TN311" s="1"/>
      <c r="TO311" s="1"/>
      <c r="TP311" s="1"/>
      <c r="TQ311" s="1"/>
      <c r="TR311" s="1"/>
      <c r="TS311" s="1"/>
      <c r="TT311" s="1"/>
      <c r="TU311" s="1"/>
      <c r="TV311" s="1"/>
      <c r="TW311" s="1"/>
      <c r="TX311" s="1"/>
      <c r="TY311" s="1"/>
      <c r="TZ311" s="1"/>
      <c r="UA311" s="1"/>
      <c r="UB311" s="1"/>
      <c r="UC311" s="1"/>
      <c r="UD311" s="1"/>
      <c r="UE311" s="1"/>
      <c r="UF311" s="1"/>
      <c r="UG311" s="1"/>
      <c r="UH311" s="1"/>
      <c r="UI311" s="1"/>
    </row>
    <row r="312" spans="1:555" s="509" customFormat="1" ht="54">
      <c r="A312" s="296">
        <v>426</v>
      </c>
      <c r="B312" s="297" t="s">
        <v>4376</v>
      </c>
      <c r="C312" s="298">
        <v>79736366</v>
      </c>
      <c r="D312" s="354" t="s">
        <v>67</v>
      </c>
      <c r="E312" s="299">
        <v>42773</v>
      </c>
      <c r="F312" s="300">
        <v>42767</v>
      </c>
      <c r="G312" s="301" t="s">
        <v>271</v>
      </c>
      <c r="H312" s="297" t="s">
        <v>63</v>
      </c>
      <c r="I312" s="297" t="s">
        <v>101</v>
      </c>
      <c r="J312" s="299"/>
      <c r="K312" s="300"/>
      <c r="L312" s="301"/>
      <c r="M312" s="297"/>
      <c r="N312" s="297"/>
      <c r="O312" s="299"/>
      <c r="P312" s="302"/>
      <c r="Q312" s="301"/>
      <c r="R312" s="297"/>
      <c r="S312" s="297"/>
      <c r="T312" s="299"/>
      <c r="U312" s="300"/>
      <c r="V312" s="301"/>
      <c r="W312" s="297"/>
      <c r="X312" s="297"/>
      <c r="Y312" s="299"/>
      <c r="Z312" s="300"/>
      <c r="AA312" s="301"/>
      <c r="AB312" s="297"/>
      <c r="AC312" s="297"/>
      <c r="AD312" s="299"/>
      <c r="AE312" s="300"/>
      <c r="AF312" s="301"/>
      <c r="AG312" s="297"/>
      <c r="AH312" s="297"/>
      <c r="AI312" s="322"/>
      <c r="AJ312" s="300"/>
      <c r="AK312" s="301"/>
      <c r="AL312" s="297"/>
      <c r="AM312" s="297"/>
      <c r="AN312" s="297"/>
      <c r="AO312" s="473"/>
      <c r="AP312" s="297"/>
      <c r="AQ312" s="301" t="s">
        <v>7891</v>
      </c>
      <c r="AR312" s="297" t="s">
        <v>66</v>
      </c>
      <c r="AS312" s="299" t="s">
        <v>67</v>
      </c>
      <c r="AT312" s="299" t="s">
        <v>67</v>
      </c>
      <c r="AU312" s="297" t="s">
        <v>3827</v>
      </c>
      <c r="AV312" s="297"/>
      <c r="AW312" s="297" t="s">
        <v>69</v>
      </c>
      <c r="AX312" s="297" t="s">
        <v>7628</v>
      </c>
      <c r="AY312" s="299">
        <v>42768</v>
      </c>
      <c r="AZ312" s="297" t="s">
        <v>67</v>
      </c>
      <c r="BA312" s="299" t="s">
        <v>67</v>
      </c>
      <c r="BB312" s="382">
        <v>42776</v>
      </c>
      <c r="BC312" s="297" t="s">
        <v>3829</v>
      </c>
      <c r="BD312" s="297" t="s">
        <v>6447</v>
      </c>
      <c r="BE312" s="297"/>
      <c r="BF312" s="301"/>
      <c r="BG312" s="301" t="s">
        <v>67</v>
      </c>
      <c r="BH312" s="301" t="s">
        <v>4377</v>
      </c>
      <c r="BI312" s="301" t="s">
        <v>4373</v>
      </c>
      <c r="BJ312" s="312">
        <v>1040398</v>
      </c>
      <c r="BK312" s="312">
        <v>1040398</v>
      </c>
      <c r="BL312" s="313">
        <v>42479617</v>
      </c>
      <c r="BM312" s="299">
        <v>42794</v>
      </c>
      <c r="BN312" s="300">
        <v>42767</v>
      </c>
      <c r="BO312" s="460"/>
      <c r="BP312" s="390"/>
      <c r="BQ312" s="297"/>
      <c r="BR312" s="303"/>
      <c r="BS312" s="301"/>
      <c r="BT312" s="301"/>
      <c r="BU312" s="301"/>
      <c r="BV312" s="301"/>
      <c r="BW312" s="316"/>
      <c r="BX312" s="304"/>
      <c r="BY312" s="299"/>
      <c r="BZ312" s="317"/>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c r="IY312" s="1"/>
      <c r="IZ312" s="1"/>
      <c r="JA312" s="1"/>
      <c r="JB312" s="1"/>
      <c r="JC312" s="1"/>
      <c r="JD312" s="1"/>
      <c r="JE312" s="1"/>
      <c r="JF312" s="1"/>
      <c r="JG312" s="1"/>
      <c r="JH312" s="1"/>
      <c r="JI312" s="1"/>
      <c r="JJ312" s="1"/>
      <c r="JK312" s="1"/>
      <c r="JL312" s="1"/>
      <c r="JM312" s="1"/>
      <c r="JN312" s="1"/>
      <c r="JO312" s="1"/>
      <c r="JP312" s="1"/>
      <c r="JQ312" s="1"/>
      <c r="JR312" s="1"/>
      <c r="JS312" s="1"/>
      <c r="JT312" s="1"/>
      <c r="JU312" s="1"/>
      <c r="JV312" s="1"/>
      <c r="JW312" s="1"/>
      <c r="JX312" s="1"/>
      <c r="JY312" s="1"/>
      <c r="JZ312" s="1"/>
      <c r="KA312" s="1"/>
      <c r="KB312" s="1"/>
      <c r="KC312" s="1"/>
      <c r="KD312" s="1"/>
      <c r="KE312" s="1"/>
      <c r="KF312" s="1"/>
      <c r="KG312" s="1"/>
      <c r="KH312" s="1"/>
      <c r="KI312" s="1"/>
      <c r="KJ312" s="1"/>
      <c r="KK312" s="1"/>
      <c r="KL312" s="1"/>
      <c r="KM312" s="1"/>
      <c r="KN312" s="1"/>
      <c r="KO312" s="1"/>
      <c r="KP312" s="1"/>
      <c r="KQ312" s="1"/>
      <c r="KR312" s="1"/>
      <c r="KS312" s="1"/>
      <c r="KT312" s="1"/>
      <c r="KU312" s="1"/>
      <c r="KV312" s="1"/>
      <c r="KW312" s="1"/>
      <c r="KX312" s="1"/>
      <c r="KY312" s="1"/>
      <c r="KZ312" s="1"/>
      <c r="LA312" s="1"/>
      <c r="LB312" s="1"/>
      <c r="LC312" s="1"/>
      <c r="LD312" s="1"/>
      <c r="LE312" s="1"/>
      <c r="LF312" s="1"/>
      <c r="LG312" s="1"/>
      <c r="LH312" s="1"/>
      <c r="LI312" s="1"/>
      <c r="LJ312" s="1"/>
      <c r="LK312" s="1"/>
      <c r="LL312" s="1"/>
      <c r="LM312" s="1"/>
      <c r="LN312" s="1"/>
      <c r="LO312" s="1"/>
      <c r="LP312" s="1"/>
      <c r="LQ312" s="1"/>
      <c r="LR312" s="1"/>
      <c r="LS312" s="1"/>
      <c r="LT312" s="1"/>
      <c r="LU312" s="1"/>
      <c r="LV312" s="1"/>
      <c r="LW312" s="1"/>
      <c r="LX312" s="1"/>
      <c r="LY312" s="1"/>
      <c r="LZ312" s="1"/>
      <c r="MA312" s="1"/>
      <c r="MB312" s="1"/>
      <c r="MC312" s="1"/>
      <c r="MD312" s="1"/>
      <c r="ME312" s="1"/>
      <c r="MF312" s="1"/>
      <c r="MG312" s="1"/>
      <c r="MH312" s="1"/>
      <c r="MI312" s="1"/>
      <c r="MJ312" s="1"/>
      <c r="MK312" s="1"/>
      <c r="ML312" s="1"/>
      <c r="MM312" s="1"/>
      <c r="MN312" s="1"/>
      <c r="MO312" s="1"/>
      <c r="MP312" s="1"/>
      <c r="MQ312" s="1"/>
      <c r="MR312" s="1"/>
      <c r="MS312" s="1"/>
      <c r="MT312" s="1"/>
      <c r="MU312" s="1"/>
      <c r="MV312" s="1"/>
      <c r="MW312" s="1"/>
      <c r="MX312" s="1"/>
      <c r="MY312" s="1"/>
      <c r="MZ312" s="1"/>
      <c r="NA312" s="1"/>
      <c r="NB312" s="1"/>
      <c r="NC312" s="1"/>
      <c r="ND312" s="1"/>
      <c r="NE312" s="1"/>
      <c r="NF312" s="1"/>
      <c r="NG312" s="1"/>
      <c r="NH312" s="1"/>
      <c r="NI312" s="1"/>
      <c r="NJ312" s="1"/>
      <c r="NK312" s="1"/>
      <c r="NL312" s="1"/>
      <c r="NM312" s="1"/>
      <c r="NN312" s="1"/>
      <c r="NO312" s="1"/>
      <c r="NP312" s="1"/>
      <c r="NQ312" s="1"/>
      <c r="NR312" s="1"/>
      <c r="NS312" s="1"/>
      <c r="NT312" s="1"/>
      <c r="NU312" s="1"/>
      <c r="NV312" s="1"/>
      <c r="NW312" s="1"/>
      <c r="NX312" s="1"/>
      <c r="NY312" s="1"/>
      <c r="NZ312" s="1"/>
      <c r="OA312" s="1"/>
      <c r="OB312" s="1"/>
      <c r="OC312" s="1"/>
      <c r="OD312" s="1"/>
      <c r="OE312" s="1"/>
      <c r="OF312" s="1"/>
      <c r="OG312" s="1"/>
      <c r="OH312" s="1"/>
      <c r="OI312" s="1"/>
      <c r="OJ312" s="1"/>
      <c r="OK312" s="1"/>
      <c r="OL312" s="1"/>
      <c r="OM312" s="1"/>
      <c r="ON312" s="1"/>
      <c r="OO312" s="1"/>
      <c r="OP312" s="1"/>
      <c r="OQ312" s="1"/>
      <c r="OR312" s="1"/>
      <c r="OS312" s="1"/>
      <c r="OT312" s="1"/>
      <c r="OU312" s="1"/>
      <c r="OV312" s="1"/>
      <c r="OW312" s="1"/>
      <c r="OX312" s="1"/>
      <c r="OY312" s="1"/>
      <c r="OZ312" s="1"/>
      <c r="PA312" s="1"/>
      <c r="PB312" s="1"/>
      <c r="PC312" s="1"/>
      <c r="PD312" s="1"/>
      <c r="PE312" s="1"/>
      <c r="PF312" s="1"/>
      <c r="PG312" s="1"/>
      <c r="PH312" s="1"/>
      <c r="PI312" s="1"/>
      <c r="PJ312" s="1"/>
      <c r="PK312" s="1"/>
      <c r="PL312" s="1"/>
      <c r="PM312" s="1"/>
      <c r="PN312" s="1"/>
      <c r="PO312" s="1"/>
      <c r="PP312" s="1"/>
      <c r="PQ312" s="1"/>
      <c r="PR312" s="1"/>
      <c r="PS312" s="1"/>
      <c r="PT312" s="1"/>
      <c r="PU312" s="1"/>
      <c r="PV312" s="1"/>
      <c r="PW312" s="1"/>
      <c r="PX312" s="1"/>
      <c r="PY312" s="1"/>
      <c r="PZ312" s="1"/>
      <c r="QA312" s="1"/>
      <c r="QB312" s="1"/>
      <c r="QC312" s="1"/>
      <c r="QD312" s="1"/>
      <c r="QE312" s="1"/>
      <c r="QF312" s="1"/>
      <c r="QG312" s="1"/>
      <c r="QH312" s="1"/>
      <c r="QI312" s="1"/>
      <c r="QJ312" s="1"/>
      <c r="QK312" s="1"/>
      <c r="QL312" s="1"/>
      <c r="QM312" s="1"/>
      <c r="QN312" s="1"/>
      <c r="QO312" s="1"/>
      <c r="QP312" s="1"/>
      <c r="QQ312" s="1"/>
      <c r="QR312" s="1"/>
      <c r="QS312" s="1"/>
      <c r="QT312" s="1"/>
      <c r="QU312" s="1"/>
      <c r="QV312" s="1"/>
      <c r="QW312" s="1"/>
      <c r="QX312" s="1"/>
      <c r="QY312" s="1"/>
      <c r="QZ312" s="1"/>
      <c r="RA312" s="1"/>
      <c r="RB312" s="1"/>
      <c r="RC312" s="1"/>
      <c r="RD312" s="1"/>
      <c r="RE312" s="1"/>
      <c r="RF312" s="1"/>
      <c r="RG312" s="1"/>
      <c r="RH312" s="1"/>
      <c r="RI312" s="1"/>
      <c r="RJ312" s="1"/>
      <c r="RK312" s="1"/>
      <c r="RL312" s="1"/>
      <c r="RM312" s="1"/>
      <c r="RN312" s="1"/>
      <c r="RO312" s="1"/>
      <c r="RP312" s="1"/>
      <c r="RQ312" s="1"/>
      <c r="RR312" s="1"/>
      <c r="RS312" s="1"/>
      <c r="RT312" s="1"/>
      <c r="RU312" s="1"/>
      <c r="RV312" s="1"/>
      <c r="RW312" s="1"/>
      <c r="RX312" s="1"/>
      <c r="RY312" s="1"/>
      <c r="RZ312" s="1"/>
      <c r="SA312" s="1"/>
      <c r="SB312" s="1"/>
      <c r="SC312" s="1"/>
      <c r="SD312" s="1"/>
      <c r="SE312" s="1"/>
      <c r="SF312" s="1"/>
      <c r="SG312" s="1"/>
      <c r="SH312" s="1"/>
      <c r="SI312" s="1"/>
      <c r="SJ312" s="1"/>
      <c r="SK312" s="1"/>
      <c r="SL312" s="1"/>
      <c r="SM312" s="1"/>
      <c r="SN312" s="1"/>
      <c r="SO312" s="1"/>
      <c r="SP312" s="1"/>
      <c r="SQ312" s="1"/>
      <c r="SR312" s="1"/>
      <c r="SS312" s="1"/>
      <c r="ST312" s="1"/>
      <c r="SU312" s="1"/>
      <c r="SV312" s="1"/>
      <c r="SW312" s="1"/>
      <c r="SX312" s="1"/>
      <c r="SY312" s="1"/>
      <c r="SZ312" s="1"/>
      <c r="TA312" s="1"/>
      <c r="TB312" s="1"/>
      <c r="TC312" s="1"/>
      <c r="TD312" s="1"/>
      <c r="TE312" s="1"/>
      <c r="TF312" s="1"/>
      <c r="TG312" s="1"/>
      <c r="TH312" s="1"/>
      <c r="TI312" s="1"/>
      <c r="TJ312" s="1"/>
      <c r="TK312" s="1"/>
      <c r="TL312" s="1"/>
      <c r="TM312" s="1"/>
      <c r="TN312" s="1"/>
      <c r="TO312" s="1"/>
      <c r="TP312" s="1"/>
      <c r="TQ312" s="1"/>
      <c r="TR312" s="1"/>
      <c r="TS312" s="1"/>
      <c r="TT312" s="1"/>
      <c r="TU312" s="1"/>
      <c r="TV312" s="1"/>
      <c r="TW312" s="1"/>
      <c r="TX312" s="1"/>
      <c r="TY312" s="1"/>
      <c r="TZ312" s="1"/>
      <c r="UA312" s="1"/>
      <c r="UB312" s="1"/>
      <c r="UC312" s="1"/>
      <c r="UD312" s="1"/>
      <c r="UE312" s="1"/>
      <c r="UF312" s="1"/>
      <c r="UG312" s="1"/>
      <c r="UH312" s="1"/>
      <c r="UI312" s="1"/>
    </row>
    <row r="313" spans="1:555" s="259" customFormat="1" ht="82.5" customHeight="1">
      <c r="A313" s="296">
        <v>427</v>
      </c>
      <c r="B313" s="297" t="s">
        <v>4378</v>
      </c>
      <c r="C313" s="298">
        <v>9175840</v>
      </c>
      <c r="D313" s="354" t="s">
        <v>67</v>
      </c>
      <c r="E313" s="299">
        <v>42773</v>
      </c>
      <c r="F313" s="300">
        <v>42767</v>
      </c>
      <c r="G313" s="301" t="s">
        <v>271</v>
      </c>
      <c r="H313" s="297" t="s">
        <v>63</v>
      </c>
      <c r="I313" s="297" t="s">
        <v>101</v>
      </c>
      <c r="J313" s="299"/>
      <c r="K313" s="300"/>
      <c r="L313" s="301"/>
      <c r="M313" s="297"/>
      <c r="N313" s="297"/>
      <c r="O313" s="299"/>
      <c r="P313" s="302"/>
      <c r="Q313" s="301"/>
      <c r="R313" s="297"/>
      <c r="S313" s="297"/>
      <c r="T313" s="299"/>
      <c r="U313" s="300"/>
      <c r="V313" s="301"/>
      <c r="W313" s="297"/>
      <c r="X313" s="297"/>
      <c r="Y313" s="299"/>
      <c r="Z313" s="300"/>
      <c r="AA313" s="301"/>
      <c r="AB313" s="297"/>
      <c r="AC313" s="297"/>
      <c r="AD313" s="299"/>
      <c r="AE313" s="300"/>
      <c r="AF313" s="301"/>
      <c r="AG313" s="297"/>
      <c r="AH313" s="297"/>
      <c r="AI313" s="322"/>
      <c r="AJ313" s="300"/>
      <c r="AK313" s="301"/>
      <c r="AL313" s="297"/>
      <c r="AM313" s="297"/>
      <c r="AN313" s="297"/>
      <c r="AO313" s="473"/>
      <c r="AP313" s="297"/>
      <c r="AQ313" s="301" t="s">
        <v>7851</v>
      </c>
      <c r="AR313" s="297" t="s">
        <v>66</v>
      </c>
      <c r="AS313" s="299" t="s">
        <v>67</v>
      </c>
      <c r="AT313" s="299" t="s">
        <v>67</v>
      </c>
      <c r="AU313" s="297" t="s">
        <v>3827</v>
      </c>
      <c r="AV313" s="297"/>
      <c r="AW313" s="297" t="s">
        <v>69</v>
      </c>
      <c r="AX313" s="297" t="s">
        <v>7628</v>
      </c>
      <c r="AY313" s="299">
        <v>42768</v>
      </c>
      <c r="AZ313" s="297" t="s">
        <v>67</v>
      </c>
      <c r="BA313" s="299" t="s">
        <v>67</v>
      </c>
      <c r="BB313" s="382">
        <v>42776</v>
      </c>
      <c r="BC313" s="297" t="s">
        <v>3829</v>
      </c>
      <c r="BD313" s="297" t="s">
        <v>6447</v>
      </c>
      <c r="BE313" s="297"/>
      <c r="BF313" s="301"/>
      <c r="BG313" s="301" t="s">
        <v>67</v>
      </c>
      <c r="BH313" s="301" t="s">
        <v>4379</v>
      </c>
      <c r="BI313" s="301" t="s">
        <v>4380</v>
      </c>
      <c r="BJ313" s="312">
        <v>2554293</v>
      </c>
      <c r="BK313" s="312">
        <v>2554293</v>
      </c>
      <c r="BL313" s="313">
        <v>34570517</v>
      </c>
      <c r="BM313" s="299">
        <v>42789</v>
      </c>
      <c r="BN313" s="300">
        <v>42767</v>
      </c>
      <c r="BO313" s="460"/>
      <c r="BP313" s="390"/>
      <c r="BQ313" s="297"/>
      <c r="BR313" s="303"/>
      <c r="BS313" s="301"/>
      <c r="BT313" s="301"/>
      <c r="BU313" s="301"/>
      <c r="BV313" s="301"/>
      <c r="BW313" s="316"/>
      <c r="BX313" s="304"/>
      <c r="BY313" s="299"/>
      <c r="BZ313" s="317"/>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c r="IY313" s="1"/>
      <c r="IZ313" s="1"/>
      <c r="JA313" s="1"/>
      <c r="JB313" s="1"/>
      <c r="JC313" s="1"/>
      <c r="JD313" s="1"/>
      <c r="JE313" s="1"/>
      <c r="JF313" s="1"/>
      <c r="JG313" s="1"/>
      <c r="JH313" s="1"/>
      <c r="JI313" s="1"/>
      <c r="JJ313" s="1"/>
      <c r="JK313" s="1"/>
      <c r="JL313" s="1"/>
      <c r="JM313" s="1"/>
      <c r="JN313" s="1"/>
      <c r="JO313" s="1"/>
      <c r="JP313" s="1"/>
      <c r="JQ313" s="1"/>
      <c r="JR313" s="1"/>
      <c r="JS313" s="1"/>
      <c r="JT313" s="1"/>
      <c r="JU313" s="1"/>
      <c r="JV313" s="1"/>
      <c r="JW313" s="1"/>
      <c r="JX313" s="1"/>
      <c r="JY313" s="1"/>
      <c r="JZ313" s="1"/>
      <c r="KA313" s="1"/>
      <c r="KB313" s="1"/>
      <c r="KC313" s="1"/>
      <c r="KD313" s="1"/>
      <c r="KE313" s="1"/>
      <c r="KF313" s="1"/>
      <c r="KG313" s="1"/>
      <c r="KH313" s="1"/>
      <c r="KI313" s="1"/>
      <c r="KJ313" s="1"/>
      <c r="KK313" s="1"/>
      <c r="KL313" s="1"/>
      <c r="KM313" s="1"/>
      <c r="KN313" s="1"/>
      <c r="KO313" s="1"/>
      <c r="KP313" s="1"/>
      <c r="KQ313" s="1"/>
      <c r="KR313" s="1"/>
      <c r="KS313" s="1"/>
      <c r="KT313" s="1"/>
      <c r="KU313" s="1"/>
      <c r="KV313" s="1"/>
      <c r="KW313" s="1"/>
      <c r="KX313" s="1"/>
      <c r="KY313" s="1"/>
      <c r="KZ313" s="1"/>
      <c r="LA313" s="1"/>
      <c r="LB313" s="1"/>
      <c r="LC313" s="1"/>
      <c r="LD313" s="1"/>
      <c r="LE313" s="1"/>
      <c r="LF313" s="1"/>
      <c r="LG313" s="1"/>
      <c r="LH313" s="1"/>
      <c r="LI313" s="1"/>
      <c r="LJ313" s="1"/>
      <c r="LK313" s="1"/>
      <c r="LL313" s="1"/>
      <c r="LM313" s="1"/>
      <c r="LN313" s="1"/>
      <c r="LO313" s="1"/>
      <c r="LP313" s="1"/>
      <c r="LQ313" s="1"/>
      <c r="LR313" s="1"/>
      <c r="LS313" s="1"/>
      <c r="LT313" s="1"/>
      <c r="LU313" s="1"/>
      <c r="LV313" s="1"/>
      <c r="LW313" s="1"/>
      <c r="LX313" s="1"/>
      <c r="LY313" s="1"/>
      <c r="LZ313" s="1"/>
      <c r="MA313" s="1"/>
      <c r="MB313" s="1"/>
      <c r="MC313" s="1"/>
      <c r="MD313" s="1"/>
      <c r="ME313" s="1"/>
      <c r="MF313" s="1"/>
      <c r="MG313" s="1"/>
      <c r="MH313" s="1"/>
      <c r="MI313" s="1"/>
      <c r="MJ313" s="1"/>
      <c r="MK313" s="1"/>
      <c r="ML313" s="1"/>
      <c r="MM313" s="1"/>
      <c r="MN313" s="1"/>
      <c r="MO313" s="1"/>
      <c r="MP313" s="1"/>
      <c r="MQ313" s="1"/>
      <c r="MR313" s="1"/>
      <c r="MS313" s="1"/>
      <c r="MT313" s="1"/>
      <c r="MU313" s="1"/>
      <c r="MV313" s="1"/>
      <c r="MW313" s="1"/>
      <c r="MX313" s="1"/>
      <c r="MY313" s="1"/>
      <c r="MZ313" s="1"/>
      <c r="NA313" s="1"/>
      <c r="NB313" s="1"/>
      <c r="NC313" s="1"/>
      <c r="ND313" s="1"/>
      <c r="NE313" s="1"/>
      <c r="NF313" s="1"/>
      <c r="NG313" s="1"/>
      <c r="NH313" s="1"/>
      <c r="NI313" s="1"/>
      <c r="NJ313" s="1"/>
      <c r="NK313" s="1"/>
      <c r="NL313" s="1"/>
      <c r="NM313" s="1"/>
      <c r="NN313" s="1"/>
      <c r="NO313" s="1"/>
      <c r="NP313" s="1"/>
      <c r="NQ313" s="1"/>
      <c r="NR313" s="1"/>
      <c r="NS313" s="1"/>
      <c r="NT313" s="1"/>
      <c r="NU313" s="1"/>
      <c r="NV313" s="1"/>
      <c r="NW313" s="1"/>
      <c r="NX313" s="1"/>
      <c r="NY313" s="1"/>
      <c r="NZ313" s="1"/>
      <c r="OA313" s="1"/>
      <c r="OB313" s="1"/>
      <c r="OC313" s="1"/>
      <c r="OD313" s="1"/>
      <c r="OE313" s="1"/>
      <c r="OF313" s="1"/>
      <c r="OG313" s="1"/>
      <c r="OH313" s="1"/>
      <c r="OI313" s="1"/>
      <c r="OJ313" s="1"/>
      <c r="OK313" s="1"/>
      <c r="OL313" s="1"/>
      <c r="OM313" s="1"/>
      <c r="ON313" s="1"/>
      <c r="OO313" s="1"/>
      <c r="OP313" s="1"/>
      <c r="OQ313" s="1"/>
      <c r="OR313" s="1"/>
      <c r="OS313" s="1"/>
      <c r="OT313" s="1"/>
      <c r="OU313" s="1"/>
      <c r="OV313" s="1"/>
      <c r="OW313" s="1"/>
      <c r="OX313" s="1"/>
      <c r="OY313" s="1"/>
      <c r="OZ313" s="1"/>
      <c r="PA313" s="1"/>
      <c r="PB313" s="1"/>
      <c r="PC313" s="1"/>
      <c r="PD313" s="1"/>
      <c r="PE313" s="1"/>
      <c r="PF313" s="1"/>
      <c r="PG313" s="1"/>
      <c r="PH313" s="1"/>
      <c r="PI313" s="1"/>
      <c r="PJ313" s="1"/>
      <c r="PK313" s="1"/>
      <c r="PL313" s="1"/>
      <c r="PM313" s="1"/>
      <c r="PN313" s="1"/>
      <c r="PO313" s="1"/>
      <c r="PP313" s="1"/>
      <c r="PQ313" s="1"/>
      <c r="PR313" s="1"/>
      <c r="PS313" s="1"/>
      <c r="PT313" s="1"/>
      <c r="PU313" s="1"/>
      <c r="PV313" s="1"/>
      <c r="PW313" s="1"/>
      <c r="PX313" s="1"/>
      <c r="PY313" s="1"/>
      <c r="PZ313" s="1"/>
      <c r="QA313" s="1"/>
      <c r="QB313" s="1"/>
      <c r="QC313" s="1"/>
      <c r="QD313" s="1"/>
      <c r="QE313" s="1"/>
      <c r="QF313" s="1"/>
      <c r="QG313" s="1"/>
      <c r="QH313" s="1"/>
      <c r="QI313" s="1"/>
      <c r="QJ313" s="1"/>
      <c r="QK313" s="1"/>
      <c r="QL313" s="1"/>
      <c r="QM313" s="1"/>
      <c r="QN313" s="1"/>
      <c r="QO313" s="1"/>
      <c r="QP313" s="1"/>
      <c r="QQ313" s="1"/>
      <c r="QR313" s="1"/>
      <c r="QS313" s="1"/>
      <c r="QT313" s="1"/>
      <c r="QU313" s="1"/>
      <c r="QV313" s="1"/>
      <c r="QW313" s="1"/>
      <c r="QX313" s="1"/>
      <c r="QY313" s="1"/>
      <c r="QZ313" s="1"/>
      <c r="RA313" s="1"/>
      <c r="RB313" s="1"/>
      <c r="RC313" s="1"/>
      <c r="RD313" s="1"/>
      <c r="RE313" s="1"/>
      <c r="RF313" s="1"/>
      <c r="RG313" s="1"/>
      <c r="RH313" s="1"/>
      <c r="RI313" s="1"/>
      <c r="RJ313" s="1"/>
      <c r="RK313" s="1"/>
      <c r="RL313" s="1"/>
      <c r="RM313" s="1"/>
      <c r="RN313" s="1"/>
      <c r="RO313" s="1"/>
      <c r="RP313" s="1"/>
      <c r="RQ313" s="1"/>
      <c r="RR313" s="1"/>
      <c r="RS313" s="1"/>
      <c r="RT313" s="1"/>
      <c r="RU313" s="1"/>
      <c r="RV313" s="1"/>
      <c r="RW313" s="1"/>
      <c r="RX313" s="1"/>
      <c r="RY313" s="1"/>
      <c r="RZ313" s="1"/>
      <c r="SA313" s="1"/>
      <c r="SB313" s="1"/>
      <c r="SC313" s="1"/>
      <c r="SD313" s="1"/>
      <c r="SE313" s="1"/>
      <c r="SF313" s="1"/>
      <c r="SG313" s="1"/>
      <c r="SH313" s="1"/>
      <c r="SI313" s="1"/>
      <c r="SJ313" s="1"/>
      <c r="SK313" s="1"/>
      <c r="SL313" s="1"/>
      <c r="SM313" s="1"/>
      <c r="SN313" s="1"/>
      <c r="SO313" s="1"/>
      <c r="SP313" s="1"/>
      <c r="SQ313" s="1"/>
      <c r="SR313" s="1"/>
      <c r="SS313" s="1"/>
      <c r="ST313" s="1"/>
      <c r="SU313" s="1"/>
      <c r="SV313" s="1"/>
      <c r="SW313" s="1"/>
      <c r="SX313" s="1"/>
      <c r="SY313" s="1"/>
      <c r="SZ313" s="1"/>
      <c r="TA313" s="1"/>
      <c r="TB313" s="1"/>
      <c r="TC313" s="1"/>
      <c r="TD313" s="1"/>
      <c r="TE313" s="1"/>
      <c r="TF313" s="1"/>
      <c r="TG313" s="1"/>
      <c r="TH313" s="1"/>
      <c r="TI313" s="1"/>
      <c r="TJ313" s="1"/>
      <c r="TK313" s="1"/>
      <c r="TL313" s="1"/>
      <c r="TM313" s="1"/>
      <c r="TN313" s="1"/>
      <c r="TO313" s="1"/>
      <c r="TP313" s="1"/>
      <c r="TQ313" s="1"/>
      <c r="TR313" s="1"/>
      <c r="TS313" s="1"/>
      <c r="TT313" s="1"/>
      <c r="TU313" s="1"/>
      <c r="TV313" s="1"/>
      <c r="TW313" s="1"/>
      <c r="TX313" s="1"/>
      <c r="TY313" s="1"/>
      <c r="TZ313" s="1"/>
      <c r="UA313" s="1"/>
      <c r="UB313" s="1"/>
      <c r="UC313" s="1"/>
      <c r="UD313" s="1"/>
      <c r="UE313" s="1"/>
      <c r="UF313" s="1"/>
      <c r="UG313" s="1"/>
      <c r="UH313" s="1"/>
      <c r="UI313" s="1"/>
    </row>
    <row r="314" spans="1:555" s="259" customFormat="1" ht="54">
      <c r="A314" s="296">
        <v>428</v>
      </c>
      <c r="B314" s="297" t="s">
        <v>4381</v>
      </c>
      <c r="C314" s="298">
        <v>16748507</v>
      </c>
      <c r="D314" s="354" t="s">
        <v>67</v>
      </c>
      <c r="E314" s="299">
        <v>42773</v>
      </c>
      <c r="F314" s="300">
        <v>42767</v>
      </c>
      <c r="G314" s="301" t="s">
        <v>271</v>
      </c>
      <c r="H314" s="297" t="s">
        <v>63</v>
      </c>
      <c r="I314" s="297" t="s">
        <v>101</v>
      </c>
      <c r="J314" s="299"/>
      <c r="K314" s="300"/>
      <c r="L314" s="301"/>
      <c r="M314" s="297"/>
      <c r="N314" s="297"/>
      <c r="O314" s="299"/>
      <c r="P314" s="302"/>
      <c r="Q314" s="301"/>
      <c r="R314" s="297"/>
      <c r="S314" s="297"/>
      <c r="T314" s="299"/>
      <c r="U314" s="300"/>
      <c r="V314" s="301"/>
      <c r="W314" s="297"/>
      <c r="X314" s="297"/>
      <c r="Y314" s="299"/>
      <c r="Z314" s="300"/>
      <c r="AA314" s="301"/>
      <c r="AB314" s="297"/>
      <c r="AC314" s="297"/>
      <c r="AD314" s="299"/>
      <c r="AE314" s="300"/>
      <c r="AF314" s="301"/>
      <c r="AG314" s="297"/>
      <c r="AH314" s="297"/>
      <c r="AI314" s="322"/>
      <c r="AJ314" s="300"/>
      <c r="AK314" s="301"/>
      <c r="AL314" s="297"/>
      <c r="AM314" s="297"/>
      <c r="AN314" s="297"/>
      <c r="AO314" s="473"/>
      <c r="AP314" s="297"/>
      <c r="AQ314" s="301" t="s">
        <v>7652</v>
      </c>
      <c r="AR314" s="297" t="s">
        <v>66</v>
      </c>
      <c r="AS314" s="299" t="s">
        <v>67</v>
      </c>
      <c r="AT314" s="299" t="s">
        <v>67</v>
      </c>
      <c r="AU314" s="297" t="s">
        <v>3827</v>
      </c>
      <c r="AV314" s="297"/>
      <c r="AW314" s="297" t="s">
        <v>69</v>
      </c>
      <c r="AX314" s="297" t="s">
        <v>7653</v>
      </c>
      <c r="AY314" s="299">
        <v>42768</v>
      </c>
      <c r="AZ314" s="297" t="s">
        <v>67</v>
      </c>
      <c r="BA314" s="299" t="s">
        <v>67</v>
      </c>
      <c r="BB314" s="382">
        <v>42776</v>
      </c>
      <c r="BC314" s="297" t="s">
        <v>3829</v>
      </c>
      <c r="BD314" s="297" t="s">
        <v>6447</v>
      </c>
      <c r="BE314" s="297"/>
      <c r="BF314" s="301"/>
      <c r="BG314" s="301" t="s">
        <v>67</v>
      </c>
      <c r="BH314" s="301" t="s">
        <v>4382</v>
      </c>
      <c r="BI314" s="301" t="s">
        <v>4380</v>
      </c>
      <c r="BJ314" s="312">
        <v>610070</v>
      </c>
      <c r="BK314" s="312">
        <v>610070</v>
      </c>
      <c r="BL314" s="313">
        <v>34555517</v>
      </c>
      <c r="BM314" s="299">
        <v>42789</v>
      </c>
      <c r="BN314" s="300">
        <v>42767</v>
      </c>
      <c r="BO314" s="460"/>
      <c r="BP314" s="390"/>
      <c r="BQ314" s="297"/>
      <c r="BR314" s="303"/>
      <c r="BS314" s="301"/>
      <c r="BT314" s="301"/>
      <c r="BU314" s="301"/>
      <c r="BV314" s="301"/>
      <c r="BW314" s="316"/>
      <c r="BX314" s="304"/>
      <c r="BY314" s="299"/>
      <c r="BZ314" s="317"/>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c r="IY314" s="1"/>
      <c r="IZ314" s="1"/>
      <c r="JA314" s="1"/>
      <c r="JB314" s="1"/>
      <c r="JC314" s="1"/>
      <c r="JD314" s="1"/>
      <c r="JE314" s="1"/>
      <c r="JF314" s="1"/>
      <c r="JG314" s="1"/>
      <c r="JH314" s="1"/>
      <c r="JI314" s="1"/>
      <c r="JJ314" s="1"/>
      <c r="JK314" s="1"/>
      <c r="JL314" s="1"/>
      <c r="JM314" s="1"/>
      <c r="JN314" s="1"/>
      <c r="JO314" s="1"/>
      <c r="JP314" s="1"/>
      <c r="JQ314" s="1"/>
      <c r="JR314" s="1"/>
      <c r="JS314" s="1"/>
      <c r="JT314" s="1"/>
      <c r="JU314" s="1"/>
      <c r="JV314" s="1"/>
      <c r="JW314" s="1"/>
      <c r="JX314" s="1"/>
      <c r="JY314" s="1"/>
      <c r="JZ314" s="1"/>
      <c r="KA314" s="1"/>
      <c r="KB314" s="1"/>
      <c r="KC314" s="1"/>
      <c r="KD314" s="1"/>
      <c r="KE314" s="1"/>
      <c r="KF314" s="1"/>
      <c r="KG314" s="1"/>
      <c r="KH314" s="1"/>
      <c r="KI314" s="1"/>
      <c r="KJ314" s="1"/>
      <c r="KK314" s="1"/>
      <c r="KL314" s="1"/>
      <c r="KM314" s="1"/>
      <c r="KN314" s="1"/>
      <c r="KO314" s="1"/>
      <c r="KP314" s="1"/>
      <c r="KQ314" s="1"/>
      <c r="KR314" s="1"/>
      <c r="KS314" s="1"/>
      <c r="KT314" s="1"/>
      <c r="KU314" s="1"/>
      <c r="KV314" s="1"/>
      <c r="KW314" s="1"/>
      <c r="KX314" s="1"/>
      <c r="KY314" s="1"/>
      <c r="KZ314" s="1"/>
      <c r="LA314" s="1"/>
      <c r="LB314" s="1"/>
      <c r="LC314" s="1"/>
      <c r="LD314" s="1"/>
      <c r="LE314" s="1"/>
      <c r="LF314" s="1"/>
      <c r="LG314" s="1"/>
      <c r="LH314" s="1"/>
      <c r="LI314" s="1"/>
      <c r="LJ314" s="1"/>
      <c r="LK314" s="1"/>
      <c r="LL314" s="1"/>
      <c r="LM314" s="1"/>
      <c r="LN314" s="1"/>
      <c r="LO314" s="1"/>
      <c r="LP314" s="1"/>
      <c r="LQ314" s="1"/>
      <c r="LR314" s="1"/>
      <c r="LS314" s="1"/>
      <c r="LT314" s="1"/>
      <c r="LU314" s="1"/>
      <c r="LV314" s="1"/>
      <c r="LW314" s="1"/>
      <c r="LX314" s="1"/>
      <c r="LY314" s="1"/>
      <c r="LZ314" s="1"/>
      <c r="MA314" s="1"/>
      <c r="MB314" s="1"/>
      <c r="MC314" s="1"/>
      <c r="MD314" s="1"/>
      <c r="ME314" s="1"/>
      <c r="MF314" s="1"/>
      <c r="MG314" s="1"/>
      <c r="MH314" s="1"/>
      <c r="MI314" s="1"/>
      <c r="MJ314" s="1"/>
      <c r="MK314" s="1"/>
      <c r="ML314" s="1"/>
      <c r="MM314" s="1"/>
      <c r="MN314" s="1"/>
      <c r="MO314" s="1"/>
      <c r="MP314" s="1"/>
      <c r="MQ314" s="1"/>
      <c r="MR314" s="1"/>
      <c r="MS314" s="1"/>
      <c r="MT314" s="1"/>
      <c r="MU314" s="1"/>
      <c r="MV314" s="1"/>
      <c r="MW314" s="1"/>
      <c r="MX314" s="1"/>
      <c r="MY314" s="1"/>
      <c r="MZ314" s="1"/>
      <c r="NA314" s="1"/>
      <c r="NB314" s="1"/>
      <c r="NC314" s="1"/>
      <c r="ND314" s="1"/>
      <c r="NE314" s="1"/>
      <c r="NF314" s="1"/>
      <c r="NG314" s="1"/>
      <c r="NH314" s="1"/>
      <c r="NI314" s="1"/>
      <c r="NJ314" s="1"/>
      <c r="NK314" s="1"/>
      <c r="NL314" s="1"/>
      <c r="NM314" s="1"/>
      <c r="NN314" s="1"/>
      <c r="NO314" s="1"/>
      <c r="NP314" s="1"/>
      <c r="NQ314" s="1"/>
      <c r="NR314" s="1"/>
      <c r="NS314" s="1"/>
      <c r="NT314" s="1"/>
      <c r="NU314" s="1"/>
      <c r="NV314" s="1"/>
      <c r="NW314" s="1"/>
      <c r="NX314" s="1"/>
      <c r="NY314" s="1"/>
      <c r="NZ314" s="1"/>
      <c r="OA314" s="1"/>
      <c r="OB314" s="1"/>
      <c r="OC314" s="1"/>
      <c r="OD314" s="1"/>
      <c r="OE314" s="1"/>
      <c r="OF314" s="1"/>
      <c r="OG314" s="1"/>
      <c r="OH314" s="1"/>
      <c r="OI314" s="1"/>
      <c r="OJ314" s="1"/>
      <c r="OK314" s="1"/>
      <c r="OL314" s="1"/>
      <c r="OM314" s="1"/>
      <c r="ON314" s="1"/>
      <c r="OO314" s="1"/>
      <c r="OP314" s="1"/>
      <c r="OQ314" s="1"/>
      <c r="OR314" s="1"/>
      <c r="OS314" s="1"/>
      <c r="OT314" s="1"/>
      <c r="OU314" s="1"/>
      <c r="OV314" s="1"/>
      <c r="OW314" s="1"/>
      <c r="OX314" s="1"/>
      <c r="OY314" s="1"/>
      <c r="OZ314" s="1"/>
      <c r="PA314" s="1"/>
      <c r="PB314" s="1"/>
      <c r="PC314" s="1"/>
      <c r="PD314" s="1"/>
      <c r="PE314" s="1"/>
      <c r="PF314" s="1"/>
      <c r="PG314" s="1"/>
      <c r="PH314" s="1"/>
      <c r="PI314" s="1"/>
      <c r="PJ314" s="1"/>
      <c r="PK314" s="1"/>
      <c r="PL314" s="1"/>
      <c r="PM314" s="1"/>
      <c r="PN314" s="1"/>
      <c r="PO314" s="1"/>
      <c r="PP314" s="1"/>
      <c r="PQ314" s="1"/>
      <c r="PR314" s="1"/>
      <c r="PS314" s="1"/>
      <c r="PT314" s="1"/>
      <c r="PU314" s="1"/>
      <c r="PV314" s="1"/>
      <c r="PW314" s="1"/>
      <c r="PX314" s="1"/>
      <c r="PY314" s="1"/>
      <c r="PZ314" s="1"/>
      <c r="QA314" s="1"/>
      <c r="QB314" s="1"/>
      <c r="QC314" s="1"/>
      <c r="QD314" s="1"/>
      <c r="QE314" s="1"/>
      <c r="QF314" s="1"/>
      <c r="QG314" s="1"/>
      <c r="QH314" s="1"/>
      <c r="QI314" s="1"/>
      <c r="QJ314" s="1"/>
      <c r="QK314" s="1"/>
      <c r="QL314" s="1"/>
      <c r="QM314" s="1"/>
      <c r="QN314" s="1"/>
      <c r="QO314" s="1"/>
      <c r="QP314" s="1"/>
      <c r="QQ314" s="1"/>
      <c r="QR314" s="1"/>
      <c r="QS314" s="1"/>
      <c r="QT314" s="1"/>
      <c r="QU314" s="1"/>
      <c r="QV314" s="1"/>
      <c r="QW314" s="1"/>
      <c r="QX314" s="1"/>
      <c r="QY314" s="1"/>
      <c r="QZ314" s="1"/>
      <c r="RA314" s="1"/>
      <c r="RB314" s="1"/>
      <c r="RC314" s="1"/>
      <c r="RD314" s="1"/>
      <c r="RE314" s="1"/>
      <c r="RF314" s="1"/>
      <c r="RG314" s="1"/>
      <c r="RH314" s="1"/>
      <c r="RI314" s="1"/>
      <c r="RJ314" s="1"/>
      <c r="RK314" s="1"/>
      <c r="RL314" s="1"/>
      <c r="RM314" s="1"/>
      <c r="RN314" s="1"/>
      <c r="RO314" s="1"/>
      <c r="RP314" s="1"/>
      <c r="RQ314" s="1"/>
      <c r="RR314" s="1"/>
      <c r="RS314" s="1"/>
      <c r="RT314" s="1"/>
      <c r="RU314" s="1"/>
      <c r="RV314" s="1"/>
      <c r="RW314" s="1"/>
      <c r="RX314" s="1"/>
      <c r="RY314" s="1"/>
      <c r="RZ314" s="1"/>
      <c r="SA314" s="1"/>
      <c r="SB314" s="1"/>
      <c r="SC314" s="1"/>
      <c r="SD314" s="1"/>
      <c r="SE314" s="1"/>
      <c r="SF314" s="1"/>
      <c r="SG314" s="1"/>
      <c r="SH314" s="1"/>
      <c r="SI314" s="1"/>
      <c r="SJ314" s="1"/>
      <c r="SK314" s="1"/>
      <c r="SL314" s="1"/>
      <c r="SM314" s="1"/>
      <c r="SN314" s="1"/>
      <c r="SO314" s="1"/>
      <c r="SP314" s="1"/>
      <c r="SQ314" s="1"/>
      <c r="SR314" s="1"/>
      <c r="SS314" s="1"/>
      <c r="ST314" s="1"/>
      <c r="SU314" s="1"/>
      <c r="SV314" s="1"/>
      <c r="SW314" s="1"/>
      <c r="SX314" s="1"/>
      <c r="SY314" s="1"/>
      <c r="SZ314" s="1"/>
      <c r="TA314" s="1"/>
      <c r="TB314" s="1"/>
      <c r="TC314" s="1"/>
      <c r="TD314" s="1"/>
      <c r="TE314" s="1"/>
      <c r="TF314" s="1"/>
      <c r="TG314" s="1"/>
      <c r="TH314" s="1"/>
      <c r="TI314" s="1"/>
      <c r="TJ314" s="1"/>
      <c r="TK314" s="1"/>
      <c r="TL314" s="1"/>
      <c r="TM314" s="1"/>
      <c r="TN314" s="1"/>
      <c r="TO314" s="1"/>
      <c r="TP314" s="1"/>
      <c r="TQ314" s="1"/>
      <c r="TR314" s="1"/>
      <c r="TS314" s="1"/>
      <c r="TT314" s="1"/>
      <c r="TU314" s="1"/>
      <c r="TV314" s="1"/>
      <c r="TW314" s="1"/>
      <c r="TX314" s="1"/>
      <c r="TY314" s="1"/>
      <c r="TZ314" s="1"/>
      <c r="UA314" s="1"/>
      <c r="UB314" s="1"/>
      <c r="UC314" s="1"/>
      <c r="UD314" s="1"/>
      <c r="UE314" s="1"/>
      <c r="UF314" s="1"/>
      <c r="UG314" s="1"/>
      <c r="UH314" s="1"/>
      <c r="UI314" s="1"/>
    </row>
    <row r="315" spans="1:555" ht="54">
      <c r="A315" s="296">
        <v>429</v>
      </c>
      <c r="B315" s="297" t="s">
        <v>4383</v>
      </c>
      <c r="C315" s="298">
        <v>19485247</v>
      </c>
      <c r="D315" s="354" t="s">
        <v>67</v>
      </c>
      <c r="E315" s="299">
        <v>42773</v>
      </c>
      <c r="F315" s="300">
        <v>42767</v>
      </c>
      <c r="G315" s="301" t="s">
        <v>271</v>
      </c>
      <c r="H315" s="297" t="s">
        <v>63</v>
      </c>
      <c r="I315" s="297" t="s">
        <v>101</v>
      </c>
      <c r="J315" s="299"/>
      <c r="K315" s="300"/>
      <c r="L315" s="301"/>
      <c r="M315" s="297"/>
      <c r="N315" s="297"/>
      <c r="O315" s="299"/>
      <c r="P315" s="302"/>
      <c r="Q315" s="301"/>
      <c r="R315" s="297"/>
      <c r="S315" s="297"/>
      <c r="T315" s="299"/>
      <c r="U315" s="300"/>
      <c r="V315" s="301"/>
      <c r="W315" s="297"/>
      <c r="X315" s="297"/>
      <c r="Y315" s="299"/>
      <c r="Z315" s="300"/>
      <c r="AA315" s="301"/>
      <c r="AB315" s="297"/>
      <c r="AC315" s="297"/>
      <c r="AD315" s="299"/>
      <c r="AE315" s="300"/>
      <c r="AF315" s="301"/>
      <c r="AG315" s="297"/>
      <c r="AH315" s="297"/>
      <c r="AI315" s="322"/>
      <c r="AJ315" s="300"/>
      <c r="AK315" s="301"/>
      <c r="AL315" s="297"/>
      <c r="AM315" s="297"/>
      <c r="AN315" s="297"/>
      <c r="AO315" s="473"/>
      <c r="AP315" s="297"/>
      <c r="AQ315" s="301" t="s">
        <v>7892</v>
      </c>
      <c r="AR315" s="297" t="s">
        <v>66</v>
      </c>
      <c r="AS315" s="299" t="s">
        <v>67</v>
      </c>
      <c r="AT315" s="299" t="s">
        <v>67</v>
      </c>
      <c r="AU315" s="297" t="s">
        <v>3827</v>
      </c>
      <c r="AV315" s="297"/>
      <c r="AW315" s="297" t="s">
        <v>69</v>
      </c>
      <c r="AX315" s="297" t="s">
        <v>7628</v>
      </c>
      <c r="AY315" s="299">
        <v>42768</v>
      </c>
      <c r="AZ315" s="297" t="s">
        <v>67</v>
      </c>
      <c r="BA315" s="299" t="s">
        <v>67</v>
      </c>
      <c r="BB315" s="382">
        <v>42776</v>
      </c>
      <c r="BC315" s="297" t="s">
        <v>3829</v>
      </c>
      <c r="BD315" s="297" t="s">
        <v>6447</v>
      </c>
      <c r="BE315" s="297"/>
      <c r="BF315" s="301"/>
      <c r="BG315" s="301" t="s">
        <v>67</v>
      </c>
      <c r="BH315" s="301" t="s">
        <v>4384</v>
      </c>
      <c r="BI315" s="301" t="s">
        <v>4380</v>
      </c>
      <c r="BJ315" s="312">
        <v>3592632</v>
      </c>
      <c r="BK315" s="312">
        <v>3592632</v>
      </c>
      <c r="BL315" s="313">
        <v>34559917</v>
      </c>
      <c r="BM315" s="299">
        <v>42789</v>
      </c>
      <c r="BN315" s="300">
        <v>42767</v>
      </c>
      <c r="BO315" s="460"/>
      <c r="BP315" s="390"/>
      <c r="BQ315" s="297"/>
      <c r="BR315" s="303"/>
      <c r="BS315" s="301"/>
      <c r="BT315" s="301"/>
      <c r="BU315" s="301"/>
      <c r="BV315" s="301"/>
      <c r="BW315" s="316"/>
      <c r="BX315" s="304"/>
      <c r="BY315" s="299"/>
      <c r="BZ315" s="317"/>
    </row>
    <row r="316" spans="1:555" ht="81.75" customHeight="1">
      <c r="A316" s="296">
        <v>430</v>
      </c>
      <c r="B316" s="297" t="s">
        <v>4385</v>
      </c>
      <c r="C316" s="298">
        <v>17357222</v>
      </c>
      <c r="D316" s="354" t="s">
        <v>67</v>
      </c>
      <c r="E316" s="299">
        <v>42773</v>
      </c>
      <c r="F316" s="300">
        <v>42767</v>
      </c>
      <c r="G316" s="301" t="s">
        <v>271</v>
      </c>
      <c r="H316" s="297" t="s">
        <v>63</v>
      </c>
      <c r="I316" s="297" t="s">
        <v>101</v>
      </c>
      <c r="J316" s="299"/>
      <c r="K316" s="300"/>
      <c r="L316" s="301"/>
      <c r="M316" s="297"/>
      <c r="N316" s="297"/>
      <c r="O316" s="299"/>
      <c r="P316" s="302"/>
      <c r="Q316" s="301"/>
      <c r="R316" s="297"/>
      <c r="S316" s="297"/>
      <c r="T316" s="299"/>
      <c r="U316" s="300"/>
      <c r="V316" s="301"/>
      <c r="W316" s="297"/>
      <c r="X316" s="297"/>
      <c r="Y316" s="299"/>
      <c r="Z316" s="300"/>
      <c r="AA316" s="301"/>
      <c r="AB316" s="297"/>
      <c r="AC316" s="297"/>
      <c r="AD316" s="299"/>
      <c r="AE316" s="300"/>
      <c r="AF316" s="301"/>
      <c r="AG316" s="297"/>
      <c r="AH316" s="297"/>
      <c r="AI316" s="322"/>
      <c r="AJ316" s="300"/>
      <c r="AK316" s="301"/>
      <c r="AL316" s="297"/>
      <c r="AM316" s="297"/>
      <c r="AN316" s="297"/>
      <c r="AO316" s="473"/>
      <c r="AP316" s="297"/>
      <c r="AQ316" s="301" t="s">
        <v>7660</v>
      </c>
      <c r="AR316" s="297" t="s">
        <v>66</v>
      </c>
      <c r="AS316" s="299" t="s">
        <v>67</v>
      </c>
      <c r="AT316" s="299" t="s">
        <v>67</v>
      </c>
      <c r="AU316" s="297" t="s">
        <v>3827</v>
      </c>
      <c r="AV316" s="297"/>
      <c r="AW316" s="297" t="s">
        <v>69</v>
      </c>
      <c r="AX316" s="297" t="s">
        <v>7628</v>
      </c>
      <c r="AY316" s="299">
        <v>42768</v>
      </c>
      <c r="AZ316" s="297" t="s">
        <v>67</v>
      </c>
      <c r="BA316" s="299" t="s">
        <v>67</v>
      </c>
      <c r="BB316" s="382">
        <v>42776</v>
      </c>
      <c r="BC316" s="297" t="s">
        <v>3829</v>
      </c>
      <c r="BD316" s="297" t="s">
        <v>6447</v>
      </c>
      <c r="BE316" s="297"/>
      <c r="BF316" s="301"/>
      <c r="BG316" s="301" t="s">
        <v>67</v>
      </c>
      <c r="BH316" s="301" t="s">
        <v>4386</v>
      </c>
      <c r="BI316" s="301" t="s">
        <v>4380</v>
      </c>
      <c r="BJ316" s="312">
        <v>271143</v>
      </c>
      <c r="BK316" s="312">
        <v>271143</v>
      </c>
      <c r="BL316" s="313">
        <v>34575817</v>
      </c>
      <c r="BM316" s="299">
        <v>42789</v>
      </c>
      <c r="BN316" s="300">
        <v>42767</v>
      </c>
      <c r="BO316" s="460"/>
      <c r="BP316" s="390"/>
      <c r="BQ316" s="297"/>
      <c r="BR316" s="303"/>
      <c r="BS316" s="301"/>
      <c r="BT316" s="301"/>
      <c r="BU316" s="301"/>
      <c r="BV316" s="301"/>
      <c r="BW316" s="316"/>
      <c r="BX316" s="304"/>
      <c r="BY316" s="299"/>
      <c r="BZ316" s="317"/>
    </row>
    <row r="317" spans="1:555" ht="84" customHeight="1">
      <c r="A317" s="296">
        <v>432</v>
      </c>
      <c r="B317" s="297" t="s">
        <v>4396</v>
      </c>
      <c r="C317" s="298">
        <v>79964740</v>
      </c>
      <c r="D317" s="354" t="s">
        <v>67</v>
      </c>
      <c r="E317" s="299">
        <v>42779</v>
      </c>
      <c r="F317" s="300">
        <v>42767</v>
      </c>
      <c r="G317" s="301" t="s">
        <v>271</v>
      </c>
      <c r="H317" s="297" t="s">
        <v>63</v>
      </c>
      <c r="I317" s="297" t="s">
        <v>101</v>
      </c>
      <c r="J317" s="299"/>
      <c r="K317" s="300"/>
      <c r="L317" s="301"/>
      <c r="M317" s="297"/>
      <c r="N317" s="297"/>
      <c r="O317" s="299"/>
      <c r="P317" s="302"/>
      <c r="Q317" s="301"/>
      <c r="R317" s="297"/>
      <c r="S317" s="297"/>
      <c r="T317" s="299"/>
      <c r="U317" s="300"/>
      <c r="V317" s="301"/>
      <c r="W317" s="297"/>
      <c r="X317" s="297"/>
      <c r="Y317" s="299"/>
      <c r="Z317" s="300"/>
      <c r="AA317" s="301"/>
      <c r="AB317" s="297"/>
      <c r="AC317" s="297"/>
      <c r="AD317" s="299"/>
      <c r="AE317" s="300"/>
      <c r="AF317" s="301"/>
      <c r="AG317" s="297"/>
      <c r="AH317" s="297"/>
      <c r="AI317" s="322"/>
      <c r="AJ317" s="300"/>
      <c r="AK317" s="301"/>
      <c r="AL317" s="297"/>
      <c r="AM317" s="297"/>
      <c r="AN317" s="297"/>
      <c r="AO317" s="473"/>
      <c r="AP317" s="297"/>
      <c r="AQ317" s="301" t="s">
        <v>7887</v>
      </c>
      <c r="AR317" s="297" t="s">
        <v>66</v>
      </c>
      <c r="AS317" s="299" t="s">
        <v>67</v>
      </c>
      <c r="AT317" s="299" t="s">
        <v>67</v>
      </c>
      <c r="AU317" s="297" t="s">
        <v>3827</v>
      </c>
      <c r="AV317" s="297"/>
      <c r="AW317" s="297" t="s">
        <v>69</v>
      </c>
      <c r="AX317" s="297" t="s">
        <v>7628</v>
      </c>
      <c r="AY317" s="299">
        <v>42761</v>
      </c>
      <c r="AZ317" s="297" t="s">
        <v>67</v>
      </c>
      <c r="BA317" s="299" t="s">
        <v>67</v>
      </c>
      <c r="BB317" s="382">
        <v>42776</v>
      </c>
      <c r="BC317" s="297" t="s">
        <v>3829</v>
      </c>
      <c r="BD317" s="297" t="s">
        <v>6447</v>
      </c>
      <c r="BE317" s="297"/>
      <c r="BF317" s="301"/>
      <c r="BG317" s="301" t="s">
        <v>67</v>
      </c>
      <c r="BH317" s="301" t="s">
        <v>4397</v>
      </c>
      <c r="BI317" s="301" t="s">
        <v>4197</v>
      </c>
      <c r="BJ317" s="312">
        <v>2221537</v>
      </c>
      <c r="BK317" s="312">
        <v>2221537</v>
      </c>
      <c r="BL317" s="313">
        <v>42489817</v>
      </c>
      <c r="BM317" s="299">
        <v>42794</v>
      </c>
      <c r="BN317" s="300">
        <v>42767</v>
      </c>
      <c r="BO317" s="460"/>
      <c r="BP317" s="390"/>
      <c r="BQ317" s="297"/>
      <c r="BR317" s="303"/>
      <c r="BS317" s="301"/>
      <c r="BT317" s="301"/>
      <c r="BU317" s="301"/>
      <c r="BV317" s="301"/>
      <c r="BW317" s="316"/>
      <c r="BX317" s="304"/>
      <c r="BY317" s="299"/>
      <c r="BZ317" s="317"/>
    </row>
    <row r="318" spans="1:555" ht="159.75" customHeight="1">
      <c r="A318" s="296">
        <v>433</v>
      </c>
      <c r="B318" s="297" t="s">
        <v>4398</v>
      </c>
      <c r="C318" s="298">
        <v>4831771</v>
      </c>
      <c r="D318" s="354" t="s">
        <v>67</v>
      </c>
      <c r="E318" s="299">
        <v>42779</v>
      </c>
      <c r="F318" s="300">
        <v>42767</v>
      </c>
      <c r="G318" s="301" t="s">
        <v>271</v>
      </c>
      <c r="H318" s="297" t="s">
        <v>63</v>
      </c>
      <c r="I318" s="297" t="s">
        <v>101</v>
      </c>
      <c r="J318" s="299"/>
      <c r="K318" s="300"/>
      <c r="L318" s="301"/>
      <c r="M318" s="297"/>
      <c r="N318" s="297"/>
      <c r="O318" s="299"/>
      <c r="P318" s="302"/>
      <c r="Q318" s="301"/>
      <c r="R318" s="297"/>
      <c r="S318" s="297"/>
      <c r="T318" s="299"/>
      <c r="U318" s="300"/>
      <c r="V318" s="301"/>
      <c r="W318" s="297"/>
      <c r="X318" s="297"/>
      <c r="Y318" s="299"/>
      <c r="Z318" s="300"/>
      <c r="AA318" s="301"/>
      <c r="AB318" s="297"/>
      <c r="AC318" s="297"/>
      <c r="AD318" s="299"/>
      <c r="AE318" s="300"/>
      <c r="AF318" s="301"/>
      <c r="AG318" s="297"/>
      <c r="AH318" s="297"/>
      <c r="AI318" s="322"/>
      <c r="AJ318" s="300"/>
      <c r="AK318" s="301"/>
      <c r="AL318" s="297"/>
      <c r="AM318" s="297"/>
      <c r="AN318" s="297"/>
      <c r="AO318" s="473"/>
      <c r="AP318" s="297"/>
      <c r="AQ318" s="301" t="s">
        <v>7871</v>
      </c>
      <c r="AR318" s="297" t="s">
        <v>66</v>
      </c>
      <c r="AS318" s="299" t="s">
        <v>67</v>
      </c>
      <c r="AT318" s="299" t="s">
        <v>67</v>
      </c>
      <c r="AU318" s="297" t="s">
        <v>3827</v>
      </c>
      <c r="AV318" s="297"/>
      <c r="AW318" s="297" t="s">
        <v>69</v>
      </c>
      <c r="AX318" s="297" t="s">
        <v>7872</v>
      </c>
      <c r="AY318" s="299">
        <v>42723</v>
      </c>
      <c r="AZ318" s="297" t="s">
        <v>67</v>
      </c>
      <c r="BA318" s="299" t="s">
        <v>67</v>
      </c>
      <c r="BB318" s="382">
        <v>42748</v>
      </c>
      <c r="BC318" s="297" t="s">
        <v>3829</v>
      </c>
      <c r="BD318" s="297" t="s">
        <v>6447</v>
      </c>
      <c r="BE318" s="297"/>
      <c r="BF318" s="301"/>
      <c r="BG318" s="301" t="s">
        <v>67</v>
      </c>
      <c r="BH318" s="301" t="s">
        <v>4399</v>
      </c>
      <c r="BI318" s="301" t="s">
        <v>4197</v>
      </c>
      <c r="BJ318" s="312">
        <v>1423497</v>
      </c>
      <c r="BK318" s="312">
        <v>1423497</v>
      </c>
      <c r="BL318" s="313">
        <v>46702917</v>
      </c>
      <c r="BM318" s="299">
        <v>42797</v>
      </c>
      <c r="BN318" s="300">
        <v>42795</v>
      </c>
      <c r="BO318" s="460"/>
      <c r="BP318" s="390"/>
      <c r="BQ318" s="297"/>
      <c r="BR318" s="303"/>
      <c r="BS318" s="301"/>
      <c r="BT318" s="301"/>
      <c r="BU318" s="301"/>
      <c r="BV318" s="301"/>
      <c r="BW318" s="316"/>
      <c r="BX318" s="304"/>
      <c r="BY318" s="299"/>
      <c r="BZ318" s="317"/>
    </row>
    <row r="319" spans="1:555" s="259" customFormat="1" ht="95.25" customHeight="1">
      <c r="A319" s="296">
        <v>434</v>
      </c>
      <c r="B319" s="297" t="s">
        <v>4400</v>
      </c>
      <c r="C319" s="298">
        <v>1093742555</v>
      </c>
      <c r="D319" s="354" t="s">
        <v>67</v>
      </c>
      <c r="E319" s="299">
        <v>42779</v>
      </c>
      <c r="F319" s="300">
        <v>42767</v>
      </c>
      <c r="G319" s="301" t="s">
        <v>271</v>
      </c>
      <c r="H319" s="297" t="s">
        <v>63</v>
      </c>
      <c r="I319" s="297" t="s">
        <v>101</v>
      </c>
      <c r="J319" s="299"/>
      <c r="K319" s="300"/>
      <c r="L319" s="301"/>
      <c r="M319" s="297"/>
      <c r="N319" s="297"/>
      <c r="O319" s="299"/>
      <c r="P319" s="302"/>
      <c r="Q319" s="301"/>
      <c r="R319" s="297"/>
      <c r="S319" s="297"/>
      <c r="T319" s="299"/>
      <c r="U319" s="300"/>
      <c r="V319" s="301"/>
      <c r="W319" s="297"/>
      <c r="X319" s="297"/>
      <c r="Y319" s="299"/>
      <c r="Z319" s="300"/>
      <c r="AA319" s="301"/>
      <c r="AB319" s="297"/>
      <c r="AC319" s="297"/>
      <c r="AD319" s="299"/>
      <c r="AE319" s="300"/>
      <c r="AF319" s="301"/>
      <c r="AG319" s="297"/>
      <c r="AH319" s="297"/>
      <c r="AI319" s="322"/>
      <c r="AJ319" s="300"/>
      <c r="AK319" s="301"/>
      <c r="AL319" s="297"/>
      <c r="AM319" s="297"/>
      <c r="AN319" s="297"/>
      <c r="AO319" s="473"/>
      <c r="AP319" s="297"/>
      <c r="AQ319" s="301" t="s">
        <v>7697</v>
      </c>
      <c r="AR319" s="297" t="s">
        <v>66</v>
      </c>
      <c r="AS319" s="299" t="s">
        <v>67</v>
      </c>
      <c r="AT319" s="299" t="s">
        <v>67</v>
      </c>
      <c r="AU319" s="297" t="s">
        <v>3827</v>
      </c>
      <c r="AV319" s="297"/>
      <c r="AW319" s="297" t="s">
        <v>69</v>
      </c>
      <c r="AX319" s="297" t="s">
        <v>7628</v>
      </c>
      <c r="AY319" s="299">
        <v>42775</v>
      </c>
      <c r="AZ319" s="297" t="s">
        <v>67</v>
      </c>
      <c r="BA319" s="299" t="s">
        <v>67</v>
      </c>
      <c r="BB319" s="382">
        <v>42781</v>
      </c>
      <c r="BC319" s="297" t="s">
        <v>3829</v>
      </c>
      <c r="BD319" s="297" t="s">
        <v>6447</v>
      </c>
      <c r="BE319" s="297"/>
      <c r="BF319" s="301"/>
      <c r="BG319" s="301" t="s">
        <v>67</v>
      </c>
      <c r="BH319" s="301" t="s">
        <v>4401</v>
      </c>
      <c r="BI319" s="301" t="s">
        <v>4197</v>
      </c>
      <c r="BJ319" s="312">
        <v>204462</v>
      </c>
      <c r="BK319" s="312">
        <v>204462</v>
      </c>
      <c r="BL319" s="313">
        <v>42483517</v>
      </c>
      <c r="BM319" s="299">
        <v>42794</v>
      </c>
      <c r="BN319" s="300">
        <v>42767</v>
      </c>
      <c r="BO319" s="460"/>
      <c r="BP319" s="390"/>
      <c r="BQ319" s="297"/>
      <c r="BR319" s="303"/>
      <c r="BS319" s="301"/>
      <c r="BT319" s="301"/>
      <c r="BU319" s="301"/>
      <c r="BV319" s="301"/>
      <c r="BW319" s="316"/>
      <c r="BX319" s="304"/>
      <c r="BY319" s="299"/>
      <c r="BZ319" s="317"/>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c r="IY319" s="1"/>
      <c r="IZ319" s="1"/>
      <c r="JA319" s="1"/>
      <c r="JB319" s="1"/>
      <c r="JC319" s="1"/>
      <c r="JD319" s="1"/>
      <c r="JE319" s="1"/>
      <c r="JF319" s="1"/>
      <c r="JG319" s="1"/>
      <c r="JH319" s="1"/>
      <c r="JI319" s="1"/>
      <c r="JJ319" s="1"/>
      <c r="JK319" s="1"/>
      <c r="JL319" s="1"/>
      <c r="JM319" s="1"/>
      <c r="JN319" s="1"/>
      <c r="JO319" s="1"/>
      <c r="JP319" s="1"/>
      <c r="JQ319" s="1"/>
      <c r="JR319" s="1"/>
      <c r="JS319" s="1"/>
      <c r="JT319" s="1"/>
      <c r="JU319" s="1"/>
      <c r="JV319" s="1"/>
      <c r="JW319" s="1"/>
      <c r="JX319" s="1"/>
      <c r="JY319" s="1"/>
      <c r="JZ319" s="1"/>
      <c r="KA319" s="1"/>
      <c r="KB319" s="1"/>
      <c r="KC319" s="1"/>
      <c r="KD319" s="1"/>
      <c r="KE319" s="1"/>
      <c r="KF319" s="1"/>
      <c r="KG319" s="1"/>
      <c r="KH319" s="1"/>
      <c r="KI319" s="1"/>
      <c r="KJ319" s="1"/>
      <c r="KK319" s="1"/>
      <c r="KL319" s="1"/>
      <c r="KM319" s="1"/>
      <c r="KN319" s="1"/>
      <c r="KO319" s="1"/>
      <c r="KP319" s="1"/>
      <c r="KQ319" s="1"/>
      <c r="KR319" s="1"/>
      <c r="KS319" s="1"/>
      <c r="KT319" s="1"/>
      <c r="KU319" s="1"/>
      <c r="KV319" s="1"/>
      <c r="KW319" s="1"/>
      <c r="KX319" s="1"/>
      <c r="KY319" s="1"/>
      <c r="KZ319" s="1"/>
      <c r="LA319" s="1"/>
      <c r="LB319" s="1"/>
      <c r="LC319" s="1"/>
      <c r="LD319" s="1"/>
      <c r="LE319" s="1"/>
      <c r="LF319" s="1"/>
      <c r="LG319" s="1"/>
      <c r="LH319" s="1"/>
      <c r="LI319" s="1"/>
      <c r="LJ319" s="1"/>
      <c r="LK319" s="1"/>
      <c r="LL319" s="1"/>
      <c r="LM319" s="1"/>
      <c r="LN319" s="1"/>
      <c r="LO319" s="1"/>
      <c r="LP319" s="1"/>
      <c r="LQ319" s="1"/>
      <c r="LR319" s="1"/>
      <c r="LS319" s="1"/>
      <c r="LT319" s="1"/>
      <c r="LU319" s="1"/>
      <c r="LV319" s="1"/>
      <c r="LW319" s="1"/>
      <c r="LX319" s="1"/>
      <c r="LY319" s="1"/>
      <c r="LZ319" s="1"/>
      <c r="MA319" s="1"/>
      <c r="MB319" s="1"/>
      <c r="MC319" s="1"/>
      <c r="MD319" s="1"/>
      <c r="ME319" s="1"/>
      <c r="MF319" s="1"/>
      <c r="MG319" s="1"/>
      <c r="MH319" s="1"/>
      <c r="MI319" s="1"/>
      <c r="MJ319" s="1"/>
      <c r="MK319" s="1"/>
      <c r="ML319" s="1"/>
      <c r="MM319" s="1"/>
      <c r="MN319" s="1"/>
      <c r="MO319" s="1"/>
      <c r="MP319" s="1"/>
      <c r="MQ319" s="1"/>
      <c r="MR319" s="1"/>
      <c r="MS319" s="1"/>
      <c r="MT319" s="1"/>
      <c r="MU319" s="1"/>
      <c r="MV319" s="1"/>
      <c r="MW319" s="1"/>
      <c r="MX319" s="1"/>
      <c r="MY319" s="1"/>
      <c r="MZ319" s="1"/>
      <c r="NA319" s="1"/>
      <c r="NB319" s="1"/>
      <c r="NC319" s="1"/>
      <c r="ND319" s="1"/>
      <c r="NE319" s="1"/>
      <c r="NF319" s="1"/>
      <c r="NG319" s="1"/>
      <c r="NH319" s="1"/>
      <c r="NI319" s="1"/>
      <c r="NJ319" s="1"/>
      <c r="NK319" s="1"/>
      <c r="NL319" s="1"/>
      <c r="NM319" s="1"/>
      <c r="NN319" s="1"/>
      <c r="NO319" s="1"/>
      <c r="NP319" s="1"/>
      <c r="NQ319" s="1"/>
      <c r="NR319" s="1"/>
      <c r="NS319" s="1"/>
      <c r="NT319" s="1"/>
      <c r="NU319" s="1"/>
      <c r="NV319" s="1"/>
      <c r="NW319" s="1"/>
      <c r="NX319" s="1"/>
      <c r="NY319" s="1"/>
      <c r="NZ319" s="1"/>
      <c r="OA319" s="1"/>
      <c r="OB319" s="1"/>
      <c r="OC319" s="1"/>
      <c r="OD319" s="1"/>
      <c r="OE319" s="1"/>
      <c r="OF319" s="1"/>
      <c r="OG319" s="1"/>
      <c r="OH319" s="1"/>
      <c r="OI319" s="1"/>
      <c r="OJ319" s="1"/>
      <c r="OK319" s="1"/>
      <c r="OL319" s="1"/>
      <c r="OM319" s="1"/>
      <c r="ON319" s="1"/>
      <c r="OO319" s="1"/>
      <c r="OP319" s="1"/>
      <c r="OQ319" s="1"/>
      <c r="OR319" s="1"/>
      <c r="OS319" s="1"/>
      <c r="OT319" s="1"/>
      <c r="OU319" s="1"/>
      <c r="OV319" s="1"/>
      <c r="OW319" s="1"/>
      <c r="OX319" s="1"/>
      <c r="OY319" s="1"/>
      <c r="OZ319" s="1"/>
      <c r="PA319" s="1"/>
      <c r="PB319" s="1"/>
      <c r="PC319" s="1"/>
      <c r="PD319" s="1"/>
      <c r="PE319" s="1"/>
      <c r="PF319" s="1"/>
      <c r="PG319" s="1"/>
      <c r="PH319" s="1"/>
      <c r="PI319" s="1"/>
      <c r="PJ319" s="1"/>
      <c r="PK319" s="1"/>
      <c r="PL319" s="1"/>
      <c r="PM319" s="1"/>
      <c r="PN319" s="1"/>
      <c r="PO319" s="1"/>
      <c r="PP319" s="1"/>
      <c r="PQ319" s="1"/>
      <c r="PR319" s="1"/>
      <c r="PS319" s="1"/>
      <c r="PT319" s="1"/>
      <c r="PU319" s="1"/>
      <c r="PV319" s="1"/>
      <c r="PW319" s="1"/>
      <c r="PX319" s="1"/>
      <c r="PY319" s="1"/>
      <c r="PZ319" s="1"/>
      <c r="QA319" s="1"/>
      <c r="QB319" s="1"/>
      <c r="QC319" s="1"/>
      <c r="QD319" s="1"/>
      <c r="QE319" s="1"/>
      <c r="QF319" s="1"/>
      <c r="QG319" s="1"/>
      <c r="QH319" s="1"/>
      <c r="QI319" s="1"/>
      <c r="QJ319" s="1"/>
      <c r="QK319" s="1"/>
      <c r="QL319" s="1"/>
      <c r="QM319" s="1"/>
      <c r="QN319" s="1"/>
      <c r="QO319" s="1"/>
      <c r="QP319" s="1"/>
      <c r="QQ319" s="1"/>
      <c r="QR319" s="1"/>
      <c r="QS319" s="1"/>
      <c r="QT319" s="1"/>
      <c r="QU319" s="1"/>
      <c r="QV319" s="1"/>
      <c r="QW319" s="1"/>
      <c r="QX319" s="1"/>
      <c r="QY319" s="1"/>
      <c r="QZ319" s="1"/>
      <c r="RA319" s="1"/>
      <c r="RB319" s="1"/>
      <c r="RC319" s="1"/>
      <c r="RD319" s="1"/>
      <c r="RE319" s="1"/>
      <c r="RF319" s="1"/>
      <c r="RG319" s="1"/>
      <c r="RH319" s="1"/>
      <c r="RI319" s="1"/>
      <c r="RJ319" s="1"/>
      <c r="RK319" s="1"/>
      <c r="RL319" s="1"/>
      <c r="RM319" s="1"/>
      <c r="RN319" s="1"/>
      <c r="RO319" s="1"/>
      <c r="RP319" s="1"/>
      <c r="RQ319" s="1"/>
      <c r="RR319" s="1"/>
      <c r="RS319" s="1"/>
      <c r="RT319" s="1"/>
      <c r="RU319" s="1"/>
      <c r="RV319" s="1"/>
      <c r="RW319" s="1"/>
      <c r="RX319" s="1"/>
      <c r="RY319" s="1"/>
      <c r="RZ319" s="1"/>
      <c r="SA319" s="1"/>
      <c r="SB319" s="1"/>
      <c r="SC319" s="1"/>
      <c r="SD319" s="1"/>
      <c r="SE319" s="1"/>
      <c r="SF319" s="1"/>
      <c r="SG319" s="1"/>
      <c r="SH319" s="1"/>
      <c r="SI319" s="1"/>
      <c r="SJ319" s="1"/>
      <c r="SK319" s="1"/>
      <c r="SL319" s="1"/>
      <c r="SM319" s="1"/>
      <c r="SN319" s="1"/>
      <c r="SO319" s="1"/>
      <c r="SP319" s="1"/>
      <c r="SQ319" s="1"/>
      <c r="SR319" s="1"/>
      <c r="SS319" s="1"/>
      <c r="ST319" s="1"/>
      <c r="SU319" s="1"/>
      <c r="SV319" s="1"/>
      <c r="SW319" s="1"/>
      <c r="SX319" s="1"/>
      <c r="SY319" s="1"/>
      <c r="SZ319" s="1"/>
      <c r="TA319" s="1"/>
      <c r="TB319" s="1"/>
      <c r="TC319" s="1"/>
      <c r="TD319" s="1"/>
      <c r="TE319" s="1"/>
      <c r="TF319" s="1"/>
      <c r="TG319" s="1"/>
      <c r="TH319" s="1"/>
      <c r="TI319" s="1"/>
      <c r="TJ319" s="1"/>
      <c r="TK319" s="1"/>
      <c r="TL319" s="1"/>
      <c r="TM319" s="1"/>
      <c r="TN319" s="1"/>
      <c r="TO319" s="1"/>
      <c r="TP319" s="1"/>
      <c r="TQ319" s="1"/>
      <c r="TR319" s="1"/>
      <c r="TS319" s="1"/>
      <c r="TT319" s="1"/>
      <c r="TU319" s="1"/>
      <c r="TV319" s="1"/>
      <c r="TW319" s="1"/>
      <c r="TX319" s="1"/>
      <c r="TY319" s="1"/>
      <c r="TZ319" s="1"/>
      <c r="UA319" s="1"/>
      <c r="UB319" s="1"/>
      <c r="UC319" s="1"/>
      <c r="UD319" s="1"/>
      <c r="UE319" s="1"/>
      <c r="UF319" s="1"/>
      <c r="UG319" s="1"/>
      <c r="UH319" s="1"/>
      <c r="UI319" s="1"/>
    </row>
    <row r="320" spans="1:555" ht="117" customHeight="1">
      <c r="A320" s="296">
        <v>435</v>
      </c>
      <c r="B320" s="297" t="s">
        <v>4402</v>
      </c>
      <c r="C320" s="298">
        <v>91425113</v>
      </c>
      <c r="D320" s="354" t="s">
        <v>67</v>
      </c>
      <c r="E320" s="299">
        <v>42779</v>
      </c>
      <c r="F320" s="300">
        <v>42767</v>
      </c>
      <c r="G320" s="301" t="s">
        <v>271</v>
      </c>
      <c r="H320" s="297" t="s">
        <v>63</v>
      </c>
      <c r="I320" s="297" t="s">
        <v>101</v>
      </c>
      <c r="J320" s="299"/>
      <c r="K320" s="300"/>
      <c r="L320" s="301"/>
      <c r="M320" s="297"/>
      <c r="N320" s="297"/>
      <c r="O320" s="299"/>
      <c r="P320" s="302"/>
      <c r="Q320" s="301"/>
      <c r="R320" s="297"/>
      <c r="S320" s="297"/>
      <c r="T320" s="299"/>
      <c r="U320" s="300"/>
      <c r="V320" s="301"/>
      <c r="W320" s="297"/>
      <c r="X320" s="297"/>
      <c r="Y320" s="299"/>
      <c r="Z320" s="300"/>
      <c r="AA320" s="301"/>
      <c r="AB320" s="297"/>
      <c r="AC320" s="297"/>
      <c r="AD320" s="299"/>
      <c r="AE320" s="300"/>
      <c r="AF320" s="301"/>
      <c r="AG320" s="297"/>
      <c r="AH320" s="297"/>
      <c r="AI320" s="322"/>
      <c r="AJ320" s="300"/>
      <c r="AK320" s="301"/>
      <c r="AL320" s="297"/>
      <c r="AM320" s="297"/>
      <c r="AN320" s="297"/>
      <c r="AO320" s="473"/>
      <c r="AP320" s="297"/>
      <c r="AQ320" s="301" t="s">
        <v>8148</v>
      </c>
      <c r="AR320" s="297" t="s">
        <v>66</v>
      </c>
      <c r="AS320" s="299" t="s">
        <v>67</v>
      </c>
      <c r="AT320" s="299" t="s">
        <v>67</v>
      </c>
      <c r="AU320" s="297" t="s">
        <v>3827</v>
      </c>
      <c r="AV320" s="297"/>
      <c r="AW320" s="297" t="s">
        <v>69</v>
      </c>
      <c r="AX320" s="297" t="s">
        <v>7628</v>
      </c>
      <c r="AY320" s="299">
        <v>42775</v>
      </c>
      <c r="AZ320" s="297" t="s">
        <v>67</v>
      </c>
      <c r="BA320" s="299" t="s">
        <v>67</v>
      </c>
      <c r="BB320" s="382">
        <v>42781</v>
      </c>
      <c r="BC320" s="297" t="s">
        <v>3829</v>
      </c>
      <c r="BD320" s="297" t="s">
        <v>6447</v>
      </c>
      <c r="BE320" s="297"/>
      <c r="BF320" s="301"/>
      <c r="BG320" s="301" t="s">
        <v>67</v>
      </c>
      <c r="BH320" s="301" t="s">
        <v>4403</v>
      </c>
      <c r="BI320" s="301" t="s">
        <v>4344</v>
      </c>
      <c r="BJ320" s="312">
        <v>677856</v>
      </c>
      <c r="BK320" s="312">
        <v>677856</v>
      </c>
      <c r="BL320" s="313">
        <v>47992617</v>
      </c>
      <c r="BM320" s="299">
        <v>42800</v>
      </c>
      <c r="BN320" s="300">
        <v>42795</v>
      </c>
      <c r="BO320" s="460"/>
      <c r="BP320" s="390"/>
      <c r="BQ320" s="297"/>
      <c r="BR320" s="303"/>
      <c r="BS320" s="301"/>
      <c r="BT320" s="301"/>
      <c r="BU320" s="301"/>
      <c r="BV320" s="301"/>
      <c r="BW320" s="316"/>
      <c r="BX320" s="304"/>
      <c r="BY320" s="299"/>
      <c r="BZ320" s="317"/>
    </row>
    <row r="321" spans="1:555" ht="87.75" customHeight="1">
      <c r="A321" s="296">
        <v>436</v>
      </c>
      <c r="B321" s="297" t="s">
        <v>4404</v>
      </c>
      <c r="C321" s="298">
        <v>71662627</v>
      </c>
      <c r="D321" s="354" t="s">
        <v>67</v>
      </c>
      <c r="E321" s="299">
        <v>42779</v>
      </c>
      <c r="F321" s="300">
        <v>42767</v>
      </c>
      <c r="G321" s="301" t="s">
        <v>271</v>
      </c>
      <c r="H321" s="297" t="s">
        <v>63</v>
      </c>
      <c r="I321" s="297" t="s">
        <v>101</v>
      </c>
      <c r="J321" s="299"/>
      <c r="K321" s="300"/>
      <c r="L321" s="301"/>
      <c r="M321" s="297"/>
      <c r="N321" s="297"/>
      <c r="O321" s="299"/>
      <c r="P321" s="302"/>
      <c r="Q321" s="301"/>
      <c r="R321" s="297"/>
      <c r="S321" s="297"/>
      <c r="T321" s="299"/>
      <c r="U321" s="300"/>
      <c r="V321" s="301"/>
      <c r="W321" s="297"/>
      <c r="X321" s="297"/>
      <c r="Y321" s="299"/>
      <c r="Z321" s="300"/>
      <c r="AA321" s="301"/>
      <c r="AB321" s="297"/>
      <c r="AC321" s="297"/>
      <c r="AD321" s="299"/>
      <c r="AE321" s="300"/>
      <c r="AF321" s="301"/>
      <c r="AG321" s="297"/>
      <c r="AH321" s="297"/>
      <c r="AI321" s="322"/>
      <c r="AJ321" s="300"/>
      <c r="AK321" s="301"/>
      <c r="AL321" s="297"/>
      <c r="AM321" s="297"/>
      <c r="AN321" s="297"/>
      <c r="AO321" s="473"/>
      <c r="AP321" s="297"/>
      <c r="AQ321" s="301" t="s">
        <v>7840</v>
      </c>
      <c r="AR321" s="297" t="s">
        <v>66</v>
      </c>
      <c r="AS321" s="299" t="s">
        <v>67</v>
      </c>
      <c r="AT321" s="299" t="s">
        <v>67</v>
      </c>
      <c r="AU321" s="297" t="s">
        <v>3827</v>
      </c>
      <c r="AV321" s="297"/>
      <c r="AW321" s="297" t="s">
        <v>69</v>
      </c>
      <c r="AX321" s="297" t="s">
        <v>7628</v>
      </c>
      <c r="AY321" s="299">
        <v>42775</v>
      </c>
      <c r="AZ321" s="297" t="s">
        <v>67</v>
      </c>
      <c r="BA321" s="299" t="s">
        <v>67</v>
      </c>
      <c r="BB321" s="382">
        <v>42781</v>
      </c>
      <c r="BC321" s="297" t="s">
        <v>3829</v>
      </c>
      <c r="BD321" s="297" t="s">
        <v>6447</v>
      </c>
      <c r="BE321" s="297"/>
      <c r="BF321" s="301"/>
      <c r="BG321" s="301" t="s">
        <v>67</v>
      </c>
      <c r="BH321" s="301" t="s">
        <v>4405</v>
      </c>
      <c r="BI321" s="301" t="s">
        <v>4197</v>
      </c>
      <c r="BJ321" s="312">
        <v>1559068</v>
      </c>
      <c r="BK321" s="312">
        <v>1559068</v>
      </c>
      <c r="BL321" s="313">
        <v>46927117</v>
      </c>
      <c r="BM321" s="299">
        <v>42797</v>
      </c>
      <c r="BN321" s="300">
        <v>42795</v>
      </c>
      <c r="BO321" s="460"/>
      <c r="BP321" s="390"/>
      <c r="BQ321" s="297"/>
      <c r="BR321" s="303"/>
      <c r="BS321" s="301"/>
      <c r="BT321" s="301"/>
      <c r="BU321" s="301"/>
      <c r="BV321" s="301"/>
      <c r="BW321" s="316"/>
      <c r="BX321" s="304"/>
      <c r="BY321" s="299"/>
      <c r="BZ321" s="317"/>
    </row>
    <row r="322" spans="1:555" s="259" customFormat="1" ht="90.75" customHeight="1">
      <c r="A322" s="296">
        <v>437</v>
      </c>
      <c r="B322" s="303" t="s">
        <v>4406</v>
      </c>
      <c r="C322" s="298">
        <v>72245725</v>
      </c>
      <c r="D322" s="354" t="s">
        <v>67</v>
      </c>
      <c r="E322" s="299">
        <v>42779</v>
      </c>
      <c r="F322" s="300">
        <v>42767</v>
      </c>
      <c r="G322" s="301" t="s">
        <v>271</v>
      </c>
      <c r="H322" s="297" t="s">
        <v>63</v>
      </c>
      <c r="I322" s="297" t="s">
        <v>101</v>
      </c>
      <c r="J322" s="299"/>
      <c r="K322" s="300"/>
      <c r="L322" s="301"/>
      <c r="M322" s="297"/>
      <c r="N322" s="297"/>
      <c r="O322" s="299"/>
      <c r="P322" s="302"/>
      <c r="Q322" s="301"/>
      <c r="R322" s="297"/>
      <c r="S322" s="297"/>
      <c r="T322" s="299"/>
      <c r="U322" s="300"/>
      <c r="V322" s="301"/>
      <c r="W322" s="297"/>
      <c r="X322" s="297"/>
      <c r="Y322" s="299"/>
      <c r="Z322" s="300"/>
      <c r="AA322" s="301"/>
      <c r="AB322" s="297"/>
      <c r="AC322" s="297"/>
      <c r="AD322" s="299"/>
      <c r="AE322" s="300"/>
      <c r="AF322" s="301"/>
      <c r="AG322" s="297"/>
      <c r="AH322" s="297"/>
      <c r="AI322" s="322"/>
      <c r="AJ322" s="300"/>
      <c r="AK322" s="301"/>
      <c r="AL322" s="297"/>
      <c r="AM322" s="297"/>
      <c r="AN322" s="297"/>
      <c r="AO322" s="473"/>
      <c r="AP322" s="297"/>
      <c r="AQ322" s="301" t="s">
        <v>8149</v>
      </c>
      <c r="AR322" s="297" t="s">
        <v>66</v>
      </c>
      <c r="AS322" s="299" t="s">
        <v>67</v>
      </c>
      <c r="AT322" s="299" t="s">
        <v>67</v>
      </c>
      <c r="AU322" s="297" t="s">
        <v>3827</v>
      </c>
      <c r="AV322" s="297"/>
      <c r="AW322" s="297" t="s">
        <v>69</v>
      </c>
      <c r="AX322" s="297" t="s">
        <v>7628</v>
      </c>
      <c r="AY322" s="299">
        <v>42775</v>
      </c>
      <c r="AZ322" s="297" t="s">
        <v>67</v>
      </c>
      <c r="BA322" s="299" t="s">
        <v>67</v>
      </c>
      <c r="BB322" s="382">
        <v>42781</v>
      </c>
      <c r="BC322" s="297" t="s">
        <v>3829</v>
      </c>
      <c r="BD322" s="297" t="s">
        <v>6447</v>
      </c>
      <c r="BE322" s="297"/>
      <c r="BF322" s="301"/>
      <c r="BG322" s="301" t="s">
        <v>67</v>
      </c>
      <c r="BH322" s="301" t="s">
        <v>4407</v>
      </c>
      <c r="BI322" s="301" t="s">
        <v>4197</v>
      </c>
      <c r="BJ322" s="312">
        <v>368928</v>
      </c>
      <c r="BK322" s="312">
        <v>368928</v>
      </c>
      <c r="BL322" s="313">
        <v>46918417</v>
      </c>
      <c r="BM322" s="299">
        <v>42797</v>
      </c>
      <c r="BN322" s="300">
        <v>42795</v>
      </c>
      <c r="BO322" s="460"/>
      <c r="BP322" s="390"/>
      <c r="BQ322" s="297"/>
      <c r="BR322" s="303"/>
      <c r="BS322" s="301"/>
      <c r="BT322" s="301"/>
      <c r="BU322" s="301"/>
      <c r="BV322" s="301"/>
      <c r="BW322" s="316"/>
      <c r="BX322" s="304"/>
      <c r="BY322" s="299"/>
      <c r="BZ322" s="317"/>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c r="IY322" s="1"/>
      <c r="IZ322" s="1"/>
      <c r="JA322" s="1"/>
      <c r="JB322" s="1"/>
      <c r="JC322" s="1"/>
      <c r="JD322" s="1"/>
      <c r="JE322" s="1"/>
      <c r="JF322" s="1"/>
      <c r="JG322" s="1"/>
      <c r="JH322" s="1"/>
      <c r="JI322" s="1"/>
      <c r="JJ322" s="1"/>
      <c r="JK322" s="1"/>
      <c r="JL322" s="1"/>
      <c r="JM322" s="1"/>
      <c r="JN322" s="1"/>
      <c r="JO322" s="1"/>
      <c r="JP322" s="1"/>
      <c r="JQ322" s="1"/>
      <c r="JR322" s="1"/>
      <c r="JS322" s="1"/>
      <c r="JT322" s="1"/>
      <c r="JU322" s="1"/>
      <c r="JV322" s="1"/>
      <c r="JW322" s="1"/>
      <c r="JX322" s="1"/>
      <c r="JY322" s="1"/>
      <c r="JZ322" s="1"/>
      <c r="KA322" s="1"/>
      <c r="KB322" s="1"/>
      <c r="KC322" s="1"/>
      <c r="KD322" s="1"/>
      <c r="KE322" s="1"/>
      <c r="KF322" s="1"/>
      <c r="KG322" s="1"/>
      <c r="KH322" s="1"/>
      <c r="KI322" s="1"/>
      <c r="KJ322" s="1"/>
      <c r="KK322" s="1"/>
      <c r="KL322" s="1"/>
      <c r="KM322" s="1"/>
      <c r="KN322" s="1"/>
      <c r="KO322" s="1"/>
      <c r="KP322" s="1"/>
      <c r="KQ322" s="1"/>
      <c r="KR322" s="1"/>
      <c r="KS322" s="1"/>
      <c r="KT322" s="1"/>
      <c r="KU322" s="1"/>
      <c r="KV322" s="1"/>
      <c r="KW322" s="1"/>
      <c r="KX322" s="1"/>
      <c r="KY322" s="1"/>
      <c r="KZ322" s="1"/>
      <c r="LA322" s="1"/>
      <c r="LB322" s="1"/>
      <c r="LC322" s="1"/>
      <c r="LD322" s="1"/>
      <c r="LE322" s="1"/>
      <c r="LF322" s="1"/>
      <c r="LG322" s="1"/>
      <c r="LH322" s="1"/>
      <c r="LI322" s="1"/>
      <c r="LJ322" s="1"/>
      <c r="LK322" s="1"/>
      <c r="LL322" s="1"/>
      <c r="LM322" s="1"/>
      <c r="LN322" s="1"/>
      <c r="LO322" s="1"/>
      <c r="LP322" s="1"/>
      <c r="LQ322" s="1"/>
      <c r="LR322" s="1"/>
      <c r="LS322" s="1"/>
      <c r="LT322" s="1"/>
      <c r="LU322" s="1"/>
      <c r="LV322" s="1"/>
      <c r="LW322" s="1"/>
      <c r="LX322" s="1"/>
      <c r="LY322" s="1"/>
      <c r="LZ322" s="1"/>
      <c r="MA322" s="1"/>
      <c r="MB322" s="1"/>
      <c r="MC322" s="1"/>
      <c r="MD322" s="1"/>
      <c r="ME322" s="1"/>
      <c r="MF322" s="1"/>
      <c r="MG322" s="1"/>
      <c r="MH322" s="1"/>
      <c r="MI322" s="1"/>
      <c r="MJ322" s="1"/>
      <c r="MK322" s="1"/>
      <c r="ML322" s="1"/>
      <c r="MM322" s="1"/>
      <c r="MN322" s="1"/>
      <c r="MO322" s="1"/>
      <c r="MP322" s="1"/>
      <c r="MQ322" s="1"/>
      <c r="MR322" s="1"/>
      <c r="MS322" s="1"/>
      <c r="MT322" s="1"/>
      <c r="MU322" s="1"/>
      <c r="MV322" s="1"/>
      <c r="MW322" s="1"/>
      <c r="MX322" s="1"/>
      <c r="MY322" s="1"/>
      <c r="MZ322" s="1"/>
      <c r="NA322" s="1"/>
      <c r="NB322" s="1"/>
      <c r="NC322" s="1"/>
      <c r="ND322" s="1"/>
      <c r="NE322" s="1"/>
      <c r="NF322" s="1"/>
      <c r="NG322" s="1"/>
      <c r="NH322" s="1"/>
      <c r="NI322" s="1"/>
      <c r="NJ322" s="1"/>
      <c r="NK322" s="1"/>
      <c r="NL322" s="1"/>
      <c r="NM322" s="1"/>
      <c r="NN322" s="1"/>
      <c r="NO322" s="1"/>
      <c r="NP322" s="1"/>
      <c r="NQ322" s="1"/>
      <c r="NR322" s="1"/>
      <c r="NS322" s="1"/>
      <c r="NT322" s="1"/>
      <c r="NU322" s="1"/>
      <c r="NV322" s="1"/>
      <c r="NW322" s="1"/>
      <c r="NX322" s="1"/>
      <c r="NY322" s="1"/>
      <c r="NZ322" s="1"/>
      <c r="OA322" s="1"/>
      <c r="OB322" s="1"/>
      <c r="OC322" s="1"/>
      <c r="OD322" s="1"/>
      <c r="OE322" s="1"/>
      <c r="OF322" s="1"/>
      <c r="OG322" s="1"/>
      <c r="OH322" s="1"/>
      <c r="OI322" s="1"/>
      <c r="OJ322" s="1"/>
      <c r="OK322" s="1"/>
      <c r="OL322" s="1"/>
      <c r="OM322" s="1"/>
      <c r="ON322" s="1"/>
      <c r="OO322" s="1"/>
      <c r="OP322" s="1"/>
      <c r="OQ322" s="1"/>
      <c r="OR322" s="1"/>
      <c r="OS322" s="1"/>
      <c r="OT322" s="1"/>
      <c r="OU322" s="1"/>
      <c r="OV322" s="1"/>
      <c r="OW322" s="1"/>
      <c r="OX322" s="1"/>
      <c r="OY322" s="1"/>
      <c r="OZ322" s="1"/>
      <c r="PA322" s="1"/>
      <c r="PB322" s="1"/>
      <c r="PC322" s="1"/>
      <c r="PD322" s="1"/>
      <c r="PE322" s="1"/>
      <c r="PF322" s="1"/>
      <c r="PG322" s="1"/>
      <c r="PH322" s="1"/>
      <c r="PI322" s="1"/>
      <c r="PJ322" s="1"/>
      <c r="PK322" s="1"/>
      <c r="PL322" s="1"/>
      <c r="PM322" s="1"/>
      <c r="PN322" s="1"/>
      <c r="PO322" s="1"/>
      <c r="PP322" s="1"/>
      <c r="PQ322" s="1"/>
      <c r="PR322" s="1"/>
      <c r="PS322" s="1"/>
      <c r="PT322" s="1"/>
      <c r="PU322" s="1"/>
      <c r="PV322" s="1"/>
      <c r="PW322" s="1"/>
      <c r="PX322" s="1"/>
      <c r="PY322" s="1"/>
      <c r="PZ322" s="1"/>
      <c r="QA322" s="1"/>
      <c r="QB322" s="1"/>
      <c r="QC322" s="1"/>
      <c r="QD322" s="1"/>
      <c r="QE322" s="1"/>
      <c r="QF322" s="1"/>
      <c r="QG322" s="1"/>
      <c r="QH322" s="1"/>
      <c r="QI322" s="1"/>
      <c r="QJ322" s="1"/>
      <c r="QK322" s="1"/>
      <c r="QL322" s="1"/>
      <c r="QM322" s="1"/>
      <c r="QN322" s="1"/>
      <c r="QO322" s="1"/>
      <c r="QP322" s="1"/>
      <c r="QQ322" s="1"/>
      <c r="QR322" s="1"/>
      <c r="QS322" s="1"/>
      <c r="QT322" s="1"/>
      <c r="QU322" s="1"/>
      <c r="QV322" s="1"/>
      <c r="QW322" s="1"/>
      <c r="QX322" s="1"/>
      <c r="QY322" s="1"/>
      <c r="QZ322" s="1"/>
      <c r="RA322" s="1"/>
      <c r="RB322" s="1"/>
      <c r="RC322" s="1"/>
      <c r="RD322" s="1"/>
      <c r="RE322" s="1"/>
      <c r="RF322" s="1"/>
      <c r="RG322" s="1"/>
      <c r="RH322" s="1"/>
      <c r="RI322" s="1"/>
      <c r="RJ322" s="1"/>
      <c r="RK322" s="1"/>
      <c r="RL322" s="1"/>
      <c r="RM322" s="1"/>
      <c r="RN322" s="1"/>
      <c r="RO322" s="1"/>
      <c r="RP322" s="1"/>
      <c r="RQ322" s="1"/>
      <c r="RR322" s="1"/>
      <c r="RS322" s="1"/>
      <c r="RT322" s="1"/>
      <c r="RU322" s="1"/>
      <c r="RV322" s="1"/>
      <c r="RW322" s="1"/>
      <c r="RX322" s="1"/>
      <c r="RY322" s="1"/>
      <c r="RZ322" s="1"/>
      <c r="SA322" s="1"/>
      <c r="SB322" s="1"/>
      <c r="SC322" s="1"/>
      <c r="SD322" s="1"/>
      <c r="SE322" s="1"/>
      <c r="SF322" s="1"/>
      <c r="SG322" s="1"/>
      <c r="SH322" s="1"/>
      <c r="SI322" s="1"/>
      <c r="SJ322" s="1"/>
      <c r="SK322" s="1"/>
      <c r="SL322" s="1"/>
      <c r="SM322" s="1"/>
      <c r="SN322" s="1"/>
      <c r="SO322" s="1"/>
      <c r="SP322" s="1"/>
      <c r="SQ322" s="1"/>
      <c r="SR322" s="1"/>
      <c r="SS322" s="1"/>
      <c r="ST322" s="1"/>
      <c r="SU322" s="1"/>
      <c r="SV322" s="1"/>
      <c r="SW322" s="1"/>
      <c r="SX322" s="1"/>
      <c r="SY322" s="1"/>
      <c r="SZ322" s="1"/>
      <c r="TA322" s="1"/>
      <c r="TB322" s="1"/>
      <c r="TC322" s="1"/>
      <c r="TD322" s="1"/>
      <c r="TE322" s="1"/>
      <c r="TF322" s="1"/>
      <c r="TG322" s="1"/>
      <c r="TH322" s="1"/>
      <c r="TI322" s="1"/>
      <c r="TJ322" s="1"/>
      <c r="TK322" s="1"/>
      <c r="TL322" s="1"/>
      <c r="TM322" s="1"/>
      <c r="TN322" s="1"/>
      <c r="TO322" s="1"/>
      <c r="TP322" s="1"/>
      <c r="TQ322" s="1"/>
      <c r="TR322" s="1"/>
      <c r="TS322" s="1"/>
      <c r="TT322" s="1"/>
      <c r="TU322" s="1"/>
      <c r="TV322" s="1"/>
      <c r="TW322" s="1"/>
      <c r="TX322" s="1"/>
      <c r="TY322" s="1"/>
      <c r="TZ322" s="1"/>
      <c r="UA322" s="1"/>
      <c r="UB322" s="1"/>
      <c r="UC322" s="1"/>
      <c r="UD322" s="1"/>
      <c r="UE322" s="1"/>
      <c r="UF322" s="1"/>
      <c r="UG322" s="1"/>
      <c r="UH322" s="1"/>
      <c r="UI322" s="1"/>
    </row>
    <row r="323" spans="1:555" ht="96" customHeight="1">
      <c r="A323" s="296">
        <v>438</v>
      </c>
      <c r="B323" s="297" t="s">
        <v>4408</v>
      </c>
      <c r="C323" s="298">
        <v>52316567</v>
      </c>
      <c r="D323" s="354" t="s">
        <v>67</v>
      </c>
      <c r="E323" s="299">
        <v>42779</v>
      </c>
      <c r="F323" s="300">
        <v>42767</v>
      </c>
      <c r="G323" s="301" t="s">
        <v>271</v>
      </c>
      <c r="H323" s="297" t="s">
        <v>63</v>
      </c>
      <c r="I323" s="297" t="s">
        <v>101</v>
      </c>
      <c r="J323" s="299"/>
      <c r="K323" s="300"/>
      <c r="L323" s="301"/>
      <c r="M323" s="297"/>
      <c r="N323" s="297"/>
      <c r="O323" s="299"/>
      <c r="P323" s="302"/>
      <c r="Q323" s="301"/>
      <c r="R323" s="297"/>
      <c r="S323" s="297"/>
      <c r="T323" s="299"/>
      <c r="U323" s="300"/>
      <c r="V323" s="301"/>
      <c r="W323" s="297"/>
      <c r="X323" s="297"/>
      <c r="Y323" s="299"/>
      <c r="Z323" s="300"/>
      <c r="AA323" s="301"/>
      <c r="AB323" s="297"/>
      <c r="AC323" s="297"/>
      <c r="AD323" s="299"/>
      <c r="AE323" s="300"/>
      <c r="AF323" s="301"/>
      <c r="AG323" s="297"/>
      <c r="AH323" s="297"/>
      <c r="AI323" s="322"/>
      <c r="AJ323" s="300"/>
      <c r="AK323" s="301"/>
      <c r="AL323" s="297"/>
      <c r="AM323" s="297"/>
      <c r="AN323" s="297"/>
      <c r="AO323" s="473"/>
      <c r="AP323" s="297"/>
      <c r="AQ323" s="301" t="s">
        <v>7730</v>
      </c>
      <c r="AR323" s="297" t="s">
        <v>66</v>
      </c>
      <c r="AS323" s="299" t="s">
        <v>67</v>
      </c>
      <c r="AT323" s="299" t="s">
        <v>67</v>
      </c>
      <c r="AU323" s="297" t="s">
        <v>3827</v>
      </c>
      <c r="AV323" s="297"/>
      <c r="AW323" s="297" t="s">
        <v>69</v>
      </c>
      <c r="AX323" s="297" t="s">
        <v>7628</v>
      </c>
      <c r="AY323" s="299">
        <v>42775</v>
      </c>
      <c r="AZ323" s="297" t="s">
        <v>67</v>
      </c>
      <c r="BA323" s="299" t="s">
        <v>67</v>
      </c>
      <c r="BB323" s="382">
        <v>42781</v>
      </c>
      <c r="BC323" s="297" t="s">
        <v>3829</v>
      </c>
      <c r="BD323" s="297" t="s">
        <v>6447</v>
      </c>
      <c r="BE323" s="297"/>
      <c r="BF323" s="301"/>
      <c r="BG323" s="301" t="s">
        <v>67</v>
      </c>
      <c r="BH323" s="301" t="s">
        <v>4409</v>
      </c>
      <c r="BI323" s="301" t="s">
        <v>4197</v>
      </c>
      <c r="BJ323" s="312">
        <v>203357</v>
      </c>
      <c r="BK323" s="312">
        <v>203357</v>
      </c>
      <c r="BL323" s="313">
        <v>42938917</v>
      </c>
      <c r="BM323" s="299">
        <v>42794</v>
      </c>
      <c r="BN323" s="300">
        <v>42767</v>
      </c>
      <c r="BO323" s="460"/>
      <c r="BP323" s="390"/>
      <c r="BQ323" s="297"/>
      <c r="BR323" s="303"/>
      <c r="BS323" s="301"/>
      <c r="BT323" s="301"/>
      <c r="BU323" s="301"/>
      <c r="BV323" s="301"/>
      <c r="BW323" s="316"/>
      <c r="BX323" s="304"/>
      <c r="BY323" s="299"/>
      <c r="BZ323" s="317"/>
    </row>
    <row r="324" spans="1:555" s="259" customFormat="1" ht="80.25" customHeight="1">
      <c r="A324" s="296">
        <v>439</v>
      </c>
      <c r="B324" s="297" t="s">
        <v>4410</v>
      </c>
      <c r="C324" s="298">
        <v>1019067892</v>
      </c>
      <c r="D324" s="354" t="s">
        <v>67</v>
      </c>
      <c r="E324" s="299">
        <v>42779</v>
      </c>
      <c r="F324" s="300">
        <v>42767</v>
      </c>
      <c r="G324" s="301" t="s">
        <v>271</v>
      </c>
      <c r="H324" s="297" t="s">
        <v>63</v>
      </c>
      <c r="I324" s="297" t="s">
        <v>101</v>
      </c>
      <c r="J324" s="299"/>
      <c r="K324" s="300"/>
      <c r="L324" s="301"/>
      <c r="M324" s="297"/>
      <c r="N324" s="297"/>
      <c r="O324" s="299"/>
      <c r="P324" s="302"/>
      <c r="Q324" s="301"/>
      <c r="R324" s="297"/>
      <c r="S324" s="297"/>
      <c r="T324" s="299"/>
      <c r="U324" s="300"/>
      <c r="V324" s="301"/>
      <c r="W324" s="297"/>
      <c r="X324" s="297"/>
      <c r="Y324" s="299"/>
      <c r="Z324" s="300"/>
      <c r="AA324" s="301"/>
      <c r="AB324" s="297"/>
      <c r="AC324" s="297"/>
      <c r="AD324" s="299"/>
      <c r="AE324" s="300"/>
      <c r="AF324" s="301"/>
      <c r="AG324" s="297"/>
      <c r="AH324" s="297"/>
      <c r="AI324" s="322"/>
      <c r="AJ324" s="300"/>
      <c r="AK324" s="301"/>
      <c r="AL324" s="297"/>
      <c r="AM324" s="297"/>
      <c r="AN324" s="297"/>
      <c r="AO324" s="473"/>
      <c r="AP324" s="297"/>
      <c r="AQ324" s="301" t="s">
        <v>7654</v>
      </c>
      <c r="AR324" s="297" t="s">
        <v>66</v>
      </c>
      <c r="AS324" s="299" t="s">
        <v>67</v>
      </c>
      <c r="AT324" s="299" t="s">
        <v>67</v>
      </c>
      <c r="AU324" s="297" t="s">
        <v>3827</v>
      </c>
      <c r="AV324" s="297"/>
      <c r="AW324" s="297" t="s">
        <v>69</v>
      </c>
      <c r="AX324" s="297" t="s">
        <v>7611</v>
      </c>
      <c r="AY324" s="299">
        <v>42775</v>
      </c>
      <c r="AZ324" s="297" t="s">
        <v>67</v>
      </c>
      <c r="BA324" s="299" t="s">
        <v>67</v>
      </c>
      <c r="BB324" s="382">
        <v>42781</v>
      </c>
      <c r="BC324" s="297" t="s">
        <v>3829</v>
      </c>
      <c r="BD324" s="297" t="s">
        <v>6447</v>
      </c>
      <c r="BE324" s="297"/>
      <c r="BF324" s="301"/>
      <c r="BG324" s="301" t="s">
        <v>67</v>
      </c>
      <c r="BH324" s="301" t="s">
        <v>4411</v>
      </c>
      <c r="BI324" s="301" t="s">
        <v>4197</v>
      </c>
      <c r="BJ324" s="312">
        <v>306693</v>
      </c>
      <c r="BK324" s="312">
        <v>306693</v>
      </c>
      <c r="BL324" s="313">
        <v>43025917</v>
      </c>
      <c r="BM324" s="299">
        <v>42794</v>
      </c>
      <c r="BN324" s="300">
        <v>42767</v>
      </c>
      <c r="BO324" s="434"/>
      <c r="BP324" s="397"/>
      <c r="BQ324" s="398"/>
      <c r="BR324" s="320"/>
      <c r="BS324" s="301"/>
      <c r="BT324" s="301"/>
      <c r="BU324" s="301"/>
      <c r="BV324" s="301"/>
      <c r="BW324" s="316"/>
      <c r="BX324" s="304"/>
      <c r="BY324" s="299"/>
      <c r="BZ324" s="317"/>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c r="IY324" s="1"/>
      <c r="IZ324" s="1"/>
      <c r="JA324" s="1"/>
      <c r="JB324" s="1"/>
      <c r="JC324" s="1"/>
      <c r="JD324" s="1"/>
      <c r="JE324" s="1"/>
      <c r="JF324" s="1"/>
      <c r="JG324" s="1"/>
      <c r="JH324" s="1"/>
      <c r="JI324" s="1"/>
      <c r="JJ324" s="1"/>
      <c r="JK324" s="1"/>
      <c r="JL324" s="1"/>
      <c r="JM324" s="1"/>
      <c r="JN324" s="1"/>
      <c r="JO324" s="1"/>
      <c r="JP324" s="1"/>
      <c r="JQ324" s="1"/>
      <c r="JR324" s="1"/>
      <c r="JS324" s="1"/>
      <c r="JT324" s="1"/>
      <c r="JU324" s="1"/>
      <c r="JV324" s="1"/>
      <c r="JW324" s="1"/>
      <c r="JX324" s="1"/>
      <c r="JY324" s="1"/>
      <c r="JZ324" s="1"/>
      <c r="KA324" s="1"/>
      <c r="KB324" s="1"/>
      <c r="KC324" s="1"/>
      <c r="KD324" s="1"/>
      <c r="KE324" s="1"/>
      <c r="KF324" s="1"/>
      <c r="KG324" s="1"/>
      <c r="KH324" s="1"/>
      <c r="KI324" s="1"/>
      <c r="KJ324" s="1"/>
      <c r="KK324" s="1"/>
      <c r="KL324" s="1"/>
      <c r="KM324" s="1"/>
      <c r="KN324" s="1"/>
      <c r="KO324" s="1"/>
      <c r="KP324" s="1"/>
      <c r="KQ324" s="1"/>
      <c r="KR324" s="1"/>
      <c r="KS324" s="1"/>
      <c r="KT324" s="1"/>
      <c r="KU324" s="1"/>
      <c r="KV324" s="1"/>
      <c r="KW324" s="1"/>
      <c r="KX324" s="1"/>
      <c r="KY324" s="1"/>
      <c r="KZ324" s="1"/>
      <c r="LA324" s="1"/>
      <c r="LB324" s="1"/>
      <c r="LC324" s="1"/>
      <c r="LD324" s="1"/>
      <c r="LE324" s="1"/>
      <c r="LF324" s="1"/>
      <c r="LG324" s="1"/>
      <c r="LH324" s="1"/>
      <c r="LI324" s="1"/>
      <c r="LJ324" s="1"/>
      <c r="LK324" s="1"/>
      <c r="LL324" s="1"/>
      <c r="LM324" s="1"/>
      <c r="LN324" s="1"/>
      <c r="LO324" s="1"/>
      <c r="LP324" s="1"/>
      <c r="LQ324" s="1"/>
      <c r="LR324" s="1"/>
      <c r="LS324" s="1"/>
      <c r="LT324" s="1"/>
      <c r="LU324" s="1"/>
      <c r="LV324" s="1"/>
      <c r="LW324" s="1"/>
      <c r="LX324" s="1"/>
      <c r="LY324" s="1"/>
      <c r="LZ324" s="1"/>
      <c r="MA324" s="1"/>
      <c r="MB324" s="1"/>
      <c r="MC324" s="1"/>
      <c r="MD324" s="1"/>
      <c r="ME324" s="1"/>
      <c r="MF324" s="1"/>
      <c r="MG324" s="1"/>
      <c r="MH324" s="1"/>
      <c r="MI324" s="1"/>
      <c r="MJ324" s="1"/>
      <c r="MK324" s="1"/>
      <c r="ML324" s="1"/>
      <c r="MM324" s="1"/>
      <c r="MN324" s="1"/>
      <c r="MO324" s="1"/>
      <c r="MP324" s="1"/>
      <c r="MQ324" s="1"/>
      <c r="MR324" s="1"/>
      <c r="MS324" s="1"/>
      <c r="MT324" s="1"/>
      <c r="MU324" s="1"/>
      <c r="MV324" s="1"/>
      <c r="MW324" s="1"/>
      <c r="MX324" s="1"/>
      <c r="MY324" s="1"/>
      <c r="MZ324" s="1"/>
      <c r="NA324" s="1"/>
      <c r="NB324" s="1"/>
      <c r="NC324" s="1"/>
      <c r="ND324" s="1"/>
      <c r="NE324" s="1"/>
      <c r="NF324" s="1"/>
      <c r="NG324" s="1"/>
      <c r="NH324" s="1"/>
      <c r="NI324" s="1"/>
      <c r="NJ324" s="1"/>
      <c r="NK324" s="1"/>
      <c r="NL324" s="1"/>
      <c r="NM324" s="1"/>
      <c r="NN324" s="1"/>
      <c r="NO324" s="1"/>
      <c r="NP324" s="1"/>
      <c r="NQ324" s="1"/>
      <c r="NR324" s="1"/>
      <c r="NS324" s="1"/>
      <c r="NT324" s="1"/>
      <c r="NU324" s="1"/>
      <c r="NV324" s="1"/>
      <c r="NW324" s="1"/>
      <c r="NX324" s="1"/>
      <c r="NY324" s="1"/>
      <c r="NZ324" s="1"/>
      <c r="OA324" s="1"/>
      <c r="OB324" s="1"/>
      <c r="OC324" s="1"/>
      <c r="OD324" s="1"/>
      <c r="OE324" s="1"/>
      <c r="OF324" s="1"/>
      <c r="OG324" s="1"/>
      <c r="OH324" s="1"/>
      <c r="OI324" s="1"/>
      <c r="OJ324" s="1"/>
      <c r="OK324" s="1"/>
      <c r="OL324" s="1"/>
      <c r="OM324" s="1"/>
      <c r="ON324" s="1"/>
      <c r="OO324" s="1"/>
      <c r="OP324" s="1"/>
      <c r="OQ324" s="1"/>
      <c r="OR324" s="1"/>
      <c r="OS324" s="1"/>
      <c r="OT324" s="1"/>
      <c r="OU324" s="1"/>
      <c r="OV324" s="1"/>
      <c r="OW324" s="1"/>
      <c r="OX324" s="1"/>
      <c r="OY324" s="1"/>
      <c r="OZ324" s="1"/>
      <c r="PA324" s="1"/>
      <c r="PB324" s="1"/>
      <c r="PC324" s="1"/>
      <c r="PD324" s="1"/>
      <c r="PE324" s="1"/>
      <c r="PF324" s="1"/>
      <c r="PG324" s="1"/>
      <c r="PH324" s="1"/>
      <c r="PI324" s="1"/>
      <c r="PJ324" s="1"/>
      <c r="PK324" s="1"/>
      <c r="PL324" s="1"/>
      <c r="PM324" s="1"/>
      <c r="PN324" s="1"/>
      <c r="PO324" s="1"/>
      <c r="PP324" s="1"/>
      <c r="PQ324" s="1"/>
      <c r="PR324" s="1"/>
      <c r="PS324" s="1"/>
      <c r="PT324" s="1"/>
      <c r="PU324" s="1"/>
      <c r="PV324" s="1"/>
      <c r="PW324" s="1"/>
      <c r="PX324" s="1"/>
      <c r="PY324" s="1"/>
      <c r="PZ324" s="1"/>
      <c r="QA324" s="1"/>
      <c r="QB324" s="1"/>
      <c r="QC324" s="1"/>
      <c r="QD324" s="1"/>
      <c r="QE324" s="1"/>
      <c r="QF324" s="1"/>
      <c r="QG324" s="1"/>
      <c r="QH324" s="1"/>
      <c r="QI324" s="1"/>
      <c r="QJ324" s="1"/>
      <c r="QK324" s="1"/>
      <c r="QL324" s="1"/>
      <c r="QM324" s="1"/>
      <c r="QN324" s="1"/>
      <c r="QO324" s="1"/>
      <c r="QP324" s="1"/>
      <c r="QQ324" s="1"/>
      <c r="QR324" s="1"/>
      <c r="QS324" s="1"/>
      <c r="QT324" s="1"/>
      <c r="QU324" s="1"/>
      <c r="QV324" s="1"/>
      <c r="QW324" s="1"/>
      <c r="QX324" s="1"/>
      <c r="QY324" s="1"/>
      <c r="QZ324" s="1"/>
      <c r="RA324" s="1"/>
      <c r="RB324" s="1"/>
      <c r="RC324" s="1"/>
      <c r="RD324" s="1"/>
      <c r="RE324" s="1"/>
      <c r="RF324" s="1"/>
      <c r="RG324" s="1"/>
      <c r="RH324" s="1"/>
      <c r="RI324" s="1"/>
      <c r="RJ324" s="1"/>
      <c r="RK324" s="1"/>
      <c r="RL324" s="1"/>
      <c r="RM324" s="1"/>
      <c r="RN324" s="1"/>
      <c r="RO324" s="1"/>
      <c r="RP324" s="1"/>
      <c r="RQ324" s="1"/>
      <c r="RR324" s="1"/>
      <c r="RS324" s="1"/>
      <c r="RT324" s="1"/>
      <c r="RU324" s="1"/>
      <c r="RV324" s="1"/>
      <c r="RW324" s="1"/>
      <c r="RX324" s="1"/>
      <c r="RY324" s="1"/>
      <c r="RZ324" s="1"/>
      <c r="SA324" s="1"/>
      <c r="SB324" s="1"/>
      <c r="SC324" s="1"/>
      <c r="SD324" s="1"/>
      <c r="SE324" s="1"/>
      <c r="SF324" s="1"/>
      <c r="SG324" s="1"/>
      <c r="SH324" s="1"/>
      <c r="SI324" s="1"/>
      <c r="SJ324" s="1"/>
      <c r="SK324" s="1"/>
      <c r="SL324" s="1"/>
      <c r="SM324" s="1"/>
      <c r="SN324" s="1"/>
      <c r="SO324" s="1"/>
      <c r="SP324" s="1"/>
      <c r="SQ324" s="1"/>
      <c r="SR324" s="1"/>
      <c r="SS324" s="1"/>
      <c r="ST324" s="1"/>
      <c r="SU324" s="1"/>
      <c r="SV324" s="1"/>
      <c r="SW324" s="1"/>
      <c r="SX324" s="1"/>
      <c r="SY324" s="1"/>
      <c r="SZ324" s="1"/>
      <c r="TA324" s="1"/>
      <c r="TB324" s="1"/>
      <c r="TC324" s="1"/>
      <c r="TD324" s="1"/>
      <c r="TE324" s="1"/>
      <c r="TF324" s="1"/>
      <c r="TG324" s="1"/>
      <c r="TH324" s="1"/>
      <c r="TI324" s="1"/>
      <c r="TJ324" s="1"/>
      <c r="TK324" s="1"/>
      <c r="TL324" s="1"/>
      <c r="TM324" s="1"/>
      <c r="TN324" s="1"/>
      <c r="TO324" s="1"/>
      <c r="TP324" s="1"/>
      <c r="TQ324" s="1"/>
      <c r="TR324" s="1"/>
      <c r="TS324" s="1"/>
      <c r="TT324" s="1"/>
      <c r="TU324" s="1"/>
      <c r="TV324" s="1"/>
      <c r="TW324" s="1"/>
      <c r="TX324" s="1"/>
      <c r="TY324" s="1"/>
      <c r="TZ324" s="1"/>
      <c r="UA324" s="1"/>
      <c r="UB324" s="1"/>
      <c r="UC324" s="1"/>
      <c r="UD324" s="1"/>
      <c r="UE324" s="1"/>
      <c r="UF324" s="1"/>
      <c r="UG324" s="1"/>
      <c r="UH324" s="1"/>
      <c r="UI324" s="1"/>
    </row>
    <row r="325" spans="1:555" s="259" customFormat="1" ht="79.5" customHeight="1">
      <c r="A325" s="296">
        <v>440</v>
      </c>
      <c r="B325" s="297" t="s">
        <v>4413</v>
      </c>
      <c r="C325" s="298">
        <v>19498463</v>
      </c>
      <c r="D325" s="354" t="s">
        <v>67</v>
      </c>
      <c r="E325" s="299">
        <v>42779</v>
      </c>
      <c r="F325" s="300">
        <v>42767</v>
      </c>
      <c r="G325" s="301" t="s">
        <v>271</v>
      </c>
      <c r="H325" s="297" t="s">
        <v>63</v>
      </c>
      <c r="I325" s="297" t="s">
        <v>101</v>
      </c>
      <c r="J325" s="299"/>
      <c r="K325" s="300"/>
      <c r="L325" s="301"/>
      <c r="M325" s="297"/>
      <c r="N325" s="297"/>
      <c r="O325" s="299"/>
      <c r="P325" s="302"/>
      <c r="Q325" s="301"/>
      <c r="R325" s="297"/>
      <c r="S325" s="297"/>
      <c r="T325" s="299"/>
      <c r="U325" s="300"/>
      <c r="V325" s="301"/>
      <c r="W325" s="297"/>
      <c r="X325" s="297"/>
      <c r="Y325" s="299"/>
      <c r="Z325" s="300"/>
      <c r="AA325" s="301"/>
      <c r="AB325" s="297"/>
      <c r="AC325" s="297"/>
      <c r="AD325" s="299"/>
      <c r="AE325" s="300"/>
      <c r="AF325" s="301"/>
      <c r="AG325" s="297"/>
      <c r="AH325" s="297"/>
      <c r="AI325" s="322"/>
      <c r="AJ325" s="300"/>
      <c r="AK325" s="301"/>
      <c r="AL325" s="297"/>
      <c r="AM325" s="297"/>
      <c r="AN325" s="297"/>
      <c r="AO325" s="473"/>
      <c r="AP325" s="297"/>
      <c r="AQ325" s="301" t="s">
        <v>7663</v>
      </c>
      <c r="AR325" s="297" t="s">
        <v>66</v>
      </c>
      <c r="AS325" s="299" t="s">
        <v>67</v>
      </c>
      <c r="AT325" s="299" t="s">
        <v>67</v>
      </c>
      <c r="AU325" s="297" t="s">
        <v>3827</v>
      </c>
      <c r="AV325" s="297"/>
      <c r="AW325" s="297" t="s">
        <v>69</v>
      </c>
      <c r="AX325" s="297" t="s">
        <v>7628</v>
      </c>
      <c r="AY325" s="299">
        <v>42775</v>
      </c>
      <c r="AZ325" s="297" t="s">
        <v>67</v>
      </c>
      <c r="BA325" s="299" t="s">
        <v>67</v>
      </c>
      <c r="BB325" s="382">
        <v>42781</v>
      </c>
      <c r="BC325" s="297" t="s">
        <v>3829</v>
      </c>
      <c r="BD325" s="297" t="s">
        <v>6447</v>
      </c>
      <c r="BE325" s="297"/>
      <c r="BF325" s="301"/>
      <c r="BG325" s="301" t="s">
        <v>67</v>
      </c>
      <c r="BH325" s="301" t="s">
        <v>4414</v>
      </c>
      <c r="BI325" s="301" t="s">
        <v>4197</v>
      </c>
      <c r="BJ325" s="312">
        <v>2105166</v>
      </c>
      <c r="BK325" s="312">
        <v>2105166</v>
      </c>
      <c r="BL325" s="313"/>
      <c r="BM325" s="299">
        <v>42795</v>
      </c>
      <c r="BN325" s="300">
        <v>42795</v>
      </c>
      <c r="BO325" s="460"/>
      <c r="BP325" s="390"/>
      <c r="BQ325" s="297"/>
      <c r="BR325" s="303"/>
      <c r="BS325" s="301"/>
      <c r="BT325" s="301"/>
      <c r="BU325" s="301"/>
      <c r="BV325" s="301"/>
      <c r="BW325" s="316"/>
      <c r="BX325" s="304"/>
      <c r="BY325" s="299"/>
      <c r="BZ325" s="317"/>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c r="IZ325" s="1"/>
      <c r="JA325" s="1"/>
      <c r="JB325" s="1"/>
      <c r="JC325" s="1"/>
      <c r="JD325" s="1"/>
      <c r="JE325" s="1"/>
      <c r="JF325" s="1"/>
      <c r="JG325" s="1"/>
      <c r="JH325" s="1"/>
      <c r="JI325" s="1"/>
      <c r="JJ325" s="1"/>
      <c r="JK325" s="1"/>
      <c r="JL325" s="1"/>
      <c r="JM325" s="1"/>
      <c r="JN325" s="1"/>
      <c r="JO325" s="1"/>
      <c r="JP325" s="1"/>
      <c r="JQ325" s="1"/>
      <c r="JR325" s="1"/>
      <c r="JS325" s="1"/>
      <c r="JT325" s="1"/>
      <c r="JU325" s="1"/>
      <c r="JV325" s="1"/>
      <c r="JW325" s="1"/>
      <c r="JX325" s="1"/>
      <c r="JY325" s="1"/>
      <c r="JZ325" s="1"/>
      <c r="KA325" s="1"/>
      <c r="KB325" s="1"/>
      <c r="KC325" s="1"/>
      <c r="KD325" s="1"/>
      <c r="KE325" s="1"/>
      <c r="KF325" s="1"/>
      <c r="KG325" s="1"/>
      <c r="KH325" s="1"/>
      <c r="KI325" s="1"/>
      <c r="KJ325" s="1"/>
      <c r="KK325" s="1"/>
      <c r="KL325" s="1"/>
      <c r="KM325" s="1"/>
      <c r="KN325" s="1"/>
      <c r="KO325" s="1"/>
      <c r="KP325" s="1"/>
      <c r="KQ325" s="1"/>
      <c r="KR325" s="1"/>
      <c r="KS325" s="1"/>
      <c r="KT325" s="1"/>
      <c r="KU325" s="1"/>
      <c r="KV325" s="1"/>
      <c r="KW325" s="1"/>
      <c r="KX325" s="1"/>
      <c r="KY325" s="1"/>
      <c r="KZ325" s="1"/>
      <c r="LA325" s="1"/>
      <c r="LB325" s="1"/>
      <c r="LC325" s="1"/>
      <c r="LD325" s="1"/>
      <c r="LE325" s="1"/>
      <c r="LF325" s="1"/>
      <c r="LG325" s="1"/>
      <c r="LH325" s="1"/>
      <c r="LI325" s="1"/>
      <c r="LJ325" s="1"/>
      <c r="LK325" s="1"/>
      <c r="LL325" s="1"/>
      <c r="LM325" s="1"/>
      <c r="LN325" s="1"/>
      <c r="LO325" s="1"/>
      <c r="LP325" s="1"/>
      <c r="LQ325" s="1"/>
      <c r="LR325" s="1"/>
      <c r="LS325" s="1"/>
      <c r="LT325" s="1"/>
      <c r="LU325" s="1"/>
      <c r="LV325" s="1"/>
      <c r="LW325" s="1"/>
      <c r="LX325" s="1"/>
      <c r="LY325" s="1"/>
      <c r="LZ325" s="1"/>
      <c r="MA325" s="1"/>
      <c r="MB325" s="1"/>
      <c r="MC325" s="1"/>
      <c r="MD325" s="1"/>
      <c r="ME325" s="1"/>
      <c r="MF325" s="1"/>
      <c r="MG325" s="1"/>
      <c r="MH325" s="1"/>
      <c r="MI325" s="1"/>
      <c r="MJ325" s="1"/>
      <c r="MK325" s="1"/>
      <c r="ML325" s="1"/>
      <c r="MM325" s="1"/>
      <c r="MN325" s="1"/>
      <c r="MO325" s="1"/>
      <c r="MP325" s="1"/>
      <c r="MQ325" s="1"/>
      <c r="MR325" s="1"/>
      <c r="MS325" s="1"/>
      <c r="MT325" s="1"/>
      <c r="MU325" s="1"/>
      <c r="MV325" s="1"/>
      <c r="MW325" s="1"/>
      <c r="MX325" s="1"/>
      <c r="MY325" s="1"/>
      <c r="MZ325" s="1"/>
      <c r="NA325" s="1"/>
      <c r="NB325" s="1"/>
      <c r="NC325" s="1"/>
      <c r="ND325" s="1"/>
      <c r="NE325" s="1"/>
      <c r="NF325" s="1"/>
      <c r="NG325" s="1"/>
      <c r="NH325" s="1"/>
      <c r="NI325" s="1"/>
      <c r="NJ325" s="1"/>
      <c r="NK325" s="1"/>
      <c r="NL325" s="1"/>
      <c r="NM325" s="1"/>
      <c r="NN325" s="1"/>
      <c r="NO325" s="1"/>
      <c r="NP325" s="1"/>
      <c r="NQ325" s="1"/>
      <c r="NR325" s="1"/>
      <c r="NS325" s="1"/>
      <c r="NT325" s="1"/>
      <c r="NU325" s="1"/>
      <c r="NV325" s="1"/>
      <c r="NW325" s="1"/>
      <c r="NX325" s="1"/>
      <c r="NY325" s="1"/>
      <c r="NZ325" s="1"/>
      <c r="OA325" s="1"/>
      <c r="OB325" s="1"/>
      <c r="OC325" s="1"/>
      <c r="OD325" s="1"/>
      <c r="OE325" s="1"/>
      <c r="OF325" s="1"/>
      <c r="OG325" s="1"/>
      <c r="OH325" s="1"/>
      <c r="OI325" s="1"/>
      <c r="OJ325" s="1"/>
      <c r="OK325" s="1"/>
      <c r="OL325" s="1"/>
      <c r="OM325" s="1"/>
      <c r="ON325" s="1"/>
      <c r="OO325" s="1"/>
      <c r="OP325" s="1"/>
      <c r="OQ325" s="1"/>
      <c r="OR325" s="1"/>
      <c r="OS325" s="1"/>
      <c r="OT325" s="1"/>
      <c r="OU325" s="1"/>
      <c r="OV325" s="1"/>
      <c r="OW325" s="1"/>
      <c r="OX325" s="1"/>
      <c r="OY325" s="1"/>
      <c r="OZ325" s="1"/>
      <c r="PA325" s="1"/>
      <c r="PB325" s="1"/>
      <c r="PC325" s="1"/>
      <c r="PD325" s="1"/>
      <c r="PE325" s="1"/>
      <c r="PF325" s="1"/>
      <c r="PG325" s="1"/>
      <c r="PH325" s="1"/>
      <c r="PI325" s="1"/>
      <c r="PJ325" s="1"/>
      <c r="PK325" s="1"/>
      <c r="PL325" s="1"/>
      <c r="PM325" s="1"/>
      <c r="PN325" s="1"/>
      <c r="PO325" s="1"/>
      <c r="PP325" s="1"/>
      <c r="PQ325" s="1"/>
      <c r="PR325" s="1"/>
      <c r="PS325" s="1"/>
      <c r="PT325" s="1"/>
      <c r="PU325" s="1"/>
      <c r="PV325" s="1"/>
      <c r="PW325" s="1"/>
      <c r="PX325" s="1"/>
      <c r="PY325" s="1"/>
      <c r="PZ325" s="1"/>
      <c r="QA325" s="1"/>
      <c r="QB325" s="1"/>
      <c r="QC325" s="1"/>
      <c r="QD325" s="1"/>
      <c r="QE325" s="1"/>
      <c r="QF325" s="1"/>
      <c r="QG325" s="1"/>
      <c r="QH325" s="1"/>
      <c r="QI325" s="1"/>
      <c r="QJ325" s="1"/>
      <c r="QK325" s="1"/>
      <c r="QL325" s="1"/>
      <c r="QM325" s="1"/>
      <c r="QN325" s="1"/>
      <c r="QO325" s="1"/>
      <c r="QP325" s="1"/>
      <c r="QQ325" s="1"/>
      <c r="QR325" s="1"/>
      <c r="QS325" s="1"/>
      <c r="QT325" s="1"/>
      <c r="QU325" s="1"/>
      <c r="QV325" s="1"/>
      <c r="QW325" s="1"/>
      <c r="QX325" s="1"/>
      <c r="QY325" s="1"/>
      <c r="QZ325" s="1"/>
      <c r="RA325" s="1"/>
      <c r="RB325" s="1"/>
      <c r="RC325" s="1"/>
      <c r="RD325" s="1"/>
      <c r="RE325" s="1"/>
      <c r="RF325" s="1"/>
      <c r="RG325" s="1"/>
      <c r="RH325" s="1"/>
      <c r="RI325" s="1"/>
      <c r="RJ325" s="1"/>
      <c r="RK325" s="1"/>
      <c r="RL325" s="1"/>
      <c r="RM325" s="1"/>
      <c r="RN325" s="1"/>
      <c r="RO325" s="1"/>
      <c r="RP325" s="1"/>
      <c r="RQ325" s="1"/>
      <c r="RR325" s="1"/>
      <c r="RS325" s="1"/>
      <c r="RT325" s="1"/>
      <c r="RU325" s="1"/>
      <c r="RV325" s="1"/>
      <c r="RW325" s="1"/>
      <c r="RX325" s="1"/>
      <c r="RY325" s="1"/>
      <c r="RZ325" s="1"/>
      <c r="SA325" s="1"/>
      <c r="SB325" s="1"/>
      <c r="SC325" s="1"/>
      <c r="SD325" s="1"/>
      <c r="SE325" s="1"/>
      <c r="SF325" s="1"/>
      <c r="SG325" s="1"/>
      <c r="SH325" s="1"/>
      <c r="SI325" s="1"/>
      <c r="SJ325" s="1"/>
      <c r="SK325" s="1"/>
      <c r="SL325" s="1"/>
      <c r="SM325" s="1"/>
      <c r="SN325" s="1"/>
      <c r="SO325" s="1"/>
      <c r="SP325" s="1"/>
      <c r="SQ325" s="1"/>
      <c r="SR325" s="1"/>
      <c r="SS325" s="1"/>
      <c r="ST325" s="1"/>
      <c r="SU325" s="1"/>
      <c r="SV325" s="1"/>
      <c r="SW325" s="1"/>
      <c r="SX325" s="1"/>
      <c r="SY325" s="1"/>
      <c r="SZ325" s="1"/>
      <c r="TA325" s="1"/>
      <c r="TB325" s="1"/>
      <c r="TC325" s="1"/>
      <c r="TD325" s="1"/>
      <c r="TE325" s="1"/>
      <c r="TF325" s="1"/>
      <c r="TG325" s="1"/>
      <c r="TH325" s="1"/>
      <c r="TI325" s="1"/>
      <c r="TJ325" s="1"/>
      <c r="TK325" s="1"/>
      <c r="TL325" s="1"/>
      <c r="TM325" s="1"/>
      <c r="TN325" s="1"/>
      <c r="TO325" s="1"/>
      <c r="TP325" s="1"/>
      <c r="TQ325" s="1"/>
      <c r="TR325" s="1"/>
      <c r="TS325" s="1"/>
      <c r="TT325" s="1"/>
      <c r="TU325" s="1"/>
      <c r="TV325" s="1"/>
      <c r="TW325" s="1"/>
      <c r="TX325" s="1"/>
      <c r="TY325" s="1"/>
      <c r="TZ325" s="1"/>
      <c r="UA325" s="1"/>
      <c r="UB325" s="1"/>
      <c r="UC325" s="1"/>
      <c r="UD325" s="1"/>
      <c r="UE325" s="1"/>
      <c r="UF325" s="1"/>
      <c r="UG325" s="1"/>
      <c r="UH325" s="1"/>
      <c r="UI325" s="1"/>
    </row>
    <row r="326" spans="1:555" s="259" customFormat="1" ht="82.5" customHeight="1">
      <c r="A326" s="296">
        <v>441</v>
      </c>
      <c r="B326" s="297" t="s">
        <v>4415</v>
      </c>
      <c r="C326" s="298">
        <v>88212041</v>
      </c>
      <c r="D326" s="354" t="s">
        <v>67</v>
      </c>
      <c r="E326" s="299">
        <v>42779</v>
      </c>
      <c r="F326" s="300">
        <v>42767</v>
      </c>
      <c r="G326" s="301" t="s">
        <v>271</v>
      </c>
      <c r="H326" s="297" t="s">
        <v>63</v>
      </c>
      <c r="I326" s="297" t="s">
        <v>101</v>
      </c>
      <c r="J326" s="299"/>
      <c r="K326" s="300"/>
      <c r="L326" s="301"/>
      <c r="M326" s="297"/>
      <c r="N326" s="297"/>
      <c r="O326" s="299"/>
      <c r="P326" s="302"/>
      <c r="Q326" s="301"/>
      <c r="R326" s="297"/>
      <c r="S326" s="297"/>
      <c r="T326" s="299"/>
      <c r="U326" s="300"/>
      <c r="V326" s="301"/>
      <c r="W326" s="297"/>
      <c r="X326" s="297"/>
      <c r="Y326" s="299"/>
      <c r="Z326" s="300"/>
      <c r="AA326" s="301"/>
      <c r="AB326" s="297"/>
      <c r="AC326" s="297"/>
      <c r="AD326" s="299"/>
      <c r="AE326" s="300"/>
      <c r="AF326" s="301"/>
      <c r="AG326" s="297"/>
      <c r="AH326" s="297"/>
      <c r="AI326" s="322"/>
      <c r="AJ326" s="300"/>
      <c r="AK326" s="301"/>
      <c r="AL326" s="297"/>
      <c r="AM326" s="297"/>
      <c r="AN326" s="297"/>
      <c r="AO326" s="473"/>
      <c r="AP326" s="297"/>
      <c r="AQ326" s="301" t="s">
        <v>7678</v>
      </c>
      <c r="AR326" s="297" t="s">
        <v>66</v>
      </c>
      <c r="AS326" s="299" t="s">
        <v>67</v>
      </c>
      <c r="AT326" s="299" t="s">
        <v>67</v>
      </c>
      <c r="AU326" s="297" t="s">
        <v>3827</v>
      </c>
      <c r="AV326" s="297"/>
      <c r="AW326" s="297" t="s">
        <v>69</v>
      </c>
      <c r="AX326" s="297" t="s">
        <v>7628</v>
      </c>
      <c r="AY326" s="299">
        <v>42775</v>
      </c>
      <c r="AZ326" s="297" t="s">
        <v>67</v>
      </c>
      <c r="BA326" s="299" t="s">
        <v>67</v>
      </c>
      <c r="BB326" s="382">
        <v>42781</v>
      </c>
      <c r="BC326" s="297" t="s">
        <v>3829</v>
      </c>
      <c r="BD326" s="297" t="s">
        <v>6447</v>
      </c>
      <c r="BE326" s="297"/>
      <c r="BF326" s="301"/>
      <c r="BG326" s="301" t="s">
        <v>67</v>
      </c>
      <c r="BH326" s="301" t="s">
        <v>4416</v>
      </c>
      <c r="BI326" s="301" t="s">
        <v>4197</v>
      </c>
      <c r="BJ326" s="312">
        <v>1152354</v>
      </c>
      <c r="BK326" s="312">
        <v>1152354</v>
      </c>
      <c r="BL326" s="313">
        <v>46940617</v>
      </c>
      <c r="BM326" s="299">
        <v>42797</v>
      </c>
      <c r="BN326" s="300">
        <v>42795</v>
      </c>
      <c r="BO326" s="460"/>
      <c r="BP326" s="390"/>
      <c r="BQ326" s="297"/>
      <c r="BR326" s="303"/>
      <c r="BS326" s="301"/>
      <c r="BT326" s="301"/>
      <c r="BU326" s="301"/>
      <c r="BV326" s="301"/>
      <c r="BW326" s="316"/>
      <c r="BX326" s="304"/>
      <c r="BY326" s="299"/>
      <c r="BZ326" s="317"/>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c r="IZ326" s="1"/>
      <c r="JA326" s="1"/>
      <c r="JB326" s="1"/>
      <c r="JC326" s="1"/>
      <c r="JD326" s="1"/>
      <c r="JE326" s="1"/>
      <c r="JF326" s="1"/>
      <c r="JG326" s="1"/>
      <c r="JH326" s="1"/>
      <c r="JI326" s="1"/>
      <c r="JJ326" s="1"/>
      <c r="JK326" s="1"/>
      <c r="JL326" s="1"/>
      <c r="JM326" s="1"/>
      <c r="JN326" s="1"/>
      <c r="JO326" s="1"/>
      <c r="JP326" s="1"/>
      <c r="JQ326" s="1"/>
      <c r="JR326" s="1"/>
      <c r="JS326" s="1"/>
      <c r="JT326" s="1"/>
      <c r="JU326" s="1"/>
      <c r="JV326" s="1"/>
      <c r="JW326" s="1"/>
      <c r="JX326" s="1"/>
      <c r="JY326" s="1"/>
      <c r="JZ326" s="1"/>
      <c r="KA326" s="1"/>
      <c r="KB326" s="1"/>
      <c r="KC326" s="1"/>
      <c r="KD326" s="1"/>
      <c r="KE326" s="1"/>
      <c r="KF326" s="1"/>
      <c r="KG326" s="1"/>
      <c r="KH326" s="1"/>
      <c r="KI326" s="1"/>
      <c r="KJ326" s="1"/>
      <c r="KK326" s="1"/>
      <c r="KL326" s="1"/>
      <c r="KM326" s="1"/>
      <c r="KN326" s="1"/>
      <c r="KO326" s="1"/>
      <c r="KP326" s="1"/>
      <c r="KQ326" s="1"/>
      <c r="KR326" s="1"/>
      <c r="KS326" s="1"/>
      <c r="KT326" s="1"/>
      <c r="KU326" s="1"/>
      <c r="KV326" s="1"/>
      <c r="KW326" s="1"/>
      <c r="KX326" s="1"/>
      <c r="KY326" s="1"/>
      <c r="KZ326" s="1"/>
      <c r="LA326" s="1"/>
      <c r="LB326" s="1"/>
      <c r="LC326" s="1"/>
      <c r="LD326" s="1"/>
      <c r="LE326" s="1"/>
      <c r="LF326" s="1"/>
      <c r="LG326" s="1"/>
      <c r="LH326" s="1"/>
      <c r="LI326" s="1"/>
      <c r="LJ326" s="1"/>
      <c r="LK326" s="1"/>
      <c r="LL326" s="1"/>
      <c r="LM326" s="1"/>
      <c r="LN326" s="1"/>
      <c r="LO326" s="1"/>
      <c r="LP326" s="1"/>
      <c r="LQ326" s="1"/>
      <c r="LR326" s="1"/>
      <c r="LS326" s="1"/>
      <c r="LT326" s="1"/>
      <c r="LU326" s="1"/>
      <c r="LV326" s="1"/>
      <c r="LW326" s="1"/>
      <c r="LX326" s="1"/>
      <c r="LY326" s="1"/>
      <c r="LZ326" s="1"/>
      <c r="MA326" s="1"/>
      <c r="MB326" s="1"/>
      <c r="MC326" s="1"/>
      <c r="MD326" s="1"/>
      <c r="ME326" s="1"/>
      <c r="MF326" s="1"/>
      <c r="MG326" s="1"/>
      <c r="MH326" s="1"/>
      <c r="MI326" s="1"/>
      <c r="MJ326" s="1"/>
      <c r="MK326" s="1"/>
      <c r="ML326" s="1"/>
      <c r="MM326" s="1"/>
      <c r="MN326" s="1"/>
      <c r="MO326" s="1"/>
      <c r="MP326" s="1"/>
      <c r="MQ326" s="1"/>
      <c r="MR326" s="1"/>
      <c r="MS326" s="1"/>
      <c r="MT326" s="1"/>
      <c r="MU326" s="1"/>
      <c r="MV326" s="1"/>
      <c r="MW326" s="1"/>
      <c r="MX326" s="1"/>
      <c r="MY326" s="1"/>
      <c r="MZ326" s="1"/>
      <c r="NA326" s="1"/>
      <c r="NB326" s="1"/>
      <c r="NC326" s="1"/>
      <c r="ND326" s="1"/>
      <c r="NE326" s="1"/>
      <c r="NF326" s="1"/>
      <c r="NG326" s="1"/>
      <c r="NH326" s="1"/>
      <c r="NI326" s="1"/>
      <c r="NJ326" s="1"/>
      <c r="NK326" s="1"/>
      <c r="NL326" s="1"/>
      <c r="NM326" s="1"/>
      <c r="NN326" s="1"/>
      <c r="NO326" s="1"/>
      <c r="NP326" s="1"/>
      <c r="NQ326" s="1"/>
      <c r="NR326" s="1"/>
      <c r="NS326" s="1"/>
      <c r="NT326" s="1"/>
      <c r="NU326" s="1"/>
      <c r="NV326" s="1"/>
      <c r="NW326" s="1"/>
      <c r="NX326" s="1"/>
      <c r="NY326" s="1"/>
      <c r="NZ326" s="1"/>
      <c r="OA326" s="1"/>
      <c r="OB326" s="1"/>
      <c r="OC326" s="1"/>
      <c r="OD326" s="1"/>
      <c r="OE326" s="1"/>
      <c r="OF326" s="1"/>
      <c r="OG326" s="1"/>
      <c r="OH326" s="1"/>
      <c r="OI326" s="1"/>
      <c r="OJ326" s="1"/>
      <c r="OK326" s="1"/>
      <c r="OL326" s="1"/>
      <c r="OM326" s="1"/>
      <c r="ON326" s="1"/>
      <c r="OO326" s="1"/>
      <c r="OP326" s="1"/>
      <c r="OQ326" s="1"/>
      <c r="OR326" s="1"/>
      <c r="OS326" s="1"/>
      <c r="OT326" s="1"/>
      <c r="OU326" s="1"/>
      <c r="OV326" s="1"/>
      <c r="OW326" s="1"/>
      <c r="OX326" s="1"/>
      <c r="OY326" s="1"/>
      <c r="OZ326" s="1"/>
      <c r="PA326" s="1"/>
      <c r="PB326" s="1"/>
      <c r="PC326" s="1"/>
      <c r="PD326" s="1"/>
      <c r="PE326" s="1"/>
      <c r="PF326" s="1"/>
      <c r="PG326" s="1"/>
      <c r="PH326" s="1"/>
      <c r="PI326" s="1"/>
      <c r="PJ326" s="1"/>
      <c r="PK326" s="1"/>
      <c r="PL326" s="1"/>
      <c r="PM326" s="1"/>
      <c r="PN326" s="1"/>
      <c r="PO326" s="1"/>
      <c r="PP326" s="1"/>
      <c r="PQ326" s="1"/>
      <c r="PR326" s="1"/>
      <c r="PS326" s="1"/>
      <c r="PT326" s="1"/>
      <c r="PU326" s="1"/>
      <c r="PV326" s="1"/>
      <c r="PW326" s="1"/>
      <c r="PX326" s="1"/>
      <c r="PY326" s="1"/>
      <c r="PZ326" s="1"/>
      <c r="QA326" s="1"/>
      <c r="QB326" s="1"/>
      <c r="QC326" s="1"/>
      <c r="QD326" s="1"/>
      <c r="QE326" s="1"/>
      <c r="QF326" s="1"/>
      <c r="QG326" s="1"/>
      <c r="QH326" s="1"/>
      <c r="QI326" s="1"/>
      <c r="QJ326" s="1"/>
      <c r="QK326" s="1"/>
      <c r="QL326" s="1"/>
      <c r="QM326" s="1"/>
      <c r="QN326" s="1"/>
      <c r="QO326" s="1"/>
      <c r="QP326" s="1"/>
      <c r="QQ326" s="1"/>
      <c r="QR326" s="1"/>
      <c r="QS326" s="1"/>
      <c r="QT326" s="1"/>
      <c r="QU326" s="1"/>
      <c r="QV326" s="1"/>
      <c r="QW326" s="1"/>
      <c r="QX326" s="1"/>
      <c r="QY326" s="1"/>
      <c r="QZ326" s="1"/>
      <c r="RA326" s="1"/>
      <c r="RB326" s="1"/>
      <c r="RC326" s="1"/>
      <c r="RD326" s="1"/>
      <c r="RE326" s="1"/>
      <c r="RF326" s="1"/>
      <c r="RG326" s="1"/>
      <c r="RH326" s="1"/>
      <c r="RI326" s="1"/>
      <c r="RJ326" s="1"/>
      <c r="RK326" s="1"/>
      <c r="RL326" s="1"/>
      <c r="RM326" s="1"/>
      <c r="RN326" s="1"/>
      <c r="RO326" s="1"/>
      <c r="RP326" s="1"/>
      <c r="RQ326" s="1"/>
      <c r="RR326" s="1"/>
      <c r="RS326" s="1"/>
      <c r="RT326" s="1"/>
      <c r="RU326" s="1"/>
      <c r="RV326" s="1"/>
      <c r="RW326" s="1"/>
      <c r="RX326" s="1"/>
      <c r="RY326" s="1"/>
      <c r="RZ326" s="1"/>
      <c r="SA326" s="1"/>
      <c r="SB326" s="1"/>
      <c r="SC326" s="1"/>
      <c r="SD326" s="1"/>
      <c r="SE326" s="1"/>
      <c r="SF326" s="1"/>
      <c r="SG326" s="1"/>
      <c r="SH326" s="1"/>
      <c r="SI326" s="1"/>
      <c r="SJ326" s="1"/>
      <c r="SK326" s="1"/>
      <c r="SL326" s="1"/>
      <c r="SM326" s="1"/>
      <c r="SN326" s="1"/>
      <c r="SO326" s="1"/>
      <c r="SP326" s="1"/>
      <c r="SQ326" s="1"/>
      <c r="SR326" s="1"/>
      <c r="SS326" s="1"/>
      <c r="ST326" s="1"/>
      <c r="SU326" s="1"/>
      <c r="SV326" s="1"/>
      <c r="SW326" s="1"/>
      <c r="SX326" s="1"/>
      <c r="SY326" s="1"/>
      <c r="SZ326" s="1"/>
      <c r="TA326" s="1"/>
      <c r="TB326" s="1"/>
      <c r="TC326" s="1"/>
      <c r="TD326" s="1"/>
      <c r="TE326" s="1"/>
      <c r="TF326" s="1"/>
      <c r="TG326" s="1"/>
      <c r="TH326" s="1"/>
      <c r="TI326" s="1"/>
      <c r="TJ326" s="1"/>
      <c r="TK326" s="1"/>
      <c r="TL326" s="1"/>
      <c r="TM326" s="1"/>
      <c r="TN326" s="1"/>
      <c r="TO326" s="1"/>
      <c r="TP326" s="1"/>
      <c r="TQ326" s="1"/>
      <c r="TR326" s="1"/>
      <c r="TS326" s="1"/>
      <c r="TT326" s="1"/>
      <c r="TU326" s="1"/>
      <c r="TV326" s="1"/>
      <c r="TW326" s="1"/>
      <c r="TX326" s="1"/>
      <c r="TY326" s="1"/>
      <c r="TZ326" s="1"/>
      <c r="UA326" s="1"/>
      <c r="UB326" s="1"/>
      <c r="UC326" s="1"/>
      <c r="UD326" s="1"/>
      <c r="UE326" s="1"/>
      <c r="UF326" s="1"/>
      <c r="UG326" s="1"/>
      <c r="UH326" s="1"/>
      <c r="UI326" s="1"/>
    </row>
    <row r="327" spans="1:555" ht="97.5" customHeight="1">
      <c r="A327" s="296">
        <v>442</v>
      </c>
      <c r="B327" s="297" t="s">
        <v>4417</v>
      </c>
      <c r="C327" s="298">
        <v>53070208</v>
      </c>
      <c r="D327" s="354" t="s">
        <v>67</v>
      </c>
      <c r="E327" s="299">
        <v>42779</v>
      </c>
      <c r="F327" s="300">
        <v>42767</v>
      </c>
      <c r="G327" s="301" t="s">
        <v>271</v>
      </c>
      <c r="H327" s="297" t="s">
        <v>63</v>
      </c>
      <c r="I327" s="297" t="s">
        <v>101</v>
      </c>
      <c r="J327" s="299"/>
      <c r="K327" s="300"/>
      <c r="L327" s="301"/>
      <c r="M327" s="297"/>
      <c r="N327" s="297"/>
      <c r="O327" s="299"/>
      <c r="P327" s="302"/>
      <c r="Q327" s="301"/>
      <c r="R327" s="297"/>
      <c r="S327" s="297"/>
      <c r="T327" s="299"/>
      <c r="U327" s="300"/>
      <c r="V327" s="301"/>
      <c r="W327" s="297"/>
      <c r="X327" s="297"/>
      <c r="Y327" s="299"/>
      <c r="Z327" s="300"/>
      <c r="AA327" s="301"/>
      <c r="AB327" s="297"/>
      <c r="AC327" s="297"/>
      <c r="AD327" s="299"/>
      <c r="AE327" s="300"/>
      <c r="AF327" s="360"/>
      <c r="AG327" s="297"/>
      <c r="AH327" s="297"/>
      <c r="AI327" s="322"/>
      <c r="AJ327" s="300"/>
      <c r="AK327" s="301"/>
      <c r="AL327" s="297"/>
      <c r="AM327" s="297"/>
      <c r="AN327" s="297"/>
      <c r="AO327" s="473"/>
      <c r="AP327" s="297"/>
      <c r="AQ327" s="301" t="s">
        <v>7909</v>
      </c>
      <c r="AR327" s="297" t="s">
        <v>66</v>
      </c>
      <c r="AS327" s="299" t="s">
        <v>67</v>
      </c>
      <c r="AT327" s="299" t="s">
        <v>67</v>
      </c>
      <c r="AU327" s="297" t="s">
        <v>3827</v>
      </c>
      <c r="AV327" s="297"/>
      <c r="AW327" s="297" t="s">
        <v>69</v>
      </c>
      <c r="AX327" s="297" t="s">
        <v>7628</v>
      </c>
      <c r="AY327" s="299">
        <v>42775</v>
      </c>
      <c r="AZ327" s="297" t="s">
        <v>67</v>
      </c>
      <c r="BA327" s="299" t="s">
        <v>67</v>
      </c>
      <c r="BB327" s="382">
        <v>42781</v>
      </c>
      <c r="BC327" s="297" t="s">
        <v>3829</v>
      </c>
      <c r="BD327" s="297" t="s">
        <v>6447</v>
      </c>
      <c r="BE327" s="297"/>
      <c r="BF327" s="301"/>
      <c r="BG327" s="301" t="s">
        <v>67</v>
      </c>
      <c r="BH327" s="301" t="s">
        <v>4418</v>
      </c>
      <c r="BI327" s="301" t="s">
        <v>4197</v>
      </c>
      <c r="BJ327" s="312">
        <v>307722</v>
      </c>
      <c r="BK327" s="312">
        <v>307722</v>
      </c>
      <c r="BL327" s="313">
        <v>46714417</v>
      </c>
      <c r="BM327" s="299">
        <v>42797</v>
      </c>
      <c r="BN327" s="300">
        <v>42795</v>
      </c>
      <c r="BO327" s="460"/>
      <c r="BP327" s="390"/>
      <c r="BQ327" s="297"/>
      <c r="BR327" s="303"/>
      <c r="BS327" s="301"/>
      <c r="BT327" s="301"/>
      <c r="BU327" s="301"/>
      <c r="BV327" s="301"/>
      <c r="BW327" s="316"/>
      <c r="BX327" s="304"/>
      <c r="BY327" s="299"/>
      <c r="BZ327" s="317"/>
    </row>
    <row r="328" spans="1:555" ht="78" customHeight="1">
      <c r="A328" s="296">
        <v>443</v>
      </c>
      <c r="B328" s="297" t="s">
        <v>4419</v>
      </c>
      <c r="C328" s="298">
        <v>96192807</v>
      </c>
      <c r="D328" s="354" t="s">
        <v>67</v>
      </c>
      <c r="E328" s="299">
        <v>42779</v>
      </c>
      <c r="F328" s="300">
        <v>42767</v>
      </c>
      <c r="G328" s="301" t="s">
        <v>271</v>
      </c>
      <c r="H328" s="297" t="s">
        <v>63</v>
      </c>
      <c r="I328" s="297" t="s">
        <v>101</v>
      </c>
      <c r="J328" s="299"/>
      <c r="K328" s="300"/>
      <c r="L328" s="301"/>
      <c r="M328" s="297"/>
      <c r="N328" s="297"/>
      <c r="O328" s="299"/>
      <c r="P328" s="302"/>
      <c r="Q328" s="301"/>
      <c r="R328" s="297"/>
      <c r="S328" s="297"/>
      <c r="T328" s="299"/>
      <c r="U328" s="300"/>
      <c r="V328" s="301"/>
      <c r="W328" s="297"/>
      <c r="X328" s="297"/>
      <c r="Y328" s="299"/>
      <c r="Z328" s="300"/>
      <c r="AA328" s="301"/>
      <c r="AB328" s="297"/>
      <c r="AC328" s="297"/>
      <c r="AD328" s="299"/>
      <c r="AE328" s="300"/>
      <c r="AF328" s="301"/>
      <c r="AG328" s="297"/>
      <c r="AH328" s="297"/>
      <c r="AI328" s="322"/>
      <c r="AJ328" s="300"/>
      <c r="AK328" s="301"/>
      <c r="AL328" s="297"/>
      <c r="AM328" s="297"/>
      <c r="AN328" s="297"/>
      <c r="AO328" s="473"/>
      <c r="AP328" s="297"/>
      <c r="AQ328" s="301" t="s">
        <v>7882</v>
      </c>
      <c r="AR328" s="297" t="s">
        <v>66</v>
      </c>
      <c r="AS328" s="299" t="s">
        <v>67</v>
      </c>
      <c r="AT328" s="299" t="s">
        <v>67</v>
      </c>
      <c r="AU328" s="297" t="s">
        <v>3827</v>
      </c>
      <c r="AV328" s="297"/>
      <c r="AW328" s="297" t="s">
        <v>69</v>
      </c>
      <c r="AX328" s="297" t="s">
        <v>7628</v>
      </c>
      <c r="AY328" s="299">
        <v>42775</v>
      </c>
      <c r="AZ328" s="297" t="s">
        <v>67</v>
      </c>
      <c r="BA328" s="299" t="s">
        <v>67</v>
      </c>
      <c r="BB328" s="382">
        <v>42781</v>
      </c>
      <c r="BC328" s="297" t="s">
        <v>3829</v>
      </c>
      <c r="BD328" s="297" t="s">
        <v>6447</v>
      </c>
      <c r="BE328" s="297"/>
      <c r="BF328" s="301"/>
      <c r="BG328" s="301" t="s">
        <v>67</v>
      </c>
      <c r="BH328" s="301" t="s">
        <v>4420</v>
      </c>
      <c r="BI328" s="301" t="s">
        <v>4344</v>
      </c>
      <c r="BJ328" s="312">
        <v>2643635</v>
      </c>
      <c r="BK328" s="312">
        <v>2643635</v>
      </c>
      <c r="BL328" s="313">
        <v>48076217</v>
      </c>
      <c r="BM328" s="299">
        <v>42800</v>
      </c>
      <c r="BN328" s="300">
        <v>42795</v>
      </c>
      <c r="BO328" s="460"/>
      <c r="BP328" s="390"/>
      <c r="BQ328" s="297"/>
      <c r="BR328" s="303"/>
      <c r="BS328" s="301"/>
      <c r="BT328" s="301"/>
      <c r="BU328" s="301"/>
      <c r="BV328" s="301"/>
      <c r="BW328" s="316"/>
      <c r="BX328" s="304"/>
      <c r="BY328" s="299"/>
      <c r="BZ328" s="317"/>
    </row>
    <row r="329" spans="1:555" ht="93" customHeight="1">
      <c r="A329" s="296">
        <v>444</v>
      </c>
      <c r="B329" s="297" t="s">
        <v>4421</v>
      </c>
      <c r="C329" s="298">
        <v>91346638</v>
      </c>
      <c r="D329" s="354" t="s">
        <v>67</v>
      </c>
      <c r="E329" s="299">
        <v>42779</v>
      </c>
      <c r="F329" s="300">
        <v>42767</v>
      </c>
      <c r="G329" s="301" t="s">
        <v>271</v>
      </c>
      <c r="H329" s="297" t="s">
        <v>63</v>
      </c>
      <c r="I329" s="297" t="s">
        <v>101</v>
      </c>
      <c r="J329" s="299"/>
      <c r="K329" s="300"/>
      <c r="L329" s="301"/>
      <c r="M329" s="297"/>
      <c r="N329" s="297"/>
      <c r="O329" s="299"/>
      <c r="P329" s="302"/>
      <c r="Q329" s="301"/>
      <c r="R329" s="297"/>
      <c r="S329" s="297"/>
      <c r="T329" s="299"/>
      <c r="U329" s="300"/>
      <c r="V329" s="301"/>
      <c r="W329" s="297"/>
      <c r="X329" s="297"/>
      <c r="Y329" s="299"/>
      <c r="Z329" s="300"/>
      <c r="AA329" s="301"/>
      <c r="AB329" s="297"/>
      <c r="AC329" s="297"/>
      <c r="AD329" s="299"/>
      <c r="AE329" s="300"/>
      <c r="AF329" s="301"/>
      <c r="AG329" s="297"/>
      <c r="AH329" s="297"/>
      <c r="AI329" s="322"/>
      <c r="AJ329" s="300"/>
      <c r="AK329" s="301"/>
      <c r="AL329" s="297"/>
      <c r="AM329" s="297"/>
      <c r="AN329" s="297"/>
      <c r="AO329" s="473"/>
      <c r="AP329" s="297"/>
      <c r="AQ329" s="301" t="s">
        <v>7820</v>
      </c>
      <c r="AR329" s="297" t="s">
        <v>66</v>
      </c>
      <c r="AS329" s="299" t="s">
        <v>67</v>
      </c>
      <c r="AT329" s="299" t="s">
        <v>67</v>
      </c>
      <c r="AU329" s="297" t="s">
        <v>3827</v>
      </c>
      <c r="AV329" s="297"/>
      <c r="AW329" s="297" t="s">
        <v>69</v>
      </c>
      <c r="AX329" s="297" t="s">
        <v>7628</v>
      </c>
      <c r="AY329" s="299">
        <v>42775</v>
      </c>
      <c r="AZ329" s="297" t="s">
        <v>67</v>
      </c>
      <c r="BA329" s="299" t="s">
        <v>67</v>
      </c>
      <c r="BB329" s="382">
        <v>42781</v>
      </c>
      <c r="BC329" s="297" t="s">
        <v>3829</v>
      </c>
      <c r="BD329" s="297" t="s">
        <v>6447</v>
      </c>
      <c r="BE329" s="297"/>
      <c r="BF329" s="301"/>
      <c r="BG329" s="301" t="s">
        <v>67</v>
      </c>
      <c r="BH329" s="301" t="s">
        <v>4422</v>
      </c>
      <c r="BI329" s="301" t="s">
        <v>4197</v>
      </c>
      <c r="BJ329" s="312">
        <v>1508796</v>
      </c>
      <c r="BK329" s="312">
        <v>1508796</v>
      </c>
      <c r="BL329" s="313">
        <v>46743617</v>
      </c>
      <c r="BM329" s="299">
        <v>42797</v>
      </c>
      <c r="BN329" s="300">
        <v>42795</v>
      </c>
      <c r="BO329" s="460"/>
      <c r="BP329" s="390"/>
      <c r="BQ329" s="297"/>
      <c r="BR329" s="303"/>
      <c r="BS329" s="301"/>
      <c r="BT329" s="301"/>
      <c r="BU329" s="301"/>
      <c r="BV329" s="301"/>
      <c r="BW329" s="316"/>
      <c r="BX329" s="304"/>
      <c r="BY329" s="299"/>
      <c r="BZ329" s="317"/>
    </row>
    <row r="330" spans="1:555" ht="90.75" customHeight="1">
      <c r="A330" s="296">
        <v>450</v>
      </c>
      <c r="B330" s="297" t="s">
        <v>4466</v>
      </c>
      <c r="C330" s="298">
        <v>88179254</v>
      </c>
      <c r="D330" s="354" t="s">
        <v>67</v>
      </c>
      <c r="E330" s="299">
        <v>42780</v>
      </c>
      <c r="F330" s="300">
        <v>42767</v>
      </c>
      <c r="G330" s="301" t="s">
        <v>271</v>
      </c>
      <c r="H330" s="297" t="s">
        <v>63</v>
      </c>
      <c r="I330" s="297" t="s">
        <v>101</v>
      </c>
      <c r="J330" s="299"/>
      <c r="K330" s="300"/>
      <c r="L330" s="301"/>
      <c r="M330" s="297"/>
      <c r="N330" s="297"/>
      <c r="O330" s="299"/>
      <c r="P330" s="302"/>
      <c r="Q330" s="301"/>
      <c r="R330" s="297"/>
      <c r="S330" s="297"/>
      <c r="T330" s="299"/>
      <c r="U330" s="300"/>
      <c r="V330" s="301"/>
      <c r="W330" s="297"/>
      <c r="X330" s="297"/>
      <c r="Y330" s="299"/>
      <c r="Z330" s="300"/>
      <c r="AA330" s="301"/>
      <c r="AB330" s="297"/>
      <c r="AC330" s="297"/>
      <c r="AD330" s="299"/>
      <c r="AE330" s="300"/>
      <c r="AF330" s="301"/>
      <c r="AG330" s="297"/>
      <c r="AH330" s="297"/>
      <c r="AI330" s="322"/>
      <c r="AJ330" s="300"/>
      <c r="AK330" s="301"/>
      <c r="AL330" s="297"/>
      <c r="AM330" s="297"/>
      <c r="AN330" s="297"/>
      <c r="AO330" s="473"/>
      <c r="AP330" s="297"/>
      <c r="AQ330" s="301" t="s">
        <v>7937</v>
      </c>
      <c r="AR330" s="297" t="s">
        <v>66</v>
      </c>
      <c r="AS330" s="299" t="s">
        <v>67</v>
      </c>
      <c r="AT330" s="299" t="s">
        <v>67</v>
      </c>
      <c r="AU330" s="297" t="s">
        <v>3827</v>
      </c>
      <c r="AV330" s="297"/>
      <c r="AW330" s="297" t="s">
        <v>69</v>
      </c>
      <c r="AX330" s="297" t="s">
        <v>4467</v>
      </c>
      <c r="AY330" s="299">
        <v>42723</v>
      </c>
      <c r="AZ330" s="297" t="s">
        <v>67</v>
      </c>
      <c r="BA330" s="299" t="s">
        <v>67</v>
      </c>
      <c r="BB330" s="382">
        <v>42781</v>
      </c>
      <c r="BC330" s="297" t="s">
        <v>3829</v>
      </c>
      <c r="BD330" s="297" t="s">
        <v>6447</v>
      </c>
      <c r="BE330" s="297"/>
      <c r="BF330" s="301"/>
      <c r="BG330" s="301" t="s">
        <v>67</v>
      </c>
      <c r="BH330" s="301" t="s">
        <v>4468</v>
      </c>
      <c r="BI330" s="301" t="s">
        <v>4199</v>
      </c>
      <c r="BJ330" s="312">
        <v>726265</v>
      </c>
      <c r="BK330" s="312">
        <v>726265</v>
      </c>
      <c r="BL330" s="313">
        <v>54517917</v>
      </c>
      <c r="BM330" s="299">
        <v>42803</v>
      </c>
      <c r="BN330" s="300">
        <v>42795</v>
      </c>
      <c r="BO330" s="434" t="s">
        <v>4469</v>
      </c>
      <c r="BP330" s="397"/>
      <c r="BQ330" s="398"/>
      <c r="BR330" s="320"/>
      <c r="BS330" s="301"/>
      <c r="BT330" s="301"/>
      <c r="BU330" s="301"/>
      <c r="BV330" s="301"/>
      <c r="BW330" s="316"/>
      <c r="BX330" s="304"/>
      <c r="BY330" s="299"/>
      <c r="BZ330" s="317"/>
    </row>
    <row r="331" spans="1:555" s="259" customFormat="1" ht="135">
      <c r="A331" s="296">
        <v>456</v>
      </c>
      <c r="B331" s="303" t="s">
        <v>4509</v>
      </c>
      <c r="C331" s="321">
        <v>32830069</v>
      </c>
      <c r="D331" s="354" t="s">
        <v>2826</v>
      </c>
      <c r="E331" s="299">
        <v>42782</v>
      </c>
      <c r="F331" s="300">
        <v>42767</v>
      </c>
      <c r="G331" s="301" t="s">
        <v>4510</v>
      </c>
      <c r="H331" s="297" t="s">
        <v>5</v>
      </c>
      <c r="I331" s="297" t="s">
        <v>79</v>
      </c>
      <c r="J331" s="299">
        <v>42873</v>
      </c>
      <c r="K331" s="300">
        <v>42856</v>
      </c>
      <c r="L331" s="301" t="s">
        <v>4511</v>
      </c>
      <c r="M331" s="297" t="s">
        <v>5</v>
      </c>
      <c r="N331" s="297" t="s">
        <v>101</v>
      </c>
      <c r="O331" s="299">
        <v>42915</v>
      </c>
      <c r="P331" s="302">
        <v>42887</v>
      </c>
      <c r="Q331" s="301" t="s">
        <v>4512</v>
      </c>
      <c r="R331" s="297" t="s">
        <v>5</v>
      </c>
      <c r="S331" s="297" t="s">
        <v>85</v>
      </c>
      <c r="T331" s="299"/>
      <c r="U331" s="300"/>
      <c r="V331" s="301"/>
      <c r="W331" s="297"/>
      <c r="X331" s="297"/>
      <c r="Y331" s="299"/>
      <c r="Z331" s="300"/>
      <c r="AA331" s="301"/>
      <c r="AB331" s="297"/>
      <c r="AC331" s="297"/>
      <c r="AD331" s="299"/>
      <c r="AE331" s="300"/>
      <c r="AF331" s="301"/>
      <c r="AG331" s="297"/>
      <c r="AH331" s="297"/>
      <c r="AI331" s="322"/>
      <c r="AJ331" s="300"/>
      <c r="AK331" s="301"/>
      <c r="AL331" s="297"/>
      <c r="AM331" s="297"/>
      <c r="AN331" s="297"/>
      <c r="AO331" s="473"/>
      <c r="AP331" s="297"/>
      <c r="AQ331" s="308" t="s">
        <v>4513</v>
      </c>
      <c r="AR331" s="297" t="s">
        <v>66</v>
      </c>
      <c r="AS331" s="305" t="s">
        <v>67</v>
      </c>
      <c r="AT331" s="305" t="s">
        <v>67</v>
      </c>
      <c r="AU331" s="303" t="s">
        <v>4514</v>
      </c>
      <c r="AV331" s="303"/>
      <c r="AW331" s="297" t="s">
        <v>92</v>
      </c>
      <c r="AX331" s="297" t="s">
        <v>328</v>
      </c>
      <c r="AY331" s="299">
        <v>38897</v>
      </c>
      <c r="AZ331" s="297" t="s">
        <v>576</v>
      </c>
      <c r="BA331" s="299">
        <v>42068</v>
      </c>
      <c r="BB331" s="382" t="s">
        <v>4515</v>
      </c>
      <c r="BC331" s="303" t="s">
        <v>561</v>
      </c>
      <c r="BD331" s="303" t="s">
        <v>4516</v>
      </c>
      <c r="BE331" s="297" t="s">
        <v>8142</v>
      </c>
      <c r="BF331" s="301"/>
      <c r="BG331" s="301"/>
      <c r="BH331" s="301" t="s">
        <v>4517</v>
      </c>
      <c r="BI331" s="301" t="s">
        <v>4518</v>
      </c>
      <c r="BJ331" s="312">
        <v>166065573</v>
      </c>
      <c r="BK331" s="312">
        <v>166065573</v>
      </c>
      <c r="BL331" s="313">
        <v>223249817</v>
      </c>
      <c r="BM331" s="299">
        <v>42958</v>
      </c>
      <c r="BN331" s="300">
        <v>42948</v>
      </c>
      <c r="BO331" s="460"/>
      <c r="BP331" s="390"/>
      <c r="BQ331" s="297"/>
      <c r="BR331" s="303"/>
      <c r="BS331" s="301"/>
      <c r="BT331" s="301"/>
      <c r="BU331" s="301"/>
      <c r="BV331" s="301"/>
      <c r="BW331" s="316"/>
      <c r="BX331" s="304"/>
      <c r="BY331" s="299"/>
      <c r="BZ331" s="317"/>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c r="IZ331" s="1"/>
      <c r="JA331" s="1"/>
      <c r="JB331" s="1"/>
      <c r="JC331" s="1"/>
      <c r="JD331" s="1"/>
      <c r="JE331" s="1"/>
      <c r="JF331" s="1"/>
      <c r="JG331" s="1"/>
      <c r="JH331" s="1"/>
      <c r="JI331" s="1"/>
      <c r="JJ331" s="1"/>
      <c r="JK331" s="1"/>
      <c r="JL331" s="1"/>
      <c r="JM331" s="1"/>
      <c r="JN331" s="1"/>
      <c r="JO331" s="1"/>
      <c r="JP331" s="1"/>
      <c r="JQ331" s="1"/>
      <c r="JR331" s="1"/>
      <c r="JS331" s="1"/>
      <c r="JT331" s="1"/>
      <c r="JU331" s="1"/>
      <c r="JV331" s="1"/>
      <c r="JW331" s="1"/>
      <c r="JX331" s="1"/>
      <c r="JY331" s="1"/>
      <c r="JZ331" s="1"/>
      <c r="KA331" s="1"/>
      <c r="KB331" s="1"/>
      <c r="KC331" s="1"/>
      <c r="KD331" s="1"/>
      <c r="KE331" s="1"/>
      <c r="KF331" s="1"/>
      <c r="KG331" s="1"/>
      <c r="KH331" s="1"/>
      <c r="KI331" s="1"/>
      <c r="KJ331" s="1"/>
      <c r="KK331" s="1"/>
      <c r="KL331" s="1"/>
      <c r="KM331" s="1"/>
      <c r="KN331" s="1"/>
      <c r="KO331" s="1"/>
      <c r="KP331" s="1"/>
      <c r="KQ331" s="1"/>
      <c r="KR331" s="1"/>
      <c r="KS331" s="1"/>
      <c r="KT331" s="1"/>
      <c r="KU331" s="1"/>
      <c r="KV331" s="1"/>
      <c r="KW331" s="1"/>
      <c r="KX331" s="1"/>
      <c r="KY331" s="1"/>
      <c r="KZ331" s="1"/>
      <c r="LA331" s="1"/>
      <c r="LB331" s="1"/>
      <c r="LC331" s="1"/>
      <c r="LD331" s="1"/>
      <c r="LE331" s="1"/>
      <c r="LF331" s="1"/>
      <c r="LG331" s="1"/>
      <c r="LH331" s="1"/>
      <c r="LI331" s="1"/>
      <c r="LJ331" s="1"/>
      <c r="LK331" s="1"/>
      <c r="LL331" s="1"/>
      <c r="LM331" s="1"/>
      <c r="LN331" s="1"/>
      <c r="LO331" s="1"/>
      <c r="LP331" s="1"/>
      <c r="LQ331" s="1"/>
      <c r="LR331" s="1"/>
      <c r="LS331" s="1"/>
      <c r="LT331" s="1"/>
      <c r="LU331" s="1"/>
      <c r="LV331" s="1"/>
      <c r="LW331" s="1"/>
      <c r="LX331" s="1"/>
      <c r="LY331" s="1"/>
      <c r="LZ331" s="1"/>
      <c r="MA331" s="1"/>
      <c r="MB331" s="1"/>
      <c r="MC331" s="1"/>
      <c r="MD331" s="1"/>
      <c r="ME331" s="1"/>
      <c r="MF331" s="1"/>
      <c r="MG331" s="1"/>
      <c r="MH331" s="1"/>
      <c r="MI331" s="1"/>
      <c r="MJ331" s="1"/>
      <c r="MK331" s="1"/>
      <c r="ML331" s="1"/>
      <c r="MM331" s="1"/>
      <c r="MN331" s="1"/>
      <c r="MO331" s="1"/>
      <c r="MP331" s="1"/>
      <c r="MQ331" s="1"/>
      <c r="MR331" s="1"/>
      <c r="MS331" s="1"/>
      <c r="MT331" s="1"/>
      <c r="MU331" s="1"/>
      <c r="MV331" s="1"/>
      <c r="MW331" s="1"/>
      <c r="MX331" s="1"/>
      <c r="MY331" s="1"/>
      <c r="MZ331" s="1"/>
      <c r="NA331" s="1"/>
      <c r="NB331" s="1"/>
      <c r="NC331" s="1"/>
      <c r="ND331" s="1"/>
      <c r="NE331" s="1"/>
      <c r="NF331" s="1"/>
      <c r="NG331" s="1"/>
      <c r="NH331" s="1"/>
      <c r="NI331" s="1"/>
      <c r="NJ331" s="1"/>
      <c r="NK331" s="1"/>
      <c r="NL331" s="1"/>
      <c r="NM331" s="1"/>
      <c r="NN331" s="1"/>
      <c r="NO331" s="1"/>
      <c r="NP331" s="1"/>
      <c r="NQ331" s="1"/>
      <c r="NR331" s="1"/>
      <c r="NS331" s="1"/>
      <c r="NT331" s="1"/>
      <c r="NU331" s="1"/>
      <c r="NV331" s="1"/>
      <c r="NW331" s="1"/>
      <c r="NX331" s="1"/>
      <c r="NY331" s="1"/>
      <c r="NZ331" s="1"/>
      <c r="OA331" s="1"/>
      <c r="OB331" s="1"/>
      <c r="OC331" s="1"/>
      <c r="OD331" s="1"/>
      <c r="OE331" s="1"/>
      <c r="OF331" s="1"/>
      <c r="OG331" s="1"/>
      <c r="OH331" s="1"/>
      <c r="OI331" s="1"/>
      <c r="OJ331" s="1"/>
      <c r="OK331" s="1"/>
      <c r="OL331" s="1"/>
      <c r="OM331" s="1"/>
      <c r="ON331" s="1"/>
      <c r="OO331" s="1"/>
      <c r="OP331" s="1"/>
      <c r="OQ331" s="1"/>
      <c r="OR331" s="1"/>
      <c r="OS331" s="1"/>
      <c r="OT331" s="1"/>
      <c r="OU331" s="1"/>
      <c r="OV331" s="1"/>
      <c r="OW331" s="1"/>
      <c r="OX331" s="1"/>
      <c r="OY331" s="1"/>
      <c r="OZ331" s="1"/>
      <c r="PA331" s="1"/>
      <c r="PB331" s="1"/>
      <c r="PC331" s="1"/>
      <c r="PD331" s="1"/>
      <c r="PE331" s="1"/>
      <c r="PF331" s="1"/>
      <c r="PG331" s="1"/>
      <c r="PH331" s="1"/>
      <c r="PI331" s="1"/>
      <c r="PJ331" s="1"/>
      <c r="PK331" s="1"/>
      <c r="PL331" s="1"/>
      <c r="PM331" s="1"/>
      <c r="PN331" s="1"/>
      <c r="PO331" s="1"/>
      <c r="PP331" s="1"/>
      <c r="PQ331" s="1"/>
      <c r="PR331" s="1"/>
      <c r="PS331" s="1"/>
      <c r="PT331" s="1"/>
      <c r="PU331" s="1"/>
      <c r="PV331" s="1"/>
      <c r="PW331" s="1"/>
      <c r="PX331" s="1"/>
      <c r="PY331" s="1"/>
      <c r="PZ331" s="1"/>
      <c r="QA331" s="1"/>
      <c r="QB331" s="1"/>
      <c r="QC331" s="1"/>
      <c r="QD331" s="1"/>
      <c r="QE331" s="1"/>
      <c r="QF331" s="1"/>
      <c r="QG331" s="1"/>
      <c r="QH331" s="1"/>
      <c r="QI331" s="1"/>
      <c r="QJ331" s="1"/>
      <c r="QK331" s="1"/>
      <c r="QL331" s="1"/>
      <c r="QM331" s="1"/>
      <c r="QN331" s="1"/>
      <c r="QO331" s="1"/>
      <c r="QP331" s="1"/>
      <c r="QQ331" s="1"/>
      <c r="QR331" s="1"/>
      <c r="QS331" s="1"/>
      <c r="QT331" s="1"/>
      <c r="QU331" s="1"/>
      <c r="QV331" s="1"/>
      <c r="QW331" s="1"/>
      <c r="QX331" s="1"/>
      <c r="QY331" s="1"/>
      <c r="QZ331" s="1"/>
      <c r="RA331" s="1"/>
      <c r="RB331" s="1"/>
      <c r="RC331" s="1"/>
      <c r="RD331" s="1"/>
      <c r="RE331" s="1"/>
      <c r="RF331" s="1"/>
      <c r="RG331" s="1"/>
      <c r="RH331" s="1"/>
      <c r="RI331" s="1"/>
      <c r="RJ331" s="1"/>
      <c r="RK331" s="1"/>
      <c r="RL331" s="1"/>
      <c r="RM331" s="1"/>
      <c r="RN331" s="1"/>
      <c r="RO331" s="1"/>
      <c r="RP331" s="1"/>
      <c r="RQ331" s="1"/>
      <c r="RR331" s="1"/>
      <c r="RS331" s="1"/>
      <c r="RT331" s="1"/>
      <c r="RU331" s="1"/>
      <c r="RV331" s="1"/>
      <c r="RW331" s="1"/>
      <c r="RX331" s="1"/>
      <c r="RY331" s="1"/>
      <c r="RZ331" s="1"/>
      <c r="SA331" s="1"/>
      <c r="SB331" s="1"/>
      <c r="SC331" s="1"/>
      <c r="SD331" s="1"/>
      <c r="SE331" s="1"/>
      <c r="SF331" s="1"/>
      <c r="SG331" s="1"/>
      <c r="SH331" s="1"/>
      <c r="SI331" s="1"/>
      <c r="SJ331" s="1"/>
      <c r="SK331" s="1"/>
      <c r="SL331" s="1"/>
      <c r="SM331" s="1"/>
      <c r="SN331" s="1"/>
      <c r="SO331" s="1"/>
      <c r="SP331" s="1"/>
      <c r="SQ331" s="1"/>
      <c r="SR331" s="1"/>
      <c r="SS331" s="1"/>
      <c r="ST331" s="1"/>
      <c r="SU331" s="1"/>
      <c r="SV331" s="1"/>
      <c r="SW331" s="1"/>
      <c r="SX331" s="1"/>
      <c r="SY331" s="1"/>
      <c r="SZ331" s="1"/>
      <c r="TA331" s="1"/>
      <c r="TB331" s="1"/>
      <c r="TC331" s="1"/>
      <c r="TD331" s="1"/>
      <c r="TE331" s="1"/>
      <c r="TF331" s="1"/>
      <c r="TG331" s="1"/>
      <c r="TH331" s="1"/>
      <c r="TI331" s="1"/>
      <c r="TJ331" s="1"/>
      <c r="TK331" s="1"/>
      <c r="TL331" s="1"/>
      <c r="TM331" s="1"/>
      <c r="TN331" s="1"/>
      <c r="TO331" s="1"/>
      <c r="TP331" s="1"/>
      <c r="TQ331" s="1"/>
      <c r="TR331" s="1"/>
      <c r="TS331" s="1"/>
      <c r="TT331" s="1"/>
      <c r="TU331" s="1"/>
      <c r="TV331" s="1"/>
      <c r="TW331" s="1"/>
      <c r="TX331" s="1"/>
      <c r="TY331" s="1"/>
      <c r="TZ331" s="1"/>
      <c r="UA331" s="1"/>
      <c r="UB331" s="1"/>
      <c r="UC331" s="1"/>
      <c r="UD331" s="1"/>
      <c r="UE331" s="1"/>
      <c r="UF331" s="1"/>
      <c r="UG331" s="1"/>
      <c r="UH331" s="1"/>
      <c r="UI331" s="1"/>
    </row>
    <row r="332" spans="1:555" s="259" customFormat="1" ht="82.5" customHeight="1">
      <c r="A332" s="296">
        <v>457</v>
      </c>
      <c r="B332" s="297" t="s">
        <v>4519</v>
      </c>
      <c r="C332" s="298">
        <v>80727119</v>
      </c>
      <c r="D332" s="354" t="s">
        <v>67</v>
      </c>
      <c r="E332" s="299">
        <v>42786</v>
      </c>
      <c r="F332" s="300">
        <v>42767</v>
      </c>
      <c r="G332" s="301" t="s">
        <v>271</v>
      </c>
      <c r="H332" s="297" t="s">
        <v>63</v>
      </c>
      <c r="I332" s="297" t="s">
        <v>101</v>
      </c>
      <c r="J332" s="299"/>
      <c r="K332" s="300"/>
      <c r="L332" s="301"/>
      <c r="M332" s="297"/>
      <c r="N332" s="297"/>
      <c r="O332" s="299"/>
      <c r="P332" s="302"/>
      <c r="Q332" s="301"/>
      <c r="R332" s="297"/>
      <c r="S332" s="297"/>
      <c r="T332" s="299"/>
      <c r="U332" s="300"/>
      <c r="V332" s="301"/>
      <c r="W332" s="297"/>
      <c r="X332" s="297"/>
      <c r="Y332" s="299"/>
      <c r="Z332" s="300"/>
      <c r="AA332" s="301"/>
      <c r="AB332" s="297"/>
      <c r="AC332" s="297"/>
      <c r="AD332" s="299"/>
      <c r="AE332" s="300"/>
      <c r="AF332" s="301"/>
      <c r="AG332" s="297"/>
      <c r="AH332" s="297"/>
      <c r="AI332" s="322"/>
      <c r="AJ332" s="300"/>
      <c r="AK332" s="301"/>
      <c r="AL332" s="297"/>
      <c r="AM332" s="297"/>
      <c r="AN332" s="297"/>
      <c r="AO332" s="473"/>
      <c r="AP332" s="297"/>
      <c r="AQ332" s="301" t="s">
        <v>7708</v>
      </c>
      <c r="AR332" s="297" t="s">
        <v>66</v>
      </c>
      <c r="AS332" s="299" t="s">
        <v>67</v>
      </c>
      <c r="AT332" s="299" t="s">
        <v>67</v>
      </c>
      <c r="AU332" s="297" t="s">
        <v>3827</v>
      </c>
      <c r="AV332" s="297"/>
      <c r="AW332" s="297" t="s">
        <v>69</v>
      </c>
      <c r="AX332" s="297" t="s">
        <v>7628</v>
      </c>
      <c r="AY332" s="299">
        <v>42782</v>
      </c>
      <c r="AZ332" s="297" t="s">
        <v>67</v>
      </c>
      <c r="BA332" s="299" t="s">
        <v>67</v>
      </c>
      <c r="BB332" s="382">
        <v>42788</v>
      </c>
      <c r="BC332" s="297" t="s">
        <v>3829</v>
      </c>
      <c r="BD332" s="297" t="s">
        <v>6447</v>
      </c>
      <c r="BE332" s="297"/>
      <c r="BF332" s="301"/>
      <c r="BG332" s="301" t="s">
        <v>67</v>
      </c>
      <c r="BH332" s="301" t="s">
        <v>4520</v>
      </c>
      <c r="BI332" s="301" t="s">
        <v>4199</v>
      </c>
      <c r="BJ332" s="312">
        <v>1559067</v>
      </c>
      <c r="BK332" s="312">
        <v>1559067</v>
      </c>
      <c r="BL332" s="313">
        <v>54515617</v>
      </c>
      <c r="BM332" s="299">
        <v>42803</v>
      </c>
      <c r="BN332" s="300">
        <v>42795</v>
      </c>
      <c r="BO332" s="434" t="s">
        <v>4521</v>
      </c>
      <c r="BP332" s="397"/>
      <c r="BQ332" s="453"/>
      <c r="BR332" s="454"/>
      <c r="BS332" s="301"/>
      <c r="BT332" s="301"/>
      <c r="BU332" s="301"/>
      <c r="BV332" s="301"/>
      <c r="BW332" s="316"/>
      <c r="BX332" s="304"/>
      <c r="BY332" s="299"/>
      <c r="BZ332" s="317"/>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c r="IZ332" s="1"/>
      <c r="JA332" s="1"/>
      <c r="JB332" s="1"/>
      <c r="JC332" s="1"/>
      <c r="JD332" s="1"/>
      <c r="JE332" s="1"/>
      <c r="JF332" s="1"/>
      <c r="JG332" s="1"/>
      <c r="JH332" s="1"/>
      <c r="JI332" s="1"/>
      <c r="JJ332" s="1"/>
      <c r="JK332" s="1"/>
      <c r="JL332" s="1"/>
      <c r="JM332" s="1"/>
      <c r="JN332" s="1"/>
      <c r="JO332" s="1"/>
      <c r="JP332" s="1"/>
      <c r="JQ332" s="1"/>
      <c r="JR332" s="1"/>
      <c r="JS332" s="1"/>
      <c r="JT332" s="1"/>
      <c r="JU332" s="1"/>
      <c r="JV332" s="1"/>
      <c r="JW332" s="1"/>
      <c r="JX332" s="1"/>
      <c r="JY332" s="1"/>
      <c r="JZ332" s="1"/>
      <c r="KA332" s="1"/>
      <c r="KB332" s="1"/>
      <c r="KC332" s="1"/>
      <c r="KD332" s="1"/>
      <c r="KE332" s="1"/>
      <c r="KF332" s="1"/>
      <c r="KG332" s="1"/>
      <c r="KH332" s="1"/>
      <c r="KI332" s="1"/>
      <c r="KJ332" s="1"/>
      <c r="KK332" s="1"/>
      <c r="KL332" s="1"/>
      <c r="KM332" s="1"/>
      <c r="KN332" s="1"/>
      <c r="KO332" s="1"/>
      <c r="KP332" s="1"/>
      <c r="KQ332" s="1"/>
      <c r="KR332" s="1"/>
      <c r="KS332" s="1"/>
      <c r="KT332" s="1"/>
      <c r="KU332" s="1"/>
      <c r="KV332" s="1"/>
      <c r="KW332" s="1"/>
      <c r="KX332" s="1"/>
      <c r="KY332" s="1"/>
      <c r="KZ332" s="1"/>
      <c r="LA332" s="1"/>
      <c r="LB332" s="1"/>
      <c r="LC332" s="1"/>
      <c r="LD332" s="1"/>
      <c r="LE332" s="1"/>
      <c r="LF332" s="1"/>
      <c r="LG332" s="1"/>
      <c r="LH332" s="1"/>
      <c r="LI332" s="1"/>
      <c r="LJ332" s="1"/>
      <c r="LK332" s="1"/>
      <c r="LL332" s="1"/>
      <c r="LM332" s="1"/>
      <c r="LN332" s="1"/>
      <c r="LO332" s="1"/>
      <c r="LP332" s="1"/>
      <c r="LQ332" s="1"/>
      <c r="LR332" s="1"/>
      <c r="LS332" s="1"/>
      <c r="LT332" s="1"/>
      <c r="LU332" s="1"/>
      <c r="LV332" s="1"/>
      <c r="LW332" s="1"/>
      <c r="LX332" s="1"/>
      <c r="LY332" s="1"/>
      <c r="LZ332" s="1"/>
      <c r="MA332" s="1"/>
      <c r="MB332" s="1"/>
      <c r="MC332" s="1"/>
      <c r="MD332" s="1"/>
      <c r="ME332" s="1"/>
      <c r="MF332" s="1"/>
      <c r="MG332" s="1"/>
      <c r="MH332" s="1"/>
      <c r="MI332" s="1"/>
      <c r="MJ332" s="1"/>
      <c r="MK332" s="1"/>
      <c r="ML332" s="1"/>
      <c r="MM332" s="1"/>
      <c r="MN332" s="1"/>
      <c r="MO332" s="1"/>
      <c r="MP332" s="1"/>
      <c r="MQ332" s="1"/>
      <c r="MR332" s="1"/>
      <c r="MS332" s="1"/>
      <c r="MT332" s="1"/>
      <c r="MU332" s="1"/>
      <c r="MV332" s="1"/>
      <c r="MW332" s="1"/>
      <c r="MX332" s="1"/>
      <c r="MY332" s="1"/>
      <c r="MZ332" s="1"/>
      <c r="NA332" s="1"/>
      <c r="NB332" s="1"/>
      <c r="NC332" s="1"/>
      <c r="ND332" s="1"/>
      <c r="NE332" s="1"/>
      <c r="NF332" s="1"/>
      <c r="NG332" s="1"/>
      <c r="NH332" s="1"/>
      <c r="NI332" s="1"/>
      <c r="NJ332" s="1"/>
      <c r="NK332" s="1"/>
      <c r="NL332" s="1"/>
      <c r="NM332" s="1"/>
      <c r="NN332" s="1"/>
      <c r="NO332" s="1"/>
      <c r="NP332" s="1"/>
      <c r="NQ332" s="1"/>
      <c r="NR332" s="1"/>
      <c r="NS332" s="1"/>
      <c r="NT332" s="1"/>
      <c r="NU332" s="1"/>
      <c r="NV332" s="1"/>
      <c r="NW332" s="1"/>
      <c r="NX332" s="1"/>
      <c r="NY332" s="1"/>
      <c r="NZ332" s="1"/>
      <c r="OA332" s="1"/>
      <c r="OB332" s="1"/>
      <c r="OC332" s="1"/>
      <c r="OD332" s="1"/>
      <c r="OE332" s="1"/>
      <c r="OF332" s="1"/>
      <c r="OG332" s="1"/>
      <c r="OH332" s="1"/>
      <c r="OI332" s="1"/>
      <c r="OJ332" s="1"/>
      <c r="OK332" s="1"/>
      <c r="OL332" s="1"/>
      <c r="OM332" s="1"/>
      <c r="ON332" s="1"/>
      <c r="OO332" s="1"/>
      <c r="OP332" s="1"/>
      <c r="OQ332" s="1"/>
      <c r="OR332" s="1"/>
      <c r="OS332" s="1"/>
      <c r="OT332" s="1"/>
      <c r="OU332" s="1"/>
      <c r="OV332" s="1"/>
      <c r="OW332" s="1"/>
      <c r="OX332" s="1"/>
      <c r="OY332" s="1"/>
      <c r="OZ332" s="1"/>
      <c r="PA332" s="1"/>
      <c r="PB332" s="1"/>
      <c r="PC332" s="1"/>
      <c r="PD332" s="1"/>
      <c r="PE332" s="1"/>
      <c r="PF332" s="1"/>
      <c r="PG332" s="1"/>
      <c r="PH332" s="1"/>
      <c r="PI332" s="1"/>
      <c r="PJ332" s="1"/>
      <c r="PK332" s="1"/>
      <c r="PL332" s="1"/>
      <c r="PM332" s="1"/>
      <c r="PN332" s="1"/>
      <c r="PO332" s="1"/>
      <c r="PP332" s="1"/>
      <c r="PQ332" s="1"/>
      <c r="PR332" s="1"/>
      <c r="PS332" s="1"/>
      <c r="PT332" s="1"/>
      <c r="PU332" s="1"/>
      <c r="PV332" s="1"/>
      <c r="PW332" s="1"/>
      <c r="PX332" s="1"/>
      <c r="PY332" s="1"/>
      <c r="PZ332" s="1"/>
      <c r="QA332" s="1"/>
      <c r="QB332" s="1"/>
      <c r="QC332" s="1"/>
      <c r="QD332" s="1"/>
      <c r="QE332" s="1"/>
      <c r="QF332" s="1"/>
      <c r="QG332" s="1"/>
      <c r="QH332" s="1"/>
      <c r="QI332" s="1"/>
      <c r="QJ332" s="1"/>
      <c r="QK332" s="1"/>
      <c r="QL332" s="1"/>
      <c r="QM332" s="1"/>
      <c r="QN332" s="1"/>
      <c r="QO332" s="1"/>
      <c r="QP332" s="1"/>
      <c r="QQ332" s="1"/>
      <c r="QR332" s="1"/>
      <c r="QS332" s="1"/>
      <c r="QT332" s="1"/>
      <c r="QU332" s="1"/>
      <c r="QV332" s="1"/>
      <c r="QW332" s="1"/>
      <c r="QX332" s="1"/>
      <c r="QY332" s="1"/>
      <c r="QZ332" s="1"/>
      <c r="RA332" s="1"/>
      <c r="RB332" s="1"/>
      <c r="RC332" s="1"/>
      <c r="RD332" s="1"/>
      <c r="RE332" s="1"/>
      <c r="RF332" s="1"/>
      <c r="RG332" s="1"/>
      <c r="RH332" s="1"/>
      <c r="RI332" s="1"/>
      <c r="RJ332" s="1"/>
      <c r="RK332" s="1"/>
      <c r="RL332" s="1"/>
      <c r="RM332" s="1"/>
      <c r="RN332" s="1"/>
      <c r="RO332" s="1"/>
      <c r="RP332" s="1"/>
      <c r="RQ332" s="1"/>
      <c r="RR332" s="1"/>
      <c r="RS332" s="1"/>
      <c r="RT332" s="1"/>
      <c r="RU332" s="1"/>
      <c r="RV332" s="1"/>
      <c r="RW332" s="1"/>
      <c r="RX332" s="1"/>
      <c r="RY332" s="1"/>
      <c r="RZ332" s="1"/>
      <c r="SA332" s="1"/>
      <c r="SB332" s="1"/>
      <c r="SC332" s="1"/>
      <c r="SD332" s="1"/>
      <c r="SE332" s="1"/>
      <c r="SF332" s="1"/>
      <c r="SG332" s="1"/>
      <c r="SH332" s="1"/>
      <c r="SI332" s="1"/>
      <c r="SJ332" s="1"/>
      <c r="SK332" s="1"/>
      <c r="SL332" s="1"/>
      <c r="SM332" s="1"/>
      <c r="SN332" s="1"/>
      <c r="SO332" s="1"/>
      <c r="SP332" s="1"/>
      <c r="SQ332" s="1"/>
      <c r="SR332" s="1"/>
      <c r="SS332" s="1"/>
      <c r="ST332" s="1"/>
      <c r="SU332" s="1"/>
      <c r="SV332" s="1"/>
      <c r="SW332" s="1"/>
      <c r="SX332" s="1"/>
      <c r="SY332" s="1"/>
      <c r="SZ332" s="1"/>
      <c r="TA332" s="1"/>
      <c r="TB332" s="1"/>
      <c r="TC332" s="1"/>
      <c r="TD332" s="1"/>
      <c r="TE332" s="1"/>
      <c r="TF332" s="1"/>
      <c r="TG332" s="1"/>
      <c r="TH332" s="1"/>
      <c r="TI332" s="1"/>
      <c r="TJ332" s="1"/>
      <c r="TK332" s="1"/>
      <c r="TL332" s="1"/>
      <c r="TM332" s="1"/>
      <c r="TN332" s="1"/>
      <c r="TO332" s="1"/>
      <c r="TP332" s="1"/>
      <c r="TQ332" s="1"/>
      <c r="TR332" s="1"/>
      <c r="TS332" s="1"/>
      <c r="TT332" s="1"/>
      <c r="TU332" s="1"/>
      <c r="TV332" s="1"/>
      <c r="TW332" s="1"/>
      <c r="TX332" s="1"/>
      <c r="TY332" s="1"/>
      <c r="TZ332" s="1"/>
      <c r="UA332" s="1"/>
      <c r="UB332" s="1"/>
      <c r="UC332" s="1"/>
      <c r="UD332" s="1"/>
      <c r="UE332" s="1"/>
      <c r="UF332" s="1"/>
      <c r="UG332" s="1"/>
      <c r="UH332" s="1"/>
      <c r="UI332" s="1"/>
    </row>
    <row r="333" spans="1:555" ht="94.5" customHeight="1">
      <c r="A333" s="296">
        <v>458</v>
      </c>
      <c r="B333" s="297" t="s">
        <v>4522</v>
      </c>
      <c r="C333" s="298" t="s">
        <v>4523</v>
      </c>
      <c r="D333" s="354" t="s">
        <v>67</v>
      </c>
      <c r="E333" s="299">
        <v>42786</v>
      </c>
      <c r="F333" s="300">
        <v>42767</v>
      </c>
      <c r="G333" s="301" t="s">
        <v>271</v>
      </c>
      <c r="H333" s="297" t="s">
        <v>63</v>
      </c>
      <c r="I333" s="297" t="s">
        <v>101</v>
      </c>
      <c r="J333" s="299"/>
      <c r="K333" s="300"/>
      <c r="L333" s="301"/>
      <c r="M333" s="297"/>
      <c r="N333" s="297"/>
      <c r="O333" s="299"/>
      <c r="P333" s="302"/>
      <c r="Q333" s="301"/>
      <c r="R333" s="297"/>
      <c r="S333" s="297"/>
      <c r="T333" s="299"/>
      <c r="U333" s="300"/>
      <c r="V333" s="301"/>
      <c r="W333" s="297"/>
      <c r="X333" s="297"/>
      <c r="Y333" s="299"/>
      <c r="Z333" s="300"/>
      <c r="AA333" s="301"/>
      <c r="AB333" s="297"/>
      <c r="AC333" s="297"/>
      <c r="AD333" s="299"/>
      <c r="AE333" s="300"/>
      <c r="AF333" s="301"/>
      <c r="AG333" s="297"/>
      <c r="AH333" s="297"/>
      <c r="AI333" s="322"/>
      <c r="AJ333" s="300"/>
      <c r="AK333" s="301"/>
      <c r="AL333" s="297"/>
      <c r="AM333" s="297"/>
      <c r="AN333" s="297"/>
      <c r="AO333" s="473"/>
      <c r="AP333" s="297"/>
      <c r="AQ333" s="301" t="s">
        <v>7836</v>
      </c>
      <c r="AR333" s="297" t="s">
        <v>66</v>
      </c>
      <c r="AS333" s="299" t="s">
        <v>67</v>
      </c>
      <c r="AT333" s="299" t="s">
        <v>67</v>
      </c>
      <c r="AU333" s="297" t="s">
        <v>3827</v>
      </c>
      <c r="AV333" s="297"/>
      <c r="AW333" s="297" t="s">
        <v>69</v>
      </c>
      <c r="AX333" s="297" t="s">
        <v>7628</v>
      </c>
      <c r="AY333" s="299">
        <v>42782</v>
      </c>
      <c r="AZ333" s="297" t="s">
        <v>67</v>
      </c>
      <c r="BA333" s="299" t="s">
        <v>67</v>
      </c>
      <c r="BB333" s="382">
        <v>42788</v>
      </c>
      <c r="BC333" s="297" t="s">
        <v>3829</v>
      </c>
      <c r="BD333" s="297" t="s">
        <v>6447</v>
      </c>
      <c r="BE333" s="297"/>
      <c r="BF333" s="301"/>
      <c r="BG333" s="301" t="s">
        <v>67</v>
      </c>
      <c r="BH333" s="301" t="s">
        <v>4524</v>
      </c>
      <c r="BI333" s="301" t="s">
        <v>675</v>
      </c>
      <c r="BJ333" s="312">
        <v>2161302</v>
      </c>
      <c r="BK333" s="312">
        <v>2161302</v>
      </c>
      <c r="BL333" s="313">
        <v>50888517</v>
      </c>
      <c r="BM333" s="299">
        <v>42803</v>
      </c>
      <c r="BN333" s="300">
        <v>42795</v>
      </c>
      <c r="BO333" s="460"/>
      <c r="BP333" s="390"/>
      <c r="BQ333" s="297"/>
      <c r="BR333" s="303"/>
      <c r="BS333" s="301"/>
      <c r="BT333" s="301"/>
      <c r="BU333" s="301"/>
      <c r="BV333" s="301"/>
      <c r="BW333" s="316"/>
      <c r="BX333" s="304"/>
      <c r="BY333" s="299"/>
      <c r="BZ333" s="317"/>
    </row>
    <row r="334" spans="1:555" ht="54">
      <c r="A334" s="296">
        <v>459</v>
      </c>
      <c r="B334" s="297" t="s">
        <v>4525</v>
      </c>
      <c r="C334" s="298">
        <v>79711538</v>
      </c>
      <c r="D334" s="354" t="s">
        <v>67</v>
      </c>
      <c r="E334" s="299">
        <v>42786</v>
      </c>
      <c r="F334" s="300">
        <v>42767</v>
      </c>
      <c r="G334" s="301" t="s">
        <v>271</v>
      </c>
      <c r="H334" s="297" t="s">
        <v>63</v>
      </c>
      <c r="I334" s="297" t="s">
        <v>101</v>
      </c>
      <c r="J334" s="299"/>
      <c r="K334" s="300"/>
      <c r="L334" s="301"/>
      <c r="M334" s="297"/>
      <c r="N334" s="297"/>
      <c r="O334" s="299"/>
      <c r="P334" s="302"/>
      <c r="Q334" s="301"/>
      <c r="R334" s="297"/>
      <c r="S334" s="297"/>
      <c r="T334" s="299"/>
      <c r="U334" s="300"/>
      <c r="V334" s="301"/>
      <c r="W334" s="297"/>
      <c r="X334" s="297"/>
      <c r="Y334" s="299"/>
      <c r="Z334" s="300"/>
      <c r="AA334" s="301"/>
      <c r="AB334" s="297"/>
      <c r="AC334" s="297"/>
      <c r="AD334" s="299"/>
      <c r="AE334" s="300"/>
      <c r="AF334" s="301"/>
      <c r="AG334" s="297"/>
      <c r="AH334" s="297"/>
      <c r="AI334" s="322"/>
      <c r="AJ334" s="300"/>
      <c r="AK334" s="301"/>
      <c r="AL334" s="297"/>
      <c r="AM334" s="297"/>
      <c r="AN334" s="297"/>
      <c r="AO334" s="473"/>
      <c r="AP334" s="297"/>
      <c r="AQ334" s="301" t="s">
        <v>7620</v>
      </c>
      <c r="AR334" s="297" t="s">
        <v>66</v>
      </c>
      <c r="AS334" s="299" t="s">
        <v>67</v>
      </c>
      <c r="AT334" s="299" t="s">
        <v>67</v>
      </c>
      <c r="AU334" s="297" t="s">
        <v>3827</v>
      </c>
      <c r="AV334" s="297"/>
      <c r="AW334" s="297" t="s">
        <v>69</v>
      </c>
      <c r="AX334" s="297" t="s">
        <v>7621</v>
      </c>
      <c r="AY334" s="299">
        <v>42776</v>
      </c>
      <c r="AZ334" s="297" t="s">
        <v>67</v>
      </c>
      <c r="BA334" s="299" t="s">
        <v>67</v>
      </c>
      <c r="BB334" s="382">
        <v>42782</v>
      </c>
      <c r="BC334" s="297" t="s">
        <v>3829</v>
      </c>
      <c r="BD334" s="297" t="s">
        <v>6447</v>
      </c>
      <c r="BE334" s="297"/>
      <c r="BF334" s="301"/>
      <c r="BG334" s="301" t="s">
        <v>67</v>
      </c>
      <c r="BH334" s="301" t="s">
        <v>4526</v>
      </c>
      <c r="BI334" s="301" t="s">
        <v>4199</v>
      </c>
      <c r="BJ334" s="312">
        <v>338928</v>
      </c>
      <c r="BK334" s="312">
        <v>338928</v>
      </c>
      <c r="BL334" s="313">
        <v>54516817</v>
      </c>
      <c r="BM334" s="299">
        <v>42803</v>
      </c>
      <c r="BN334" s="300">
        <v>42795</v>
      </c>
      <c r="BO334" s="434" t="s">
        <v>4527</v>
      </c>
      <c r="BP334" s="397"/>
      <c r="BQ334" s="398"/>
      <c r="BR334" s="320"/>
      <c r="BS334" s="301"/>
      <c r="BT334" s="301"/>
      <c r="BU334" s="301"/>
      <c r="BV334" s="301"/>
      <c r="BW334" s="316"/>
      <c r="BX334" s="304"/>
      <c r="BY334" s="299"/>
      <c r="BZ334" s="317"/>
    </row>
    <row r="335" spans="1:555" ht="80.25" customHeight="1">
      <c r="A335" s="296">
        <v>460</v>
      </c>
      <c r="B335" s="297" t="s">
        <v>4528</v>
      </c>
      <c r="C335" s="298">
        <v>79864822</v>
      </c>
      <c r="D335" s="354" t="s">
        <v>67</v>
      </c>
      <c r="E335" s="299">
        <v>42786</v>
      </c>
      <c r="F335" s="300">
        <v>42767</v>
      </c>
      <c r="G335" s="301" t="s">
        <v>271</v>
      </c>
      <c r="H335" s="297" t="s">
        <v>63</v>
      </c>
      <c r="I335" s="297" t="s">
        <v>101</v>
      </c>
      <c r="J335" s="299"/>
      <c r="K335" s="300"/>
      <c r="L335" s="301"/>
      <c r="M335" s="297"/>
      <c r="N335" s="297"/>
      <c r="O335" s="299"/>
      <c r="P335" s="302"/>
      <c r="Q335" s="301"/>
      <c r="R335" s="297"/>
      <c r="S335" s="297"/>
      <c r="T335" s="299"/>
      <c r="U335" s="300"/>
      <c r="V335" s="301"/>
      <c r="W335" s="297"/>
      <c r="X335" s="297"/>
      <c r="Y335" s="299"/>
      <c r="Z335" s="300"/>
      <c r="AA335" s="301"/>
      <c r="AB335" s="297"/>
      <c r="AC335" s="297"/>
      <c r="AD335" s="299"/>
      <c r="AE335" s="300"/>
      <c r="AF335" s="301"/>
      <c r="AG335" s="297"/>
      <c r="AH335" s="297"/>
      <c r="AI335" s="322"/>
      <c r="AJ335" s="300"/>
      <c r="AK335" s="301"/>
      <c r="AL335" s="297"/>
      <c r="AM335" s="297"/>
      <c r="AN335" s="297"/>
      <c r="AO335" s="473"/>
      <c r="AP335" s="297"/>
      <c r="AQ335" s="301" t="s">
        <v>7688</v>
      </c>
      <c r="AR335" s="297" t="s">
        <v>66</v>
      </c>
      <c r="AS335" s="299" t="s">
        <v>67</v>
      </c>
      <c r="AT335" s="299" t="s">
        <v>67</v>
      </c>
      <c r="AU335" s="297" t="s">
        <v>3827</v>
      </c>
      <c r="AV335" s="297"/>
      <c r="AW335" s="297" t="s">
        <v>69</v>
      </c>
      <c r="AX335" s="297" t="s">
        <v>4482</v>
      </c>
      <c r="AY335" s="299">
        <v>42783</v>
      </c>
      <c r="AZ335" s="297" t="s">
        <v>67</v>
      </c>
      <c r="BA335" s="299" t="s">
        <v>67</v>
      </c>
      <c r="BB335" s="382">
        <v>42788</v>
      </c>
      <c r="BC335" s="297" t="s">
        <v>3829</v>
      </c>
      <c r="BD335" s="297" t="s">
        <v>6447</v>
      </c>
      <c r="BE335" s="297"/>
      <c r="BF335" s="301"/>
      <c r="BG335" s="301" t="s">
        <v>67</v>
      </c>
      <c r="BH335" s="301" t="s">
        <v>4529</v>
      </c>
      <c r="BI335" s="301" t="s">
        <v>675</v>
      </c>
      <c r="BJ335" s="312">
        <v>203357</v>
      </c>
      <c r="BK335" s="312">
        <v>203357</v>
      </c>
      <c r="BL335" s="313">
        <v>50869517</v>
      </c>
      <c r="BM335" s="299">
        <v>42803</v>
      </c>
      <c r="BN335" s="300">
        <v>42795</v>
      </c>
      <c r="BO335" s="434" t="s">
        <v>4530</v>
      </c>
      <c r="BP335" s="397"/>
      <c r="BQ335" s="455"/>
      <c r="BR335" s="456"/>
      <c r="BS335" s="301"/>
      <c r="BT335" s="301"/>
      <c r="BU335" s="301"/>
      <c r="BV335" s="301"/>
      <c r="BW335" s="316"/>
      <c r="BX335" s="304"/>
      <c r="BY335" s="299"/>
      <c r="BZ335" s="317"/>
    </row>
    <row r="336" spans="1:555" s="685" customFormat="1" ht="40.5">
      <c r="A336" s="296">
        <v>461</v>
      </c>
      <c r="B336" s="297" t="s">
        <v>4531</v>
      </c>
      <c r="C336" s="298">
        <v>4053421</v>
      </c>
      <c r="D336" s="354" t="s">
        <v>67</v>
      </c>
      <c r="E336" s="299">
        <v>42786</v>
      </c>
      <c r="F336" s="300">
        <v>42767</v>
      </c>
      <c r="G336" s="301" t="s">
        <v>271</v>
      </c>
      <c r="H336" s="297" t="s">
        <v>63</v>
      </c>
      <c r="I336" s="297" t="s">
        <v>101</v>
      </c>
      <c r="J336" s="299"/>
      <c r="K336" s="300"/>
      <c r="L336" s="301"/>
      <c r="M336" s="297"/>
      <c r="N336" s="297"/>
      <c r="O336" s="299"/>
      <c r="P336" s="302"/>
      <c r="Q336" s="301"/>
      <c r="R336" s="297"/>
      <c r="S336" s="297"/>
      <c r="T336" s="299"/>
      <c r="U336" s="300"/>
      <c r="V336" s="301"/>
      <c r="W336" s="297"/>
      <c r="X336" s="297"/>
      <c r="Y336" s="299"/>
      <c r="Z336" s="300"/>
      <c r="AA336" s="301"/>
      <c r="AB336" s="297"/>
      <c r="AC336" s="297"/>
      <c r="AD336" s="299"/>
      <c r="AE336" s="300"/>
      <c r="AF336" s="301"/>
      <c r="AG336" s="297"/>
      <c r="AH336" s="297"/>
      <c r="AI336" s="322"/>
      <c r="AJ336" s="300"/>
      <c r="AK336" s="301"/>
      <c r="AL336" s="297"/>
      <c r="AM336" s="297"/>
      <c r="AN336" s="297"/>
      <c r="AO336" s="473"/>
      <c r="AP336" s="297"/>
      <c r="AQ336" s="301" t="s">
        <v>7813</v>
      </c>
      <c r="AR336" s="297" t="s">
        <v>66</v>
      </c>
      <c r="AS336" s="299" t="s">
        <v>67</v>
      </c>
      <c r="AT336" s="299" t="s">
        <v>67</v>
      </c>
      <c r="AU336" s="297" t="s">
        <v>3827</v>
      </c>
      <c r="AV336" s="297"/>
      <c r="AW336" s="297" t="s">
        <v>69</v>
      </c>
      <c r="AX336" s="297" t="s">
        <v>4482</v>
      </c>
      <c r="AY336" s="299">
        <v>42783</v>
      </c>
      <c r="AZ336" s="297" t="s">
        <v>67</v>
      </c>
      <c r="BA336" s="299" t="s">
        <v>67</v>
      </c>
      <c r="BB336" s="382">
        <v>42788</v>
      </c>
      <c r="BC336" s="297" t="s">
        <v>3829</v>
      </c>
      <c r="BD336" s="297" t="s">
        <v>6447</v>
      </c>
      <c r="BE336" s="297"/>
      <c r="BF336" s="301"/>
      <c r="BG336" s="301" t="s">
        <v>67</v>
      </c>
      <c r="BH336" s="301" t="s">
        <v>4532</v>
      </c>
      <c r="BI336" s="301" t="s">
        <v>675</v>
      </c>
      <c r="BJ336" s="312">
        <v>3570523</v>
      </c>
      <c r="BK336" s="312">
        <v>3570523</v>
      </c>
      <c r="BL336" s="313">
        <v>50875717</v>
      </c>
      <c r="BM336" s="299">
        <v>42803</v>
      </c>
      <c r="BN336" s="300">
        <v>42795</v>
      </c>
      <c r="BO336" s="460"/>
      <c r="BP336" s="390"/>
      <c r="BQ336" s="297"/>
      <c r="BR336" s="303"/>
      <c r="BS336" s="301"/>
      <c r="BT336" s="301"/>
      <c r="BU336" s="301"/>
      <c r="BV336" s="301"/>
      <c r="BW336" s="316"/>
      <c r="BX336" s="304"/>
      <c r="BY336" s="299"/>
      <c r="BZ336" s="317"/>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c r="JB336" s="1"/>
      <c r="JC336" s="1"/>
      <c r="JD336" s="1"/>
      <c r="JE336" s="1"/>
      <c r="JF336" s="1"/>
      <c r="JG336" s="1"/>
      <c r="JH336" s="1"/>
      <c r="JI336" s="1"/>
      <c r="JJ336" s="1"/>
      <c r="JK336" s="1"/>
      <c r="JL336" s="1"/>
      <c r="JM336" s="1"/>
      <c r="JN336" s="1"/>
      <c r="JO336" s="1"/>
      <c r="JP336" s="1"/>
      <c r="JQ336" s="1"/>
      <c r="JR336" s="1"/>
      <c r="JS336" s="1"/>
      <c r="JT336" s="1"/>
      <c r="JU336" s="1"/>
      <c r="JV336" s="1"/>
      <c r="JW336" s="1"/>
      <c r="JX336" s="1"/>
      <c r="JY336" s="1"/>
      <c r="JZ336" s="1"/>
      <c r="KA336" s="1"/>
      <c r="KB336" s="1"/>
      <c r="KC336" s="1"/>
      <c r="KD336" s="1"/>
      <c r="KE336" s="1"/>
      <c r="KF336" s="1"/>
      <c r="KG336" s="1"/>
      <c r="KH336" s="1"/>
      <c r="KI336" s="1"/>
      <c r="KJ336" s="1"/>
      <c r="KK336" s="1"/>
      <c r="KL336" s="1"/>
      <c r="KM336" s="1"/>
      <c r="KN336" s="1"/>
      <c r="KO336" s="1"/>
      <c r="KP336" s="1"/>
      <c r="KQ336" s="1"/>
      <c r="KR336" s="1"/>
      <c r="KS336" s="1"/>
      <c r="KT336" s="1"/>
      <c r="KU336" s="1"/>
      <c r="KV336" s="1"/>
      <c r="KW336" s="1"/>
      <c r="KX336" s="1"/>
      <c r="KY336" s="1"/>
      <c r="KZ336" s="1"/>
      <c r="LA336" s="1"/>
      <c r="LB336" s="1"/>
      <c r="LC336" s="1"/>
      <c r="LD336" s="1"/>
      <c r="LE336" s="1"/>
      <c r="LF336" s="1"/>
      <c r="LG336" s="1"/>
      <c r="LH336" s="1"/>
      <c r="LI336" s="1"/>
      <c r="LJ336" s="1"/>
      <c r="LK336" s="1"/>
      <c r="LL336" s="1"/>
      <c r="LM336" s="1"/>
      <c r="LN336" s="1"/>
      <c r="LO336" s="1"/>
      <c r="LP336" s="1"/>
      <c r="LQ336" s="1"/>
      <c r="LR336" s="1"/>
      <c r="LS336" s="1"/>
      <c r="LT336" s="1"/>
      <c r="LU336" s="1"/>
      <c r="LV336" s="1"/>
      <c r="LW336" s="1"/>
      <c r="LX336" s="1"/>
      <c r="LY336" s="1"/>
      <c r="LZ336" s="1"/>
      <c r="MA336" s="1"/>
      <c r="MB336" s="1"/>
      <c r="MC336" s="1"/>
      <c r="MD336" s="1"/>
      <c r="ME336" s="1"/>
      <c r="MF336" s="1"/>
      <c r="MG336" s="1"/>
      <c r="MH336" s="1"/>
      <c r="MI336" s="1"/>
      <c r="MJ336" s="1"/>
      <c r="MK336" s="1"/>
      <c r="ML336" s="1"/>
      <c r="MM336" s="1"/>
      <c r="MN336" s="1"/>
      <c r="MO336" s="1"/>
      <c r="MP336" s="1"/>
      <c r="MQ336" s="1"/>
      <c r="MR336" s="1"/>
      <c r="MS336" s="1"/>
      <c r="MT336" s="1"/>
      <c r="MU336" s="1"/>
      <c r="MV336" s="1"/>
      <c r="MW336" s="1"/>
      <c r="MX336" s="1"/>
      <c r="MY336" s="1"/>
      <c r="MZ336" s="1"/>
      <c r="NA336" s="1"/>
      <c r="NB336" s="1"/>
      <c r="NC336" s="1"/>
      <c r="ND336" s="1"/>
      <c r="NE336" s="1"/>
      <c r="NF336" s="1"/>
      <c r="NG336" s="1"/>
      <c r="NH336" s="1"/>
      <c r="NI336" s="1"/>
      <c r="NJ336" s="1"/>
      <c r="NK336" s="1"/>
      <c r="NL336" s="1"/>
      <c r="NM336" s="1"/>
      <c r="NN336" s="1"/>
      <c r="NO336" s="1"/>
      <c r="NP336" s="1"/>
      <c r="NQ336" s="1"/>
      <c r="NR336" s="1"/>
      <c r="NS336" s="1"/>
      <c r="NT336" s="1"/>
      <c r="NU336" s="1"/>
      <c r="NV336" s="1"/>
      <c r="NW336" s="1"/>
      <c r="NX336" s="1"/>
      <c r="NY336" s="1"/>
      <c r="NZ336" s="1"/>
      <c r="OA336" s="1"/>
      <c r="OB336" s="1"/>
      <c r="OC336" s="1"/>
      <c r="OD336" s="1"/>
      <c r="OE336" s="1"/>
      <c r="OF336" s="1"/>
      <c r="OG336" s="1"/>
      <c r="OH336" s="1"/>
      <c r="OI336" s="1"/>
      <c r="OJ336" s="1"/>
      <c r="OK336" s="1"/>
      <c r="OL336" s="1"/>
      <c r="OM336" s="1"/>
      <c r="ON336" s="1"/>
      <c r="OO336" s="1"/>
      <c r="OP336" s="1"/>
      <c r="OQ336" s="1"/>
      <c r="OR336" s="1"/>
      <c r="OS336" s="1"/>
      <c r="OT336" s="1"/>
      <c r="OU336" s="1"/>
      <c r="OV336" s="1"/>
      <c r="OW336" s="1"/>
      <c r="OX336" s="1"/>
      <c r="OY336" s="1"/>
      <c r="OZ336" s="1"/>
      <c r="PA336" s="1"/>
      <c r="PB336" s="1"/>
      <c r="PC336" s="1"/>
      <c r="PD336" s="1"/>
      <c r="PE336" s="1"/>
      <c r="PF336" s="1"/>
      <c r="PG336" s="1"/>
      <c r="PH336" s="1"/>
      <c r="PI336" s="1"/>
      <c r="PJ336" s="1"/>
      <c r="PK336" s="1"/>
      <c r="PL336" s="1"/>
      <c r="PM336" s="1"/>
      <c r="PN336" s="1"/>
      <c r="PO336" s="1"/>
      <c r="PP336" s="1"/>
      <c r="PQ336" s="1"/>
      <c r="PR336" s="1"/>
      <c r="PS336" s="1"/>
      <c r="PT336" s="1"/>
      <c r="PU336" s="1"/>
      <c r="PV336" s="1"/>
      <c r="PW336" s="1"/>
      <c r="PX336" s="1"/>
      <c r="PY336" s="1"/>
      <c r="PZ336" s="1"/>
      <c r="QA336" s="1"/>
      <c r="QB336" s="1"/>
      <c r="QC336" s="1"/>
      <c r="QD336" s="1"/>
      <c r="QE336" s="1"/>
      <c r="QF336" s="1"/>
      <c r="QG336" s="1"/>
      <c r="QH336" s="1"/>
      <c r="QI336" s="1"/>
      <c r="QJ336" s="1"/>
      <c r="QK336" s="1"/>
      <c r="QL336" s="1"/>
      <c r="QM336" s="1"/>
      <c r="QN336" s="1"/>
      <c r="QO336" s="1"/>
      <c r="QP336" s="1"/>
      <c r="QQ336" s="1"/>
      <c r="QR336" s="1"/>
      <c r="QS336" s="1"/>
      <c r="QT336" s="1"/>
      <c r="QU336" s="1"/>
      <c r="QV336" s="1"/>
      <c r="QW336" s="1"/>
      <c r="QX336" s="1"/>
      <c r="QY336" s="1"/>
      <c r="QZ336" s="1"/>
      <c r="RA336" s="1"/>
      <c r="RB336" s="1"/>
      <c r="RC336" s="1"/>
      <c r="RD336" s="1"/>
      <c r="RE336" s="1"/>
      <c r="RF336" s="1"/>
      <c r="RG336" s="1"/>
      <c r="RH336" s="1"/>
      <c r="RI336" s="1"/>
      <c r="RJ336" s="1"/>
      <c r="RK336" s="1"/>
      <c r="RL336" s="1"/>
      <c r="RM336" s="1"/>
      <c r="RN336" s="1"/>
      <c r="RO336" s="1"/>
      <c r="RP336" s="1"/>
      <c r="RQ336" s="1"/>
      <c r="RR336" s="1"/>
      <c r="RS336" s="1"/>
      <c r="RT336" s="1"/>
      <c r="RU336" s="1"/>
      <c r="RV336" s="1"/>
      <c r="RW336" s="1"/>
      <c r="RX336" s="1"/>
      <c r="RY336" s="1"/>
      <c r="RZ336" s="1"/>
      <c r="SA336" s="1"/>
      <c r="SB336" s="1"/>
      <c r="SC336" s="1"/>
      <c r="SD336" s="1"/>
      <c r="SE336" s="1"/>
      <c r="SF336" s="1"/>
      <c r="SG336" s="1"/>
      <c r="SH336" s="1"/>
      <c r="SI336" s="1"/>
      <c r="SJ336" s="1"/>
      <c r="SK336" s="1"/>
      <c r="SL336" s="1"/>
      <c r="SM336" s="1"/>
      <c r="SN336" s="1"/>
      <c r="SO336" s="1"/>
      <c r="SP336" s="1"/>
      <c r="SQ336" s="1"/>
      <c r="SR336" s="1"/>
      <c r="SS336" s="1"/>
      <c r="ST336" s="1"/>
      <c r="SU336" s="1"/>
      <c r="SV336" s="1"/>
      <c r="SW336" s="1"/>
      <c r="SX336" s="1"/>
      <c r="SY336" s="1"/>
      <c r="SZ336" s="1"/>
      <c r="TA336" s="1"/>
      <c r="TB336" s="1"/>
      <c r="TC336" s="1"/>
      <c r="TD336" s="1"/>
      <c r="TE336" s="1"/>
      <c r="TF336" s="1"/>
      <c r="TG336" s="1"/>
      <c r="TH336" s="1"/>
      <c r="TI336" s="1"/>
      <c r="TJ336" s="1"/>
      <c r="TK336" s="1"/>
      <c r="TL336" s="1"/>
      <c r="TM336" s="1"/>
      <c r="TN336" s="1"/>
      <c r="TO336" s="1"/>
      <c r="TP336" s="1"/>
      <c r="TQ336" s="1"/>
      <c r="TR336" s="1"/>
      <c r="TS336" s="1"/>
      <c r="TT336" s="1"/>
      <c r="TU336" s="1"/>
      <c r="TV336" s="1"/>
      <c r="TW336" s="1"/>
      <c r="TX336" s="1"/>
      <c r="TY336" s="1"/>
      <c r="TZ336" s="1"/>
      <c r="UA336" s="1"/>
      <c r="UB336" s="1"/>
      <c r="UC336" s="1"/>
      <c r="UD336" s="1"/>
      <c r="UE336" s="1"/>
      <c r="UF336" s="1"/>
      <c r="UG336" s="1"/>
      <c r="UH336" s="1"/>
      <c r="UI336" s="1"/>
    </row>
    <row r="337" spans="1:555" ht="54">
      <c r="A337" s="296">
        <v>462</v>
      </c>
      <c r="B337" s="297" t="s">
        <v>4533</v>
      </c>
      <c r="C337" s="298">
        <v>93399528</v>
      </c>
      <c r="D337" s="354" t="s">
        <v>67</v>
      </c>
      <c r="E337" s="299">
        <v>42786</v>
      </c>
      <c r="F337" s="300">
        <v>42767</v>
      </c>
      <c r="G337" s="301" t="s">
        <v>271</v>
      </c>
      <c r="H337" s="297" t="s">
        <v>63</v>
      </c>
      <c r="I337" s="297" t="s">
        <v>101</v>
      </c>
      <c r="J337" s="299"/>
      <c r="K337" s="300"/>
      <c r="L337" s="301"/>
      <c r="M337" s="297"/>
      <c r="N337" s="297"/>
      <c r="O337" s="299"/>
      <c r="P337" s="302"/>
      <c r="Q337" s="301"/>
      <c r="R337" s="297"/>
      <c r="S337" s="297"/>
      <c r="T337" s="299"/>
      <c r="U337" s="300"/>
      <c r="V337" s="301"/>
      <c r="W337" s="297"/>
      <c r="X337" s="297"/>
      <c r="Y337" s="299"/>
      <c r="Z337" s="300"/>
      <c r="AA337" s="301"/>
      <c r="AB337" s="297"/>
      <c r="AC337" s="297"/>
      <c r="AD337" s="299"/>
      <c r="AE337" s="300"/>
      <c r="AF337" s="301"/>
      <c r="AG337" s="297"/>
      <c r="AH337" s="297"/>
      <c r="AI337" s="322"/>
      <c r="AJ337" s="300"/>
      <c r="AK337" s="301"/>
      <c r="AL337" s="297"/>
      <c r="AM337" s="297"/>
      <c r="AN337" s="297"/>
      <c r="AO337" s="473"/>
      <c r="AP337" s="297"/>
      <c r="AQ337" s="301" t="s">
        <v>7769</v>
      </c>
      <c r="AR337" s="297" t="s">
        <v>66</v>
      </c>
      <c r="AS337" s="299" t="s">
        <v>67</v>
      </c>
      <c r="AT337" s="299" t="s">
        <v>67</v>
      </c>
      <c r="AU337" s="297" t="s">
        <v>3827</v>
      </c>
      <c r="AV337" s="297"/>
      <c r="AW337" s="297" t="s">
        <v>69</v>
      </c>
      <c r="AX337" s="297" t="s">
        <v>7628</v>
      </c>
      <c r="AY337" s="299">
        <v>42782</v>
      </c>
      <c r="AZ337" s="297" t="s">
        <v>67</v>
      </c>
      <c r="BA337" s="299" t="s">
        <v>67</v>
      </c>
      <c r="BB337" s="382">
        <v>42788</v>
      </c>
      <c r="BC337" s="297" t="s">
        <v>3829</v>
      </c>
      <c r="BD337" s="297" t="s">
        <v>6447</v>
      </c>
      <c r="BE337" s="297"/>
      <c r="BF337" s="301"/>
      <c r="BG337" s="301" t="s">
        <v>67</v>
      </c>
      <c r="BH337" s="301" t="s">
        <v>4534</v>
      </c>
      <c r="BI337" s="301" t="s">
        <v>675</v>
      </c>
      <c r="BJ337" s="312">
        <v>1152354</v>
      </c>
      <c r="BK337" s="312">
        <v>1152354</v>
      </c>
      <c r="BL337" s="313">
        <v>509044117</v>
      </c>
      <c r="BM337" s="299">
        <v>42803</v>
      </c>
      <c r="BN337" s="300">
        <v>42795</v>
      </c>
      <c r="BO337" s="460"/>
      <c r="BP337" s="390"/>
      <c r="BQ337" s="297"/>
      <c r="BR337" s="303"/>
      <c r="BS337" s="301"/>
      <c r="BT337" s="301"/>
      <c r="BU337" s="301"/>
      <c r="BV337" s="301"/>
      <c r="BW337" s="316"/>
      <c r="BX337" s="304"/>
      <c r="BY337" s="299"/>
      <c r="BZ337" s="317"/>
    </row>
    <row r="338" spans="1:555" ht="86.25" customHeight="1">
      <c r="A338" s="296">
        <v>463</v>
      </c>
      <c r="B338" s="297" t="s">
        <v>4535</v>
      </c>
      <c r="C338" s="298">
        <v>79811486</v>
      </c>
      <c r="D338" s="354" t="s">
        <v>67</v>
      </c>
      <c r="E338" s="299">
        <v>42786</v>
      </c>
      <c r="F338" s="300">
        <v>42767</v>
      </c>
      <c r="G338" s="301" t="s">
        <v>271</v>
      </c>
      <c r="H338" s="297" t="s">
        <v>63</v>
      </c>
      <c r="I338" s="297" t="s">
        <v>101</v>
      </c>
      <c r="J338" s="299"/>
      <c r="K338" s="300"/>
      <c r="L338" s="301"/>
      <c r="M338" s="297"/>
      <c r="N338" s="297"/>
      <c r="O338" s="299"/>
      <c r="P338" s="302"/>
      <c r="Q338" s="301"/>
      <c r="R338" s="297"/>
      <c r="S338" s="297"/>
      <c r="T338" s="299"/>
      <c r="U338" s="300"/>
      <c r="V338" s="301"/>
      <c r="W338" s="297"/>
      <c r="X338" s="297"/>
      <c r="Y338" s="299"/>
      <c r="Z338" s="300"/>
      <c r="AA338" s="301"/>
      <c r="AB338" s="297"/>
      <c r="AC338" s="297"/>
      <c r="AD338" s="299"/>
      <c r="AE338" s="300"/>
      <c r="AF338" s="301"/>
      <c r="AG338" s="297"/>
      <c r="AH338" s="297"/>
      <c r="AI338" s="322"/>
      <c r="AJ338" s="300"/>
      <c r="AK338" s="301"/>
      <c r="AL338" s="297"/>
      <c r="AM338" s="297"/>
      <c r="AN338" s="297"/>
      <c r="AO338" s="473"/>
      <c r="AP338" s="297"/>
      <c r="AQ338" s="301" t="s">
        <v>7674</v>
      </c>
      <c r="AR338" s="297" t="s">
        <v>66</v>
      </c>
      <c r="AS338" s="299" t="s">
        <v>67</v>
      </c>
      <c r="AT338" s="299" t="s">
        <v>67</v>
      </c>
      <c r="AU338" s="297" t="s">
        <v>3827</v>
      </c>
      <c r="AV338" s="297"/>
      <c r="AW338" s="297" t="s">
        <v>69</v>
      </c>
      <c r="AX338" s="297" t="s">
        <v>7628</v>
      </c>
      <c r="AY338" s="299">
        <v>42782</v>
      </c>
      <c r="AZ338" s="297" t="s">
        <v>67</v>
      </c>
      <c r="BA338" s="299" t="s">
        <v>67</v>
      </c>
      <c r="BB338" s="382">
        <v>42788</v>
      </c>
      <c r="BC338" s="297" t="s">
        <v>3829</v>
      </c>
      <c r="BD338" s="297" t="s">
        <v>6447</v>
      </c>
      <c r="BE338" s="297"/>
      <c r="BF338" s="301"/>
      <c r="BG338" s="301" t="s">
        <v>67</v>
      </c>
      <c r="BH338" s="301" t="s">
        <v>4536</v>
      </c>
      <c r="BI338" s="301" t="s">
        <v>675</v>
      </c>
      <c r="BJ338" s="312">
        <v>696070</v>
      </c>
      <c r="BK338" s="312">
        <v>696070</v>
      </c>
      <c r="BL338" s="313">
        <v>50927017</v>
      </c>
      <c r="BM338" s="299">
        <v>42803</v>
      </c>
      <c r="BN338" s="300">
        <v>42795</v>
      </c>
      <c r="BO338" s="460"/>
      <c r="BP338" s="390"/>
      <c r="BQ338" s="297"/>
      <c r="BR338" s="303"/>
      <c r="BS338" s="301"/>
      <c r="BT338" s="301"/>
      <c r="BU338" s="301"/>
      <c r="BV338" s="301"/>
      <c r="BW338" s="316"/>
      <c r="BX338" s="304"/>
      <c r="BY338" s="299"/>
      <c r="BZ338" s="317"/>
    </row>
    <row r="339" spans="1:555" ht="98.25" customHeight="1">
      <c r="A339" s="296">
        <v>464</v>
      </c>
      <c r="B339" s="297" t="s">
        <v>4537</v>
      </c>
      <c r="C339" s="298">
        <v>79332856</v>
      </c>
      <c r="D339" s="354" t="s">
        <v>67</v>
      </c>
      <c r="E339" s="299">
        <v>42786</v>
      </c>
      <c r="F339" s="300">
        <v>42767</v>
      </c>
      <c r="G339" s="301" t="s">
        <v>271</v>
      </c>
      <c r="H339" s="297" t="s">
        <v>63</v>
      </c>
      <c r="I339" s="297" t="s">
        <v>101</v>
      </c>
      <c r="J339" s="299"/>
      <c r="K339" s="300"/>
      <c r="L339" s="301"/>
      <c r="M339" s="297"/>
      <c r="N339" s="297"/>
      <c r="O339" s="299"/>
      <c r="P339" s="302"/>
      <c r="Q339" s="301"/>
      <c r="R339" s="297"/>
      <c r="S339" s="297"/>
      <c r="T339" s="299"/>
      <c r="U339" s="300"/>
      <c r="V339" s="301"/>
      <c r="W339" s="297"/>
      <c r="X339" s="297"/>
      <c r="Y339" s="299"/>
      <c r="Z339" s="300"/>
      <c r="AA339" s="301"/>
      <c r="AB339" s="297"/>
      <c r="AC339" s="297"/>
      <c r="AD339" s="299"/>
      <c r="AE339" s="300"/>
      <c r="AF339" s="301"/>
      <c r="AG339" s="297"/>
      <c r="AH339" s="297"/>
      <c r="AI339" s="322"/>
      <c r="AJ339" s="300"/>
      <c r="AK339" s="301"/>
      <c r="AL339" s="297"/>
      <c r="AM339" s="297"/>
      <c r="AN339" s="297"/>
      <c r="AO339" s="473"/>
      <c r="AP339" s="297"/>
      <c r="AQ339" s="301" t="s">
        <v>7592</v>
      </c>
      <c r="AR339" s="297" t="s">
        <v>66</v>
      </c>
      <c r="AS339" s="299" t="s">
        <v>67</v>
      </c>
      <c r="AT339" s="299" t="s">
        <v>67</v>
      </c>
      <c r="AU339" s="297" t="s">
        <v>3827</v>
      </c>
      <c r="AV339" s="297"/>
      <c r="AW339" s="297" t="s">
        <v>69</v>
      </c>
      <c r="AX339" s="297" t="s">
        <v>7593</v>
      </c>
      <c r="AY339" s="299">
        <v>42782</v>
      </c>
      <c r="AZ339" s="297" t="s">
        <v>67</v>
      </c>
      <c r="BA339" s="299" t="s">
        <v>67</v>
      </c>
      <c r="BB339" s="382">
        <v>42788</v>
      </c>
      <c r="BC339" s="297" t="s">
        <v>3829</v>
      </c>
      <c r="BD339" s="297" t="s">
        <v>6447</v>
      </c>
      <c r="BE339" s="297"/>
      <c r="BF339" s="301"/>
      <c r="BG339" s="301" t="s">
        <v>67</v>
      </c>
      <c r="BH339" s="301" t="s">
        <v>4538</v>
      </c>
      <c r="BI339" s="301" t="s">
        <v>4199</v>
      </c>
      <c r="BJ339" s="312">
        <v>1956339</v>
      </c>
      <c r="BK339" s="312">
        <v>1956339</v>
      </c>
      <c r="BL339" s="313">
        <v>54467117</v>
      </c>
      <c r="BM339" s="299">
        <v>42803</v>
      </c>
      <c r="BN339" s="300">
        <v>42795</v>
      </c>
      <c r="BO339" s="434" t="s">
        <v>4539</v>
      </c>
      <c r="BP339" s="397"/>
      <c r="BQ339" s="398"/>
      <c r="BR339" s="320"/>
      <c r="BS339" s="301"/>
      <c r="BT339" s="301"/>
      <c r="BU339" s="301"/>
      <c r="BV339" s="301"/>
      <c r="BW339" s="316"/>
      <c r="BX339" s="304"/>
      <c r="BY339" s="299"/>
      <c r="BZ339" s="317"/>
    </row>
    <row r="340" spans="1:555" s="509" customFormat="1" ht="99.75" customHeight="1">
      <c r="A340" s="296">
        <v>465</v>
      </c>
      <c r="B340" s="297" t="s">
        <v>2965</v>
      </c>
      <c r="C340" s="298">
        <v>19396785</v>
      </c>
      <c r="D340" s="354" t="s">
        <v>67</v>
      </c>
      <c r="E340" s="299">
        <v>42786</v>
      </c>
      <c r="F340" s="300">
        <v>42767</v>
      </c>
      <c r="G340" s="301" t="s">
        <v>271</v>
      </c>
      <c r="H340" s="297" t="s">
        <v>63</v>
      </c>
      <c r="I340" s="297" t="s">
        <v>101</v>
      </c>
      <c r="J340" s="299"/>
      <c r="K340" s="300"/>
      <c r="L340" s="301"/>
      <c r="M340" s="297"/>
      <c r="N340" s="297"/>
      <c r="O340" s="299"/>
      <c r="P340" s="302"/>
      <c r="Q340" s="301"/>
      <c r="R340" s="297"/>
      <c r="S340" s="297"/>
      <c r="T340" s="299"/>
      <c r="U340" s="300"/>
      <c r="V340" s="301"/>
      <c r="W340" s="297"/>
      <c r="X340" s="297"/>
      <c r="Y340" s="299"/>
      <c r="Z340" s="300"/>
      <c r="AA340" s="301"/>
      <c r="AB340" s="297"/>
      <c r="AC340" s="297"/>
      <c r="AD340" s="299"/>
      <c r="AE340" s="300"/>
      <c r="AF340" s="301"/>
      <c r="AG340" s="297"/>
      <c r="AH340" s="297"/>
      <c r="AI340" s="322"/>
      <c r="AJ340" s="300"/>
      <c r="AK340" s="301"/>
      <c r="AL340" s="297"/>
      <c r="AM340" s="297"/>
      <c r="AN340" s="325"/>
      <c r="AO340" s="475"/>
      <c r="AP340" s="325"/>
      <c r="AQ340" s="301" t="s">
        <v>7746</v>
      </c>
      <c r="AR340" s="297" t="s">
        <v>66</v>
      </c>
      <c r="AS340" s="299" t="s">
        <v>67</v>
      </c>
      <c r="AT340" s="299" t="s">
        <v>67</v>
      </c>
      <c r="AU340" s="297" t="s">
        <v>3827</v>
      </c>
      <c r="AV340" s="297"/>
      <c r="AW340" s="297" t="s">
        <v>69</v>
      </c>
      <c r="AX340" s="297" t="s">
        <v>7628</v>
      </c>
      <c r="AY340" s="299">
        <v>42782</v>
      </c>
      <c r="AZ340" s="297" t="s">
        <v>67</v>
      </c>
      <c r="BA340" s="299" t="s">
        <v>67</v>
      </c>
      <c r="BB340" s="382">
        <v>42788</v>
      </c>
      <c r="BC340" s="297" t="s">
        <v>3829</v>
      </c>
      <c r="BD340" s="297" t="s">
        <v>6447</v>
      </c>
      <c r="BE340" s="297"/>
      <c r="BF340" s="301"/>
      <c r="BG340" s="301" t="s">
        <v>67</v>
      </c>
      <c r="BH340" s="301" t="s">
        <v>4534</v>
      </c>
      <c r="BI340" s="301" t="s">
        <v>675</v>
      </c>
      <c r="BJ340" s="312">
        <v>2236923</v>
      </c>
      <c r="BK340" s="312">
        <v>2236923</v>
      </c>
      <c r="BL340" s="313">
        <v>50917717</v>
      </c>
      <c r="BM340" s="299">
        <v>42803</v>
      </c>
      <c r="BN340" s="300">
        <v>42795</v>
      </c>
      <c r="BO340" s="460"/>
      <c r="BP340" s="390"/>
      <c r="BQ340" s="297"/>
      <c r="BR340" s="303"/>
      <c r="BS340" s="301"/>
      <c r="BT340" s="301"/>
      <c r="BU340" s="301"/>
      <c r="BV340" s="301"/>
      <c r="BW340" s="316"/>
      <c r="BX340" s="304"/>
      <c r="BY340" s="299"/>
      <c r="BZ340" s="317"/>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c r="JB340" s="1"/>
      <c r="JC340" s="1"/>
      <c r="JD340" s="1"/>
      <c r="JE340" s="1"/>
      <c r="JF340" s="1"/>
      <c r="JG340" s="1"/>
      <c r="JH340" s="1"/>
      <c r="JI340" s="1"/>
      <c r="JJ340" s="1"/>
      <c r="JK340" s="1"/>
      <c r="JL340" s="1"/>
      <c r="JM340" s="1"/>
      <c r="JN340" s="1"/>
      <c r="JO340" s="1"/>
      <c r="JP340" s="1"/>
      <c r="JQ340" s="1"/>
      <c r="JR340" s="1"/>
      <c r="JS340" s="1"/>
      <c r="JT340" s="1"/>
      <c r="JU340" s="1"/>
      <c r="JV340" s="1"/>
      <c r="JW340" s="1"/>
      <c r="JX340" s="1"/>
      <c r="JY340" s="1"/>
      <c r="JZ340" s="1"/>
      <c r="KA340" s="1"/>
      <c r="KB340" s="1"/>
      <c r="KC340" s="1"/>
      <c r="KD340" s="1"/>
      <c r="KE340" s="1"/>
      <c r="KF340" s="1"/>
      <c r="KG340" s="1"/>
      <c r="KH340" s="1"/>
      <c r="KI340" s="1"/>
      <c r="KJ340" s="1"/>
      <c r="KK340" s="1"/>
      <c r="KL340" s="1"/>
      <c r="KM340" s="1"/>
      <c r="KN340" s="1"/>
      <c r="KO340" s="1"/>
      <c r="KP340" s="1"/>
      <c r="KQ340" s="1"/>
      <c r="KR340" s="1"/>
      <c r="KS340" s="1"/>
      <c r="KT340" s="1"/>
      <c r="KU340" s="1"/>
      <c r="KV340" s="1"/>
      <c r="KW340" s="1"/>
      <c r="KX340" s="1"/>
      <c r="KY340" s="1"/>
      <c r="KZ340" s="1"/>
      <c r="LA340" s="1"/>
      <c r="LB340" s="1"/>
      <c r="LC340" s="1"/>
      <c r="LD340" s="1"/>
      <c r="LE340" s="1"/>
      <c r="LF340" s="1"/>
      <c r="LG340" s="1"/>
      <c r="LH340" s="1"/>
      <c r="LI340" s="1"/>
      <c r="LJ340" s="1"/>
      <c r="LK340" s="1"/>
      <c r="LL340" s="1"/>
      <c r="LM340" s="1"/>
      <c r="LN340" s="1"/>
      <c r="LO340" s="1"/>
      <c r="LP340" s="1"/>
      <c r="LQ340" s="1"/>
      <c r="LR340" s="1"/>
      <c r="LS340" s="1"/>
      <c r="LT340" s="1"/>
      <c r="LU340" s="1"/>
      <c r="LV340" s="1"/>
      <c r="LW340" s="1"/>
      <c r="LX340" s="1"/>
      <c r="LY340" s="1"/>
      <c r="LZ340" s="1"/>
      <c r="MA340" s="1"/>
      <c r="MB340" s="1"/>
      <c r="MC340" s="1"/>
      <c r="MD340" s="1"/>
      <c r="ME340" s="1"/>
      <c r="MF340" s="1"/>
      <c r="MG340" s="1"/>
      <c r="MH340" s="1"/>
      <c r="MI340" s="1"/>
      <c r="MJ340" s="1"/>
      <c r="MK340" s="1"/>
      <c r="ML340" s="1"/>
      <c r="MM340" s="1"/>
      <c r="MN340" s="1"/>
      <c r="MO340" s="1"/>
      <c r="MP340" s="1"/>
      <c r="MQ340" s="1"/>
      <c r="MR340" s="1"/>
      <c r="MS340" s="1"/>
      <c r="MT340" s="1"/>
      <c r="MU340" s="1"/>
      <c r="MV340" s="1"/>
      <c r="MW340" s="1"/>
      <c r="MX340" s="1"/>
      <c r="MY340" s="1"/>
      <c r="MZ340" s="1"/>
      <c r="NA340" s="1"/>
      <c r="NB340" s="1"/>
      <c r="NC340" s="1"/>
      <c r="ND340" s="1"/>
      <c r="NE340" s="1"/>
      <c r="NF340" s="1"/>
      <c r="NG340" s="1"/>
      <c r="NH340" s="1"/>
      <c r="NI340" s="1"/>
      <c r="NJ340" s="1"/>
      <c r="NK340" s="1"/>
      <c r="NL340" s="1"/>
      <c r="NM340" s="1"/>
      <c r="NN340" s="1"/>
      <c r="NO340" s="1"/>
      <c r="NP340" s="1"/>
      <c r="NQ340" s="1"/>
      <c r="NR340" s="1"/>
      <c r="NS340" s="1"/>
      <c r="NT340" s="1"/>
      <c r="NU340" s="1"/>
      <c r="NV340" s="1"/>
      <c r="NW340" s="1"/>
      <c r="NX340" s="1"/>
      <c r="NY340" s="1"/>
      <c r="NZ340" s="1"/>
      <c r="OA340" s="1"/>
      <c r="OB340" s="1"/>
      <c r="OC340" s="1"/>
      <c r="OD340" s="1"/>
      <c r="OE340" s="1"/>
      <c r="OF340" s="1"/>
      <c r="OG340" s="1"/>
      <c r="OH340" s="1"/>
      <c r="OI340" s="1"/>
      <c r="OJ340" s="1"/>
      <c r="OK340" s="1"/>
      <c r="OL340" s="1"/>
      <c r="OM340" s="1"/>
      <c r="ON340" s="1"/>
      <c r="OO340" s="1"/>
      <c r="OP340" s="1"/>
      <c r="OQ340" s="1"/>
      <c r="OR340" s="1"/>
      <c r="OS340" s="1"/>
      <c r="OT340" s="1"/>
      <c r="OU340" s="1"/>
      <c r="OV340" s="1"/>
      <c r="OW340" s="1"/>
      <c r="OX340" s="1"/>
      <c r="OY340" s="1"/>
      <c r="OZ340" s="1"/>
      <c r="PA340" s="1"/>
      <c r="PB340" s="1"/>
      <c r="PC340" s="1"/>
      <c r="PD340" s="1"/>
      <c r="PE340" s="1"/>
      <c r="PF340" s="1"/>
      <c r="PG340" s="1"/>
      <c r="PH340" s="1"/>
      <c r="PI340" s="1"/>
      <c r="PJ340" s="1"/>
      <c r="PK340" s="1"/>
      <c r="PL340" s="1"/>
      <c r="PM340" s="1"/>
      <c r="PN340" s="1"/>
      <c r="PO340" s="1"/>
      <c r="PP340" s="1"/>
      <c r="PQ340" s="1"/>
      <c r="PR340" s="1"/>
      <c r="PS340" s="1"/>
      <c r="PT340" s="1"/>
      <c r="PU340" s="1"/>
      <c r="PV340" s="1"/>
      <c r="PW340" s="1"/>
      <c r="PX340" s="1"/>
      <c r="PY340" s="1"/>
      <c r="PZ340" s="1"/>
      <c r="QA340" s="1"/>
      <c r="QB340" s="1"/>
      <c r="QC340" s="1"/>
      <c r="QD340" s="1"/>
      <c r="QE340" s="1"/>
      <c r="QF340" s="1"/>
      <c r="QG340" s="1"/>
      <c r="QH340" s="1"/>
      <c r="QI340" s="1"/>
      <c r="QJ340" s="1"/>
      <c r="QK340" s="1"/>
      <c r="QL340" s="1"/>
      <c r="QM340" s="1"/>
      <c r="QN340" s="1"/>
      <c r="QO340" s="1"/>
      <c r="QP340" s="1"/>
      <c r="QQ340" s="1"/>
      <c r="QR340" s="1"/>
      <c r="QS340" s="1"/>
      <c r="QT340" s="1"/>
      <c r="QU340" s="1"/>
      <c r="QV340" s="1"/>
      <c r="QW340" s="1"/>
      <c r="QX340" s="1"/>
      <c r="QY340" s="1"/>
      <c r="QZ340" s="1"/>
      <c r="RA340" s="1"/>
      <c r="RB340" s="1"/>
      <c r="RC340" s="1"/>
      <c r="RD340" s="1"/>
      <c r="RE340" s="1"/>
      <c r="RF340" s="1"/>
      <c r="RG340" s="1"/>
      <c r="RH340" s="1"/>
      <c r="RI340" s="1"/>
      <c r="RJ340" s="1"/>
      <c r="RK340" s="1"/>
      <c r="RL340" s="1"/>
      <c r="RM340" s="1"/>
      <c r="RN340" s="1"/>
      <c r="RO340" s="1"/>
      <c r="RP340" s="1"/>
      <c r="RQ340" s="1"/>
      <c r="RR340" s="1"/>
      <c r="RS340" s="1"/>
      <c r="RT340" s="1"/>
      <c r="RU340" s="1"/>
      <c r="RV340" s="1"/>
      <c r="RW340" s="1"/>
      <c r="RX340" s="1"/>
      <c r="RY340" s="1"/>
      <c r="RZ340" s="1"/>
      <c r="SA340" s="1"/>
      <c r="SB340" s="1"/>
      <c r="SC340" s="1"/>
      <c r="SD340" s="1"/>
      <c r="SE340" s="1"/>
      <c r="SF340" s="1"/>
      <c r="SG340" s="1"/>
      <c r="SH340" s="1"/>
      <c r="SI340" s="1"/>
      <c r="SJ340" s="1"/>
      <c r="SK340" s="1"/>
      <c r="SL340" s="1"/>
      <c r="SM340" s="1"/>
      <c r="SN340" s="1"/>
      <c r="SO340" s="1"/>
      <c r="SP340" s="1"/>
      <c r="SQ340" s="1"/>
      <c r="SR340" s="1"/>
      <c r="SS340" s="1"/>
      <c r="ST340" s="1"/>
      <c r="SU340" s="1"/>
      <c r="SV340" s="1"/>
      <c r="SW340" s="1"/>
      <c r="SX340" s="1"/>
      <c r="SY340" s="1"/>
      <c r="SZ340" s="1"/>
      <c r="TA340" s="1"/>
      <c r="TB340" s="1"/>
      <c r="TC340" s="1"/>
      <c r="TD340" s="1"/>
      <c r="TE340" s="1"/>
      <c r="TF340" s="1"/>
      <c r="TG340" s="1"/>
      <c r="TH340" s="1"/>
      <c r="TI340" s="1"/>
      <c r="TJ340" s="1"/>
      <c r="TK340" s="1"/>
      <c r="TL340" s="1"/>
      <c r="TM340" s="1"/>
      <c r="TN340" s="1"/>
      <c r="TO340" s="1"/>
      <c r="TP340" s="1"/>
      <c r="TQ340" s="1"/>
      <c r="TR340" s="1"/>
      <c r="TS340" s="1"/>
      <c r="TT340" s="1"/>
      <c r="TU340" s="1"/>
      <c r="TV340" s="1"/>
      <c r="TW340" s="1"/>
      <c r="TX340" s="1"/>
      <c r="TY340" s="1"/>
      <c r="TZ340" s="1"/>
      <c r="UA340" s="1"/>
      <c r="UB340" s="1"/>
      <c r="UC340" s="1"/>
      <c r="UD340" s="1"/>
      <c r="UE340" s="1"/>
      <c r="UF340" s="1"/>
      <c r="UG340" s="1"/>
      <c r="UH340" s="1"/>
      <c r="UI340" s="1"/>
    </row>
    <row r="341" spans="1:555" s="259" customFormat="1" ht="74.25" customHeight="1">
      <c r="A341" s="296">
        <v>466</v>
      </c>
      <c r="B341" s="297" t="s">
        <v>4540</v>
      </c>
      <c r="C341" s="298">
        <v>17970784</v>
      </c>
      <c r="D341" s="354" t="s">
        <v>67</v>
      </c>
      <c r="E341" s="299">
        <v>42786</v>
      </c>
      <c r="F341" s="300">
        <v>42767</v>
      </c>
      <c r="G341" s="301" t="s">
        <v>271</v>
      </c>
      <c r="H341" s="297" t="s">
        <v>63</v>
      </c>
      <c r="I341" s="297" t="s">
        <v>101</v>
      </c>
      <c r="J341" s="299"/>
      <c r="K341" s="300"/>
      <c r="L341" s="301"/>
      <c r="M341" s="297"/>
      <c r="N341" s="297"/>
      <c r="O341" s="299"/>
      <c r="P341" s="302"/>
      <c r="Q341" s="301"/>
      <c r="R341" s="297"/>
      <c r="S341" s="297"/>
      <c r="T341" s="299"/>
      <c r="U341" s="300"/>
      <c r="V341" s="301"/>
      <c r="W341" s="297"/>
      <c r="X341" s="297"/>
      <c r="Y341" s="299"/>
      <c r="Z341" s="300"/>
      <c r="AA341" s="301"/>
      <c r="AB341" s="297"/>
      <c r="AC341" s="297"/>
      <c r="AD341" s="299"/>
      <c r="AE341" s="300"/>
      <c r="AF341" s="301"/>
      <c r="AG341" s="297"/>
      <c r="AH341" s="297"/>
      <c r="AI341" s="322"/>
      <c r="AJ341" s="300"/>
      <c r="AK341" s="301"/>
      <c r="AL341" s="297"/>
      <c r="AM341" s="297"/>
      <c r="AN341" s="297"/>
      <c r="AO341" s="473"/>
      <c r="AP341" s="297"/>
      <c r="AQ341" s="301" t="s">
        <v>7916</v>
      </c>
      <c r="AR341" s="297" t="s">
        <v>66</v>
      </c>
      <c r="AS341" s="299" t="s">
        <v>67</v>
      </c>
      <c r="AT341" s="299" t="s">
        <v>67</v>
      </c>
      <c r="AU341" s="297" t="s">
        <v>3827</v>
      </c>
      <c r="AV341" s="297"/>
      <c r="AW341" s="297" t="s">
        <v>69</v>
      </c>
      <c r="AX341" s="297" t="s">
        <v>7628</v>
      </c>
      <c r="AY341" s="299">
        <v>42782</v>
      </c>
      <c r="AZ341" s="297" t="s">
        <v>67</v>
      </c>
      <c r="BA341" s="299" t="s">
        <v>67</v>
      </c>
      <c r="BB341" s="382">
        <v>42788</v>
      </c>
      <c r="BC341" s="297" t="s">
        <v>3829</v>
      </c>
      <c r="BD341" s="297" t="s">
        <v>6447</v>
      </c>
      <c r="BE341" s="297"/>
      <c r="BF341" s="301"/>
      <c r="BG341" s="301" t="s">
        <v>67</v>
      </c>
      <c r="BH341" s="301" t="s">
        <v>4541</v>
      </c>
      <c r="BI341" s="301" t="s">
        <v>4542</v>
      </c>
      <c r="BJ341" s="312">
        <v>67786</v>
      </c>
      <c r="BK341" s="312">
        <v>67786</v>
      </c>
      <c r="BL341" s="313">
        <v>122871717</v>
      </c>
      <c r="BM341" s="299">
        <v>42873</v>
      </c>
      <c r="BN341" s="300">
        <v>42856</v>
      </c>
      <c r="BO341" s="460"/>
      <c r="BP341" s="390"/>
      <c r="BQ341" s="297"/>
      <c r="BR341" s="303"/>
      <c r="BS341" s="301"/>
      <c r="BT341" s="301"/>
      <c r="BU341" s="301"/>
      <c r="BV341" s="301"/>
      <c r="BW341" s="316"/>
      <c r="BX341" s="304"/>
      <c r="BY341" s="299"/>
      <c r="BZ341" s="317"/>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c r="JB341" s="1"/>
      <c r="JC341" s="1"/>
      <c r="JD341" s="1"/>
      <c r="JE341" s="1"/>
      <c r="JF341" s="1"/>
      <c r="JG341" s="1"/>
      <c r="JH341" s="1"/>
      <c r="JI341" s="1"/>
      <c r="JJ341" s="1"/>
      <c r="JK341" s="1"/>
      <c r="JL341" s="1"/>
      <c r="JM341" s="1"/>
      <c r="JN341" s="1"/>
      <c r="JO341" s="1"/>
      <c r="JP341" s="1"/>
      <c r="JQ341" s="1"/>
      <c r="JR341" s="1"/>
      <c r="JS341" s="1"/>
      <c r="JT341" s="1"/>
      <c r="JU341" s="1"/>
      <c r="JV341" s="1"/>
      <c r="JW341" s="1"/>
      <c r="JX341" s="1"/>
      <c r="JY341" s="1"/>
      <c r="JZ341" s="1"/>
      <c r="KA341" s="1"/>
      <c r="KB341" s="1"/>
      <c r="KC341" s="1"/>
      <c r="KD341" s="1"/>
      <c r="KE341" s="1"/>
      <c r="KF341" s="1"/>
      <c r="KG341" s="1"/>
      <c r="KH341" s="1"/>
      <c r="KI341" s="1"/>
      <c r="KJ341" s="1"/>
      <c r="KK341" s="1"/>
      <c r="KL341" s="1"/>
      <c r="KM341" s="1"/>
      <c r="KN341" s="1"/>
      <c r="KO341" s="1"/>
      <c r="KP341" s="1"/>
      <c r="KQ341" s="1"/>
      <c r="KR341" s="1"/>
      <c r="KS341" s="1"/>
      <c r="KT341" s="1"/>
      <c r="KU341" s="1"/>
      <c r="KV341" s="1"/>
      <c r="KW341" s="1"/>
      <c r="KX341" s="1"/>
      <c r="KY341" s="1"/>
      <c r="KZ341" s="1"/>
      <c r="LA341" s="1"/>
      <c r="LB341" s="1"/>
      <c r="LC341" s="1"/>
      <c r="LD341" s="1"/>
      <c r="LE341" s="1"/>
      <c r="LF341" s="1"/>
      <c r="LG341" s="1"/>
      <c r="LH341" s="1"/>
      <c r="LI341" s="1"/>
      <c r="LJ341" s="1"/>
      <c r="LK341" s="1"/>
      <c r="LL341" s="1"/>
      <c r="LM341" s="1"/>
      <c r="LN341" s="1"/>
      <c r="LO341" s="1"/>
      <c r="LP341" s="1"/>
      <c r="LQ341" s="1"/>
      <c r="LR341" s="1"/>
      <c r="LS341" s="1"/>
      <c r="LT341" s="1"/>
      <c r="LU341" s="1"/>
      <c r="LV341" s="1"/>
      <c r="LW341" s="1"/>
      <c r="LX341" s="1"/>
      <c r="LY341" s="1"/>
      <c r="LZ341" s="1"/>
      <c r="MA341" s="1"/>
      <c r="MB341" s="1"/>
      <c r="MC341" s="1"/>
      <c r="MD341" s="1"/>
      <c r="ME341" s="1"/>
      <c r="MF341" s="1"/>
      <c r="MG341" s="1"/>
      <c r="MH341" s="1"/>
      <c r="MI341" s="1"/>
      <c r="MJ341" s="1"/>
      <c r="MK341" s="1"/>
      <c r="ML341" s="1"/>
      <c r="MM341" s="1"/>
      <c r="MN341" s="1"/>
      <c r="MO341" s="1"/>
      <c r="MP341" s="1"/>
      <c r="MQ341" s="1"/>
      <c r="MR341" s="1"/>
      <c r="MS341" s="1"/>
      <c r="MT341" s="1"/>
      <c r="MU341" s="1"/>
      <c r="MV341" s="1"/>
      <c r="MW341" s="1"/>
      <c r="MX341" s="1"/>
      <c r="MY341" s="1"/>
      <c r="MZ341" s="1"/>
      <c r="NA341" s="1"/>
      <c r="NB341" s="1"/>
      <c r="NC341" s="1"/>
      <c r="ND341" s="1"/>
      <c r="NE341" s="1"/>
      <c r="NF341" s="1"/>
      <c r="NG341" s="1"/>
      <c r="NH341" s="1"/>
      <c r="NI341" s="1"/>
      <c r="NJ341" s="1"/>
      <c r="NK341" s="1"/>
      <c r="NL341" s="1"/>
      <c r="NM341" s="1"/>
      <c r="NN341" s="1"/>
      <c r="NO341" s="1"/>
      <c r="NP341" s="1"/>
      <c r="NQ341" s="1"/>
      <c r="NR341" s="1"/>
      <c r="NS341" s="1"/>
      <c r="NT341" s="1"/>
      <c r="NU341" s="1"/>
      <c r="NV341" s="1"/>
      <c r="NW341" s="1"/>
      <c r="NX341" s="1"/>
      <c r="NY341" s="1"/>
      <c r="NZ341" s="1"/>
      <c r="OA341" s="1"/>
      <c r="OB341" s="1"/>
      <c r="OC341" s="1"/>
      <c r="OD341" s="1"/>
      <c r="OE341" s="1"/>
      <c r="OF341" s="1"/>
      <c r="OG341" s="1"/>
      <c r="OH341" s="1"/>
      <c r="OI341" s="1"/>
      <c r="OJ341" s="1"/>
      <c r="OK341" s="1"/>
      <c r="OL341" s="1"/>
      <c r="OM341" s="1"/>
      <c r="ON341" s="1"/>
      <c r="OO341" s="1"/>
      <c r="OP341" s="1"/>
      <c r="OQ341" s="1"/>
      <c r="OR341" s="1"/>
      <c r="OS341" s="1"/>
      <c r="OT341" s="1"/>
      <c r="OU341" s="1"/>
      <c r="OV341" s="1"/>
      <c r="OW341" s="1"/>
      <c r="OX341" s="1"/>
      <c r="OY341" s="1"/>
      <c r="OZ341" s="1"/>
      <c r="PA341" s="1"/>
      <c r="PB341" s="1"/>
      <c r="PC341" s="1"/>
      <c r="PD341" s="1"/>
      <c r="PE341" s="1"/>
      <c r="PF341" s="1"/>
      <c r="PG341" s="1"/>
      <c r="PH341" s="1"/>
      <c r="PI341" s="1"/>
      <c r="PJ341" s="1"/>
      <c r="PK341" s="1"/>
      <c r="PL341" s="1"/>
      <c r="PM341" s="1"/>
      <c r="PN341" s="1"/>
      <c r="PO341" s="1"/>
      <c r="PP341" s="1"/>
      <c r="PQ341" s="1"/>
      <c r="PR341" s="1"/>
      <c r="PS341" s="1"/>
      <c r="PT341" s="1"/>
      <c r="PU341" s="1"/>
      <c r="PV341" s="1"/>
      <c r="PW341" s="1"/>
      <c r="PX341" s="1"/>
      <c r="PY341" s="1"/>
      <c r="PZ341" s="1"/>
      <c r="QA341" s="1"/>
      <c r="QB341" s="1"/>
      <c r="QC341" s="1"/>
      <c r="QD341" s="1"/>
      <c r="QE341" s="1"/>
      <c r="QF341" s="1"/>
      <c r="QG341" s="1"/>
      <c r="QH341" s="1"/>
      <c r="QI341" s="1"/>
      <c r="QJ341" s="1"/>
      <c r="QK341" s="1"/>
      <c r="QL341" s="1"/>
      <c r="QM341" s="1"/>
      <c r="QN341" s="1"/>
      <c r="QO341" s="1"/>
      <c r="QP341" s="1"/>
      <c r="QQ341" s="1"/>
      <c r="QR341" s="1"/>
      <c r="QS341" s="1"/>
      <c r="QT341" s="1"/>
      <c r="QU341" s="1"/>
      <c r="QV341" s="1"/>
      <c r="QW341" s="1"/>
      <c r="QX341" s="1"/>
      <c r="QY341" s="1"/>
      <c r="QZ341" s="1"/>
      <c r="RA341" s="1"/>
      <c r="RB341" s="1"/>
      <c r="RC341" s="1"/>
      <c r="RD341" s="1"/>
      <c r="RE341" s="1"/>
      <c r="RF341" s="1"/>
      <c r="RG341" s="1"/>
      <c r="RH341" s="1"/>
      <c r="RI341" s="1"/>
      <c r="RJ341" s="1"/>
      <c r="RK341" s="1"/>
      <c r="RL341" s="1"/>
      <c r="RM341" s="1"/>
      <c r="RN341" s="1"/>
      <c r="RO341" s="1"/>
      <c r="RP341" s="1"/>
      <c r="RQ341" s="1"/>
      <c r="RR341" s="1"/>
      <c r="RS341" s="1"/>
      <c r="RT341" s="1"/>
      <c r="RU341" s="1"/>
      <c r="RV341" s="1"/>
      <c r="RW341" s="1"/>
      <c r="RX341" s="1"/>
      <c r="RY341" s="1"/>
      <c r="RZ341" s="1"/>
      <c r="SA341" s="1"/>
      <c r="SB341" s="1"/>
      <c r="SC341" s="1"/>
      <c r="SD341" s="1"/>
      <c r="SE341" s="1"/>
      <c r="SF341" s="1"/>
      <c r="SG341" s="1"/>
      <c r="SH341" s="1"/>
      <c r="SI341" s="1"/>
      <c r="SJ341" s="1"/>
      <c r="SK341" s="1"/>
      <c r="SL341" s="1"/>
      <c r="SM341" s="1"/>
      <c r="SN341" s="1"/>
      <c r="SO341" s="1"/>
      <c r="SP341" s="1"/>
      <c r="SQ341" s="1"/>
      <c r="SR341" s="1"/>
      <c r="SS341" s="1"/>
      <c r="ST341" s="1"/>
      <c r="SU341" s="1"/>
      <c r="SV341" s="1"/>
      <c r="SW341" s="1"/>
      <c r="SX341" s="1"/>
      <c r="SY341" s="1"/>
      <c r="SZ341" s="1"/>
      <c r="TA341" s="1"/>
      <c r="TB341" s="1"/>
      <c r="TC341" s="1"/>
      <c r="TD341" s="1"/>
      <c r="TE341" s="1"/>
      <c r="TF341" s="1"/>
      <c r="TG341" s="1"/>
      <c r="TH341" s="1"/>
      <c r="TI341" s="1"/>
      <c r="TJ341" s="1"/>
      <c r="TK341" s="1"/>
      <c r="TL341" s="1"/>
      <c r="TM341" s="1"/>
      <c r="TN341" s="1"/>
      <c r="TO341" s="1"/>
      <c r="TP341" s="1"/>
      <c r="TQ341" s="1"/>
      <c r="TR341" s="1"/>
      <c r="TS341" s="1"/>
      <c r="TT341" s="1"/>
      <c r="TU341" s="1"/>
      <c r="TV341" s="1"/>
      <c r="TW341" s="1"/>
      <c r="TX341" s="1"/>
      <c r="TY341" s="1"/>
      <c r="TZ341" s="1"/>
      <c r="UA341" s="1"/>
      <c r="UB341" s="1"/>
      <c r="UC341" s="1"/>
      <c r="UD341" s="1"/>
      <c r="UE341" s="1"/>
      <c r="UF341" s="1"/>
      <c r="UG341" s="1"/>
      <c r="UH341" s="1"/>
      <c r="UI341" s="1"/>
    </row>
    <row r="342" spans="1:555" ht="40.5">
      <c r="A342" s="296">
        <v>470</v>
      </c>
      <c r="B342" s="297" t="s">
        <v>4569</v>
      </c>
      <c r="C342" s="298">
        <v>79131062</v>
      </c>
      <c r="D342" s="354" t="s">
        <v>67</v>
      </c>
      <c r="E342" s="299">
        <v>42786</v>
      </c>
      <c r="F342" s="300">
        <v>42767</v>
      </c>
      <c r="G342" s="301" t="s">
        <v>271</v>
      </c>
      <c r="H342" s="297" t="s">
        <v>63</v>
      </c>
      <c r="I342" s="297" t="s">
        <v>101</v>
      </c>
      <c r="J342" s="299"/>
      <c r="K342" s="300"/>
      <c r="L342" s="301"/>
      <c r="M342" s="297"/>
      <c r="N342" s="297"/>
      <c r="O342" s="299"/>
      <c r="P342" s="302"/>
      <c r="Q342" s="301"/>
      <c r="R342" s="297"/>
      <c r="S342" s="297"/>
      <c r="T342" s="299"/>
      <c r="U342" s="300"/>
      <c r="V342" s="301"/>
      <c r="W342" s="297"/>
      <c r="X342" s="297"/>
      <c r="Y342" s="299"/>
      <c r="Z342" s="300"/>
      <c r="AA342" s="301"/>
      <c r="AB342" s="297"/>
      <c r="AC342" s="297"/>
      <c r="AD342" s="299"/>
      <c r="AE342" s="300"/>
      <c r="AF342" s="301"/>
      <c r="AG342" s="297"/>
      <c r="AH342" s="297"/>
      <c r="AI342" s="322"/>
      <c r="AJ342" s="300"/>
      <c r="AK342" s="301"/>
      <c r="AL342" s="297"/>
      <c r="AM342" s="297"/>
      <c r="AN342" s="297"/>
      <c r="AO342" s="473"/>
      <c r="AP342" s="297"/>
      <c r="AQ342" s="301" t="s">
        <v>7770</v>
      </c>
      <c r="AR342" s="297" t="s">
        <v>66</v>
      </c>
      <c r="AS342" s="299" t="s">
        <v>67</v>
      </c>
      <c r="AT342" s="299" t="s">
        <v>67</v>
      </c>
      <c r="AU342" s="297" t="s">
        <v>3827</v>
      </c>
      <c r="AV342" s="297"/>
      <c r="AW342" s="297" t="s">
        <v>69</v>
      </c>
      <c r="AX342" s="297" t="s">
        <v>4467</v>
      </c>
      <c r="AY342" s="299">
        <v>42720</v>
      </c>
      <c r="AZ342" s="297" t="s">
        <v>67</v>
      </c>
      <c r="BA342" s="299" t="s">
        <v>67</v>
      </c>
      <c r="BB342" s="382">
        <v>42746</v>
      </c>
      <c r="BC342" s="297" t="s">
        <v>3829</v>
      </c>
      <c r="BD342" s="297" t="s">
        <v>6447</v>
      </c>
      <c r="BE342" s="297"/>
      <c r="BF342" s="301"/>
      <c r="BG342" s="301" t="s">
        <v>67</v>
      </c>
      <c r="BH342" s="301" t="s">
        <v>4570</v>
      </c>
      <c r="BI342" s="301" t="s">
        <v>675</v>
      </c>
      <c r="BJ342" s="312">
        <v>2129640</v>
      </c>
      <c r="BK342" s="312">
        <v>2129640</v>
      </c>
      <c r="BL342" s="313">
        <v>50895017</v>
      </c>
      <c r="BM342" s="299">
        <v>42803</v>
      </c>
      <c r="BN342" s="300">
        <v>42795</v>
      </c>
      <c r="BO342" s="460"/>
      <c r="BP342" s="390"/>
      <c r="BQ342" s="297"/>
      <c r="BR342" s="303"/>
      <c r="BS342" s="301"/>
      <c r="BT342" s="301"/>
      <c r="BU342" s="301"/>
      <c r="BV342" s="301"/>
      <c r="BW342" s="316"/>
      <c r="BX342" s="304"/>
      <c r="BY342" s="299"/>
      <c r="BZ342" s="317"/>
    </row>
    <row r="343" spans="1:555" ht="89.25" customHeight="1">
      <c r="A343" s="296">
        <v>471</v>
      </c>
      <c r="B343" s="297" t="s">
        <v>2434</v>
      </c>
      <c r="C343" s="298">
        <v>70951681</v>
      </c>
      <c r="D343" s="354" t="s">
        <v>67</v>
      </c>
      <c r="E343" s="299">
        <v>42786</v>
      </c>
      <c r="F343" s="300">
        <v>42767</v>
      </c>
      <c r="G343" s="301" t="s">
        <v>271</v>
      </c>
      <c r="H343" s="297" t="s">
        <v>63</v>
      </c>
      <c r="I343" s="297" t="s">
        <v>101</v>
      </c>
      <c r="J343" s="299"/>
      <c r="K343" s="300"/>
      <c r="L343" s="315"/>
      <c r="M343" s="297"/>
      <c r="N343" s="297"/>
      <c r="O343" s="299"/>
      <c r="P343" s="302"/>
      <c r="Q343" s="301"/>
      <c r="R343" s="297"/>
      <c r="S343" s="297"/>
      <c r="T343" s="299"/>
      <c r="U343" s="300"/>
      <c r="V343" s="301"/>
      <c r="W343" s="297"/>
      <c r="X343" s="297"/>
      <c r="Y343" s="299"/>
      <c r="Z343" s="300"/>
      <c r="AA343" s="301"/>
      <c r="AB343" s="297"/>
      <c r="AC343" s="297"/>
      <c r="AD343" s="299"/>
      <c r="AE343" s="300"/>
      <c r="AF343" s="301"/>
      <c r="AG343" s="297"/>
      <c r="AH343" s="297"/>
      <c r="AI343" s="322"/>
      <c r="AJ343" s="300"/>
      <c r="AK343" s="301"/>
      <c r="AL343" s="297"/>
      <c r="AM343" s="297"/>
      <c r="AN343" s="297"/>
      <c r="AO343" s="473"/>
      <c r="AP343" s="297"/>
      <c r="AQ343" s="301" t="s">
        <v>7798</v>
      </c>
      <c r="AR343" s="297" t="s">
        <v>66</v>
      </c>
      <c r="AS343" s="299" t="s">
        <v>67</v>
      </c>
      <c r="AT343" s="299" t="s">
        <v>67</v>
      </c>
      <c r="AU343" s="297" t="s">
        <v>3827</v>
      </c>
      <c r="AV343" s="297"/>
      <c r="AW343" s="297" t="s">
        <v>69</v>
      </c>
      <c r="AX343" s="297" t="s">
        <v>4571</v>
      </c>
      <c r="AY343" s="299">
        <v>42782</v>
      </c>
      <c r="AZ343" s="297" t="s">
        <v>67</v>
      </c>
      <c r="BA343" s="299" t="s">
        <v>67</v>
      </c>
      <c r="BB343" s="382">
        <v>42786</v>
      </c>
      <c r="BC343" s="297" t="s">
        <v>3829</v>
      </c>
      <c r="BD343" s="297" t="s">
        <v>6447</v>
      </c>
      <c r="BE343" s="297"/>
      <c r="BF343" s="301"/>
      <c r="BG343" s="301" t="s">
        <v>67</v>
      </c>
      <c r="BH343" s="301" t="s">
        <v>4572</v>
      </c>
      <c r="BI343" s="301" t="s">
        <v>675</v>
      </c>
      <c r="BJ343" s="312">
        <v>2372495</v>
      </c>
      <c r="BK343" s="312">
        <v>2372495</v>
      </c>
      <c r="BL343" s="313">
        <v>50858817</v>
      </c>
      <c r="BM343" s="299">
        <v>42803</v>
      </c>
      <c r="BN343" s="300">
        <v>42795</v>
      </c>
      <c r="BO343" s="434" t="s">
        <v>4573</v>
      </c>
      <c r="BP343" s="397"/>
      <c r="BQ343" s="455"/>
      <c r="BR343" s="456"/>
      <c r="BS343" s="301"/>
      <c r="BT343" s="301"/>
      <c r="BU343" s="301"/>
      <c r="BV343" s="301"/>
      <c r="BW343" s="316"/>
      <c r="BX343" s="304"/>
      <c r="BY343" s="299"/>
      <c r="BZ343" s="317"/>
    </row>
    <row r="344" spans="1:555" ht="72.75" customHeight="1">
      <c r="A344" s="296">
        <v>477</v>
      </c>
      <c r="B344" s="297" t="s">
        <v>4609</v>
      </c>
      <c r="C344" s="298">
        <v>76320598</v>
      </c>
      <c r="D344" s="354" t="s">
        <v>67</v>
      </c>
      <c r="E344" s="299">
        <v>42796</v>
      </c>
      <c r="F344" s="300">
        <v>42795</v>
      </c>
      <c r="G344" s="301" t="s">
        <v>271</v>
      </c>
      <c r="H344" s="297" t="s">
        <v>63</v>
      </c>
      <c r="I344" s="297" t="s">
        <v>101</v>
      </c>
      <c r="J344" s="299"/>
      <c r="K344" s="300"/>
      <c r="L344" s="301"/>
      <c r="M344" s="297"/>
      <c r="N344" s="297"/>
      <c r="O344" s="299"/>
      <c r="P344" s="302"/>
      <c r="Q344" s="301"/>
      <c r="R344" s="297"/>
      <c r="S344" s="297"/>
      <c r="T344" s="299"/>
      <c r="U344" s="300"/>
      <c r="V344" s="301"/>
      <c r="W344" s="297"/>
      <c r="X344" s="297"/>
      <c r="Y344" s="299"/>
      <c r="Z344" s="300"/>
      <c r="AA344" s="301"/>
      <c r="AB344" s="297"/>
      <c r="AC344" s="297"/>
      <c r="AD344" s="299"/>
      <c r="AE344" s="300"/>
      <c r="AF344" s="301"/>
      <c r="AG344" s="297"/>
      <c r="AH344" s="297"/>
      <c r="AI344" s="322"/>
      <c r="AJ344" s="300"/>
      <c r="AK344" s="301"/>
      <c r="AL344" s="297"/>
      <c r="AM344" s="297"/>
      <c r="AN344" s="297"/>
      <c r="AO344" s="473"/>
      <c r="AP344" s="297"/>
      <c r="AQ344" s="301" t="s">
        <v>7785</v>
      </c>
      <c r="AR344" s="297" t="s">
        <v>66</v>
      </c>
      <c r="AS344" s="299" t="s">
        <v>67</v>
      </c>
      <c r="AT344" s="299" t="s">
        <v>67</v>
      </c>
      <c r="AU344" s="297" t="s">
        <v>3827</v>
      </c>
      <c r="AV344" s="297"/>
      <c r="AW344" s="297" t="s">
        <v>69</v>
      </c>
      <c r="AX344" s="297" t="s">
        <v>4610</v>
      </c>
      <c r="AY344" s="299">
        <v>42772</v>
      </c>
      <c r="AZ344" s="297" t="s">
        <v>67</v>
      </c>
      <c r="BA344" s="299" t="s">
        <v>67</v>
      </c>
      <c r="BB344" s="382">
        <v>42780</v>
      </c>
      <c r="BC344" s="297" t="s">
        <v>3829</v>
      </c>
      <c r="BD344" s="297" t="s">
        <v>6447</v>
      </c>
      <c r="BE344" s="297"/>
      <c r="BF344" s="301"/>
      <c r="BG344" s="301" t="s">
        <v>67</v>
      </c>
      <c r="BH344" s="301" t="s">
        <v>4611</v>
      </c>
      <c r="BI344" s="301" t="s">
        <v>4369</v>
      </c>
      <c r="BJ344" s="312">
        <v>707256</v>
      </c>
      <c r="BK344" s="312">
        <v>707256</v>
      </c>
      <c r="BL344" s="313">
        <v>80475917</v>
      </c>
      <c r="BM344" s="299">
        <v>42831</v>
      </c>
      <c r="BN344" s="300">
        <v>42826</v>
      </c>
      <c r="BO344" s="434" t="s">
        <v>4612</v>
      </c>
      <c r="BP344" s="397"/>
      <c r="BQ344" s="455"/>
      <c r="BR344" s="456"/>
      <c r="BS344" s="301"/>
      <c r="BT344" s="301"/>
      <c r="BU344" s="301"/>
      <c r="BV344" s="301"/>
      <c r="BW344" s="316"/>
      <c r="BX344" s="304"/>
      <c r="BY344" s="299"/>
      <c r="BZ344" s="317"/>
    </row>
    <row r="345" spans="1:555" ht="63.75" customHeight="1">
      <c r="A345" s="296">
        <v>478</v>
      </c>
      <c r="B345" s="297" t="s">
        <v>4613</v>
      </c>
      <c r="C345" s="298">
        <v>79123802</v>
      </c>
      <c r="D345" s="354" t="s">
        <v>67</v>
      </c>
      <c r="E345" s="299">
        <v>42796</v>
      </c>
      <c r="F345" s="300">
        <v>42795</v>
      </c>
      <c r="G345" s="301" t="s">
        <v>271</v>
      </c>
      <c r="H345" s="297" t="s">
        <v>63</v>
      </c>
      <c r="I345" s="297" t="s">
        <v>101</v>
      </c>
      <c r="J345" s="299"/>
      <c r="K345" s="300"/>
      <c r="L345" s="301"/>
      <c r="M345" s="297"/>
      <c r="N345" s="297"/>
      <c r="O345" s="299"/>
      <c r="P345" s="302"/>
      <c r="Q345" s="301"/>
      <c r="R345" s="297"/>
      <c r="S345" s="297"/>
      <c r="T345" s="299"/>
      <c r="U345" s="300"/>
      <c r="V345" s="301"/>
      <c r="W345" s="297"/>
      <c r="X345" s="297"/>
      <c r="Y345" s="299"/>
      <c r="Z345" s="300"/>
      <c r="AA345" s="301"/>
      <c r="AB345" s="297"/>
      <c r="AC345" s="297"/>
      <c r="AD345" s="299"/>
      <c r="AE345" s="300"/>
      <c r="AF345" s="301"/>
      <c r="AG345" s="297"/>
      <c r="AH345" s="297"/>
      <c r="AI345" s="322"/>
      <c r="AJ345" s="300"/>
      <c r="AK345" s="301"/>
      <c r="AL345" s="297"/>
      <c r="AM345" s="297"/>
      <c r="AN345" s="297"/>
      <c r="AO345" s="473"/>
      <c r="AP345" s="297"/>
      <c r="AQ345" s="301" t="s">
        <v>7809</v>
      </c>
      <c r="AR345" s="297" t="s">
        <v>66</v>
      </c>
      <c r="AS345" s="299" t="s">
        <v>67</v>
      </c>
      <c r="AT345" s="299" t="s">
        <v>67</v>
      </c>
      <c r="AU345" s="297" t="s">
        <v>3827</v>
      </c>
      <c r="AV345" s="297"/>
      <c r="AW345" s="297" t="s">
        <v>69</v>
      </c>
      <c r="AX345" s="297" t="s">
        <v>7810</v>
      </c>
      <c r="AY345" s="299">
        <v>42788</v>
      </c>
      <c r="AZ345" s="297" t="s">
        <v>67</v>
      </c>
      <c r="BA345" s="299" t="s">
        <v>67</v>
      </c>
      <c r="BB345" s="382">
        <v>42795</v>
      </c>
      <c r="BC345" s="297" t="s">
        <v>3829</v>
      </c>
      <c r="BD345" s="297" t="s">
        <v>6447</v>
      </c>
      <c r="BE345" s="297"/>
      <c r="BF345" s="301"/>
      <c r="BG345" s="301" t="s">
        <v>67</v>
      </c>
      <c r="BH345" s="301" t="s">
        <v>4614</v>
      </c>
      <c r="BI345" s="301" t="s">
        <v>4615</v>
      </c>
      <c r="BJ345" s="312">
        <v>715617</v>
      </c>
      <c r="BK345" s="312">
        <v>715617</v>
      </c>
      <c r="BL345" s="313">
        <v>71272317</v>
      </c>
      <c r="BM345" s="299">
        <v>42823</v>
      </c>
      <c r="BN345" s="300">
        <v>42795</v>
      </c>
      <c r="BO345" s="434" t="s">
        <v>4616</v>
      </c>
      <c r="BP345" s="397"/>
      <c r="BQ345" s="398"/>
      <c r="BR345" s="320"/>
      <c r="BS345" s="301"/>
      <c r="BT345" s="301"/>
      <c r="BU345" s="301"/>
      <c r="BV345" s="301"/>
      <c r="BW345" s="316"/>
      <c r="BX345" s="304"/>
      <c r="BY345" s="299"/>
      <c r="BZ345" s="317"/>
    </row>
    <row r="346" spans="1:555" ht="54">
      <c r="A346" s="296">
        <v>479</v>
      </c>
      <c r="B346" s="297" t="s">
        <v>4617</v>
      </c>
      <c r="C346" s="298">
        <v>79351675</v>
      </c>
      <c r="D346" s="354" t="s">
        <v>67</v>
      </c>
      <c r="E346" s="299">
        <v>42796</v>
      </c>
      <c r="F346" s="300">
        <v>42795</v>
      </c>
      <c r="G346" s="301" t="s">
        <v>271</v>
      </c>
      <c r="H346" s="297" t="s">
        <v>63</v>
      </c>
      <c r="I346" s="297" t="s">
        <v>101</v>
      </c>
      <c r="J346" s="299"/>
      <c r="K346" s="300"/>
      <c r="L346" s="301"/>
      <c r="M346" s="297"/>
      <c r="N346" s="297"/>
      <c r="O346" s="299"/>
      <c r="P346" s="302"/>
      <c r="Q346" s="301"/>
      <c r="R346" s="297"/>
      <c r="S346" s="297"/>
      <c r="T346" s="299"/>
      <c r="U346" s="300"/>
      <c r="V346" s="301"/>
      <c r="W346" s="297"/>
      <c r="X346" s="297"/>
      <c r="Y346" s="299"/>
      <c r="Z346" s="300"/>
      <c r="AA346" s="301"/>
      <c r="AB346" s="297"/>
      <c r="AC346" s="297"/>
      <c r="AD346" s="299"/>
      <c r="AE346" s="300"/>
      <c r="AF346" s="301"/>
      <c r="AG346" s="297"/>
      <c r="AH346" s="297"/>
      <c r="AI346" s="322"/>
      <c r="AJ346" s="300"/>
      <c r="AK346" s="301"/>
      <c r="AL346" s="297"/>
      <c r="AM346" s="297"/>
      <c r="AN346" s="297"/>
      <c r="AO346" s="473"/>
      <c r="AP346" s="297"/>
      <c r="AQ346" s="301" t="s">
        <v>7689</v>
      </c>
      <c r="AR346" s="297" t="s">
        <v>66</v>
      </c>
      <c r="AS346" s="299" t="s">
        <v>67</v>
      </c>
      <c r="AT346" s="299" t="s">
        <v>67</v>
      </c>
      <c r="AU346" s="297" t="s">
        <v>3827</v>
      </c>
      <c r="AV346" s="297"/>
      <c r="AW346" s="297" t="s">
        <v>69</v>
      </c>
      <c r="AX346" s="297" t="s">
        <v>7690</v>
      </c>
      <c r="AY346" s="299">
        <v>42758</v>
      </c>
      <c r="AZ346" s="297" t="s">
        <v>67</v>
      </c>
      <c r="BA346" s="299" t="s">
        <v>67</v>
      </c>
      <c r="BB346" s="382">
        <v>42795</v>
      </c>
      <c r="BC346" s="297" t="s">
        <v>3829</v>
      </c>
      <c r="BD346" s="297" t="s">
        <v>6447</v>
      </c>
      <c r="BE346" s="297"/>
      <c r="BF346" s="301"/>
      <c r="BG346" s="301" t="s">
        <v>67</v>
      </c>
      <c r="BH346" s="301" t="s">
        <v>4618</v>
      </c>
      <c r="BI346" s="301" t="s">
        <v>4615</v>
      </c>
      <c r="BJ346" s="312">
        <v>2107939</v>
      </c>
      <c r="BK346" s="312">
        <v>2107939</v>
      </c>
      <c r="BL346" s="313">
        <v>71282417</v>
      </c>
      <c r="BM346" s="299">
        <v>42823</v>
      </c>
      <c r="BN346" s="300">
        <v>42795</v>
      </c>
      <c r="BO346" s="434" t="s">
        <v>4619</v>
      </c>
      <c r="BP346" s="397"/>
      <c r="BQ346" s="455"/>
      <c r="BR346" s="456"/>
      <c r="BS346" s="301"/>
      <c r="BT346" s="301"/>
      <c r="BU346" s="301"/>
      <c r="BV346" s="301"/>
      <c r="BW346" s="316"/>
      <c r="BX346" s="304"/>
      <c r="BY346" s="299"/>
      <c r="BZ346" s="317"/>
    </row>
    <row r="347" spans="1:555" ht="60">
      <c r="A347" s="296">
        <v>485</v>
      </c>
      <c r="B347" s="297" t="s">
        <v>4654</v>
      </c>
      <c r="C347" s="298">
        <v>16842748</v>
      </c>
      <c r="D347" s="354" t="s">
        <v>1153</v>
      </c>
      <c r="E347" s="299">
        <v>42801</v>
      </c>
      <c r="F347" s="300">
        <v>42795</v>
      </c>
      <c r="G347" s="301" t="s">
        <v>271</v>
      </c>
      <c r="H347" s="297" t="s">
        <v>1974</v>
      </c>
      <c r="I347" s="297" t="s">
        <v>183</v>
      </c>
      <c r="J347" s="299">
        <v>42808</v>
      </c>
      <c r="K347" s="300">
        <v>42795</v>
      </c>
      <c r="L347" s="301" t="s">
        <v>4655</v>
      </c>
      <c r="M347" s="297" t="s">
        <v>5</v>
      </c>
      <c r="N347" s="297" t="s">
        <v>79</v>
      </c>
      <c r="O347" s="299">
        <v>43004</v>
      </c>
      <c r="P347" s="302">
        <v>42979</v>
      </c>
      <c r="Q347" s="301" t="s">
        <v>4656</v>
      </c>
      <c r="R347" s="297" t="s">
        <v>5</v>
      </c>
      <c r="S347" s="297" t="s">
        <v>4657</v>
      </c>
      <c r="T347" s="299">
        <v>42845</v>
      </c>
      <c r="U347" s="300">
        <v>42826</v>
      </c>
      <c r="V347" s="301" t="s">
        <v>4658</v>
      </c>
      <c r="W347" s="297" t="s">
        <v>625</v>
      </c>
      <c r="X347" s="297" t="s">
        <v>2520</v>
      </c>
      <c r="Y347" s="299">
        <v>42849</v>
      </c>
      <c r="Z347" s="300">
        <v>42826</v>
      </c>
      <c r="AA347" s="301" t="s">
        <v>4659</v>
      </c>
      <c r="AB347" s="297" t="s">
        <v>625</v>
      </c>
      <c r="AC347" s="297" t="s">
        <v>4660</v>
      </c>
      <c r="AD347" s="299">
        <v>42131</v>
      </c>
      <c r="AE347" s="300">
        <v>42125</v>
      </c>
      <c r="AF347" s="301" t="s">
        <v>4661</v>
      </c>
      <c r="AG347" s="297" t="s">
        <v>576</v>
      </c>
      <c r="AH347" s="297" t="s">
        <v>4662</v>
      </c>
      <c r="AI347" s="322"/>
      <c r="AJ347" s="300"/>
      <c r="AK347" s="301"/>
      <c r="AL347" s="297"/>
      <c r="AM347" s="297"/>
      <c r="AN347" s="297"/>
      <c r="AO347" s="473"/>
      <c r="AP347" s="297"/>
      <c r="AQ347" s="301" t="s">
        <v>4663</v>
      </c>
      <c r="AR347" s="297" t="s">
        <v>66</v>
      </c>
      <c r="AS347" s="299">
        <v>39149</v>
      </c>
      <c r="AT347" s="299">
        <v>40543</v>
      </c>
      <c r="AU347" s="297" t="s">
        <v>4664</v>
      </c>
      <c r="AV347" s="297"/>
      <c r="AW347" s="297" t="s">
        <v>69</v>
      </c>
      <c r="AX347" s="297" t="s">
        <v>4665</v>
      </c>
      <c r="AY347" s="299">
        <v>41514</v>
      </c>
      <c r="AZ347" s="297" t="s">
        <v>576</v>
      </c>
      <c r="BA347" s="299">
        <v>42705</v>
      </c>
      <c r="BB347" s="382">
        <v>42746</v>
      </c>
      <c r="BC347" s="297" t="s">
        <v>95</v>
      </c>
      <c r="BD347" s="297" t="s">
        <v>566</v>
      </c>
      <c r="BE347" s="297"/>
      <c r="BF347" s="301" t="s">
        <v>988</v>
      </c>
      <c r="BG347" s="301" t="s">
        <v>4666</v>
      </c>
      <c r="BH347" s="301" t="s">
        <v>4667</v>
      </c>
      <c r="BI347" s="301"/>
      <c r="BJ347" s="312">
        <v>96569624</v>
      </c>
      <c r="BK347" s="312">
        <v>96569624</v>
      </c>
      <c r="BL347" s="313" t="s">
        <v>4668</v>
      </c>
      <c r="BM347" s="299">
        <v>43112</v>
      </c>
      <c r="BN347" s="300">
        <v>43101</v>
      </c>
      <c r="BO347" s="460" t="s">
        <v>4669</v>
      </c>
      <c r="BP347" s="390">
        <v>13002900</v>
      </c>
      <c r="BQ347" s="297" t="s">
        <v>7471</v>
      </c>
      <c r="BR347" s="303"/>
      <c r="BS347" s="301"/>
      <c r="BT347" s="301"/>
      <c r="BU347" s="301"/>
      <c r="BV347" s="301"/>
      <c r="BW347" s="316"/>
      <c r="BX347" s="304"/>
      <c r="BY347" s="299"/>
      <c r="BZ347" s="317"/>
    </row>
    <row r="348" spans="1:555" s="259" customFormat="1" ht="70.5" customHeight="1">
      <c r="A348" s="296">
        <v>486</v>
      </c>
      <c r="B348" s="297" t="s">
        <v>4670</v>
      </c>
      <c r="C348" s="298">
        <v>80003932</v>
      </c>
      <c r="D348" s="354" t="s">
        <v>67</v>
      </c>
      <c r="E348" s="299">
        <v>42801</v>
      </c>
      <c r="F348" s="300">
        <v>42795</v>
      </c>
      <c r="G348" s="301" t="s">
        <v>271</v>
      </c>
      <c r="H348" s="297" t="s">
        <v>63</v>
      </c>
      <c r="I348" s="297" t="s">
        <v>101</v>
      </c>
      <c r="J348" s="299"/>
      <c r="K348" s="300"/>
      <c r="L348" s="301"/>
      <c r="M348" s="297"/>
      <c r="N348" s="297"/>
      <c r="O348" s="299"/>
      <c r="P348" s="302"/>
      <c r="Q348" s="301"/>
      <c r="R348" s="297"/>
      <c r="S348" s="297"/>
      <c r="T348" s="299"/>
      <c r="U348" s="300"/>
      <c r="V348" s="301"/>
      <c r="W348" s="297"/>
      <c r="X348" s="297"/>
      <c r="Y348" s="299"/>
      <c r="Z348" s="300"/>
      <c r="AA348" s="301"/>
      <c r="AB348" s="297"/>
      <c r="AC348" s="297"/>
      <c r="AD348" s="299"/>
      <c r="AE348" s="300"/>
      <c r="AF348" s="301"/>
      <c r="AG348" s="297"/>
      <c r="AH348" s="297"/>
      <c r="AI348" s="322"/>
      <c r="AJ348" s="300"/>
      <c r="AK348" s="301"/>
      <c r="AL348" s="297"/>
      <c r="AM348" s="297"/>
      <c r="AN348" s="297"/>
      <c r="AO348" s="473"/>
      <c r="AP348" s="297"/>
      <c r="AQ348" s="301" t="s">
        <v>7627</v>
      </c>
      <c r="AR348" s="297" t="s">
        <v>66</v>
      </c>
      <c r="AS348" s="299" t="s">
        <v>67</v>
      </c>
      <c r="AT348" s="299" t="s">
        <v>67</v>
      </c>
      <c r="AU348" s="297" t="s">
        <v>3827</v>
      </c>
      <c r="AV348" s="297"/>
      <c r="AW348" s="297" t="s">
        <v>69</v>
      </c>
      <c r="AX348" s="297" t="s">
        <v>7628</v>
      </c>
      <c r="AY348" s="299">
        <v>42685</v>
      </c>
      <c r="AZ348" s="297" t="s">
        <v>67</v>
      </c>
      <c r="BA348" s="299" t="s">
        <v>67</v>
      </c>
      <c r="BB348" s="382">
        <v>42787</v>
      </c>
      <c r="BC348" s="297" t="s">
        <v>3829</v>
      </c>
      <c r="BD348" s="297" t="s">
        <v>6447</v>
      </c>
      <c r="BE348" s="297"/>
      <c r="BF348" s="301"/>
      <c r="BG348" s="301" t="s">
        <v>67</v>
      </c>
      <c r="BH348" s="301" t="s">
        <v>4671</v>
      </c>
      <c r="BI348" s="301" t="s">
        <v>4369</v>
      </c>
      <c r="BJ348" s="312">
        <v>705070</v>
      </c>
      <c r="BK348" s="312">
        <v>705070</v>
      </c>
      <c r="BL348" s="313">
        <v>80468617</v>
      </c>
      <c r="BM348" s="299">
        <v>42831</v>
      </c>
      <c r="BN348" s="300">
        <v>42826</v>
      </c>
      <c r="BO348" s="434" t="s">
        <v>4672</v>
      </c>
      <c r="BP348" s="397"/>
      <c r="BQ348" s="398"/>
      <c r="BR348" s="320"/>
      <c r="BS348" s="301"/>
      <c r="BT348" s="301"/>
      <c r="BU348" s="301"/>
      <c r="BV348" s="301"/>
      <c r="BW348" s="316"/>
      <c r="BX348" s="304"/>
      <c r="BY348" s="299"/>
      <c r="BZ348" s="317"/>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c r="JB348" s="1"/>
      <c r="JC348" s="1"/>
      <c r="JD348" s="1"/>
      <c r="JE348" s="1"/>
      <c r="JF348" s="1"/>
      <c r="JG348" s="1"/>
      <c r="JH348" s="1"/>
      <c r="JI348" s="1"/>
      <c r="JJ348" s="1"/>
      <c r="JK348" s="1"/>
      <c r="JL348" s="1"/>
      <c r="JM348" s="1"/>
      <c r="JN348" s="1"/>
      <c r="JO348" s="1"/>
      <c r="JP348" s="1"/>
      <c r="JQ348" s="1"/>
      <c r="JR348" s="1"/>
      <c r="JS348" s="1"/>
      <c r="JT348" s="1"/>
      <c r="JU348" s="1"/>
      <c r="JV348" s="1"/>
      <c r="JW348" s="1"/>
      <c r="JX348" s="1"/>
      <c r="JY348" s="1"/>
      <c r="JZ348" s="1"/>
      <c r="KA348" s="1"/>
      <c r="KB348" s="1"/>
      <c r="KC348" s="1"/>
      <c r="KD348" s="1"/>
      <c r="KE348" s="1"/>
      <c r="KF348" s="1"/>
      <c r="KG348" s="1"/>
      <c r="KH348" s="1"/>
      <c r="KI348" s="1"/>
      <c r="KJ348" s="1"/>
      <c r="KK348" s="1"/>
      <c r="KL348" s="1"/>
      <c r="KM348" s="1"/>
      <c r="KN348" s="1"/>
      <c r="KO348" s="1"/>
      <c r="KP348" s="1"/>
      <c r="KQ348" s="1"/>
      <c r="KR348" s="1"/>
      <c r="KS348" s="1"/>
      <c r="KT348" s="1"/>
      <c r="KU348" s="1"/>
      <c r="KV348" s="1"/>
      <c r="KW348" s="1"/>
      <c r="KX348" s="1"/>
      <c r="KY348" s="1"/>
      <c r="KZ348" s="1"/>
      <c r="LA348" s="1"/>
      <c r="LB348" s="1"/>
      <c r="LC348" s="1"/>
      <c r="LD348" s="1"/>
      <c r="LE348" s="1"/>
      <c r="LF348" s="1"/>
      <c r="LG348" s="1"/>
      <c r="LH348" s="1"/>
      <c r="LI348" s="1"/>
      <c r="LJ348" s="1"/>
      <c r="LK348" s="1"/>
      <c r="LL348" s="1"/>
      <c r="LM348" s="1"/>
      <c r="LN348" s="1"/>
      <c r="LO348" s="1"/>
      <c r="LP348" s="1"/>
      <c r="LQ348" s="1"/>
      <c r="LR348" s="1"/>
      <c r="LS348" s="1"/>
      <c r="LT348" s="1"/>
      <c r="LU348" s="1"/>
      <c r="LV348" s="1"/>
      <c r="LW348" s="1"/>
      <c r="LX348" s="1"/>
      <c r="LY348" s="1"/>
      <c r="LZ348" s="1"/>
      <c r="MA348" s="1"/>
      <c r="MB348" s="1"/>
      <c r="MC348" s="1"/>
      <c r="MD348" s="1"/>
      <c r="ME348" s="1"/>
      <c r="MF348" s="1"/>
      <c r="MG348" s="1"/>
      <c r="MH348" s="1"/>
      <c r="MI348" s="1"/>
      <c r="MJ348" s="1"/>
      <c r="MK348" s="1"/>
      <c r="ML348" s="1"/>
      <c r="MM348" s="1"/>
      <c r="MN348" s="1"/>
      <c r="MO348" s="1"/>
      <c r="MP348" s="1"/>
      <c r="MQ348" s="1"/>
      <c r="MR348" s="1"/>
      <c r="MS348" s="1"/>
      <c r="MT348" s="1"/>
      <c r="MU348" s="1"/>
      <c r="MV348" s="1"/>
      <c r="MW348" s="1"/>
      <c r="MX348" s="1"/>
      <c r="MY348" s="1"/>
      <c r="MZ348" s="1"/>
      <c r="NA348" s="1"/>
      <c r="NB348" s="1"/>
      <c r="NC348" s="1"/>
      <c r="ND348" s="1"/>
      <c r="NE348" s="1"/>
      <c r="NF348" s="1"/>
      <c r="NG348" s="1"/>
      <c r="NH348" s="1"/>
      <c r="NI348" s="1"/>
      <c r="NJ348" s="1"/>
      <c r="NK348" s="1"/>
      <c r="NL348" s="1"/>
      <c r="NM348" s="1"/>
      <c r="NN348" s="1"/>
      <c r="NO348" s="1"/>
      <c r="NP348" s="1"/>
      <c r="NQ348" s="1"/>
      <c r="NR348" s="1"/>
      <c r="NS348" s="1"/>
      <c r="NT348" s="1"/>
      <c r="NU348" s="1"/>
      <c r="NV348" s="1"/>
      <c r="NW348" s="1"/>
      <c r="NX348" s="1"/>
      <c r="NY348" s="1"/>
      <c r="NZ348" s="1"/>
      <c r="OA348" s="1"/>
      <c r="OB348" s="1"/>
      <c r="OC348" s="1"/>
      <c r="OD348" s="1"/>
      <c r="OE348" s="1"/>
      <c r="OF348" s="1"/>
      <c r="OG348" s="1"/>
      <c r="OH348" s="1"/>
      <c r="OI348" s="1"/>
      <c r="OJ348" s="1"/>
      <c r="OK348" s="1"/>
      <c r="OL348" s="1"/>
      <c r="OM348" s="1"/>
      <c r="ON348" s="1"/>
      <c r="OO348" s="1"/>
      <c r="OP348" s="1"/>
      <c r="OQ348" s="1"/>
      <c r="OR348" s="1"/>
      <c r="OS348" s="1"/>
      <c r="OT348" s="1"/>
      <c r="OU348" s="1"/>
      <c r="OV348" s="1"/>
      <c r="OW348" s="1"/>
      <c r="OX348" s="1"/>
      <c r="OY348" s="1"/>
      <c r="OZ348" s="1"/>
      <c r="PA348" s="1"/>
      <c r="PB348" s="1"/>
      <c r="PC348" s="1"/>
      <c r="PD348" s="1"/>
      <c r="PE348" s="1"/>
      <c r="PF348" s="1"/>
      <c r="PG348" s="1"/>
      <c r="PH348" s="1"/>
      <c r="PI348" s="1"/>
      <c r="PJ348" s="1"/>
      <c r="PK348" s="1"/>
      <c r="PL348" s="1"/>
      <c r="PM348" s="1"/>
      <c r="PN348" s="1"/>
      <c r="PO348" s="1"/>
      <c r="PP348" s="1"/>
      <c r="PQ348" s="1"/>
      <c r="PR348" s="1"/>
      <c r="PS348" s="1"/>
      <c r="PT348" s="1"/>
      <c r="PU348" s="1"/>
      <c r="PV348" s="1"/>
      <c r="PW348" s="1"/>
      <c r="PX348" s="1"/>
      <c r="PY348" s="1"/>
      <c r="PZ348" s="1"/>
      <c r="QA348" s="1"/>
      <c r="QB348" s="1"/>
      <c r="QC348" s="1"/>
      <c r="QD348" s="1"/>
      <c r="QE348" s="1"/>
      <c r="QF348" s="1"/>
      <c r="QG348" s="1"/>
      <c r="QH348" s="1"/>
      <c r="QI348" s="1"/>
      <c r="QJ348" s="1"/>
      <c r="QK348" s="1"/>
      <c r="QL348" s="1"/>
      <c r="QM348" s="1"/>
      <c r="QN348" s="1"/>
      <c r="QO348" s="1"/>
      <c r="QP348" s="1"/>
      <c r="QQ348" s="1"/>
      <c r="QR348" s="1"/>
      <c r="QS348" s="1"/>
      <c r="QT348" s="1"/>
      <c r="QU348" s="1"/>
      <c r="QV348" s="1"/>
      <c r="QW348" s="1"/>
      <c r="QX348" s="1"/>
      <c r="QY348" s="1"/>
      <c r="QZ348" s="1"/>
      <c r="RA348" s="1"/>
      <c r="RB348" s="1"/>
      <c r="RC348" s="1"/>
      <c r="RD348" s="1"/>
      <c r="RE348" s="1"/>
      <c r="RF348" s="1"/>
      <c r="RG348" s="1"/>
      <c r="RH348" s="1"/>
      <c r="RI348" s="1"/>
      <c r="RJ348" s="1"/>
      <c r="RK348" s="1"/>
      <c r="RL348" s="1"/>
      <c r="RM348" s="1"/>
      <c r="RN348" s="1"/>
      <c r="RO348" s="1"/>
      <c r="RP348" s="1"/>
      <c r="RQ348" s="1"/>
      <c r="RR348" s="1"/>
      <c r="RS348" s="1"/>
      <c r="RT348" s="1"/>
      <c r="RU348" s="1"/>
      <c r="RV348" s="1"/>
      <c r="RW348" s="1"/>
      <c r="RX348" s="1"/>
      <c r="RY348" s="1"/>
      <c r="RZ348" s="1"/>
      <c r="SA348" s="1"/>
      <c r="SB348" s="1"/>
      <c r="SC348" s="1"/>
      <c r="SD348" s="1"/>
      <c r="SE348" s="1"/>
      <c r="SF348" s="1"/>
      <c r="SG348" s="1"/>
      <c r="SH348" s="1"/>
      <c r="SI348" s="1"/>
      <c r="SJ348" s="1"/>
      <c r="SK348" s="1"/>
      <c r="SL348" s="1"/>
      <c r="SM348" s="1"/>
      <c r="SN348" s="1"/>
      <c r="SO348" s="1"/>
      <c r="SP348" s="1"/>
      <c r="SQ348" s="1"/>
      <c r="SR348" s="1"/>
      <c r="SS348" s="1"/>
      <c r="ST348" s="1"/>
      <c r="SU348" s="1"/>
      <c r="SV348" s="1"/>
      <c r="SW348" s="1"/>
      <c r="SX348" s="1"/>
      <c r="SY348" s="1"/>
      <c r="SZ348" s="1"/>
      <c r="TA348" s="1"/>
      <c r="TB348" s="1"/>
      <c r="TC348" s="1"/>
      <c r="TD348" s="1"/>
      <c r="TE348" s="1"/>
      <c r="TF348" s="1"/>
      <c r="TG348" s="1"/>
      <c r="TH348" s="1"/>
      <c r="TI348" s="1"/>
      <c r="TJ348" s="1"/>
      <c r="TK348" s="1"/>
      <c r="TL348" s="1"/>
      <c r="TM348" s="1"/>
      <c r="TN348" s="1"/>
      <c r="TO348" s="1"/>
      <c r="TP348" s="1"/>
      <c r="TQ348" s="1"/>
      <c r="TR348" s="1"/>
      <c r="TS348" s="1"/>
      <c r="TT348" s="1"/>
      <c r="TU348" s="1"/>
      <c r="TV348" s="1"/>
      <c r="TW348" s="1"/>
      <c r="TX348" s="1"/>
      <c r="TY348" s="1"/>
      <c r="TZ348" s="1"/>
      <c r="UA348" s="1"/>
      <c r="UB348" s="1"/>
      <c r="UC348" s="1"/>
      <c r="UD348" s="1"/>
      <c r="UE348" s="1"/>
      <c r="UF348" s="1"/>
      <c r="UG348" s="1"/>
      <c r="UH348" s="1"/>
      <c r="UI348" s="1"/>
    </row>
    <row r="349" spans="1:555" ht="90" customHeight="1">
      <c r="A349" s="296">
        <v>487</v>
      </c>
      <c r="B349" s="297" t="s">
        <v>4673</v>
      </c>
      <c r="C349" s="298">
        <v>91219116</v>
      </c>
      <c r="D349" s="354" t="s">
        <v>67</v>
      </c>
      <c r="E349" s="299">
        <v>42801</v>
      </c>
      <c r="F349" s="300">
        <v>42795</v>
      </c>
      <c r="G349" s="301" t="s">
        <v>271</v>
      </c>
      <c r="H349" s="297" t="s">
        <v>63</v>
      </c>
      <c r="I349" s="297" t="s">
        <v>101</v>
      </c>
      <c r="J349" s="299"/>
      <c r="K349" s="300"/>
      <c r="L349" s="301"/>
      <c r="M349" s="297"/>
      <c r="N349" s="297"/>
      <c r="O349" s="299"/>
      <c r="P349" s="302"/>
      <c r="Q349" s="301"/>
      <c r="R349" s="297"/>
      <c r="S349" s="297"/>
      <c r="T349" s="299"/>
      <c r="U349" s="300"/>
      <c r="V349" s="301"/>
      <c r="W349" s="297"/>
      <c r="X349" s="297"/>
      <c r="Y349" s="299"/>
      <c r="Z349" s="300"/>
      <c r="AA349" s="301"/>
      <c r="AB349" s="297"/>
      <c r="AC349" s="297"/>
      <c r="AD349" s="299"/>
      <c r="AE349" s="300"/>
      <c r="AF349" s="301"/>
      <c r="AG349" s="297"/>
      <c r="AH349" s="297"/>
      <c r="AI349" s="322"/>
      <c r="AJ349" s="300"/>
      <c r="AK349" s="301"/>
      <c r="AL349" s="297"/>
      <c r="AM349" s="297"/>
      <c r="AN349" s="297"/>
      <c r="AO349" s="473"/>
      <c r="AP349" s="297"/>
      <c r="AQ349" s="301" t="s">
        <v>7890</v>
      </c>
      <c r="AR349" s="297" t="s">
        <v>66</v>
      </c>
      <c r="AS349" s="299" t="s">
        <v>67</v>
      </c>
      <c r="AT349" s="299" t="s">
        <v>67</v>
      </c>
      <c r="AU349" s="297" t="s">
        <v>3827</v>
      </c>
      <c r="AV349" s="297"/>
      <c r="AW349" s="297" t="s">
        <v>69</v>
      </c>
      <c r="AX349" s="297" t="s">
        <v>7858</v>
      </c>
      <c r="AY349" s="299">
        <v>42794</v>
      </c>
      <c r="AZ349" s="297" t="s">
        <v>67</v>
      </c>
      <c r="BA349" s="299" t="s">
        <v>67</v>
      </c>
      <c r="BB349" s="382">
        <v>42800</v>
      </c>
      <c r="BC349" s="297" t="s">
        <v>3829</v>
      </c>
      <c r="BD349" s="297" t="s">
        <v>6447</v>
      </c>
      <c r="BE349" s="297"/>
      <c r="BF349" s="301"/>
      <c r="BG349" s="301" t="s">
        <v>67</v>
      </c>
      <c r="BH349" s="301" t="s">
        <v>4674</v>
      </c>
      <c r="BI349" s="301" t="s">
        <v>4369</v>
      </c>
      <c r="BJ349" s="312">
        <v>2372494</v>
      </c>
      <c r="BK349" s="312">
        <v>2372494</v>
      </c>
      <c r="BL349" s="313">
        <v>80463517</v>
      </c>
      <c r="BM349" s="299">
        <v>42831</v>
      </c>
      <c r="BN349" s="300">
        <v>42826</v>
      </c>
      <c r="BO349" s="434" t="s">
        <v>4675</v>
      </c>
      <c r="BP349" s="397"/>
      <c r="BQ349" s="398"/>
      <c r="BR349" s="320"/>
      <c r="BS349" s="301"/>
      <c r="BT349" s="301"/>
      <c r="BU349" s="301"/>
      <c r="BV349" s="301"/>
      <c r="BW349" s="316"/>
      <c r="BX349" s="304"/>
      <c r="BY349" s="299"/>
      <c r="BZ349" s="317"/>
    </row>
    <row r="350" spans="1:555" ht="98.25" customHeight="1">
      <c r="A350" s="296">
        <v>488</v>
      </c>
      <c r="B350" s="297" t="s">
        <v>4676</v>
      </c>
      <c r="C350" s="298">
        <v>79379302</v>
      </c>
      <c r="D350" s="354" t="s">
        <v>67</v>
      </c>
      <c r="E350" s="299">
        <v>42803</v>
      </c>
      <c r="F350" s="300">
        <v>42795</v>
      </c>
      <c r="G350" s="301" t="s">
        <v>271</v>
      </c>
      <c r="H350" s="297" t="s">
        <v>63</v>
      </c>
      <c r="I350" s="297" t="s">
        <v>101</v>
      </c>
      <c r="J350" s="299"/>
      <c r="K350" s="300"/>
      <c r="L350" s="301"/>
      <c r="M350" s="297"/>
      <c r="N350" s="297"/>
      <c r="O350" s="299"/>
      <c r="P350" s="302"/>
      <c r="Q350" s="301"/>
      <c r="R350" s="297"/>
      <c r="S350" s="297"/>
      <c r="T350" s="299"/>
      <c r="U350" s="300"/>
      <c r="V350" s="301"/>
      <c r="W350" s="297"/>
      <c r="X350" s="297"/>
      <c r="Y350" s="299"/>
      <c r="Z350" s="300"/>
      <c r="AA350" s="301"/>
      <c r="AB350" s="297"/>
      <c r="AC350" s="297"/>
      <c r="AD350" s="299"/>
      <c r="AE350" s="300"/>
      <c r="AF350" s="301"/>
      <c r="AG350" s="297"/>
      <c r="AH350" s="297"/>
      <c r="AI350" s="322"/>
      <c r="AJ350" s="300"/>
      <c r="AK350" s="301"/>
      <c r="AL350" s="297"/>
      <c r="AM350" s="297"/>
      <c r="AN350" s="297"/>
      <c r="AO350" s="473"/>
      <c r="AP350" s="297"/>
      <c r="AQ350" s="301" t="s">
        <v>7847</v>
      </c>
      <c r="AR350" s="297" t="s">
        <v>66</v>
      </c>
      <c r="AS350" s="299" t="s">
        <v>67</v>
      </c>
      <c r="AT350" s="299" t="s">
        <v>67</v>
      </c>
      <c r="AU350" s="297" t="s">
        <v>3827</v>
      </c>
      <c r="AV350" s="297"/>
      <c r="AW350" s="297" t="s">
        <v>69</v>
      </c>
      <c r="AX350" s="297" t="s">
        <v>7611</v>
      </c>
      <c r="AY350" s="299">
        <v>42775</v>
      </c>
      <c r="AZ350" s="297" t="s">
        <v>67</v>
      </c>
      <c r="BA350" s="299" t="s">
        <v>67</v>
      </c>
      <c r="BB350" s="382">
        <v>42788</v>
      </c>
      <c r="BC350" s="297" t="s">
        <v>3829</v>
      </c>
      <c r="BD350" s="297" t="s">
        <v>6447</v>
      </c>
      <c r="BE350" s="297"/>
      <c r="BF350" s="301"/>
      <c r="BG350" s="301" t="s">
        <v>67</v>
      </c>
      <c r="BH350" s="301" t="s">
        <v>4677</v>
      </c>
      <c r="BI350" s="301" t="s">
        <v>4369</v>
      </c>
      <c r="BJ350" s="312">
        <v>2779206</v>
      </c>
      <c r="BK350" s="312">
        <v>2779206</v>
      </c>
      <c r="BL350" s="313">
        <v>80423917</v>
      </c>
      <c r="BM350" s="299">
        <v>42831</v>
      </c>
      <c r="BN350" s="300">
        <v>42826</v>
      </c>
      <c r="BO350" s="434" t="s">
        <v>4678</v>
      </c>
      <c r="BP350" s="397"/>
      <c r="BQ350" s="398"/>
      <c r="BR350" s="320"/>
      <c r="BS350" s="301"/>
      <c r="BT350" s="301"/>
      <c r="BU350" s="301"/>
      <c r="BV350" s="301"/>
      <c r="BW350" s="316"/>
      <c r="BX350" s="304"/>
      <c r="BY350" s="299"/>
      <c r="BZ350" s="317"/>
    </row>
    <row r="351" spans="1:555" ht="72.75" customHeight="1">
      <c r="A351" s="296">
        <v>489</v>
      </c>
      <c r="B351" s="297" t="s">
        <v>4679</v>
      </c>
      <c r="C351" s="298">
        <v>71971982</v>
      </c>
      <c r="D351" s="354" t="s">
        <v>67</v>
      </c>
      <c r="E351" s="299">
        <v>42808</v>
      </c>
      <c r="F351" s="300">
        <v>42795</v>
      </c>
      <c r="G351" s="301" t="s">
        <v>271</v>
      </c>
      <c r="H351" s="297" t="s">
        <v>1480</v>
      </c>
      <c r="I351" s="297" t="s">
        <v>579</v>
      </c>
      <c r="J351" s="305">
        <v>43438</v>
      </c>
      <c r="K351" s="300">
        <v>43438</v>
      </c>
      <c r="L351" s="315" t="s">
        <v>7988</v>
      </c>
      <c r="M351" s="315" t="s">
        <v>503</v>
      </c>
      <c r="N351" s="315" t="s">
        <v>1302</v>
      </c>
      <c r="O351" s="299"/>
      <c r="P351" s="302"/>
      <c r="Q351" s="301"/>
      <c r="R351" s="297"/>
      <c r="S351" s="297"/>
      <c r="T351" s="299"/>
      <c r="U351" s="300"/>
      <c r="V351" s="301"/>
      <c r="W351" s="297"/>
      <c r="X351" s="297"/>
      <c r="Y351" s="299"/>
      <c r="Z351" s="300"/>
      <c r="AA351" s="301"/>
      <c r="AB351" s="297"/>
      <c r="AC351" s="297"/>
      <c r="AD351" s="299"/>
      <c r="AE351" s="300"/>
      <c r="AF351" s="301"/>
      <c r="AG351" s="297"/>
      <c r="AH351" s="297"/>
      <c r="AI351" s="322"/>
      <c r="AJ351" s="300"/>
      <c r="AK351" s="301"/>
      <c r="AL351" s="297"/>
      <c r="AM351" s="297"/>
      <c r="AN351" s="297"/>
      <c r="AO351" s="473"/>
      <c r="AP351" s="297"/>
      <c r="AQ351" s="301" t="s">
        <v>7803</v>
      </c>
      <c r="AR351" s="297" t="s">
        <v>66</v>
      </c>
      <c r="AS351" s="299" t="s">
        <v>67</v>
      </c>
      <c r="AT351" s="299" t="s">
        <v>67</v>
      </c>
      <c r="AU351" s="297" t="s">
        <v>3827</v>
      </c>
      <c r="AV351" s="297"/>
      <c r="AW351" s="297" t="s">
        <v>69</v>
      </c>
      <c r="AX351" s="297" t="s">
        <v>7804</v>
      </c>
      <c r="AY351" s="299">
        <v>43119</v>
      </c>
      <c r="AZ351" s="297" t="s">
        <v>67</v>
      </c>
      <c r="BA351" s="299" t="s">
        <v>67</v>
      </c>
      <c r="BB351" s="382" t="s">
        <v>4680</v>
      </c>
      <c r="BC351" s="297" t="s">
        <v>3829</v>
      </c>
      <c r="BD351" s="297" t="s">
        <v>6447</v>
      </c>
      <c r="BE351" s="297"/>
      <c r="BF351" s="301"/>
      <c r="BG351" s="301"/>
      <c r="BH351" s="301" t="s">
        <v>4681</v>
      </c>
      <c r="BI351" s="301"/>
      <c r="BJ351" s="312">
        <v>2372493</v>
      </c>
      <c r="BK351" s="312">
        <v>2372493</v>
      </c>
      <c r="BL351" s="313">
        <v>163306918</v>
      </c>
      <c r="BM351" s="299">
        <v>43251</v>
      </c>
      <c r="BN351" s="300">
        <v>43221</v>
      </c>
      <c r="BO351" s="434" t="s">
        <v>7805</v>
      </c>
      <c r="BP351" s="390"/>
      <c r="BQ351" s="297"/>
      <c r="BR351" s="303"/>
      <c r="BS351" s="301"/>
      <c r="BT351" s="301"/>
      <c r="BU351" s="301"/>
      <c r="BV351" s="301"/>
      <c r="BW351" s="316"/>
      <c r="BX351" s="304"/>
      <c r="BY351" s="299"/>
      <c r="BZ351" s="317"/>
    </row>
    <row r="352" spans="1:555" ht="55.5" customHeight="1">
      <c r="A352" s="296">
        <v>492</v>
      </c>
      <c r="B352" s="297" t="s">
        <v>4693</v>
      </c>
      <c r="C352" s="298">
        <v>79720047</v>
      </c>
      <c r="D352" s="354" t="s">
        <v>67</v>
      </c>
      <c r="E352" s="299">
        <v>42810</v>
      </c>
      <c r="F352" s="300">
        <v>42795</v>
      </c>
      <c r="G352" s="301" t="s">
        <v>271</v>
      </c>
      <c r="H352" s="297" t="s">
        <v>63</v>
      </c>
      <c r="I352" s="297" t="s">
        <v>101</v>
      </c>
      <c r="J352" s="299"/>
      <c r="K352" s="300"/>
      <c r="L352" s="301"/>
      <c r="M352" s="297"/>
      <c r="N352" s="297"/>
      <c r="O352" s="299"/>
      <c r="P352" s="302"/>
      <c r="Q352" s="301"/>
      <c r="R352" s="297"/>
      <c r="S352" s="297"/>
      <c r="T352" s="299"/>
      <c r="U352" s="300"/>
      <c r="V352" s="301"/>
      <c r="W352" s="297"/>
      <c r="X352" s="297"/>
      <c r="Y352" s="299"/>
      <c r="Z352" s="300"/>
      <c r="AA352" s="301"/>
      <c r="AB352" s="297"/>
      <c r="AC352" s="297"/>
      <c r="AD352" s="299"/>
      <c r="AE352" s="300"/>
      <c r="AF352" s="301"/>
      <c r="AG352" s="297"/>
      <c r="AH352" s="297"/>
      <c r="AI352" s="322"/>
      <c r="AJ352" s="300"/>
      <c r="AK352" s="301"/>
      <c r="AL352" s="297"/>
      <c r="AM352" s="297"/>
      <c r="AN352" s="297"/>
      <c r="AO352" s="473"/>
      <c r="AP352" s="297"/>
      <c r="AQ352" s="301" t="s">
        <v>7612</v>
      </c>
      <c r="AR352" s="297" t="s">
        <v>66</v>
      </c>
      <c r="AS352" s="299" t="s">
        <v>67</v>
      </c>
      <c r="AT352" s="299" t="s">
        <v>67</v>
      </c>
      <c r="AU352" s="297" t="s">
        <v>3827</v>
      </c>
      <c r="AV352" s="297"/>
      <c r="AW352" s="297" t="s">
        <v>69</v>
      </c>
      <c r="AX352" s="297" t="s">
        <v>7613</v>
      </c>
      <c r="AY352" s="299">
        <v>42716</v>
      </c>
      <c r="AZ352" s="297" t="s">
        <v>67</v>
      </c>
      <c r="BA352" s="299" t="s">
        <v>67</v>
      </c>
      <c r="BB352" s="382">
        <v>42745</v>
      </c>
      <c r="BC352" s="297" t="s">
        <v>3829</v>
      </c>
      <c r="BD352" s="297" t="s">
        <v>6447</v>
      </c>
      <c r="BE352" s="297"/>
      <c r="BF352" s="301"/>
      <c r="BG352" s="301" t="s">
        <v>67</v>
      </c>
      <c r="BH352" s="301" t="s">
        <v>4694</v>
      </c>
      <c r="BI352" s="301" t="s">
        <v>4369</v>
      </c>
      <c r="BJ352" s="312">
        <v>505699</v>
      </c>
      <c r="BK352" s="312">
        <v>505699</v>
      </c>
      <c r="BL352" s="313">
        <v>80410017</v>
      </c>
      <c r="BM352" s="299">
        <v>42831</v>
      </c>
      <c r="BN352" s="300">
        <v>42826</v>
      </c>
      <c r="BO352" s="434" t="s">
        <v>4695</v>
      </c>
      <c r="BP352" s="397"/>
      <c r="BQ352" s="398"/>
      <c r="BR352" s="320"/>
      <c r="BS352" s="301"/>
      <c r="BT352" s="301"/>
      <c r="BU352" s="301"/>
      <c r="BV352" s="301"/>
      <c r="BW352" s="316"/>
      <c r="BX352" s="304"/>
      <c r="BY352" s="299"/>
      <c r="BZ352" s="317"/>
    </row>
    <row r="353" spans="1:555" ht="108" customHeight="1">
      <c r="A353" s="296">
        <v>493</v>
      </c>
      <c r="B353" s="297" t="s">
        <v>4696</v>
      </c>
      <c r="C353" s="298">
        <v>18880146</v>
      </c>
      <c r="D353" s="354" t="s">
        <v>67</v>
      </c>
      <c r="E353" s="299">
        <v>42810</v>
      </c>
      <c r="F353" s="300">
        <v>42795</v>
      </c>
      <c r="G353" s="301" t="s">
        <v>271</v>
      </c>
      <c r="H353" s="297" t="s">
        <v>63</v>
      </c>
      <c r="I353" s="297" t="s">
        <v>101</v>
      </c>
      <c r="J353" s="299"/>
      <c r="K353" s="300"/>
      <c r="L353" s="301"/>
      <c r="M353" s="297"/>
      <c r="N353" s="297"/>
      <c r="O353" s="299"/>
      <c r="P353" s="302"/>
      <c r="Q353" s="301"/>
      <c r="R353" s="297"/>
      <c r="S353" s="297"/>
      <c r="T353" s="299"/>
      <c r="U353" s="300"/>
      <c r="V353" s="301"/>
      <c r="W353" s="297"/>
      <c r="X353" s="297"/>
      <c r="Y353" s="299"/>
      <c r="Z353" s="300"/>
      <c r="AA353" s="301"/>
      <c r="AB353" s="297"/>
      <c r="AC353" s="297"/>
      <c r="AD353" s="299"/>
      <c r="AE353" s="300"/>
      <c r="AF353" s="301"/>
      <c r="AG353" s="297"/>
      <c r="AH353" s="297"/>
      <c r="AI353" s="322"/>
      <c r="AJ353" s="300"/>
      <c r="AK353" s="301"/>
      <c r="AL353" s="297"/>
      <c r="AM353" s="297"/>
      <c r="AN353" s="297"/>
      <c r="AO353" s="473"/>
      <c r="AP353" s="297"/>
      <c r="AQ353" s="301" t="s">
        <v>7748</v>
      </c>
      <c r="AR353" s="297" t="s">
        <v>66</v>
      </c>
      <c r="AS353" s="299" t="s">
        <v>67</v>
      </c>
      <c r="AT353" s="299" t="s">
        <v>67</v>
      </c>
      <c r="AU353" s="297" t="s">
        <v>3827</v>
      </c>
      <c r="AV353" s="297"/>
      <c r="AW353" s="297" t="s">
        <v>69</v>
      </c>
      <c r="AX353" s="297" t="s">
        <v>4346</v>
      </c>
      <c r="AY353" s="299">
        <v>42775</v>
      </c>
      <c r="AZ353" s="297" t="s">
        <v>67</v>
      </c>
      <c r="BA353" s="299" t="s">
        <v>67</v>
      </c>
      <c r="BB353" s="382">
        <v>42781</v>
      </c>
      <c r="BC353" s="297" t="s">
        <v>3829</v>
      </c>
      <c r="BD353" s="297" t="s">
        <v>6447</v>
      </c>
      <c r="BE353" s="297"/>
      <c r="BF353" s="301"/>
      <c r="BG353" s="301" t="s">
        <v>67</v>
      </c>
      <c r="BH353" s="301" t="s">
        <v>4697</v>
      </c>
      <c r="BI353" s="301" t="s">
        <v>1007</v>
      </c>
      <c r="BJ353" s="312">
        <v>1574196</v>
      </c>
      <c r="BK353" s="312">
        <v>1574196</v>
      </c>
      <c r="BL353" s="313">
        <v>80839817</v>
      </c>
      <c r="BM353" s="299">
        <v>42831</v>
      </c>
      <c r="BN353" s="300">
        <v>42826</v>
      </c>
      <c r="BO353" s="434" t="s">
        <v>4698</v>
      </c>
      <c r="BP353" s="397"/>
      <c r="BQ353" s="398"/>
      <c r="BR353" s="320"/>
      <c r="BS353" s="301"/>
      <c r="BT353" s="301"/>
      <c r="BU353" s="301"/>
      <c r="BV353" s="301"/>
      <c r="BW353" s="316"/>
      <c r="BX353" s="304"/>
      <c r="BY353" s="299"/>
      <c r="BZ353" s="317"/>
    </row>
    <row r="354" spans="1:555" ht="102" customHeight="1">
      <c r="A354" s="296">
        <v>496</v>
      </c>
      <c r="B354" s="297" t="s">
        <v>4712</v>
      </c>
      <c r="C354" s="298">
        <v>79888090</v>
      </c>
      <c r="D354" s="354" t="s">
        <v>67</v>
      </c>
      <c r="E354" s="299">
        <v>42822</v>
      </c>
      <c r="F354" s="300">
        <v>42795</v>
      </c>
      <c r="G354" s="301" t="s">
        <v>271</v>
      </c>
      <c r="H354" s="297" t="s">
        <v>63</v>
      </c>
      <c r="I354" s="297" t="s">
        <v>101</v>
      </c>
      <c r="J354" s="299"/>
      <c r="K354" s="300"/>
      <c r="L354" s="301"/>
      <c r="M354" s="297"/>
      <c r="N354" s="297"/>
      <c r="O354" s="299"/>
      <c r="P354" s="302"/>
      <c r="Q354" s="301"/>
      <c r="R354" s="297"/>
      <c r="S354" s="297"/>
      <c r="T354" s="299"/>
      <c r="U354" s="300"/>
      <c r="V354" s="301"/>
      <c r="W354" s="297"/>
      <c r="X354" s="297"/>
      <c r="Y354" s="299"/>
      <c r="Z354" s="300"/>
      <c r="AA354" s="301"/>
      <c r="AB354" s="297"/>
      <c r="AC354" s="297"/>
      <c r="AD354" s="299"/>
      <c r="AE354" s="300"/>
      <c r="AF354" s="301"/>
      <c r="AG354" s="297"/>
      <c r="AH354" s="297"/>
      <c r="AI354" s="322"/>
      <c r="AJ354" s="300"/>
      <c r="AK354" s="301"/>
      <c r="AL354" s="297"/>
      <c r="AM354" s="297"/>
      <c r="AN354" s="297"/>
      <c r="AO354" s="473"/>
      <c r="AP354" s="297"/>
      <c r="AQ354" s="301" t="s">
        <v>7632</v>
      </c>
      <c r="AR354" s="297" t="s">
        <v>66</v>
      </c>
      <c r="AS354" s="299" t="s">
        <v>67</v>
      </c>
      <c r="AT354" s="299" t="s">
        <v>67</v>
      </c>
      <c r="AU354" s="297" t="s">
        <v>3827</v>
      </c>
      <c r="AV354" s="297"/>
      <c r="AW354" s="297" t="s">
        <v>69</v>
      </c>
      <c r="AX354" s="297" t="s">
        <v>7633</v>
      </c>
      <c r="AY354" s="299">
        <v>42823</v>
      </c>
      <c r="AZ354" s="297" t="s">
        <v>67</v>
      </c>
      <c r="BA354" s="299" t="s">
        <v>67</v>
      </c>
      <c r="BB354" s="382">
        <v>42828</v>
      </c>
      <c r="BC354" s="297" t="s">
        <v>3829</v>
      </c>
      <c r="BD354" s="297" t="s">
        <v>6447</v>
      </c>
      <c r="BE354" s="297"/>
      <c r="BF354" s="301"/>
      <c r="BG354" s="301" t="s">
        <v>67</v>
      </c>
      <c r="BH354" s="301" t="s">
        <v>4713</v>
      </c>
      <c r="BI354" s="301" t="s">
        <v>4714</v>
      </c>
      <c r="BJ354" s="312">
        <v>426328</v>
      </c>
      <c r="BK354" s="312">
        <v>426328</v>
      </c>
      <c r="BL354" s="313">
        <v>85636817</v>
      </c>
      <c r="BM354" s="299">
        <v>42836</v>
      </c>
      <c r="BN354" s="300">
        <v>42826</v>
      </c>
      <c r="BO354" s="434" t="s">
        <v>4715</v>
      </c>
      <c r="BP354" s="397"/>
      <c r="BQ354" s="455"/>
      <c r="BR354" s="456"/>
      <c r="BS354" s="301"/>
      <c r="BT354" s="301"/>
      <c r="BU354" s="301"/>
      <c r="BV354" s="301"/>
      <c r="BW354" s="316"/>
      <c r="BX354" s="304"/>
      <c r="BY354" s="299"/>
      <c r="BZ354" s="317"/>
    </row>
    <row r="355" spans="1:555" s="259" customFormat="1" ht="90.75" customHeight="1">
      <c r="A355" s="296">
        <v>497</v>
      </c>
      <c r="B355" s="297" t="s">
        <v>4716</v>
      </c>
      <c r="C355" s="298">
        <v>79352276</v>
      </c>
      <c r="D355" s="354" t="s">
        <v>67</v>
      </c>
      <c r="E355" s="299">
        <v>42822</v>
      </c>
      <c r="F355" s="300">
        <v>42795</v>
      </c>
      <c r="G355" s="301" t="s">
        <v>271</v>
      </c>
      <c r="H355" s="297" t="s">
        <v>63</v>
      </c>
      <c r="I355" s="297" t="s">
        <v>101</v>
      </c>
      <c r="J355" s="299"/>
      <c r="K355" s="300"/>
      <c r="L355" s="301"/>
      <c r="M355" s="297"/>
      <c r="N355" s="297"/>
      <c r="O355" s="299"/>
      <c r="P355" s="302"/>
      <c r="Q355" s="301"/>
      <c r="R355" s="297"/>
      <c r="S355" s="297"/>
      <c r="T355" s="299"/>
      <c r="U355" s="300"/>
      <c r="V355" s="301"/>
      <c r="W355" s="297"/>
      <c r="X355" s="297"/>
      <c r="Y355" s="299"/>
      <c r="Z355" s="300"/>
      <c r="AA355" s="301"/>
      <c r="AB355" s="297"/>
      <c r="AC355" s="297"/>
      <c r="AD355" s="299"/>
      <c r="AE355" s="300"/>
      <c r="AF355" s="301"/>
      <c r="AG355" s="297"/>
      <c r="AH355" s="297"/>
      <c r="AI355" s="322"/>
      <c r="AJ355" s="300"/>
      <c r="AK355" s="301"/>
      <c r="AL355" s="297"/>
      <c r="AM355" s="297"/>
      <c r="AN355" s="297"/>
      <c r="AO355" s="473"/>
      <c r="AP355" s="297"/>
      <c r="AQ355" s="301" t="s">
        <v>7904</v>
      </c>
      <c r="AR355" s="297" t="s">
        <v>66</v>
      </c>
      <c r="AS355" s="299" t="s">
        <v>67</v>
      </c>
      <c r="AT355" s="299" t="s">
        <v>67</v>
      </c>
      <c r="AU355" s="297" t="s">
        <v>3827</v>
      </c>
      <c r="AV355" s="297"/>
      <c r="AW355" s="297" t="s">
        <v>69</v>
      </c>
      <c r="AX355" s="297" t="s">
        <v>7596</v>
      </c>
      <c r="AY355" s="299">
        <v>42810</v>
      </c>
      <c r="AZ355" s="297" t="s">
        <v>67</v>
      </c>
      <c r="BA355" s="299" t="s">
        <v>67</v>
      </c>
      <c r="BB355" s="382">
        <v>42817</v>
      </c>
      <c r="BC355" s="297" t="s">
        <v>3829</v>
      </c>
      <c r="BD355" s="297" t="s">
        <v>6447</v>
      </c>
      <c r="BE355" s="297"/>
      <c r="BF355" s="301"/>
      <c r="BG355" s="301" t="s">
        <v>67</v>
      </c>
      <c r="BH355" s="301" t="s">
        <v>4717</v>
      </c>
      <c r="BI355" s="301" t="s">
        <v>4714</v>
      </c>
      <c r="BJ355" s="312">
        <v>668070</v>
      </c>
      <c r="BK355" s="312">
        <v>668070</v>
      </c>
      <c r="BL355" s="313">
        <v>85633117</v>
      </c>
      <c r="BM355" s="299">
        <v>42836</v>
      </c>
      <c r="BN355" s="300">
        <v>42826</v>
      </c>
      <c r="BO355" s="434" t="s">
        <v>4718</v>
      </c>
      <c r="BP355" s="397"/>
      <c r="BQ355" s="455"/>
      <c r="BR355" s="456"/>
      <c r="BS355" s="301"/>
      <c r="BT355" s="301"/>
      <c r="BU355" s="301"/>
      <c r="BV355" s="301"/>
      <c r="BW355" s="316"/>
      <c r="BX355" s="304"/>
      <c r="BY355" s="299"/>
      <c r="BZ355" s="317"/>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c r="JC355" s="1"/>
      <c r="JD355" s="1"/>
      <c r="JE355" s="1"/>
      <c r="JF355" s="1"/>
      <c r="JG355" s="1"/>
      <c r="JH355" s="1"/>
      <c r="JI355" s="1"/>
      <c r="JJ355" s="1"/>
      <c r="JK355" s="1"/>
      <c r="JL355" s="1"/>
      <c r="JM355" s="1"/>
      <c r="JN355" s="1"/>
      <c r="JO355" s="1"/>
      <c r="JP355" s="1"/>
      <c r="JQ355" s="1"/>
      <c r="JR355" s="1"/>
      <c r="JS355" s="1"/>
      <c r="JT355" s="1"/>
      <c r="JU355" s="1"/>
      <c r="JV355" s="1"/>
      <c r="JW355" s="1"/>
      <c r="JX355" s="1"/>
      <c r="JY355" s="1"/>
      <c r="JZ355" s="1"/>
      <c r="KA355" s="1"/>
      <c r="KB355" s="1"/>
      <c r="KC355" s="1"/>
      <c r="KD355" s="1"/>
      <c r="KE355" s="1"/>
      <c r="KF355" s="1"/>
      <c r="KG355" s="1"/>
      <c r="KH355" s="1"/>
      <c r="KI355" s="1"/>
      <c r="KJ355" s="1"/>
      <c r="KK355" s="1"/>
      <c r="KL355" s="1"/>
      <c r="KM355" s="1"/>
      <c r="KN355" s="1"/>
      <c r="KO355" s="1"/>
      <c r="KP355" s="1"/>
      <c r="KQ355" s="1"/>
      <c r="KR355" s="1"/>
      <c r="KS355" s="1"/>
      <c r="KT355" s="1"/>
      <c r="KU355" s="1"/>
      <c r="KV355" s="1"/>
      <c r="KW355" s="1"/>
      <c r="KX355" s="1"/>
      <c r="KY355" s="1"/>
      <c r="KZ355" s="1"/>
      <c r="LA355" s="1"/>
      <c r="LB355" s="1"/>
      <c r="LC355" s="1"/>
      <c r="LD355" s="1"/>
      <c r="LE355" s="1"/>
      <c r="LF355" s="1"/>
      <c r="LG355" s="1"/>
      <c r="LH355" s="1"/>
      <c r="LI355" s="1"/>
      <c r="LJ355" s="1"/>
      <c r="LK355" s="1"/>
      <c r="LL355" s="1"/>
      <c r="LM355" s="1"/>
      <c r="LN355" s="1"/>
      <c r="LO355" s="1"/>
      <c r="LP355" s="1"/>
      <c r="LQ355" s="1"/>
      <c r="LR355" s="1"/>
      <c r="LS355" s="1"/>
      <c r="LT355" s="1"/>
      <c r="LU355" s="1"/>
      <c r="LV355" s="1"/>
      <c r="LW355" s="1"/>
      <c r="LX355" s="1"/>
      <c r="LY355" s="1"/>
      <c r="LZ355" s="1"/>
      <c r="MA355" s="1"/>
      <c r="MB355" s="1"/>
      <c r="MC355" s="1"/>
      <c r="MD355" s="1"/>
      <c r="ME355" s="1"/>
      <c r="MF355" s="1"/>
      <c r="MG355" s="1"/>
      <c r="MH355" s="1"/>
      <c r="MI355" s="1"/>
      <c r="MJ355" s="1"/>
      <c r="MK355" s="1"/>
      <c r="ML355" s="1"/>
      <c r="MM355" s="1"/>
      <c r="MN355" s="1"/>
      <c r="MO355" s="1"/>
      <c r="MP355" s="1"/>
      <c r="MQ355" s="1"/>
      <c r="MR355" s="1"/>
      <c r="MS355" s="1"/>
      <c r="MT355" s="1"/>
      <c r="MU355" s="1"/>
      <c r="MV355" s="1"/>
      <c r="MW355" s="1"/>
      <c r="MX355" s="1"/>
      <c r="MY355" s="1"/>
      <c r="MZ355" s="1"/>
      <c r="NA355" s="1"/>
      <c r="NB355" s="1"/>
      <c r="NC355" s="1"/>
      <c r="ND355" s="1"/>
      <c r="NE355" s="1"/>
      <c r="NF355" s="1"/>
      <c r="NG355" s="1"/>
      <c r="NH355" s="1"/>
      <c r="NI355" s="1"/>
      <c r="NJ355" s="1"/>
      <c r="NK355" s="1"/>
      <c r="NL355" s="1"/>
      <c r="NM355" s="1"/>
      <c r="NN355" s="1"/>
      <c r="NO355" s="1"/>
      <c r="NP355" s="1"/>
      <c r="NQ355" s="1"/>
      <c r="NR355" s="1"/>
      <c r="NS355" s="1"/>
      <c r="NT355" s="1"/>
      <c r="NU355" s="1"/>
      <c r="NV355" s="1"/>
      <c r="NW355" s="1"/>
      <c r="NX355" s="1"/>
      <c r="NY355" s="1"/>
      <c r="NZ355" s="1"/>
      <c r="OA355" s="1"/>
      <c r="OB355" s="1"/>
      <c r="OC355" s="1"/>
      <c r="OD355" s="1"/>
      <c r="OE355" s="1"/>
      <c r="OF355" s="1"/>
      <c r="OG355" s="1"/>
      <c r="OH355" s="1"/>
      <c r="OI355" s="1"/>
      <c r="OJ355" s="1"/>
      <c r="OK355" s="1"/>
      <c r="OL355" s="1"/>
      <c r="OM355" s="1"/>
      <c r="ON355" s="1"/>
      <c r="OO355" s="1"/>
      <c r="OP355" s="1"/>
      <c r="OQ355" s="1"/>
      <c r="OR355" s="1"/>
      <c r="OS355" s="1"/>
      <c r="OT355" s="1"/>
      <c r="OU355" s="1"/>
      <c r="OV355" s="1"/>
      <c r="OW355" s="1"/>
      <c r="OX355" s="1"/>
      <c r="OY355" s="1"/>
      <c r="OZ355" s="1"/>
      <c r="PA355" s="1"/>
      <c r="PB355" s="1"/>
      <c r="PC355" s="1"/>
      <c r="PD355" s="1"/>
      <c r="PE355" s="1"/>
      <c r="PF355" s="1"/>
      <c r="PG355" s="1"/>
      <c r="PH355" s="1"/>
      <c r="PI355" s="1"/>
      <c r="PJ355" s="1"/>
      <c r="PK355" s="1"/>
      <c r="PL355" s="1"/>
      <c r="PM355" s="1"/>
      <c r="PN355" s="1"/>
      <c r="PO355" s="1"/>
      <c r="PP355" s="1"/>
      <c r="PQ355" s="1"/>
      <c r="PR355" s="1"/>
      <c r="PS355" s="1"/>
      <c r="PT355" s="1"/>
      <c r="PU355" s="1"/>
      <c r="PV355" s="1"/>
      <c r="PW355" s="1"/>
      <c r="PX355" s="1"/>
      <c r="PY355" s="1"/>
      <c r="PZ355" s="1"/>
      <c r="QA355" s="1"/>
      <c r="QB355" s="1"/>
      <c r="QC355" s="1"/>
      <c r="QD355" s="1"/>
      <c r="QE355" s="1"/>
      <c r="QF355" s="1"/>
      <c r="QG355" s="1"/>
      <c r="QH355" s="1"/>
      <c r="QI355" s="1"/>
      <c r="QJ355" s="1"/>
      <c r="QK355" s="1"/>
      <c r="QL355" s="1"/>
      <c r="QM355" s="1"/>
      <c r="QN355" s="1"/>
      <c r="QO355" s="1"/>
      <c r="QP355" s="1"/>
      <c r="QQ355" s="1"/>
      <c r="QR355" s="1"/>
      <c r="QS355" s="1"/>
      <c r="QT355" s="1"/>
      <c r="QU355" s="1"/>
      <c r="QV355" s="1"/>
      <c r="QW355" s="1"/>
      <c r="QX355" s="1"/>
      <c r="QY355" s="1"/>
      <c r="QZ355" s="1"/>
      <c r="RA355" s="1"/>
      <c r="RB355" s="1"/>
      <c r="RC355" s="1"/>
      <c r="RD355" s="1"/>
      <c r="RE355" s="1"/>
      <c r="RF355" s="1"/>
      <c r="RG355" s="1"/>
      <c r="RH355" s="1"/>
      <c r="RI355" s="1"/>
      <c r="RJ355" s="1"/>
      <c r="RK355" s="1"/>
      <c r="RL355" s="1"/>
      <c r="RM355" s="1"/>
      <c r="RN355" s="1"/>
      <c r="RO355" s="1"/>
      <c r="RP355" s="1"/>
      <c r="RQ355" s="1"/>
      <c r="RR355" s="1"/>
      <c r="RS355" s="1"/>
      <c r="RT355" s="1"/>
      <c r="RU355" s="1"/>
      <c r="RV355" s="1"/>
      <c r="RW355" s="1"/>
      <c r="RX355" s="1"/>
      <c r="RY355" s="1"/>
      <c r="RZ355" s="1"/>
      <c r="SA355" s="1"/>
      <c r="SB355" s="1"/>
      <c r="SC355" s="1"/>
      <c r="SD355" s="1"/>
      <c r="SE355" s="1"/>
      <c r="SF355" s="1"/>
      <c r="SG355" s="1"/>
      <c r="SH355" s="1"/>
      <c r="SI355" s="1"/>
      <c r="SJ355" s="1"/>
      <c r="SK355" s="1"/>
      <c r="SL355" s="1"/>
      <c r="SM355" s="1"/>
      <c r="SN355" s="1"/>
      <c r="SO355" s="1"/>
      <c r="SP355" s="1"/>
      <c r="SQ355" s="1"/>
      <c r="SR355" s="1"/>
      <c r="SS355" s="1"/>
      <c r="ST355" s="1"/>
      <c r="SU355" s="1"/>
      <c r="SV355" s="1"/>
      <c r="SW355" s="1"/>
      <c r="SX355" s="1"/>
      <c r="SY355" s="1"/>
      <c r="SZ355" s="1"/>
      <c r="TA355" s="1"/>
      <c r="TB355" s="1"/>
      <c r="TC355" s="1"/>
      <c r="TD355" s="1"/>
      <c r="TE355" s="1"/>
      <c r="TF355" s="1"/>
      <c r="TG355" s="1"/>
      <c r="TH355" s="1"/>
      <c r="TI355" s="1"/>
      <c r="TJ355" s="1"/>
      <c r="TK355" s="1"/>
      <c r="TL355" s="1"/>
      <c r="TM355" s="1"/>
      <c r="TN355" s="1"/>
      <c r="TO355" s="1"/>
      <c r="TP355" s="1"/>
      <c r="TQ355" s="1"/>
      <c r="TR355" s="1"/>
      <c r="TS355" s="1"/>
      <c r="TT355" s="1"/>
      <c r="TU355" s="1"/>
      <c r="TV355" s="1"/>
      <c r="TW355" s="1"/>
      <c r="TX355" s="1"/>
      <c r="TY355" s="1"/>
      <c r="TZ355" s="1"/>
      <c r="UA355" s="1"/>
      <c r="UB355" s="1"/>
      <c r="UC355" s="1"/>
      <c r="UD355" s="1"/>
      <c r="UE355" s="1"/>
      <c r="UF355" s="1"/>
      <c r="UG355" s="1"/>
      <c r="UH355" s="1"/>
      <c r="UI355" s="1"/>
    </row>
    <row r="356" spans="1:555" ht="99.75" customHeight="1">
      <c r="A356" s="296">
        <v>501</v>
      </c>
      <c r="B356" s="297" t="s">
        <v>4738</v>
      </c>
      <c r="C356" s="298">
        <v>94314962</v>
      </c>
      <c r="D356" s="354" t="s">
        <v>747</v>
      </c>
      <c r="E356" s="299">
        <v>42822</v>
      </c>
      <c r="F356" s="300">
        <v>42795</v>
      </c>
      <c r="G356" s="301" t="s">
        <v>4739</v>
      </c>
      <c r="H356" s="297" t="s">
        <v>5</v>
      </c>
      <c r="I356" s="297" t="s">
        <v>79</v>
      </c>
      <c r="J356" s="299">
        <v>42891</v>
      </c>
      <c r="K356" s="300">
        <v>42887</v>
      </c>
      <c r="L356" s="301" t="s">
        <v>4740</v>
      </c>
      <c r="M356" s="297" t="s">
        <v>5</v>
      </c>
      <c r="N356" s="297" t="s">
        <v>336</v>
      </c>
      <c r="O356" s="299">
        <v>42962</v>
      </c>
      <c r="P356" s="302">
        <v>42948</v>
      </c>
      <c r="Q356" s="301" t="s">
        <v>4741</v>
      </c>
      <c r="R356" s="297" t="s">
        <v>5</v>
      </c>
      <c r="S356" s="297" t="s">
        <v>4742</v>
      </c>
      <c r="T356" s="299">
        <v>41935</v>
      </c>
      <c r="U356" s="300">
        <v>41913</v>
      </c>
      <c r="V356" s="301" t="s">
        <v>4743</v>
      </c>
      <c r="W356" s="297" t="s">
        <v>195</v>
      </c>
      <c r="X356" s="297" t="s">
        <v>4744</v>
      </c>
      <c r="Y356" s="299">
        <v>41943</v>
      </c>
      <c r="Z356" s="300">
        <v>41943</v>
      </c>
      <c r="AA356" s="301" t="s">
        <v>4745</v>
      </c>
      <c r="AB356" s="297" t="s">
        <v>198</v>
      </c>
      <c r="AC356" s="297" t="s">
        <v>4744</v>
      </c>
      <c r="AD356" s="305">
        <v>43298</v>
      </c>
      <c r="AE356" s="300">
        <v>43298</v>
      </c>
      <c r="AF356" s="315" t="s">
        <v>718</v>
      </c>
      <c r="AG356" s="315" t="s">
        <v>719</v>
      </c>
      <c r="AH356" s="315" t="s">
        <v>720</v>
      </c>
      <c r="AI356" s="322"/>
      <c r="AJ356" s="300"/>
      <c r="AK356" s="301"/>
      <c r="AL356" s="297"/>
      <c r="AM356" s="297"/>
      <c r="AN356" s="297" t="s">
        <v>4746</v>
      </c>
      <c r="AO356" s="473"/>
      <c r="AP356" s="297"/>
      <c r="AQ356" s="301" t="s">
        <v>4747</v>
      </c>
      <c r="AR356" s="297" t="s">
        <v>66</v>
      </c>
      <c r="AS356" s="299">
        <v>38412</v>
      </c>
      <c r="AT356" s="299">
        <v>39813</v>
      </c>
      <c r="AU356" s="297" t="s">
        <v>4748</v>
      </c>
      <c r="AV356" s="297"/>
      <c r="AW356" s="297" t="s">
        <v>92</v>
      </c>
      <c r="AX356" s="297" t="s">
        <v>4749</v>
      </c>
      <c r="AY356" s="299">
        <v>41038</v>
      </c>
      <c r="AZ356" s="297" t="s">
        <v>4750</v>
      </c>
      <c r="BA356" s="299">
        <v>42639</v>
      </c>
      <c r="BB356" s="382">
        <v>42781</v>
      </c>
      <c r="BC356" s="297" t="s">
        <v>95</v>
      </c>
      <c r="BD356" s="297" t="s">
        <v>566</v>
      </c>
      <c r="BE356" s="297"/>
      <c r="BF356" s="301" t="s">
        <v>4751</v>
      </c>
      <c r="BG356" s="301"/>
      <c r="BH356" s="301" t="s">
        <v>4752</v>
      </c>
      <c r="BI356" s="301"/>
      <c r="BJ356" s="312">
        <v>118187552</v>
      </c>
      <c r="BK356" s="312">
        <v>118187552</v>
      </c>
      <c r="BL356" s="313" t="s">
        <v>4753</v>
      </c>
      <c r="BM356" s="299">
        <v>43115</v>
      </c>
      <c r="BN356" s="300">
        <v>43101</v>
      </c>
      <c r="BO356" s="434" t="s">
        <v>4754</v>
      </c>
      <c r="BP356" s="397"/>
      <c r="BQ356" s="398"/>
      <c r="BR356" s="320"/>
      <c r="BS356" s="301"/>
      <c r="BT356" s="301"/>
      <c r="BU356" s="301"/>
      <c r="BV356" s="301"/>
      <c r="BW356" s="316"/>
      <c r="BX356" s="304"/>
      <c r="BY356" s="299"/>
      <c r="BZ356" s="317"/>
    </row>
    <row r="357" spans="1:555" ht="126.75" customHeight="1">
      <c r="A357" s="296">
        <v>505</v>
      </c>
      <c r="B357" s="297" t="s">
        <v>4781</v>
      </c>
      <c r="C357" s="298">
        <v>79350864</v>
      </c>
      <c r="D357" s="354" t="s">
        <v>67</v>
      </c>
      <c r="E357" s="299">
        <v>42828</v>
      </c>
      <c r="F357" s="300">
        <v>42826</v>
      </c>
      <c r="G357" s="301" t="s">
        <v>271</v>
      </c>
      <c r="H357" s="297" t="s">
        <v>63</v>
      </c>
      <c r="I357" s="297" t="s">
        <v>79</v>
      </c>
      <c r="J357" s="299"/>
      <c r="K357" s="300"/>
      <c r="L357" s="301"/>
      <c r="M357" s="297"/>
      <c r="N357" s="297"/>
      <c r="O357" s="299"/>
      <c r="P357" s="302"/>
      <c r="Q357" s="301"/>
      <c r="R357" s="297"/>
      <c r="S357" s="297"/>
      <c r="T357" s="299"/>
      <c r="U357" s="300"/>
      <c r="V357" s="301"/>
      <c r="W357" s="297"/>
      <c r="X357" s="297"/>
      <c r="Y357" s="299"/>
      <c r="Z357" s="300"/>
      <c r="AA357" s="301"/>
      <c r="AB357" s="297"/>
      <c r="AC357" s="297"/>
      <c r="AD357" s="299"/>
      <c r="AE357" s="300"/>
      <c r="AF357" s="301"/>
      <c r="AG357" s="297"/>
      <c r="AH357" s="297"/>
      <c r="AI357" s="322"/>
      <c r="AJ357" s="300"/>
      <c r="AK357" s="301"/>
      <c r="AL357" s="297"/>
      <c r="AM357" s="297"/>
      <c r="AN357" s="297"/>
      <c r="AO357" s="473"/>
      <c r="AP357" s="297"/>
      <c r="AQ357" s="301" t="s">
        <v>7893</v>
      </c>
      <c r="AR357" s="297" t="s">
        <v>66</v>
      </c>
      <c r="AS357" s="299" t="s">
        <v>67</v>
      </c>
      <c r="AT357" s="299" t="s">
        <v>67</v>
      </c>
      <c r="AU357" s="297" t="s">
        <v>3827</v>
      </c>
      <c r="AV357" s="297"/>
      <c r="AW357" s="297" t="s">
        <v>69</v>
      </c>
      <c r="AX357" s="297" t="s">
        <v>7894</v>
      </c>
      <c r="AY357" s="299">
        <v>42711</v>
      </c>
      <c r="AZ357" s="297" t="s">
        <v>67</v>
      </c>
      <c r="BA357" s="299" t="s">
        <v>67</v>
      </c>
      <c r="BB357" s="382">
        <v>42795</v>
      </c>
      <c r="BC357" s="297" t="s">
        <v>3829</v>
      </c>
      <c r="BD357" s="297" t="s">
        <v>6447</v>
      </c>
      <c r="BE357" s="297"/>
      <c r="BF357" s="301"/>
      <c r="BG357" s="301" t="s">
        <v>67</v>
      </c>
      <c r="BH357" s="301" t="s">
        <v>4783</v>
      </c>
      <c r="BI357" s="301" t="s">
        <v>4320</v>
      </c>
      <c r="BJ357" s="312">
        <v>2236923</v>
      </c>
      <c r="BK357" s="312">
        <v>2236923</v>
      </c>
      <c r="BL357" s="313">
        <v>217348117</v>
      </c>
      <c r="BM357" s="299">
        <v>42955</v>
      </c>
      <c r="BN357" s="300">
        <v>42948</v>
      </c>
      <c r="BO357" s="434" t="s">
        <v>4784</v>
      </c>
      <c r="BP357" s="397"/>
      <c r="BQ357" s="398"/>
      <c r="BR357" s="320"/>
      <c r="BS357" s="301"/>
      <c r="BT357" s="301"/>
      <c r="BU357" s="301"/>
      <c r="BV357" s="301"/>
      <c r="BW357" s="316"/>
      <c r="BX357" s="304"/>
      <c r="BY357" s="299"/>
      <c r="BZ357" s="317"/>
    </row>
    <row r="358" spans="1:555" s="259" customFormat="1" ht="125.25" customHeight="1">
      <c r="A358" s="296">
        <v>506</v>
      </c>
      <c r="B358" s="297" t="s">
        <v>4785</v>
      </c>
      <c r="C358" s="298">
        <v>79265745</v>
      </c>
      <c r="D358" s="354" t="s">
        <v>67</v>
      </c>
      <c r="E358" s="299">
        <v>42828</v>
      </c>
      <c r="F358" s="300">
        <v>42826</v>
      </c>
      <c r="G358" s="301" t="s">
        <v>271</v>
      </c>
      <c r="H358" s="297" t="s">
        <v>63</v>
      </c>
      <c r="I358" s="297" t="s">
        <v>79</v>
      </c>
      <c r="J358" s="299"/>
      <c r="K358" s="300"/>
      <c r="L358" s="301"/>
      <c r="M358" s="297"/>
      <c r="N358" s="297"/>
      <c r="O358" s="299"/>
      <c r="P358" s="302"/>
      <c r="Q358" s="301"/>
      <c r="R358" s="297"/>
      <c r="S358" s="297"/>
      <c r="T358" s="299"/>
      <c r="U358" s="300"/>
      <c r="V358" s="301"/>
      <c r="W358" s="297"/>
      <c r="X358" s="297"/>
      <c r="Y358" s="299"/>
      <c r="Z358" s="300"/>
      <c r="AA358" s="301"/>
      <c r="AB358" s="297"/>
      <c r="AC358" s="297"/>
      <c r="AD358" s="299"/>
      <c r="AE358" s="300"/>
      <c r="AF358" s="301"/>
      <c r="AG358" s="297"/>
      <c r="AH358" s="297"/>
      <c r="AI358" s="322"/>
      <c r="AJ358" s="300"/>
      <c r="AK358" s="301"/>
      <c r="AL358" s="297"/>
      <c r="AM358" s="297"/>
      <c r="AN358" s="297"/>
      <c r="AO358" s="473"/>
      <c r="AP358" s="297"/>
      <c r="AQ358" s="301" t="s">
        <v>7857</v>
      </c>
      <c r="AR358" s="297" t="s">
        <v>66</v>
      </c>
      <c r="AS358" s="299" t="s">
        <v>67</v>
      </c>
      <c r="AT358" s="299" t="s">
        <v>67</v>
      </c>
      <c r="AU358" s="297" t="s">
        <v>3827</v>
      </c>
      <c r="AV358" s="297"/>
      <c r="AW358" s="297" t="s">
        <v>69</v>
      </c>
      <c r="AX358" s="297" t="s">
        <v>7858</v>
      </c>
      <c r="AY358" s="299">
        <v>42825</v>
      </c>
      <c r="AZ358" s="297" t="s">
        <v>67</v>
      </c>
      <c r="BA358" s="299" t="s">
        <v>67</v>
      </c>
      <c r="BB358" s="382">
        <v>42830</v>
      </c>
      <c r="BC358" s="297" t="s">
        <v>3829</v>
      </c>
      <c r="BD358" s="297" t="s">
        <v>6447</v>
      </c>
      <c r="BE358" s="297"/>
      <c r="BF358" s="301"/>
      <c r="BG358" s="301" t="s">
        <v>67</v>
      </c>
      <c r="BH358" s="301" t="s">
        <v>4786</v>
      </c>
      <c r="BI358" s="301" t="s">
        <v>474</v>
      </c>
      <c r="BJ358" s="312">
        <v>1016783</v>
      </c>
      <c r="BK358" s="312">
        <v>1016783</v>
      </c>
      <c r="BL358" s="313">
        <v>147938917</v>
      </c>
      <c r="BM358" s="299">
        <v>42893</v>
      </c>
      <c r="BN358" s="300">
        <v>42887</v>
      </c>
      <c r="BO358" s="434" t="s">
        <v>4787</v>
      </c>
      <c r="BP358" s="397"/>
      <c r="BQ358" s="398"/>
      <c r="BR358" s="320"/>
      <c r="BS358" s="301"/>
      <c r="BT358" s="301"/>
      <c r="BU358" s="301"/>
      <c r="BV358" s="301"/>
      <c r="BW358" s="316"/>
      <c r="BX358" s="304"/>
      <c r="BY358" s="299"/>
      <c r="BZ358" s="317"/>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c r="JC358" s="1"/>
      <c r="JD358" s="1"/>
      <c r="JE358" s="1"/>
      <c r="JF358" s="1"/>
      <c r="JG358" s="1"/>
      <c r="JH358" s="1"/>
      <c r="JI358" s="1"/>
      <c r="JJ358" s="1"/>
      <c r="JK358" s="1"/>
      <c r="JL358" s="1"/>
      <c r="JM358" s="1"/>
      <c r="JN358" s="1"/>
      <c r="JO358" s="1"/>
      <c r="JP358" s="1"/>
      <c r="JQ358" s="1"/>
      <c r="JR358" s="1"/>
      <c r="JS358" s="1"/>
      <c r="JT358" s="1"/>
      <c r="JU358" s="1"/>
      <c r="JV358" s="1"/>
      <c r="JW358" s="1"/>
      <c r="JX358" s="1"/>
      <c r="JY358" s="1"/>
      <c r="JZ358" s="1"/>
      <c r="KA358" s="1"/>
      <c r="KB358" s="1"/>
      <c r="KC358" s="1"/>
      <c r="KD358" s="1"/>
      <c r="KE358" s="1"/>
      <c r="KF358" s="1"/>
      <c r="KG358" s="1"/>
      <c r="KH358" s="1"/>
      <c r="KI358" s="1"/>
      <c r="KJ358" s="1"/>
      <c r="KK358" s="1"/>
      <c r="KL358" s="1"/>
      <c r="KM358" s="1"/>
      <c r="KN358" s="1"/>
      <c r="KO358" s="1"/>
      <c r="KP358" s="1"/>
      <c r="KQ358" s="1"/>
      <c r="KR358" s="1"/>
      <c r="KS358" s="1"/>
      <c r="KT358" s="1"/>
      <c r="KU358" s="1"/>
      <c r="KV358" s="1"/>
      <c r="KW358" s="1"/>
      <c r="KX358" s="1"/>
      <c r="KY358" s="1"/>
      <c r="KZ358" s="1"/>
      <c r="LA358" s="1"/>
      <c r="LB358" s="1"/>
      <c r="LC358" s="1"/>
      <c r="LD358" s="1"/>
      <c r="LE358" s="1"/>
      <c r="LF358" s="1"/>
      <c r="LG358" s="1"/>
      <c r="LH358" s="1"/>
      <c r="LI358" s="1"/>
      <c r="LJ358" s="1"/>
      <c r="LK358" s="1"/>
      <c r="LL358" s="1"/>
      <c r="LM358" s="1"/>
      <c r="LN358" s="1"/>
      <c r="LO358" s="1"/>
      <c r="LP358" s="1"/>
      <c r="LQ358" s="1"/>
      <c r="LR358" s="1"/>
      <c r="LS358" s="1"/>
      <c r="LT358" s="1"/>
      <c r="LU358" s="1"/>
      <c r="LV358" s="1"/>
      <c r="LW358" s="1"/>
      <c r="LX358" s="1"/>
      <c r="LY358" s="1"/>
      <c r="LZ358" s="1"/>
      <c r="MA358" s="1"/>
      <c r="MB358" s="1"/>
      <c r="MC358" s="1"/>
      <c r="MD358" s="1"/>
      <c r="ME358" s="1"/>
      <c r="MF358" s="1"/>
      <c r="MG358" s="1"/>
      <c r="MH358" s="1"/>
      <c r="MI358" s="1"/>
      <c r="MJ358" s="1"/>
      <c r="MK358" s="1"/>
      <c r="ML358" s="1"/>
      <c r="MM358" s="1"/>
      <c r="MN358" s="1"/>
      <c r="MO358" s="1"/>
      <c r="MP358" s="1"/>
      <c r="MQ358" s="1"/>
      <c r="MR358" s="1"/>
      <c r="MS358" s="1"/>
      <c r="MT358" s="1"/>
      <c r="MU358" s="1"/>
      <c r="MV358" s="1"/>
      <c r="MW358" s="1"/>
      <c r="MX358" s="1"/>
      <c r="MY358" s="1"/>
      <c r="MZ358" s="1"/>
      <c r="NA358" s="1"/>
      <c r="NB358" s="1"/>
      <c r="NC358" s="1"/>
      <c r="ND358" s="1"/>
      <c r="NE358" s="1"/>
      <c r="NF358" s="1"/>
      <c r="NG358" s="1"/>
      <c r="NH358" s="1"/>
      <c r="NI358" s="1"/>
      <c r="NJ358" s="1"/>
      <c r="NK358" s="1"/>
      <c r="NL358" s="1"/>
      <c r="NM358" s="1"/>
      <c r="NN358" s="1"/>
      <c r="NO358" s="1"/>
      <c r="NP358" s="1"/>
      <c r="NQ358" s="1"/>
      <c r="NR358" s="1"/>
      <c r="NS358" s="1"/>
      <c r="NT358" s="1"/>
      <c r="NU358" s="1"/>
      <c r="NV358" s="1"/>
      <c r="NW358" s="1"/>
      <c r="NX358" s="1"/>
      <c r="NY358" s="1"/>
      <c r="NZ358" s="1"/>
      <c r="OA358" s="1"/>
      <c r="OB358" s="1"/>
      <c r="OC358" s="1"/>
      <c r="OD358" s="1"/>
      <c r="OE358" s="1"/>
      <c r="OF358" s="1"/>
      <c r="OG358" s="1"/>
      <c r="OH358" s="1"/>
      <c r="OI358" s="1"/>
      <c r="OJ358" s="1"/>
      <c r="OK358" s="1"/>
      <c r="OL358" s="1"/>
      <c r="OM358" s="1"/>
      <c r="ON358" s="1"/>
      <c r="OO358" s="1"/>
      <c r="OP358" s="1"/>
      <c r="OQ358" s="1"/>
      <c r="OR358" s="1"/>
      <c r="OS358" s="1"/>
      <c r="OT358" s="1"/>
      <c r="OU358" s="1"/>
      <c r="OV358" s="1"/>
      <c r="OW358" s="1"/>
      <c r="OX358" s="1"/>
      <c r="OY358" s="1"/>
      <c r="OZ358" s="1"/>
      <c r="PA358" s="1"/>
      <c r="PB358" s="1"/>
      <c r="PC358" s="1"/>
      <c r="PD358" s="1"/>
      <c r="PE358" s="1"/>
      <c r="PF358" s="1"/>
      <c r="PG358" s="1"/>
      <c r="PH358" s="1"/>
      <c r="PI358" s="1"/>
      <c r="PJ358" s="1"/>
      <c r="PK358" s="1"/>
      <c r="PL358" s="1"/>
      <c r="PM358" s="1"/>
      <c r="PN358" s="1"/>
      <c r="PO358" s="1"/>
      <c r="PP358" s="1"/>
      <c r="PQ358" s="1"/>
      <c r="PR358" s="1"/>
      <c r="PS358" s="1"/>
      <c r="PT358" s="1"/>
      <c r="PU358" s="1"/>
      <c r="PV358" s="1"/>
      <c r="PW358" s="1"/>
      <c r="PX358" s="1"/>
      <c r="PY358" s="1"/>
      <c r="PZ358" s="1"/>
      <c r="QA358" s="1"/>
      <c r="QB358" s="1"/>
      <c r="QC358" s="1"/>
      <c r="QD358" s="1"/>
      <c r="QE358" s="1"/>
      <c r="QF358" s="1"/>
      <c r="QG358" s="1"/>
      <c r="QH358" s="1"/>
      <c r="QI358" s="1"/>
      <c r="QJ358" s="1"/>
      <c r="QK358" s="1"/>
      <c r="QL358" s="1"/>
      <c r="QM358" s="1"/>
      <c r="QN358" s="1"/>
      <c r="QO358" s="1"/>
      <c r="QP358" s="1"/>
      <c r="QQ358" s="1"/>
      <c r="QR358" s="1"/>
      <c r="QS358" s="1"/>
      <c r="QT358" s="1"/>
      <c r="QU358" s="1"/>
      <c r="QV358" s="1"/>
      <c r="QW358" s="1"/>
      <c r="QX358" s="1"/>
      <c r="QY358" s="1"/>
      <c r="QZ358" s="1"/>
      <c r="RA358" s="1"/>
      <c r="RB358" s="1"/>
      <c r="RC358" s="1"/>
      <c r="RD358" s="1"/>
      <c r="RE358" s="1"/>
      <c r="RF358" s="1"/>
      <c r="RG358" s="1"/>
      <c r="RH358" s="1"/>
      <c r="RI358" s="1"/>
      <c r="RJ358" s="1"/>
      <c r="RK358" s="1"/>
      <c r="RL358" s="1"/>
      <c r="RM358" s="1"/>
      <c r="RN358" s="1"/>
      <c r="RO358" s="1"/>
      <c r="RP358" s="1"/>
      <c r="RQ358" s="1"/>
      <c r="RR358" s="1"/>
      <c r="RS358" s="1"/>
      <c r="RT358" s="1"/>
      <c r="RU358" s="1"/>
      <c r="RV358" s="1"/>
      <c r="RW358" s="1"/>
      <c r="RX358" s="1"/>
      <c r="RY358" s="1"/>
      <c r="RZ358" s="1"/>
      <c r="SA358" s="1"/>
      <c r="SB358" s="1"/>
      <c r="SC358" s="1"/>
      <c r="SD358" s="1"/>
      <c r="SE358" s="1"/>
      <c r="SF358" s="1"/>
      <c r="SG358" s="1"/>
      <c r="SH358" s="1"/>
      <c r="SI358" s="1"/>
      <c r="SJ358" s="1"/>
      <c r="SK358" s="1"/>
      <c r="SL358" s="1"/>
      <c r="SM358" s="1"/>
      <c r="SN358" s="1"/>
      <c r="SO358" s="1"/>
      <c r="SP358" s="1"/>
      <c r="SQ358" s="1"/>
      <c r="SR358" s="1"/>
      <c r="SS358" s="1"/>
      <c r="ST358" s="1"/>
      <c r="SU358" s="1"/>
      <c r="SV358" s="1"/>
      <c r="SW358" s="1"/>
      <c r="SX358" s="1"/>
      <c r="SY358" s="1"/>
      <c r="SZ358" s="1"/>
      <c r="TA358" s="1"/>
      <c r="TB358" s="1"/>
      <c r="TC358" s="1"/>
      <c r="TD358" s="1"/>
      <c r="TE358" s="1"/>
      <c r="TF358" s="1"/>
      <c r="TG358" s="1"/>
      <c r="TH358" s="1"/>
      <c r="TI358" s="1"/>
      <c r="TJ358" s="1"/>
      <c r="TK358" s="1"/>
      <c r="TL358" s="1"/>
      <c r="TM358" s="1"/>
      <c r="TN358" s="1"/>
      <c r="TO358" s="1"/>
      <c r="TP358" s="1"/>
      <c r="TQ358" s="1"/>
      <c r="TR358" s="1"/>
      <c r="TS358" s="1"/>
      <c r="TT358" s="1"/>
      <c r="TU358" s="1"/>
      <c r="TV358" s="1"/>
      <c r="TW358" s="1"/>
      <c r="TX358" s="1"/>
      <c r="TY358" s="1"/>
      <c r="TZ358" s="1"/>
      <c r="UA358" s="1"/>
      <c r="UB358" s="1"/>
      <c r="UC358" s="1"/>
      <c r="UD358" s="1"/>
      <c r="UE358" s="1"/>
      <c r="UF358" s="1"/>
      <c r="UG358" s="1"/>
      <c r="UH358" s="1"/>
      <c r="UI358" s="1"/>
    </row>
    <row r="359" spans="1:555" s="259" customFormat="1" ht="107.25" customHeight="1">
      <c r="A359" s="296">
        <v>507</v>
      </c>
      <c r="B359" s="297" t="s">
        <v>4788</v>
      </c>
      <c r="C359" s="298">
        <v>79443580</v>
      </c>
      <c r="D359" s="354" t="s">
        <v>67</v>
      </c>
      <c r="E359" s="299">
        <v>42828</v>
      </c>
      <c r="F359" s="300">
        <v>42826</v>
      </c>
      <c r="G359" s="301" t="s">
        <v>271</v>
      </c>
      <c r="H359" s="297" t="s">
        <v>63</v>
      </c>
      <c r="I359" s="297" t="s">
        <v>79</v>
      </c>
      <c r="J359" s="299"/>
      <c r="K359" s="300"/>
      <c r="L359" s="301"/>
      <c r="M359" s="297"/>
      <c r="N359" s="297"/>
      <c r="O359" s="299"/>
      <c r="P359" s="302"/>
      <c r="Q359" s="301"/>
      <c r="R359" s="297"/>
      <c r="S359" s="297"/>
      <c r="T359" s="299"/>
      <c r="U359" s="300"/>
      <c r="V359" s="301"/>
      <c r="W359" s="297"/>
      <c r="X359" s="297"/>
      <c r="Y359" s="299"/>
      <c r="Z359" s="300"/>
      <c r="AA359" s="301"/>
      <c r="AB359" s="297"/>
      <c r="AC359" s="297"/>
      <c r="AD359" s="299"/>
      <c r="AE359" s="300"/>
      <c r="AF359" s="301"/>
      <c r="AG359" s="297"/>
      <c r="AH359" s="297"/>
      <c r="AI359" s="322"/>
      <c r="AJ359" s="300"/>
      <c r="AK359" s="301"/>
      <c r="AL359" s="297"/>
      <c r="AM359" s="297"/>
      <c r="AN359" s="297"/>
      <c r="AO359" s="473"/>
      <c r="AP359" s="297"/>
      <c r="AQ359" s="301" t="s">
        <v>7915</v>
      </c>
      <c r="AR359" s="297" t="s">
        <v>66</v>
      </c>
      <c r="AS359" s="299" t="s">
        <v>67</v>
      </c>
      <c r="AT359" s="299" t="s">
        <v>67</v>
      </c>
      <c r="AU359" s="297" t="s">
        <v>3827</v>
      </c>
      <c r="AV359" s="297"/>
      <c r="AW359" s="297" t="s">
        <v>69</v>
      </c>
      <c r="AX359" s="297" t="s">
        <v>4467</v>
      </c>
      <c r="AY359" s="299">
        <v>42825</v>
      </c>
      <c r="AZ359" s="297" t="s">
        <v>67</v>
      </c>
      <c r="BA359" s="299" t="s">
        <v>67</v>
      </c>
      <c r="BB359" s="382">
        <v>42830</v>
      </c>
      <c r="BC359" s="297" t="s">
        <v>3829</v>
      </c>
      <c r="BD359" s="297" t="s">
        <v>6447</v>
      </c>
      <c r="BE359" s="297"/>
      <c r="BF359" s="301"/>
      <c r="BG359" s="301" t="s">
        <v>67</v>
      </c>
      <c r="BH359" s="301" t="s">
        <v>4789</v>
      </c>
      <c r="BI359" s="301" t="s">
        <v>4790</v>
      </c>
      <c r="BJ359" s="312">
        <v>2064164</v>
      </c>
      <c r="BK359" s="312">
        <v>2064164</v>
      </c>
      <c r="BL359" s="313">
        <v>105161617</v>
      </c>
      <c r="BM359" s="299">
        <v>42853</v>
      </c>
      <c r="BN359" s="300">
        <v>42826</v>
      </c>
      <c r="BO359" s="460"/>
      <c r="BP359" s="390"/>
      <c r="BQ359" s="297"/>
      <c r="BR359" s="303"/>
      <c r="BS359" s="301"/>
      <c r="BT359" s="301"/>
      <c r="BU359" s="301"/>
      <c r="BV359" s="301"/>
      <c r="BW359" s="316"/>
      <c r="BX359" s="304"/>
      <c r="BY359" s="299"/>
      <c r="BZ359" s="317"/>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c r="JC359" s="1"/>
      <c r="JD359" s="1"/>
      <c r="JE359" s="1"/>
      <c r="JF359" s="1"/>
      <c r="JG359" s="1"/>
      <c r="JH359" s="1"/>
      <c r="JI359" s="1"/>
      <c r="JJ359" s="1"/>
      <c r="JK359" s="1"/>
      <c r="JL359" s="1"/>
      <c r="JM359" s="1"/>
      <c r="JN359" s="1"/>
      <c r="JO359" s="1"/>
      <c r="JP359" s="1"/>
      <c r="JQ359" s="1"/>
      <c r="JR359" s="1"/>
      <c r="JS359" s="1"/>
      <c r="JT359" s="1"/>
      <c r="JU359" s="1"/>
      <c r="JV359" s="1"/>
      <c r="JW359" s="1"/>
      <c r="JX359" s="1"/>
      <c r="JY359" s="1"/>
      <c r="JZ359" s="1"/>
      <c r="KA359" s="1"/>
      <c r="KB359" s="1"/>
      <c r="KC359" s="1"/>
      <c r="KD359" s="1"/>
      <c r="KE359" s="1"/>
      <c r="KF359" s="1"/>
      <c r="KG359" s="1"/>
      <c r="KH359" s="1"/>
      <c r="KI359" s="1"/>
      <c r="KJ359" s="1"/>
      <c r="KK359" s="1"/>
      <c r="KL359" s="1"/>
      <c r="KM359" s="1"/>
      <c r="KN359" s="1"/>
      <c r="KO359" s="1"/>
      <c r="KP359" s="1"/>
      <c r="KQ359" s="1"/>
      <c r="KR359" s="1"/>
      <c r="KS359" s="1"/>
      <c r="KT359" s="1"/>
      <c r="KU359" s="1"/>
      <c r="KV359" s="1"/>
      <c r="KW359" s="1"/>
      <c r="KX359" s="1"/>
      <c r="KY359" s="1"/>
      <c r="KZ359" s="1"/>
      <c r="LA359" s="1"/>
      <c r="LB359" s="1"/>
      <c r="LC359" s="1"/>
      <c r="LD359" s="1"/>
      <c r="LE359" s="1"/>
      <c r="LF359" s="1"/>
      <c r="LG359" s="1"/>
      <c r="LH359" s="1"/>
      <c r="LI359" s="1"/>
      <c r="LJ359" s="1"/>
      <c r="LK359" s="1"/>
      <c r="LL359" s="1"/>
      <c r="LM359" s="1"/>
      <c r="LN359" s="1"/>
      <c r="LO359" s="1"/>
      <c r="LP359" s="1"/>
      <c r="LQ359" s="1"/>
      <c r="LR359" s="1"/>
      <c r="LS359" s="1"/>
      <c r="LT359" s="1"/>
      <c r="LU359" s="1"/>
      <c r="LV359" s="1"/>
      <c r="LW359" s="1"/>
      <c r="LX359" s="1"/>
      <c r="LY359" s="1"/>
      <c r="LZ359" s="1"/>
      <c r="MA359" s="1"/>
      <c r="MB359" s="1"/>
      <c r="MC359" s="1"/>
      <c r="MD359" s="1"/>
      <c r="ME359" s="1"/>
      <c r="MF359" s="1"/>
      <c r="MG359" s="1"/>
      <c r="MH359" s="1"/>
      <c r="MI359" s="1"/>
      <c r="MJ359" s="1"/>
      <c r="MK359" s="1"/>
      <c r="ML359" s="1"/>
      <c r="MM359" s="1"/>
      <c r="MN359" s="1"/>
      <c r="MO359" s="1"/>
      <c r="MP359" s="1"/>
      <c r="MQ359" s="1"/>
      <c r="MR359" s="1"/>
      <c r="MS359" s="1"/>
      <c r="MT359" s="1"/>
      <c r="MU359" s="1"/>
      <c r="MV359" s="1"/>
      <c r="MW359" s="1"/>
      <c r="MX359" s="1"/>
      <c r="MY359" s="1"/>
      <c r="MZ359" s="1"/>
      <c r="NA359" s="1"/>
      <c r="NB359" s="1"/>
      <c r="NC359" s="1"/>
      <c r="ND359" s="1"/>
      <c r="NE359" s="1"/>
      <c r="NF359" s="1"/>
      <c r="NG359" s="1"/>
      <c r="NH359" s="1"/>
      <c r="NI359" s="1"/>
      <c r="NJ359" s="1"/>
      <c r="NK359" s="1"/>
      <c r="NL359" s="1"/>
      <c r="NM359" s="1"/>
      <c r="NN359" s="1"/>
      <c r="NO359" s="1"/>
      <c r="NP359" s="1"/>
      <c r="NQ359" s="1"/>
      <c r="NR359" s="1"/>
      <c r="NS359" s="1"/>
      <c r="NT359" s="1"/>
      <c r="NU359" s="1"/>
      <c r="NV359" s="1"/>
      <c r="NW359" s="1"/>
      <c r="NX359" s="1"/>
      <c r="NY359" s="1"/>
      <c r="NZ359" s="1"/>
      <c r="OA359" s="1"/>
      <c r="OB359" s="1"/>
      <c r="OC359" s="1"/>
      <c r="OD359" s="1"/>
      <c r="OE359" s="1"/>
      <c r="OF359" s="1"/>
      <c r="OG359" s="1"/>
      <c r="OH359" s="1"/>
      <c r="OI359" s="1"/>
      <c r="OJ359" s="1"/>
      <c r="OK359" s="1"/>
      <c r="OL359" s="1"/>
      <c r="OM359" s="1"/>
      <c r="ON359" s="1"/>
      <c r="OO359" s="1"/>
      <c r="OP359" s="1"/>
      <c r="OQ359" s="1"/>
      <c r="OR359" s="1"/>
      <c r="OS359" s="1"/>
      <c r="OT359" s="1"/>
      <c r="OU359" s="1"/>
      <c r="OV359" s="1"/>
      <c r="OW359" s="1"/>
      <c r="OX359" s="1"/>
      <c r="OY359" s="1"/>
      <c r="OZ359" s="1"/>
      <c r="PA359" s="1"/>
      <c r="PB359" s="1"/>
      <c r="PC359" s="1"/>
      <c r="PD359" s="1"/>
      <c r="PE359" s="1"/>
      <c r="PF359" s="1"/>
      <c r="PG359" s="1"/>
      <c r="PH359" s="1"/>
      <c r="PI359" s="1"/>
      <c r="PJ359" s="1"/>
      <c r="PK359" s="1"/>
      <c r="PL359" s="1"/>
      <c r="PM359" s="1"/>
      <c r="PN359" s="1"/>
      <c r="PO359" s="1"/>
      <c r="PP359" s="1"/>
      <c r="PQ359" s="1"/>
      <c r="PR359" s="1"/>
      <c r="PS359" s="1"/>
      <c r="PT359" s="1"/>
      <c r="PU359" s="1"/>
      <c r="PV359" s="1"/>
      <c r="PW359" s="1"/>
      <c r="PX359" s="1"/>
      <c r="PY359" s="1"/>
      <c r="PZ359" s="1"/>
      <c r="QA359" s="1"/>
      <c r="QB359" s="1"/>
      <c r="QC359" s="1"/>
      <c r="QD359" s="1"/>
      <c r="QE359" s="1"/>
      <c r="QF359" s="1"/>
      <c r="QG359" s="1"/>
      <c r="QH359" s="1"/>
      <c r="QI359" s="1"/>
      <c r="QJ359" s="1"/>
      <c r="QK359" s="1"/>
      <c r="QL359" s="1"/>
      <c r="QM359" s="1"/>
      <c r="QN359" s="1"/>
      <c r="QO359" s="1"/>
      <c r="QP359" s="1"/>
      <c r="QQ359" s="1"/>
      <c r="QR359" s="1"/>
      <c r="QS359" s="1"/>
      <c r="QT359" s="1"/>
      <c r="QU359" s="1"/>
      <c r="QV359" s="1"/>
      <c r="QW359" s="1"/>
      <c r="QX359" s="1"/>
      <c r="QY359" s="1"/>
      <c r="QZ359" s="1"/>
      <c r="RA359" s="1"/>
      <c r="RB359" s="1"/>
      <c r="RC359" s="1"/>
      <c r="RD359" s="1"/>
      <c r="RE359" s="1"/>
      <c r="RF359" s="1"/>
      <c r="RG359" s="1"/>
      <c r="RH359" s="1"/>
      <c r="RI359" s="1"/>
      <c r="RJ359" s="1"/>
      <c r="RK359" s="1"/>
      <c r="RL359" s="1"/>
      <c r="RM359" s="1"/>
      <c r="RN359" s="1"/>
      <c r="RO359" s="1"/>
      <c r="RP359" s="1"/>
      <c r="RQ359" s="1"/>
      <c r="RR359" s="1"/>
      <c r="RS359" s="1"/>
      <c r="RT359" s="1"/>
      <c r="RU359" s="1"/>
      <c r="RV359" s="1"/>
      <c r="RW359" s="1"/>
      <c r="RX359" s="1"/>
      <c r="RY359" s="1"/>
      <c r="RZ359" s="1"/>
      <c r="SA359" s="1"/>
      <c r="SB359" s="1"/>
      <c r="SC359" s="1"/>
      <c r="SD359" s="1"/>
      <c r="SE359" s="1"/>
      <c r="SF359" s="1"/>
      <c r="SG359" s="1"/>
      <c r="SH359" s="1"/>
      <c r="SI359" s="1"/>
      <c r="SJ359" s="1"/>
      <c r="SK359" s="1"/>
      <c r="SL359" s="1"/>
      <c r="SM359" s="1"/>
      <c r="SN359" s="1"/>
      <c r="SO359" s="1"/>
      <c r="SP359" s="1"/>
      <c r="SQ359" s="1"/>
      <c r="SR359" s="1"/>
      <c r="SS359" s="1"/>
      <c r="ST359" s="1"/>
      <c r="SU359" s="1"/>
      <c r="SV359" s="1"/>
      <c r="SW359" s="1"/>
      <c r="SX359" s="1"/>
      <c r="SY359" s="1"/>
      <c r="SZ359" s="1"/>
      <c r="TA359" s="1"/>
      <c r="TB359" s="1"/>
      <c r="TC359" s="1"/>
      <c r="TD359" s="1"/>
      <c r="TE359" s="1"/>
      <c r="TF359" s="1"/>
      <c r="TG359" s="1"/>
      <c r="TH359" s="1"/>
      <c r="TI359" s="1"/>
      <c r="TJ359" s="1"/>
      <c r="TK359" s="1"/>
      <c r="TL359" s="1"/>
      <c r="TM359" s="1"/>
      <c r="TN359" s="1"/>
      <c r="TO359" s="1"/>
      <c r="TP359" s="1"/>
      <c r="TQ359" s="1"/>
      <c r="TR359" s="1"/>
      <c r="TS359" s="1"/>
      <c r="TT359" s="1"/>
      <c r="TU359" s="1"/>
      <c r="TV359" s="1"/>
      <c r="TW359" s="1"/>
      <c r="TX359" s="1"/>
      <c r="TY359" s="1"/>
      <c r="TZ359" s="1"/>
      <c r="UA359" s="1"/>
      <c r="UB359" s="1"/>
      <c r="UC359" s="1"/>
      <c r="UD359" s="1"/>
      <c r="UE359" s="1"/>
      <c r="UF359" s="1"/>
      <c r="UG359" s="1"/>
      <c r="UH359" s="1"/>
      <c r="UI359" s="1"/>
    </row>
    <row r="360" spans="1:555" ht="96.75" customHeight="1">
      <c r="A360" s="296">
        <v>508</v>
      </c>
      <c r="B360" s="297" t="s">
        <v>4791</v>
      </c>
      <c r="C360" s="298">
        <v>86044092</v>
      </c>
      <c r="D360" s="354" t="s">
        <v>67</v>
      </c>
      <c r="E360" s="299">
        <v>42828</v>
      </c>
      <c r="F360" s="300">
        <v>42826</v>
      </c>
      <c r="G360" s="301" t="s">
        <v>271</v>
      </c>
      <c r="H360" s="297" t="s">
        <v>63</v>
      </c>
      <c r="I360" s="297" t="s">
        <v>79</v>
      </c>
      <c r="J360" s="299"/>
      <c r="K360" s="300"/>
      <c r="L360" s="301"/>
      <c r="M360" s="297"/>
      <c r="N360" s="297"/>
      <c r="O360" s="299"/>
      <c r="P360" s="302"/>
      <c r="Q360" s="301"/>
      <c r="R360" s="297"/>
      <c r="S360" s="297"/>
      <c r="T360" s="299"/>
      <c r="U360" s="300"/>
      <c r="V360" s="301"/>
      <c r="W360" s="297"/>
      <c r="X360" s="297"/>
      <c r="Y360" s="299"/>
      <c r="Z360" s="300"/>
      <c r="AA360" s="301"/>
      <c r="AB360" s="297"/>
      <c r="AC360" s="297"/>
      <c r="AD360" s="299"/>
      <c r="AE360" s="300"/>
      <c r="AF360" s="301"/>
      <c r="AG360" s="297"/>
      <c r="AH360" s="297"/>
      <c r="AI360" s="322"/>
      <c r="AJ360" s="300"/>
      <c r="AK360" s="301"/>
      <c r="AL360" s="297"/>
      <c r="AM360" s="297"/>
      <c r="AN360" s="297"/>
      <c r="AO360" s="473"/>
      <c r="AP360" s="297"/>
      <c r="AQ360" s="301" t="s">
        <v>7811</v>
      </c>
      <c r="AR360" s="297" t="s">
        <v>66</v>
      </c>
      <c r="AS360" s="299" t="s">
        <v>67</v>
      </c>
      <c r="AT360" s="299" t="s">
        <v>67</v>
      </c>
      <c r="AU360" s="297" t="s">
        <v>3827</v>
      </c>
      <c r="AV360" s="297"/>
      <c r="AW360" s="297" t="s">
        <v>69</v>
      </c>
      <c r="AX360" s="297" t="s">
        <v>7633</v>
      </c>
      <c r="AY360" s="299">
        <v>42825</v>
      </c>
      <c r="AZ360" s="297" t="s">
        <v>67</v>
      </c>
      <c r="BA360" s="299" t="s">
        <v>67</v>
      </c>
      <c r="BB360" s="382">
        <v>42830</v>
      </c>
      <c r="BC360" s="297" t="s">
        <v>3829</v>
      </c>
      <c r="BD360" s="297" t="s">
        <v>6447</v>
      </c>
      <c r="BE360" s="297"/>
      <c r="BF360" s="301"/>
      <c r="BG360" s="301" t="s">
        <v>67</v>
      </c>
      <c r="BH360" s="301" t="s">
        <v>4792</v>
      </c>
      <c r="BI360" s="301" t="s">
        <v>4793</v>
      </c>
      <c r="BJ360" s="312">
        <v>2997270</v>
      </c>
      <c r="BK360" s="312">
        <v>2997270</v>
      </c>
      <c r="BL360" s="313">
        <v>114773517</v>
      </c>
      <c r="BM360" s="299">
        <v>42865</v>
      </c>
      <c r="BN360" s="300">
        <v>42856</v>
      </c>
      <c r="BO360" s="460"/>
      <c r="BP360" s="390"/>
      <c r="BQ360" s="297"/>
      <c r="BR360" s="303"/>
      <c r="BS360" s="301"/>
      <c r="BT360" s="301"/>
      <c r="BU360" s="301"/>
      <c r="BV360" s="301"/>
      <c r="BW360" s="316"/>
      <c r="BX360" s="304"/>
      <c r="BY360" s="299"/>
      <c r="BZ360" s="317"/>
    </row>
    <row r="361" spans="1:555" ht="98.25" customHeight="1">
      <c r="A361" s="296">
        <v>509</v>
      </c>
      <c r="B361" s="297" t="s">
        <v>4794</v>
      </c>
      <c r="C361" s="298">
        <v>4134123</v>
      </c>
      <c r="D361" s="354" t="s">
        <v>67</v>
      </c>
      <c r="E361" s="299">
        <v>42828</v>
      </c>
      <c r="F361" s="300">
        <v>42826</v>
      </c>
      <c r="G361" s="301" t="s">
        <v>271</v>
      </c>
      <c r="H361" s="297" t="s">
        <v>63</v>
      </c>
      <c r="I361" s="297" t="s">
        <v>79</v>
      </c>
      <c r="J361" s="299"/>
      <c r="K361" s="300"/>
      <c r="L361" s="301"/>
      <c r="M361" s="297"/>
      <c r="N361" s="297"/>
      <c r="O361" s="299"/>
      <c r="P361" s="302"/>
      <c r="Q361" s="301"/>
      <c r="R361" s="297"/>
      <c r="S361" s="297"/>
      <c r="T361" s="299"/>
      <c r="U361" s="300"/>
      <c r="V361" s="301"/>
      <c r="W361" s="297"/>
      <c r="X361" s="297"/>
      <c r="Y361" s="299"/>
      <c r="Z361" s="300"/>
      <c r="AA361" s="301"/>
      <c r="AB361" s="297"/>
      <c r="AC361" s="297"/>
      <c r="AD361" s="299"/>
      <c r="AE361" s="300"/>
      <c r="AF361" s="301"/>
      <c r="AG361" s="297"/>
      <c r="AH361" s="297"/>
      <c r="AI361" s="322"/>
      <c r="AJ361" s="300"/>
      <c r="AK361" s="301"/>
      <c r="AL361" s="297"/>
      <c r="AM361" s="297"/>
      <c r="AN361" s="297"/>
      <c r="AO361" s="473"/>
      <c r="AP361" s="297"/>
      <c r="AQ361" s="301" t="s">
        <v>7742</v>
      </c>
      <c r="AR361" s="297" t="s">
        <v>66</v>
      </c>
      <c r="AS361" s="299" t="s">
        <v>67</v>
      </c>
      <c r="AT361" s="299" t="s">
        <v>67</v>
      </c>
      <c r="AU361" s="297" t="s">
        <v>3827</v>
      </c>
      <c r="AV361" s="297"/>
      <c r="AW361" s="297" t="s">
        <v>69</v>
      </c>
      <c r="AX361" s="297" t="s">
        <v>7633</v>
      </c>
      <c r="AY361" s="299">
        <v>42823</v>
      </c>
      <c r="AZ361" s="297" t="s">
        <v>67</v>
      </c>
      <c r="BA361" s="299" t="s">
        <v>67</v>
      </c>
      <c r="BB361" s="382">
        <v>42830</v>
      </c>
      <c r="BC361" s="297" t="s">
        <v>3829</v>
      </c>
      <c r="BD361" s="297" t="s">
        <v>6447</v>
      </c>
      <c r="BE361" s="297"/>
      <c r="BF361" s="301"/>
      <c r="BG361" s="301" t="s">
        <v>67</v>
      </c>
      <c r="BH361" s="301" t="s">
        <v>4795</v>
      </c>
      <c r="BI361" s="301" t="s">
        <v>4790</v>
      </c>
      <c r="BJ361" s="312">
        <v>1152355</v>
      </c>
      <c r="BK361" s="312">
        <v>1152355</v>
      </c>
      <c r="BL361" s="313">
        <v>105121617</v>
      </c>
      <c r="BM361" s="299">
        <v>42853</v>
      </c>
      <c r="BN361" s="300">
        <v>42826</v>
      </c>
      <c r="BO361" s="460"/>
      <c r="BP361" s="390"/>
      <c r="BQ361" s="297"/>
      <c r="BR361" s="303"/>
      <c r="BS361" s="301"/>
      <c r="BT361" s="301"/>
      <c r="BU361" s="301"/>
      <c r="BV361" s="301"/>
      <c r="BW361" s="316"/>
      <c r="BX361" s="304"/>
      <c r="BY361" s="299"/>
      <c r="BZ361" s="317"/>
    </row>
    <row r="362" spans="1:555" ht="87" customHeight="1">
      <c r="A362" s="296">
        <v>510</v>
      </c>
      <c r="B362" s="297" t="s">
        <v>4796</v>
      </c>
      <c r="C362" s="298">
        <v>13716395</v>
      </c>
      <c r="D362" s="354" t="s">
        <v>67</v>
      </c>
      <c r="E362" s="299">
        <v>42828</v>
      </c>
      <c r="F362" s="300">
        <v>42826</v>
      </c>
      <c r="G362" s="301" t="s">
        <v>271</v>
      </c>
      <c r="H362" s="297" t="s">
        <v>63</v>
      </c>
      <c r="I362" s="297" t="s">
        <v>79</v>
      </c>
      <c r="J362" s="299">
        <v>43258</v>
      </c>
      <c r="K362" s="300">
        <v>43252</v>
      </c>
      <c r="L362" s="301" t="s">
        <v>4797</v>
      </c>
      <c r="M362" s="297" t="s">
        <v>4798</v>
      </c>
      <c r="N362" s="297"/>
      <c r="O362" s="299"/>
      <c r="P362" s="302"/>
      <c r="Q362" s="301"/>
      <c r="R362" s="297"/>
      <c r="S362" s="297"/>
      <c r="T362" s="299"/>
      <c r="U362" s="300"/>
      <c r="V362" s="301"/>
      <c r="W362" s="297"/>
      <c r="X362" s="297"/>
      <c r="Y362" s="299"/>
      <c r="Z362" s="300"/>
      <c r="AA362" s="301"/>
      <c r="AB362" s="297"/>
      <c r="AC362" s="297"/>
      <c r="AD362" s="299"/>
      <c r="AE362" s="300"/>
      <c r="AF362" s="301"/>
      <c r="AG362" s="297"/>
      <c r="AH362" s="297"/>
      <c r="AI362" s="322"/>
      <c r="AJ362" s="300"/>
      <c r="AK362" s="301"/>
      <c r="AL362" s="297"/>
      <c r="AM362" s="297"/>
      <c r="AN362" s="297"/>
      <c r="AO362" s="473"/>
      <c r="AP362" s="297"/>
      <c r="AQ362" s="301" t="s">
        <v>7900</v>
      </c>
      <c r="AR362" s="297" t="s">
        <v>66</v>
      </c>
      <c r="AS362" s="299" t="s">
        <v>67</v>
      </c>
      <c r="AT362" s="299" t="s">
        <v>67</v>
      </c>
      <c r="AU362" s="297" t="s">
        <v>4799</v>
      </c>
      <c r="AV362" s="297"/>
      <c r="AW362" s="297" t="s">
        <v>69</v>
      </c>
      <c r="AX362" s="297" t="s">
        <v>7633</v>
      </c>
      <c r="AY362" s="299">
        <v>42825</v>
      </c>
      <c r="AZ362" s="297" t="s">
        <v>67</v>
      </c>
      <c r="BA362" s="299" t="s">
        <v>67</v>
      </c>
      <c r="BB362" s="382">
        <v>42830</v>
      </c>
      <c r="BC362" s="297" t="s">
        <v>3829</v>
      </c>
      <c r="BD362" s="297" t="s">
        <v>6447</v>
      </c>
      <c r="BE362" s="297"/>
      <c r="BF362" s="301"/>
      <c r="BG362" s="301" t="s">
        <v>67</v>
      </c>
      <c r="BH362" s="301" t="s">
        <v>4800</v>
      </c>
      <c r="BI362" s="301" t="s">
        <v>4542</v>
      </c>
      <c r="BJ362" s="312">
        <v>494999</v>
      </c>
      <c r="BK362" s="312">
        <v>494999</v>
      </c>
      <c r="BL362" s="313">
        <v>122894717</v>
      </c>
      <c r="BM362" s="299">
        <v>42873</v>
      </c>
      <c r="BN362" s="300">
        <v>42856</v>
      </c>
      <c r="BO362" s="460"/>
      <c r="BP362" s="390"/>
      <c r="BQ362" s="297"/>
      <c r="BR362" s="303"/>
      <c r="BS362" s="301"/>
      <c r="BT362" s="301"/>
      <c r="BU362" s="301"/>
      <c r="BV362" s="301"/>
      <c r="BW362" s="316"/>
      <c r="BX362" s="304"/>
      <c r="BY362" s="299"/>
      <c r="BZ362" s="317"/>
    </row>
    <row r="363" spans="1:555" ht="54">
      <c r="A363" s="296">
        <v>511</v>
      </c>
      <c r="B363" s="297" t="s">
        <v>3624</v>
      </c>
      <c r="C363" s="298">
        <v>15614029</v>
      </c>
      <c r="D363" s="354" t="s">
        <v>67</v>
      </c>
      <c r="E363" s="299">
        <v>42828</v>
      </c>
      <c r="F363" s="300">
        <v>42826</v>
      </c>
      <c r="G363" s="301" t="s">
        <v>271</v>
      </c>
      <c r="H363" s="297" t="s">
        <v>63</v>
      </c>
      <c r="I363" s="297" t="s">
        <v>79</v>
      </c>
      <c r="J363" s="299"/>
      <c r="K363" s="300"/>
      <c r="L363" s="301"/>
      <c r="M363" s="297"/>
      <c r="N363" s="297"/>
      <c r="O363" s="299"/>
      <c r="P363" s="302"/>
      <c r="Q363" s="301"/>
      <c r="R363" s="297"/>
      <c r="S363" s="297"/>
      <c r="T363" s="299"/>
      <c r="U363" s="300"/>
      <c r="V363" s="301"/>
      <c r="W363" s="297"/>
      <c r="X363" s="297"/>
      <c r="Y363" s="299"/>
      <c r="Z363" s="300"/>
      <c r="AA363" s="301"/>
      <c r="AB363" s="297"/>
      <c r="AC363" s="297"/>
      <c r="AD363" s="299"/>
      <c r="AE363" s="300"/>
      <c r="AF363" s="301"/>
      <c r="AG363" s="297"/>
      <c r="AH363" s="297"/>
      <c r="AI363" s="322"/>
      <c r="AJ363" s="300"/>
      <c r="AK363" s="301"/>
      <c r="AL363" s="297"/>
      <c r="AM363" s="297"/>
      <c r="AN363" s="297"/>
      <c r="AO363" s="473"/>
      <c r="AP363" s="297"/>
      <c r="AQ363" s="301" t="s">
        <v>7675</v>
      </c>
      <c r="AR363" s="297" t="s">
        <v>66</v>
      </c>
      <c r="AS363" s="299" t="s">
        <v>67</v>
      </c>
      <c r="AT363" s="299" t="s">
        <v>67</v>
      </c>
      <c r="AU363" s="297" t="s">
        <v>3827</v>
      </c>
      <c r="AV363" s="297"/>
      <c r="AW363" s="297" t="s">
        <v>69</v>
      </c>
      <c r="AX363" s="297" t="s">
        <v>7633</v>
      </c>
      <c r="AY363" s="299">
        <v>42825</v>
      </c>
      <c r="AZ363" s="297" t="s">
        <v>67</v>
      </c>
      <c r="BA363" s="299" t="s">
        <v>67</v>
      </c>
      <c r="BB363" s="382">
        <v>42830</v>
      </c>
      <c r="BC363" s="297" t="s">
        <v>3829</v>
      </c>
      <c r="BD363" s="297" t="s">
        <v>6447</v>
      </c>
      <c r="BE363" s="297"/>
      <c r="BF363" s="301"/>
      <c r="BG363" s="301" t="s">
        <v>67</v>
      </c>
      <c r="BH363" s="301" t="s">
        <v>4801</v>
      </c>
      <c r="BI363" s="301" t="s">
        <v>4542</v>
      </c>
      <c r="BJ363" s="312">
        <v>745641</v>
      </c>
      <c r="BK363" s="312">
        <v>745641</v>
      </c>
      <c r="BL363" s="313">
        <v>122881517</v>
      </c>
      <c r="BM363" s="299">
        <v>42873</v>
      </c>
      <c r="BN363" s="300">
        <v>42856</v>
      </c>
      <c r="BO363" s="460"/>
      <c r="BP363" s="390"/>
      <c r="BQ363" s="297"/>
      <c r="BR363" s="303"/>
      <c r="BS363" s="301"/>
      <c r="BT363" s="301"/>
      <c r="BU363" s="301"/>
      <c r="BV363" s="301"/>
      <c r="BW363" s="316"/>
      <c r="BX363" s="304"/>
      <c r="BY363" s="299"/>
      <c r="BZ363" s="317"/>
    </row>
    <row r="364" spans="1:555" ht="86.25" customHeight="1">
      <c r="A364" s="296">
        <v>512</v>
      </c>
      <c r="B364" s="297" t="s">
        <v>4802</v>
      </c>
      <c r="C364" s="298">
        <v>80165606</v>
      </c>
      <c r="D364" s="354" t="s">
        <v>67</v>
      </c>
      <c r="E364" s="299">
        <v>42828</v>
      </c>
      <c r="F364" s="300">
        <v>42826</v>
      </c>
      <c r="G364" s="301" t="s">
        <v>271</v>
      </c>
      <c r="H364" s="297" t="s">
        <v>63</v>
      </c>
      <c r="I364" s="297" t="s">
        <v>79</v>
      </c>
      <c r="J364" s="299"/>
      <c r="K364" s="300"/>
      <c r="L364" s="301"/>
      <c r="M364" s="297"/>
      <c r="N364" s="297"/>
      <c r="O364" s="299"/>
      <c r="P364" s="302"/>
      <c r="Q364" s="301"/>
      <c r="R364" s="297"/>
      <c r="S364" s="297"/>
      <c r="T364" s="299"/>
      <c r="U364" s="300"/>
      <c r="V364" s="301"/>
      <c r="W364" s="297"/>
      <c r="X364" s="297"/>
      <c r="Y364" s="299"/>
      <c r="Z364" s="300"/>
      <c r="AA364" s="301"/>
      <c r="AB364" s="297"/>
      <c r="AC364" s="297"/>
      <c r="AD364" s="299"/>
      <c r="AE364" s="300"/>
      <c r="AF364" s="301"/>
      <c r="AG364" s="297"/>
      <c r="AH364" s="297"/>
      <c r="AI364" s="322"/>
      <c r="AJ364" s="300"/>
      <c r="AK364" s="301"/>
      <c r="AL364" s="297"/>
      <c r="AM364" s="297"/>
      <c r="AN364" s="297"/>
      <c r="AO364" s="473"/>
      <c r="AP364" s="297"/>
      <c r="AQ364" s="301" t="s">
        <v>7775</v>
      </c>
      <c r="AR364" s="297" t="s">
        <v>66</v>
      </c>
      <c r="AS364" s="299" t="s">
        <v>67</v>
      </c>
      <c r="AT364" s="299" t="s">
        <v>67</v>
      </c>
      <c r="AU364" s="297" t="s">
        <v>3827</v>
      </c>
      <c r="AV364" s="297"/>
      <c r="AW364" s="297" t="s">
        <v>69</v>
      </c>
      <c r="AX364" s="297" t="s">
        <v>4467</v>
      </c>
      <c r="AY364" s="299">
        <v>42825</v>
      </c>
      <c r="AZ364" s="297" t="s">
        <v>67</v>
      </c>
      <c r="BA364" s="299" t="s">
        <v>67</v>
      </c>
      <c r="BB364" s="382">
        <v>42830</v>
      </c>
      <c r="BC364" s="297" t="s">
        <v>3829</v>
      </c>
      <c r="BD364" s="297" t="s">
        <v>6447</v>
      </c>
      <c r="BE364" s="297"/>
      <c r="BF364" s="301"/>
      <c r="BG364" s="301" t="s">
        <v>67</v>
      </c>
      <c r="BH364" s="301" t="s">
        <v>4803</v>
      </c>
      <c r="BI364" s="301"/>
      <c r="BJ364" s="312">
        <v>2643636</v>
      </c>
      <c r="BK364" s="312">
        <v>2643636</v>
      </c>
      <c r="BL364" s="313">
        <v>2866318</v>
      </c>
      <c r="BM364" s="299">
        <v>43115</v>
      </c>
      <c r="BN364" s="300">
        <v>43101</v>
      </c>
      <c r="BO364" s="434" t="s">
        <v>7776</v>
      </c>
      <c r="BP364" s="390"/>
      <c r="BQ364" s="297"/>
      <c r="BR364" s="303"/>
      <c r="BS364" s="301"/>
      <c r="BT364" s="301"/>
      <c r="BU364" s="301"/>
      <c r="BV364" s="301"/>
      <c r="BW364" s="316"/>
      <c r="BX364" s="304"/>
      <c r="BY364" s="299"/>
      <c r="BZ364" s="317"/>
    </row>
    <row r="365" spans="1:555" ht="101.25" customHeight="1">
      <c r="A365" s="296">
        <v>513</v>
      </c>
      <c r="B365" s="297" t="s">
        <v>4804</v>
      </c>
      <c r="C365" s="298">
        <v>40342430</v>
      </c>
      <c r="D365" s="354" t="s">
        <v>67</v>
      </c>
      <c r="E365" s="299">
        <v>42828</v>
      </c>
      <c r="F365" s="300">
        <v>42826</v>
      </c>
      <c r="G365" s="301" t="s">
        <v>271</v>
      </c>
      <c r="H365" s="297" t="s">
        <v>63</v>
      </c>
      <c r="I365" s="297" t="s">
        <v>79</v>
      </c>
      <c r="J365" s="299"/>
      <c r="K365" s="300"/>
      <c r="L365" s="301"/>
      <c r="M365" s="297"/>
      <c r="N365" s="297"/>
      <c r="O365" s="299"/>
      <c r="P365" s="302"/>
      <c r="Q365" s="301"/>
      <c r="R365" s="297"/>
      <c r="S365" s="297"/>
      <c r="T365" s="299"/>
      <c r="U365" s="300"/>
      <c r="V365" s="301"/>
      <c r="W365" s="297"/>
      <c r="X365" s="297"/>
      <c r="Y365" s="299"/>
      <c r="Z365" s="300"/>
      <c r="AA365" s="301"/>
      <c r="AB365" s="297"/>
      <c r="AC365" s="297"/>
      <c r="AD365" s="299"/>
      <c r="AE365" s="300"/>
      <c r="AF365" s="301"/>
      <c r="AG365" s="297"/>
      <c r="AH365" s="297"/>
      <c r="AI365" s="322"/>
      <c r="AJ365" s="300"/>
      <c r="AK365" s="301"/>
      <c r="AL365" s="297"/>
      <c r="AM365" s="297"/>
      <c r="AN365" s="297"/>
      <c r="AO365" s="473"/>
      <c r="AP365" s="297"/>
      <c r="AQ365" s="301" t="s">
        <v>7692</v>
      </c>
      <c r="AR365" s="297" t="s">
        <v>66</v>
      </c>
      <c r="AS365" s="299" t="s">
        <v>67</v>
      </c>
      <c r="AT365" s="299" t="s">
        <v>67</v>
      </c>
      <c r="AU365" s="297" t="s">
        <v>3827</v>
      </c>
      <c r="AV365" s="297"/>
      <c r="AW365" s="297" t="s">
        <v>69</v>
      </c>
      <c r="AX365" s="297" t="s">
        <v>7633</v>
      </c>
      <c r="AY365" s="299">
        <v>42825</v>
      </c>
      <c r="AZ365" s="297" t="s">
        <v>67</v>
      </c>
      <c r="BA365" s="299" t="s">
        <v>67</v>
      </c>
      <c r="BB365" s="382">
        <v>42830</v>
      </c>
      <c r="BC365" s="297" t="s">
        <v>3829</v>
      </c>
      <c r="BD365" s="297" t="s">
        <v>6447</v>
      </c>
      <c r="BE365" s="297"/>
      <c r="BF365" s="301"/>
      <c r="BG365" s="301" t="s">
        <v>67</v>
      </c>
      <c r="BH365" s="301" t="s">
        <v>4805</v>
      </c>
      <c r="BI365" s="301" t="s">
        <v>4542</v>
      </c>
      <c r="BJ365" s="312">
        <v>338928</v>
      </c>
      <c r="BK365" s="312">
        <v>338928</v>
      </c>
      <c r="BL365" s="313">
        <v>122875917</v>
      </c>
      <c r="BM365" s="299">
        <v>42873</v>
      </c>
      <c r="BN365" s="300">
        <v>42856</v>
      </c>
      <c r="BO365" s="460"/>
      <c r="BP365" s="390"/>
      <c r="BQ365" s="297"/>
      <c r="BR365" s="303"/>
      <c r="BS365" s="301"/>
      <c r="BT365" s="301"/>
      <c r="BU365" s="301"/>
      <c r="BV365" s="301"/>
      <c r="BW365" s="316"/>
      <c r="BX365" s="304"/>
      <c r="BY365" s="299"/>
      <c r="BZ365" s="317"/>
    </row>
    <row r="366" spans="1:555" s="259" customFormat="1" ht="99.75" customHeight="1">
      <c r="A366" s="296">
        <v>514</v>
      </c>
      <c r="B366" s="297" t="s">
        <v>4806</v>
      </c>
      <c r="C366" s="298">
        <v>18879035</v>
      </c>
      <c r="D366" s="354" t="s">
        <v>67</v>
      </c>
      <c r="E366" s="299">
        <v>42828</v>
      </c>
      <c r="F366" s="300">
        <v>42826</v>
      </c>
      <c r="G366" s="301" t="s">
        <v>271</v>
      </c>
      <c r="H366" s="297" t="s">
        <v>63</v>
      </c>
      <c r="I366" s="297" t="s">
        <v>79</v>
      </c>
      <c r="J366" s="299"/>
      <c r="K366" s="300"/>
      <c r="L366" s="301"/>
      <c r="M366" s="297"/>
      <c r="N366" s="297"/>
      <c r="O366" s="299"/>
      <c r="P366" s="302"/>
      <c r="Q366" s="301"/>
      <c r="R366" s="297"/>
      <c r="S366" s="297"/>
      <c r="T366" s="299"/>
      <c r="U366" s="300"/>
      <c r="V366" s="301"/>
      <c r="W366" s="297"/>
      <c r="X366" s="297"/>
      <c r="Y366" s="299"/>
      <c r="Z366" s="300"/>
      <c r="AA366" s="301"/>
      <c r="AB366" s="297"/>
      <c r="AC366" s="297"/>
      <c r="AD366" s="299"/>
      <c r="AE366" s="300"/>
      <c r="AF366" s="301"/>
      <c r="AG366" s="297"/>
      <c r="AH366" s="297"/>
      <c r="AI366" s="322"/>
      <c r="AJ366" s="300"/>
      <c r="AK366" s="301"/>
      <c r="AL366" s="297"/>
      <c r="AM366" s="297"/>
      <c r="AN366" s="297"/>
      <c r="AO366" s="473"/>
      <c r="AP366" s="297"/>
      <c r="AQ366" s="301" t="s">
        <v>7745</v>
      </c>
      <c r="AR366" s="297" t="s">
        <v>66</v>
      </c>
      <c r="AS366" s="299" t="s">
        <v>67</v>
      </c>
      <c r="AT366" s="299" t="s">
        <v>67</v>
      </c>
      <c r="AU366" s="297" t="s">
        <v>3827</v>
      </c>
      <c r="AV366" s="297"/>
      <c r="AW366" s="297" t="s">
        <v>69</v>
      </c>
      <c r="AX366" s="297" t="s">
        <v>7633</v>
      </c>
      <c r="AY366" s="299">
        <v>42825</v>
      </c>
      <c r="AZ366" s="297" t="s">
        <v>67</v>
      </c>
      <c r="BA366" s="299" t="s">
        <v>67</v>
      </c>
      <c r="BB366" s="382">
        <v>42830</v>
      </c>
      <c r="BC366" s="297" t="s">
        <v>3829</v>
      </c>
      <c r="BD366" s="297" t="s">
        <v>6447</v>
      </c>
      <c r="BE366" s="297"/>
      <c r="BF366" s="301"/>
      <c r="BG366" s="301" t="s">
        <v>67</v>
      </c>
      <c r="BH366" s="301" t="s">
        <v>4807</v>
      </c>
      <c r="BI366" s="301" t="s">
        <v>4790</v>
      </c>
      <c r="BJ366" s="312">
        <v>2167151</v>
      </c>
      <c r="BK366" s="312">
        <v>2167151</v>
      </c>
      <c r="BL366" s="313">
        <v>105093817</v>
      </c>
      <c r="BM366" s="299">
        <v>42853</v>
      </c>
      <c r="BN366" s="300">
        <v>42826</v>
      </c>
      <c r="BO366" s="460"/>
      <c r="BP366" s="390"/>
      <c r="BQ366" s="297"/>
      <c r="BR366" s="303"/>
      <c r="BS366" s="301"/>
      <c r="BT366" s="301"/>
      <c r="BU366" s="301"/>
      <c r="BV366" s="301"/>
      <c r="BW366" s="316"/>
      <c r="BX366" s="304"/>
      <c r="BY366" s="299"/>
      <c r="BZ366" s="317"/>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c r="JC366" s="1"/>
      <c r="JD366" s="1"/>
      <c r="JE366" s="1"/>
      <c r="JF366" s="1"/>
      <c r="JG366" s="1"/>
      <c r="JH366" s="1"/>
      <c r="JI366" s="1"/>
      <c r="JJ366" s="1"/>
      <c r="JK366" s="1"/>
      <c r="JL366" s="1"/>
      <c r="JM366" s="1"/>
      <c r="JN366" s="1"/>
      <c r="JO366" s="1"/>
      <c r="JP366" s="1"/>
      <c r="JQ366" s="1"/>
      <c r="JR366" s="1"/>
      <c r="JS366" s="1"/>
      <c r="JT366" s="1"/>
      <c r="JU366" s="1"/>
      <c r="JV366" s="1"/>
      <c r="JW366" s="1"/>
      <c r="JX366" s="1"/>
      <c r="JY366" s="1"/>
      <c r="JZ366" s="1"/>
      <c r="KA366" s="1"/>
      <c r="KB366" s="1"/>
      <c r="KC366" s="1"/>
      <c r="KD366" s="1"/>
      <c r="KE366" s="1"/>
      <c r="KF366" s="1"/>
      <c r="KG366" s="1"/>
      <c r="KH366" s="1"/>
      <c r="KI366" s="1"/>
      <c r="KJ366" s="1"/>
      <c r="KK366" s="1"/>
      <c r="KL366" s="1"/>
      <c r="KM366" s="1"/>
      <c r="KN366" s="1"/>
      <c r="KO366" s="1"/>
      <c r="KP366" s="1"/>
      <c r="KQ366" s="1"/>
      <c r="KR366" s="1"/>
      <c r="KS366" s="1"/>
      <c r="KT366" s="1"/>
      <c r="KU366" s="1"/>
      <c r="KV366" s="1"/>
      <c r="KW366" s="1"/>
      <c r="KX366" s="1"/>
      <c r="KY366" s="1"/>
      <c r="KZ366" s="1"/>
      <c r="LA366" s="1"/>
      <c r="LB366" s="1"/>
      <c r="LC366" s="1"/>
      <c r="LD366" s="1"/>
      <c r="LE366" s="1"/>
      <c r="LF366" s="1"/>
      <c r="LG366" s="1"/>
      <c r="LH366" s="1"/>
      <c r="LI366" s="1"/>
      <c r="LJ366" s="1"/>
      <c r="LK366" s="1"/>
      <c r="LL366" s="1"/>
      <c r="LM366" s="1"/>
      <c r="LN366" s="1"/>
      <c r="LO366" s="1"/>
      <c r="LP366" s="1"/>
      <c r="LQ366" s="1"/>
      <c r="LR366" s="1"/>
      <c r="LS366" s="1"/>
      <c r="LT366" s="1"/>
      <c r="LU366" s="1"/>
      <c r="LV366" s="1"/>
      <c r="LW366" s="1"/>
      <c r="LX366" s="1"/>
      <c r="LY366" s="1"/>
      <c r="LZ366" s="1"/>
      <c r="MA366" s="1"/>
      <c r="MB366" s="1"/>
      <c r="MC366" s="1"/>
      <c r="MD366" s="1"/>
      <c r="ME366" s="1"/>
      <c r="MF366" s="1"/>
      <c r="MG366" s="1"/>
      <c r="MH366" s="1"/>
      <c r="MI366" s="1"/>
      <c r="MJ366" s="1"/>
      <c r="MK366" s="1"/>
      <c r="ML366" s="1"/>
      <c r="MM366" s="1"/>
      <c r="MN366" s="1"/>
      <c r="MO366" s="1"/>
      <c r="MP366" s="1"/>
      <c r="MQ366" s="1"/>
      <c r="MR366" s="1"/>
      <c r="MS366" s="1"/>
      <c r="MT366" s="1"/>
      <c r="MU366" s="1"/>
      <c r="MV366" s="1"/>
      <c r="MW366" s="1"/>
      <c r="MX366" s="1"/>
      <c r="MY366" s="1"/>
      <c r="MZ366" s="1"/>
      <c r="NA366" s="1"/>
      <c r="NB366" s="1"/>
      <c r="NC366" s="1"/>
      <c r="ND366" s="1"/>
      <c r="NE366" s="1"/>
      <c r="NF366" s="1"/>
      <c r="NG366" s="1"/>
      <c r="NH366" s="1"/>
      <c r="NI366" s="1"/>
      <c r="NJ366" s="1"/>
      <c r="NK366" s="1"/>
      <c r="NL366" s="1"/>
      <c r="NM366" s="1"/>
      <c r="NN366" s="1"/>
      <c r="NO366" s="1"/>
      <c r="NP366" s="1"/>
      <c r="NQ366" s="1"/>
      <c r="NR366" s="1"/>
      <c r="NS366" s="1"/>
      <c r="NT366" s="1"/>
      <c r="NU366" s="1"/>
      <c r="NV366" s="1"/>
      <c r="NW366" s="1"/>
      <c r="NX366" s="1"/>
      <c r="NY366" s="1"/>
      <c r="NZ366" s="1"/>
      <c r="OA366" s="1"/>
      <c r="OB366" s="1"/>
      <c r="OC366" s="1"/>
      <c r="OD366" s="1"/>
      <c r="OE366" s="1"/>
      <c r="OF366" s="1"/>
      <c r="OG366" s="1"/>
      <c r="OH366" s="1"/>
      <c r="OI366" s="1"/>
      <c r="OJ366" s="1"/>
      <c r="OK366" s="1"/>
      <c r="OL366" s="1"/>
      <c r="OM366" s="1"/>
      <c r="ON366" s="1"/>
      <c r="OO366" s="1"/>
      <c r="OP366" s="1"/>
      <c r="OQ366" s="1"/>
      <c r="OR366" s="1"/>
      <c r="OS366" s="1"/>
      <c r="OT366" s="1"/>
      <c r="OU366" s="1"/>
      <c r="OV366" s="1"/>
      <c r="OW366" s="1"/>
      <c r="OX366" s="1"/>
      <c r="OY366" s="1"/>
      <c r="OZ366" s="1"/>
      <c r="PA366" s="1"/>
      <c r="PB366" s="1"/>
      <c r="PC366" s="1"/>
      <c r="PD366" s="1"/>
      <c r="PE366" s="1"/>
      <c r="PF366" s="1"/>
      <c r="PG366" s="1"/>
      <c r="PH366" s="1"/>
      <c r="PI366" s="1"/>
      <c r="PJ366" s="1"/>
      <c r="PK366" s="1"/>
      <c r="PL366" s="1"/>
      <c r="PM366" s="1"/>
      <c r="PN366" s="1"/>
      <c r="PO366" s="1"/>
      <c r="PP366" s="1"/>
      <c r="PQ366" s="1"/>
      <c r="PR366" s="1"/>
      <c r="PS366" s="1"/>
      <c r="PT366" s="1"/>
      <c r="PU366" s="1"/>
      <c r="PV366" s="1"/>
      <c r="PW366" s="1"/>
      <c r="PX366" s="1"/>
      <c r="PY366" s="1"/>
      <c r="PZ366" s="1"/>
      <c r="QA366" s="1"/>
      <c r="QB366" s="1"/>
      <c r="QC366" s="1"/>
      <c r="QD366" s="1"/>
      <c r="QE366" s="1"/>
      <c r="QF366" s="1"/>
      <c r="QG366" s="1"/>
      <c r="QH366" s="1"/>
      <c r="QI366" s="1"/>
      <c r="QJ366" s="1"/>
      <c r="QK366" s="1"/>
      <c r="QL366" s="1"/>
      <c r="QM366" s="1"/>
      <c r="QN366" s="1"/>
      <c r="QO366" s="1"/>
      <c r="QP366" s="1"/>
      <c r="QQ366" s="1"/>
      <c r="QR366" s="1"/>
      <c r="QS366" s="1"/>
      <c r="QT366" s="1"/>
      <c r="QU366" s="1"/>
      <c r="QV366" s="1"/>
      <c r="QW366" s="1"/>
      <c r="QX366" s="1"/>
      <c r="QY366" s="1"/>
      <c r="QZ366" s="1"/>
      <c r="RA366" s="1"/>
      <c r="RB366" s="1"/>
      <c r="RC366" s="1"/>
      <c r="RD366" s="1"/>
      <c r="RE366" s="1"/>
      <c r="RF366" s="1"/>
      <c r="RG366" s="1"/>
      <c r="RH366" s="1"/>
      <c r="RI366" s="1"/>
      <c r="RJ366" s="1"/>
      <c r="RK366" s="1"/>
      <c r="RL366" s="1"/>
      <c r="RM366" s="1"/>
      <c r="RN366" s="1"/>
      <c r="RO366" s="1"/>
      <c r="RP366" s="1"/>
      <c r="RQ366" s="1"/>
      <c r="RR366" s="1"/>
      <c r="RS366" s="1"/>
      <c r="RT366" s="1"/>
      <c r="RU366" s="1"/>
      <c r="RV366" s="1"/>
      <c r="RW366" s="1"/>
      <c r="RX366" s="1"/>
      <c r="RY366" s="1"/>
      <c r="RZ366" s="1"/>
      <c r="SA366" s="1"/>
      <c r="SB366" s="1"/>
      <c r="SC366" s="1"/>
      <c r="SD366" s="1"/>
      <c r="SE366" s="1"/>
      <c r="SF366" s="1"/>
      <c r="SG366" s="1"/>
      <c r="SH366" s="1"/>
      <c r="SI366" s="1"/>
      <c r="SJ366" s="1"/>
      <c r="SK366" s="1"/>
      <c r="SL366" s="1"/>
      <c r="SM366" s="1"/>
      <c r="SN366" s="1"/>
      <c r="SO366" s="1"/>
      <c r="SP366" s="1"/>
      <c r="SQ366" s="1"/>
      <c r="SR366" s="1"/>
      <c r="SS366" s="1"/>
      <c r="ST366" s="1"/>
      <c r="SU366" s="1"/>
      <c r="SV366" s="1"/>
      <c r="SW366" s="1"/>
      <c r="SX366" s="1"/>
      <c r="SY366" s="1"/>
      <c r="SZ366" s="1"/>
      <c r="TA366" s="1"/>
      <c r="TB366" s="1"/>
      <c r="TC366" s="1"/>
      <c r="TD366" s="1"/>
      <c r="TE366" s="1"/>
      <c r="TF366" s="1"/>
      <c r="TG366" s="1"/>
      <c r="TH366" s="1"/>
      <c r="TI366" s="1"/>
      <c r="TJ366" s="1"/>
      <c r="TK366" s="1"/>
      <c r="TL366" s="1"/>
      <c r="TM366" s="1"/>
      <c r="TN366" s="1"/>
      <c r="TO366" s="1"/>
      <c r="TP366" s="1"/>
      <c r="TQ366" s="1"/>
      <c r="TR366" s="1"/>
      <c r="TS366" s="1"/>
      <c r="TT366" s="1"/>
      <c r="TU366" s="1"/>
      <c r="TV366" s="1"/>
      <c r="TW366" s="1"/>
      <c r="TX366" s="1"/>
      <c r="TY366" s="1"/>
      <c r="TZ366" s="1"/>
      <c r="UA366" s="1"/>
      <c r="UB366" s="1"/>
      <c r="UC366" s="1"/>
      <c r="UD366" s="1"/>
      <c r="UE366" s="1"/>
      <c r="UF366" s="1"/>
      <c r="UG366" s="1"/>
      <c r="UH366" s="1"/>
      <c r="UI366" s="1"/>
    </row>
    <row r="367" spans="1:555" ht="112.5" customHeight="1">
      <c r="A367" s="296">
        <v>515</v>
      </c>
      <c r="B367" s="297" t="s">
        <v>4808</v>
      </c>
      <c r="C367" s="298">
        <v>79715690</v>
      </c>
      <c r="D367" s="354" t="s">
        <v>67</v>
      </c>
      <c r="E367" s="299">
        <v>42828</v>
      </c>
      <c r="F367" s="300">
        <v>42826</v>
      </c>
      <c r="G367" s="301" t="s">
        <v>271</v>
      </c>
      <c r="H367" s="297" t="s">
        <v>63</v>
      </c>
      <c r="I367" s="297" t="s">
        <v>79</v>
      </c>
      <c r="J367" s="299"/>
      <c r="K367" s="300"/>
      <c r="L367" s="301"/>
      <c r="M367" s="297"/>
      <c r="N367" s="297"/>
      <c r="O367" s="299"/>
      <c r="P367" s="302"/>
      <c r="Q367" s="301"/>
      <c r="R367" s="297"/>
      <c r="S367" s="297"/>
      <c r="T367" s="299"/>
      <c r="U367" s="300"/>
      <c r="V367" s="301"/>
      <c r="W367" s="297"/>
      <c r="X367" s="297"/>
      <c r="Y367" s="299"/>
      <c r="Z367" s="300"/>
      <c r="AA367" s="301"/>
      <c r="AB367" s="297"/>
      <c r="AC367" s="297"/>
      <c r="AD367" s="299"/>
      <c r="AE367" s="300"/>
      <c r="AF367" s="301"/>
      <c r="AG367" s="297"/>
      <c r="AH367" s="297"/>
      <c r="AI367" s="322"/>
      <c r="AJ367" s="300"/>
      <c r="AK367" s="301"/>
      <c r="AL367" s="297"/>
      <c r="AM367" s="297"/>
      <c r="AN367" s="297"/>
      <c r="AO367" s="473"/>
      <c r="AP367" s="297"/>
      <c r="AQ367" s="301" t="s">
        <v>7905</v>
      </c>
      <c r="AR367" s="297" t="s">
        <v>66</v>
      </c>
      <c r="AS367" s="299" t="s">
        <v>67</v>
      </c>
      <c r="AT367" s="299" t="s">
        <v>67</v>
      </c>
      <c r="AU367" s="297" t="s">
        <v>3827</v>
      </c>
      <c r="AV367" s="297"/>
      <c r="AW367" s="297" t="s">
        <v>69</v>
      </c>
      <c r="AX367" s="297" t="s">
        <v>7633</v>
      </c>
      <c r="AY367" s="299">
        <v>42825</v>
      </c>
      <c r="AZ367" s="297" t="s">
        <v>67</v>
      </c>
      <c r="BA367" s="299" t="s">
        <v>67</v>
      </c>
      <c r="BB367" s="382">
        <v>42830</v>
      </c>
      <c r="BC367" s="297" t="s">
        <v>3829</v>
      </c>
      <c r="BD367" s="297" t="s">
        <v>6447</v>
      </c>
      <c r="BE367" s="297"/>
      <c r="BF367" s="301"/>
      <c r="BG367" s="301" t="s">
        <v>67</v>
      </c>
      <c r="BH367" s="301" t="s">
        <v>4809</v>
      </c>
      <c r="BI367" s="301" t="s">
        <v>4790</v>
      </c>
      <c r="BJ367" s="312">
        <v>2372494</v>
      </c>
      <c r="BK367" s="312">
        <v>2372494</v>
      </c>
      <c r="BL367" s="313">
        <v>105142017</v>
      </c>
      <c r="BM367" s="299">
        <v>42853</v>
      </c>
      <c r="BN367" s="300">
        <v>42826</v>
      </c>
      <c r="BO367" s="460"/>
      <c r="BP367" s="390"/>
      <c r="BQ367" s="297"/>
      <c r="BR367" s="303"/>
      <c r="BS367" s="301"/>
      <c r="BT367" s="301"/>
      <c r="BU367" s="301"/>
      <c r="BV367" s="301"/>
      <c r="BW367" s="316"/>
      <c r="BX367" s="304"/>
      <c r="BY367" s="299"/>
      <c r="BZ367" s="317"/>
    </row>
    <row r="368" spans="1:555" s="259" customFormat="1" ht="54">
      <c r="A368" s="296">
        <v>516</v>
      </c>
      <c r="B368" s="297" t="s">
        <v>4810</v>
      </c>
      <c r="C368" s="298">
        <v>94279541</v>
      </c>
      <c r="D368" s="354" t="s">
        <v>67</v>
      </c>
      <c r="E368" s="299">
        <v>42828</v>
      </c>
      <c r="F368" s="300">
        <v>42826</v>
      </c>
      <c r="G368" s="301" t="s">
        <v>271</v>
      </c>
      <c r="H368" s="297" t="s">
        <v>63</v>
      </c>
      <c r="I368" s="297" t="s">
        <v>79</v>
      </c>
      <c r="J368" s="299"/>
      <c r="K368" s="300"/>
      <c r="L368" s="301"/>
      <c r="M368" s="297"/>
      <c r="N368" s="297"/>
      <c r="O368" s="299"/>
      <c r="P368" s="302"/>
      <c r="Q368" s="301"/>
      <c r="R368" s="297"/>
      <c r="S368" s="297"/>
      <c r="T368" s="299"/>
      <c r="U368" s="300"/>
      <c r="V368" s="301"/>
      <c r="W368" s="297"/>
      <c r="X368" s="297"/>
      <c r="Y368" s="299"/>
      <c r="Z368" s="300"/>
      <c r="AA368" s="301"/>
      <c r="AB368" s="297"/>
      <c r="AC368" s="297"/>
      <c r="AD368" s="299"/>
      <c r="AE368" s="300"/>
      <c r="AF368" s="301"/>
      <c r="AG368" s="297"/>
      <c r="AH368" s="297"/>
      <c r="AI368" s="322"/>
      <c r="AJ368" s="300"/>
      <c r="AK368" s="301"/>
      <c r="AL368" s="297"/>
      <c r="AM368" s="297"/>
      <c r="AN368" s="297"/>
      <c r="AO368" s="473"/>
      <c r="AP368" s="297"/>
      <c r="AQ368" s="301" t="s">
        <v>7895</v>
      </c>
      <c r="AR368" s="297" t="s">
        <v>66</v>
      </c>
      <c r="AS368" s="299" t="s">
        <v>67</v>
      </c>
      <c r="AT368" s="299" t="s">
        <v>67</v>
      </c>
      <c r="AU368" s="297" t="s">
        <v>3827</v>
      </c>
      <c r="AV368" s="297"/>
      <c r="AW368" s="297" t="s">
        <v>69</v>
      </c>
      <c r="AX368" s="297" t="s">
        <v>7633</v>
      </c>
      <c r="AY368" s="299">
        <v>42825</v>
      </c>
      <c r="AZ368" s="297" t="s">
        <v>67</v>
      </c>
      <c r="BA368" s="299" t="s">
        <v>67</v>
      </c>
      <c r="BB368" s="382">
        <v>42830</v>
      </c>
      <c r="BC368" s="297" t="s">
        <v>3829</v>
      </c>
      <c r="BD368" s="297" t="s">
        <v>6447</v>
      </c>
      <c r="BE368" s="297"/>
      <c r="BF368" s="301"/>
      <c r="BG368" s="301" t="s">
        <v>67</v>
      </c>
      <c r="BH368" s="301" t="s">
        <v>4811</v>
      </c>
      <c r="BI368" s="301" t="s">
        <v>4812</v>
      </c>
      <c r="BJ368" s="312">
        <v>1442533</v>
      </c>
      <c r="BK368" s="312">
        <v>1442533</v>
      </c>
      <c r="BL368" s="313">
        <v>114770617</v>
      </c>
      <c r="BM368" s="299">
        <v>42865</v>
      </c>
      <c r="BN368" s="300">
        <v>42856</v>
      </c>
      <c r="BO368" s="460"/>
      <c r="BP368" s="390"/>
      <c r="BQ368" s="297"/>
      <c r="BR368" s="303"/>
      <c r="BS368" s="301"/>
      <c r="BT368" s="301"/>
      <c r="BU368" s="301"/>
      <c r="BV368" s="301"/>
      <c r="BW368" s="316"/>
      <c r="BX368" s="304"/>
      <c r="BY368" s="299"/>
      <c r="BZ368" s="317"/>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c r="JC368" s="1"/>
      <c r="JD368" s="1"/>
      <c r="JE368" s="1"/>
      <c r="JF368" s="1"/>
      <c r="JG368" s="1"/>
      <c r="JH368" s="1"/>
      <c r="JI368" s="1"/>
      <c r="JJ368" s="1"/>
      <c r="JK368" s="1"/>
      <c r="JL368" s="1"/>
      <c r="JM368" s="1"/>
      <c r="JN368" s="1"/>
      <c r="JO368" s="1"/>
      <c r="JP368" s="1"/>
      <c r="JQ368" s="1"/>
      <c r="JR368" s="1"/>
      <c r="JS368" s="1"/>
      <c r="JT368" s="1"/>
      <c r="JU368" s="1"/>
      <c r="JV368" s="1"/>
      <c r="JW368" s="1"/>
      <c r="JX368" s="1"/>
      <c r="JY368" s="1"/>
      <c r="JZ368" s="1"/>
      <c r="KA368" s="1"/>
      <c r="KB368" s="1"/>
      <c r="KC368" s="1"/>
      <c r="KD368" s="1"/>
      <c r="KE368" s="1"/>
      <c r="KF368" s="1"/>
      <c r="KG368" s="1"/>
      <c r="KH368" s="1"/>
      <c r="KI368" s="1"/>
      <c r="KJ368" s="1"/>
      <c r="KK368" s="1"/>
      <c r="KL368" s="1"/>
      <c r="KM368" s="1"/>
      <c r="KN368" s="1"/>
      <c r="KO368" s="1"/>
      <c r="KP368" s="1"/>
      <c r="KQ368" s="1"/>
      <c r="KR368" s="1"/>
      <c r="KS368" s="1"/>
      <c r="KT368" s="1"/>
      <c r="KU368" s="1"/>
      <c r="KV368" s="1"/>
      <c r="KW368" s="1"/>
      <c r="KX368" s="1"/>
      <c r="KY368" s="1"/>
      <c r="KZ368" s="1"/>
      <c r="LA368" s="1"/>
      <c r="LB368" s="1"/>
      <c r="LC368" s="1"/>
      <c r="LD368" s="1"/>
      <c r="LE368" s="1"/>
      <c r="LF368" s="1"/>
      <c r="LG368" s="1"/>
      <c r="LH368" s="1"/>
      <c r="LI368" s="1"/>
      <c r="LJ368" s="1"/>
      <c r="LK368" s="1"/>
      <c r="LL368" s="1"/>
      <c r="LM368" s="1"/>
      <c r="LN368" s="1"/>
      <c r="LO368" s="1"/>
      <c r="LP368" s="1"/>
      <c r="LQ368" s="1"/>
      <c r="LR368" s="1"/>
      <c r="LS368" s="1"/>
      <c r="LT368" s="1"/>
      <c r="LU368" s="1"/>
      <c r="LV368" s="1"/>
      <c r="LW368" s="1"/>
      <c r="LX368" s="1"/>
      <c r="LY368" s="1"/>
      <c r="LZ368" s="1"/>
      <c r="MA368" s="1"/>
      <c r="MB368" s="1"/>
      <c r="MC368" s="1"/>
      <c r="MD368" s="1"/>
      <c r="ME368" s="1"/>
      <c r="MF368" s="1"/>
      <c r="MG368" s="1"/>
      <c r="MH368" s="1"/>
      <c r="MI368" s="1"/>
      <c r="MJ368" s="1"/>
      <c r="MK368" s="1"/>
      <c r="ML368" s="1"/>
      <c r="MM368" s="1"/>
      <c r="MN368" s="1"/>
      <c r="MO368" s="1"/>
      <c r="MP368" s="1"/>
      <c r="MQ368" s="1"/>
      <c r="MR368" s="1"/>
      <c r="MS368" s="1"/>
      <c r="MT368" s="1"/>
      <c r="MU368" s="1"/>
      <c r="MV368" s="1"/>
      <c r="MW368" s="1"/>
      <c r="MX368" s="1"/>
      <c r="MY368" s="1"/>
      <c r="MZ368" s="1"/>
      <c r="NA368" s="1"/>
      <c r="NB368" s="1"/>
      <c r="NC368" s="1"/>
      <c r="ND368" s="1"/>
      <c r="NE368" s="1"/>
      <c r="NF368" s="1"/>
      <c r="NG368" s="1"/>
      <c r="NH368" s="1"/>
      <c r="NI368" s="1"/>
      <c r="NJ368" s="1"/>
      <c r="NK368" s="1"/>
      <c r="NL368" s="1"/>
      <c r="NM368" s="1"/>
      <c r="NN368" s="1"/>
      <c r="NO368" s="1"/>
      <c r="NP368" s="1"/>
      <c r="NQ368" s="1"/>
      <c r="NR368" s="1"/>
      <c r="NS368" s="1"/>
      <c r="NT368" s="1"/>
      <c r="NU368" s="1"/>
      <c r="NV368" s="1"/>
      <c r="NW368" s="1"/>
      <c r="NX368" s="1"/>
      <c r="NY368" s="1"/>
      <c r="NZ368" s="1"/>
      <c r="OA368" s="1"/>
      <c r="OB368" s="1"/>
      <c r="OC368" s="1"/>
      <c r="OD368" s="1"/>
      <c r="OE368" s="1"/>
      <c r="OF368" s="1"/>
      <c r="OG368" s="1"/>
      <c r="OH368" s="1"/>
      <c r="OI368" s="1"/>
      <c r="OJ368" s="1"/>
      <c r="OK368" s="1"/>
      <c r="OL368" s="1"/>
      <c r="OM368" s="1"/>
      <c r="ON368" s="1"/>
      <c r="OO368" s="1"/>
      <c r="OP368" s="1"/>
      <c r="OQ368" s="1"/>
      <c r="OR368" s="1"/>
      <c r="OS368" s="1"/>
      <c r="OT368" s="1"/>
      <c r="OU368" s="1"/>
      <c r="OV368" s="1"/>
      <c r="OW368" s="1"/>
      <c r="OX368" s="1"/>
      <c r="OY368" s="1"/>
      <c r="OZ368" s="1"/>
      <c r="PA368" s="1"/>
      <c r="PB368" s="1"/>
      <c r="PC368" s="1"/>
      <c r="PD368" s="1"/>
      <c r="PE368" s="1"/>
      <c r="PF368" s="1"/>
      <c r="PG368" s="1"/>
      <c r="PH368" s="1"/>
      <c r="PI368" s="1"/>
      <c r="PJ368" s="1"/>
      <c r="PK368" s="1"/>
      <c r="PL368" s="1"/>
      <c r="PM368" s="1"/>
      <c r="PN368" s="1"/>
      <c r="PO368" s="1"/>
      <c r="PP368" s="1"/>
      <c r="PQ368" s="1"/>
      <c r="PR368" s="1"/>
      <c r="PS368" s="1"/>
      <c r="PT368" s="1"/>
      <c r="PU368" s="1"/>
      <c r="PV368" s="1"/>
      <c r="PW368" s="1"/>
      <c r="PX368" s="1"/>
      <c r="PY368" s="1"/>
      <c r="PZ368" s="1"/>
      <c r="QA368" s="1"/>
      <c r="QB368" s="1"/>
      <c r="QC368" s="1"/>
      <c r="QD368" s="1"/>
      <c r="QE368" s="1"/>
      <c r="QF368" s="1"/>
      <c r="QG368" s="1"/>
      <c r="QH368" s="1"/>
      <c r="QI368" s="1"/>
      <c r="QJ368" s="1"/>
      <c r="QK368" s="1"/>
      <c r="QL368" s="1"/>
      <c r="QM368" s="1"/>
      <c r="QN368" s="1"/>
      <c r="QO368" s="1"/>
      <c r="QP368" s="1"/>
      <c r="QQ368" s="1"/>
      <c r="QR368" s="1"/>
      <c r="QS368" s="1"/>
      <c r="QT368" s="1"/>
      <c r="QU368" s="1"/>
      <c r="QV368" s="1"/>
      <c r="QW368" s="1"/>
      <c r="QX368" s="1"/>
      <c r="QY368" s="1"/>
      <c r="QZ368" s="1"/>
      <c r="RA368" s="1"/>
      <c r="RB368" s="1"/>
      <c r="RC368" s="1"/>
      <c r="RD368" s="1"/>
      <c r="RE368" s="1"/>
      <c r="RF368" s="1"/>
      <c r="RG368" s="1"/>
      <c r="RH368" s="1"/>
      <c r="RI368" s="1"/>
      <c r="RJ368" s="1"/>
      <c r="RK368" s="1"/>
      <c r="RL368" s="1"/>
      <c r="RM368" s="1"/>
      <c r="RN368" s="1"/>
      <c r="RO368" s="1"/>
      <c r="RP368" s="1"/>
      <c r="RQ368" s="1"/>
      <c r="RR368" s="1"/>
      <c r="RS368" s="1"/>
      <c r="RT368" s="1"/>
      <c r="RU368" s="1"/>
      <c r="RV368" s="1"/>
      <c r="RW368" s="1"/>
      <c r="RX368" s="1"/>
      <c r="RY368" s="1"/>
      <c r="RZ368" s="1"/>
      <c r="SA368" s="1"/>
      <c r="SB368" s="1"/>
      <c r="SC368" s="1"/>
      <c r="SD368" s="1"/>
      <c r="SE368" s="1"/>
      <c r="SF368" s="1"/>
      <c r="SG368" s="1"/>
      <c r="SH368" s="1"/>
      <c r="SI368" s="1"/>
      <c r="SJ368" s="1"/>
      <c r="SK368" s="1"/>
      <c r="SL368" s="1"/>
      <c r="SM368" s="1"/>
      <c r="SN368" s="1"/>
      <c r="SO368" s="1"/>
      <c r="SP368" s="1"/>
      <c r="SQ368" s="1"/>
      <c r="SR368" s="1"/>
      <c r="SS368" s="1"/>
      <c r="ST368" s="1"/>
      <c r="SU368" s="1"/>
      <c r="SV368" s="1"/>
      <c r="SW368" s="1"/>
      <c r="SX368" s="1"/>
      <c r="SY368" s="1"/>
      <c r="SZ368" s="1"/>
      <c r="TA368" s="1"/>
      <c r="TB368" s="1"/>
      <c r="TC368" s="1"/>
      <c r="TD368" s="1"/>
      <c r="TE368" s="1"/>
      <c r="TF368" s="1"/>
      <c r="TG368" s="1"/>
      <c r="TH368" s="1"/>
      <c r="TI368" s="1"/>
      <c r="TJ368" s="1"/>
      <c r="TK368" s="1"/>
      <c r="TL368" s="1"/>
      <c r="TM368" s="1"/>
      <c r="TN368" s="1"/>
      <c r="TO368" s="1"/>
      <c r="TP368" s="1"/>
      <c r="TQ368" s="1"/>
      <c r="TR368" s="1"/>
      <c r="TS368" s="1"/>
      <c r="TT368" s="1"/>
      <c r="TU368" s="1"/>
      <c r="TV368" s="1"/>
      <c r="TW368" s="1"/>
      <c r="TX368" s="1"/>
      <c r="TY368" s="1"/>
      <c r="TZ368" s="1"/>
      <c r="UA368" s="1"/>
      <c r="UB368" s="1"/>
      <c r="UC368" s="1"/>
      <c r="UD368" s="1"/>
      <c r="UE368" s="1"/>
      <c r="UF368" s="1"/>
      <c r="UG368" s="1"/>
      <c r="UH368" s="1"/>
      <c r="UI368" s="1"/>
    </row>
    <row r="369" spans="1:555" ht="115.5" customHeight="1">
      <c r="A369" s="296">
        <v>517</v>
      </c>
      <c r="B369" s="297" t="s">
        <v>4813</v>
      </c>
      <c r="C369" s="298">
        <v>1012325716</v>
      </c>
      <c r="D369" s="354" t="s">
        <v>67</v>
      </c>
      <c r="E369" s="299">
        <v>42828</v>
      </c>
      <c r="F369" s="300">
        <v>42826</v>
      </c>
      <c r="G369" s="301" t="s">
        <v>271</v>
      </c>
      <c r="H369" s="297" t="s">
        <v>63</v>
      </c>
      <c r="I369" s="297" t="s">
        <v>79</v>
      </c>
      <c r="J369" s="299"/>
      <c r="K369" s="300"/>
      <c r="L369" s="301"/>
      <c r="M369" s="297"/>
      <c r="N369" s="297"/>
      <c r="O369" s="299"/>
      <c r="P369" s="302"/>
      <c r="Q369" s="301"/>
      <c r="R369" s="297"/>
      <c r="S369" s="297"/>
      <c r="T369" s="299"/>
      <c r="U369" s="300"/>
      <c r="V369" s="301"/>
      <c r="W369" s="297"/>
      <c r="X369" s="297"/>
      <c r="Y369" s="299"/>
      <c r="Z369" s="300"/>
      <c r="AA369" s="301"/>
      <c r="AB369" s="297"/>
      <c r="AC369" s="297"/>
      <c r="AD369" s="299"/>
      <c r="AE369" s="300"/>
      <c r="AF369" s="301"/>
      <c r="AG369" s="297"/>
      <c r="AH369" s="297"/>
      <c r="AI369" s="322"/>
      <c r="AJ369" s="300"/>
      <c r="AK369" s="301"/>
      <c r="AL369" s="297"/>
      <c r="AM369" s="297"/>
      <c r="AN369" s="297"/>
      <c r="AO369" s="473"/>
      <c r="AP369" s="297"/>
      <c r="AQ369" s="301" t="s">
        <v>7643</v>
      </c>
      <c r="AR369" s="297" t="s">
        <v>66</v>
      </c>
      <c r="AS369" s="299" t="s">
        <v>67</v>
      </c>
      <c r="AT369" s="299" t="s">
        <v>67</v>
      </c>
      <c r="AU369" s="297" t="s">
        <v>3827</v>
      </c>
      <c r="AV369" s="297"/>
      <c r="AW369" s="297" t="s">
        <v>69</v>
      </c>
      <c r="AX369" s="297" t="s">
        <v>7644</v>
      </c>
      <c r="AY369" s="299">
        <v>42825</v>
      </c>
      <c r="AZ369" s="297" t="s">
        <v>67</v>
      </c>
      <c r="BA369" s="299" t="s">
        <v>67</v>
      </c>
      <c r="BB369" s="382">
        <v>42830</v>
      </c>
      <c r="BC369" s="297" t="s">
        <v>3829</v>
      </c>
      <c r="BD369" s="297" t="s">
        <v>6447</v>
      </c>
      <c r="BE369" s="297"/>
      <c r="BF369" s="301"/>
      <c r="BG369" s="301" t="s">
        <v>67</v>
      </c>
      <c r="BH369" s="301" t="s">
        <v>4814</v>
      </c>
      <c r="BI369" s="301" t="s">
        <v>496</v>
      </c>
      <c r="BJ369" s="312">
        <v>924399</v>
      </c>
      <c r="BK369" s="312">
        <v>924399</v>
      </c>
      <c r="BL369" s="313">
        <v>139633417</v>
      </c>
      <c r="BM369" s="299">
        <v>42886</v>
      </c>
      <c r="BN369" s="300">
        <v>42856</v>
      </c>
      <c r="BO369" s="460"/>
      <c r="BP369" s="390"/>
      <c r="BQ369" s="297"/>
      <c r="BR369" s="303"/>
      <c r="BS369" s="301"/>
      <c r="BT369" s="301"/>
      <c r="BU369" s="301"/>
      <c r="BV369" s="301"/>
      <c r="BW369" s="316"/>
      <c r="BX369" s="304"/>
      <c r="BY369" s="299"/>
      <c r="BZ369" s="317"/>
    </row>
    <row r="370" spans="1:555" ht="54">
      <c r="A370" s="296">
        <v>518</v>
      </c>
      <c r="B370" s="297" t="s">
        <v>4815</v>
      </c>
      <c r="C370" s="298">
        <v>79261638</v>
      </c>
      <c r="D370" s="354" t="s">
        <v>67</v>
      </c>
      <c r="E370" s="299">
        <v>42828</v>
      </c>
      <c r="F370" s="300">
        <v>42826</v>
      </c>
      <c r="G370" s="301" t="s">
        <v>271</v>
      </c>
      <c r="H370" s="297" t="s">
        <v>63</v>
      </c>
      <c r="I370" s="297" t="s">
        <v>79</v>
      </c>
      <c r="J370" s="299"/>
      <c r="K370" s="300"/>
      <c r="L370" s="301"/>
      <c r="M370" s="297"/>
      <c r="N370" s="297"/>
      <c r="O370" s="299"/>
      <c r="P370" s="302"/>
      <c r="Q370" s="301"/>
      <c r="R370" s="297"/>
      <c r="S370" s="297"/>
      <c r="T370" s="299"/>
      <c r="U370" s="300"/>
      <c r="V370" s="301"/>
      <c r="W370" s="297"/>
      <c r="X370" s="297"/>
      <c r="Y370" s="299"/>
      <c r="Z370" s="300"/>
      <c r="AA370" s="301"/>
      <c r="AB370" s="297"/>
      <c r="AC370" s="297"/>
      <c r="AD370" s="299"/>
      <c r="AE370" s="300"/>
      <c r="AF370" s="301"/>
      <c r="AG370" s="297"/>
      <c r="AH370" s="297"/>
      <c r="AI370" s="322"/>
      <c r="AJ370" s="300"/>
      <c r="AK370" s="301"/>
      <c r="AL370" s="297"/>
      <c r="AM370" s="297"/>
      <c r="AN370" s="297"/>
      <c r="AO370" s="473"/>
      <c r="AP370" s="297"/>
      <c r="AQ370" s="301" t="s">
        <v>7716</v>
      </c>
      <c r="AR370" s="297" t="s">
        <v>66</v>
      </c>
      <c r="AS370" s="299" t="s">
        <v>67</v>
      </c>
      <c r="AT370" s="299" t="s">
        <v>67</v>
      </c>
      <c r="AU370" s="297" t="s">
        <v>3827</v>
      </c>
      <c r="AV370" s="297"/>
      <c r="AW370" s="297" t="s">
        <v>69</v>
      </c>
      <c r="AX370" s="297" t="s">
        <v>7633</v>
      </c>
      <c r="AY370" s="299">
        <v>42825</v>
      </c>
      <c r="AZ370" s="297" t="s">
        <v>67</v>
      </c>
      <c r="BA370" s="299" t="s">
        <v>67</v>
      </c>
      <c r="BB370" s="382">
        <v>42830</v>
      </c>
      <c r="BC370" s="297" t="s">
        <v>3829</v>
      </c>
      <c r="BD370" s="297" t="s">
        <v>6447</v>
      </c>
      <c r="BE370" s="297"/>
      <c r="BF370" s="301"/>
      <c r="BG370" s="301" t="s">
        <v>67</v>
      </c>
      <c r="BH370" s="301" t="s">
        <v>4816</v>
      </c>
      <c r="BI370" s="301" t="s">
        <v>4542</v>
      </c>
      <c r="BJ370" s="312">
        <v>1893013</v>
      </c>
      <c r="BK370" s="312">
        <v>1893013</v>
      </c>
      <c r="BL370" s="313">
        <v>122888317</v>
      </c>
      <c r="BM370" s="299">
        <v>42873</v>
      </c>
      <c r="BN370" s="300">
        <v>42856</v>
      </c>
      <c r="BO370" s="460"/>
      <c r="BP370" s="390"/>
      <c r="BQ370" s="297"/>
      <c r="BR370" s="303"/>
      <c r="BS370" s="301"/>
      <c r="BT370" s="301"/>
      <c r="BU370" s="301"/>
      <c r="BV370" s="301"/>
      <c r="BW370" s="316"/>
      <c r="BX370" s="304"/>
      <c r="BY370" s="299"/>
      <c r="BZ370" s="317"/>
    </row>
    <row r="371" spans="1:555" ht="54">
      <c r="A371" s="296">
        <v>519</v>
      </c>
      <c r="B371" s="297" t="s">
        <v>4817</v>
      </c>
      <c r="C371" s="298">
        <v>12190238</v>
      </c>
      <c r="D371" s="354" t="s">
        <v>67</v>
      </c>
      <c r="E371" s="299">
        <v>42828</v>
      </c>
      <c r="F371" s="300">
        <v>42826</v>
      </c>
      <c r="G371" s="301" t="s">
        <v>271</v>
      </c>
      <c r="H371" s="297" t="s">
        <v>63</v>
      </c>
      <c r="I371" s="297" t="s">
        <v>79</v>
      </c>
      <c r="J371" s="299"/>
      <c r="K371" s="300"/>
      <c r="L371" s="301"/>
      <c r="M371" s="297"/>
      <c r="N371" s="297"/>
      <c r="O371" s="299"/>
      <c r="P371" s="302"/>
      <c r="Q371" s="301"/>
      <c r="R371" s="297"/>
      <c r="S371" s="297"/>
      <c r="T371" s="299"/>
      <c r="U371" s="300"/>
      <c r="V371" s="301"/>
      <c r="W371" s="297"/>
      <c r="X371" s="297"/>
      <c r="Y371" s="299"/>
      <c r="Z371" s="300"/>
      <c r="AA371" s="301"/>
      <c r="AB371" s="297"/>
      <c r="AC371" s="297"/>
      <c r="AD371" s="299"/>
      <c r="AE371" s="300"/>
      <c r="AF371" s="301"/>
      <c r="AG371" s="297"/>
      <c r="AH371" s="297"/>
      <c r="AI371" s="322"/>
      <c r="AJ371" s="300"/>
      <c r="AK371" s="301"/>
      <c r="AL371" s="297"/>
      <c r="AM371" s="297"/>
      <c r="AN371" s="297"/>
      <c r="AO371" s="473"/>
      <c r="AP371" s="297"/>
      <c r="AQ371" s="301" t="s">
        <v>7722</v>
      </c>
      <c r="AR371" s="297" t="s">
        <v>66</v>
      </c>
      <c r="AS371" s="299" t="s">
        <v>67</v>
      </c>
      <c r="AT371" s="299" t="s">
        <v>67</v>
      </c>
      <c r="AU371" s="297" t="s">
        <v>3827</v>
      </c>
      <c r="AV371" s="297"/>
      <c r="AW371" s="297" t="s">
        <v>69</v>
      </c>
      <c r="AX371" s="297" t="s">
        <v>7723</v>
      </c>
      <c r="AY371" s="299">
        <v>42825</v>
      </c>
      <c r="AZ371" s="297" t="s">
        <v>67</v>
      </c>
      <c r="BA371" s="299" t="s">
        <v>67</v>
      </c>
      <c r="BB371" s="382">
        <v>42830</v>
      </c>
      <c r="BC371" s="297" t="s">
        <v>3829</v>
      </c>
      <c r="BD371" s="297" t="s">
        <v>6447</v>
      </c>
      <c r="BE371" s="297"/>
      <c r="BF371" s="301"/>
      <c r="BG371" s="301" t="s">
        <v>67</v>
      </c>
      <c r="BH371" s="301" t="s">
        <v>4818</v>
      </c>
      <c r="BI371" s="301" t="s">
        <v>1384</v>
      </c>
      <c r="BJ371" s="312">
        <v>3118134</v>
      </c>
      <c r="BK371" s="312">
        <v>3118134</v>
      </c>
      <c r="BL371" s="313">
        <v>108316117</v>
      </c>
      <c r="BM371" s="299">
        <v>42859</v>
      </c>
      <c r="BN371" s="300">
        <v>42856</v>
      </c>
      <c r="BO371" s="460"/>
      <c r="BP371" s="390"/>
      <c r="BQ371" s="297"/>
      <c r="BR371" s="303"/>
      <c r="BS371" s="301"/>
      <c r="BT371" s="301"/>
      <c r="BU371" s="301"/>
      <c r="BV371" s="301"/>
      <c r="BW371" s="316"/>
      <c r="BX371" s="304"/>
      <c r="BY371" s="299"/>
      <c r="BZ371" s="317"/>
    </row>
    <row r="372" spans="1:555" ht="94.5">
      <c r="A372" s="296">
        <v>521</v>
      </c>
      <c r="B372" s="297" t="s">
        <v>4824</v>
      </c>
      <c r="C372" s="298">
        <v>98581046</v>
      </c>
      <c r="D372" s="354" t="s">
        <v>906</v>
      </c>
      <c r="E372" s="299">
        <v>42829</v>
      </c>
      <c r="F372" s="300">
        <v>42826</v>
      </c>
      <c r="G372" s="301" t="s">
        <v>4825</v>
      </c>
      <c r="H372" s="297" t="s">
        <v>5</v>
      </c>
      <c r="I372" s="297" t="s">
        <v>79</v>
      </c>
      <c r="J372" s="299">
        <v>42879</v>
      </c>
      <c r="K372" s="300">
        <v>42856</v>
      </c>
      <c r="L372" s="301" t="s">
        <v>4826</v>
      </c>
      <c r="M372" s="297" t="s">
        <v>5</v>
      </c>
      <c r="N372" s="297" t="s">
        <v>582</v>
      </c>
      <c r="O372" s="299">
        <v>43664</v>
      </c>
      <c r="P372" s="302">
        <v>43664</v>
      </c>
      <c r="Q372" s="301" t="s">
        <v>8938</v>
      </c>
      <c r="R372" s="297" t="s">
        <v>171</v>
      </c>
      <c r="S372" s="297" t="s">
        <v>8939</v>
      </c>
      <c r="T372" s="299"/>
      <c r="U372" s="300"/>
      <c r="V372" s="301"/>
      <c r="W372" s="297"/>
      <c r="X372" s="297"/>
      <c r="Y372" s="299"/>
      <c r="Z372" s="300"/>
      <c r="AA372" s="301"/>
      <c r="AB372" s="297"/>
      <c r="AC372" s="297"/>
      <c r="AD372" s="299"/>
      <c r="AE372" s="300"/>
      <c r="AF372" s="301"/>
      <c r="AG372" s="297"/>
      <c r="AH372" s="297"/>
      <c r="AI372" s="322"/>
      <c r="AJ372" s="300"/>
      <c r="AK372" s="301"/>
      <c r="AL372" s="297"/>
      <c r="AM372" s="297"/>
      <c r="AN372" s="297" t="s">
        <v>4827</v>
      </c>
      <c r="AO372" s="554"/>
      <c r="AP372" s="297"/>
      <c r="AQ372" s="301" t="s">
        <v>8732</v>
      </c>
      <c r="AR372" s="297" t="s">
        <v>161</v>
      </c>
      <c r="AS372" s="299">
        <v>36314</v>
      </c>
      <c r="AT372" s="299">
        <v>40908</v>
      </c>
      <c r="AU372" s="297" t="s">
        <v>4828</v>
      </c>
      <c r="AV372" s="297"/>
      <c r="AW372" s="297" t="s">
        <v>69</v>
      </c>
      <c r="AX372" s="297" t="s">
        <v>4829</v>
      </c>
      <c r="AY372" s="299">
        <v>41339</v>
      </c>
      <c r="AZ372" s="297" t="s">
        <v>409</v>
      </c>
      <c r="BA372" s="299">
        <v>42327</v>
      </c>
      <c r="BB372" s="382">
        <v>42335</v>
      </c>
      <c r="BC372" s="303" t="s">
        <v>912</v>
      </c>
      <c r="BD372" s="303" t="s">
        <v>566</v>
      </c>
      <c r="BE372" s="297"/>
      <c r="BF372" s="301"/>
      <c r="BG372" s="301"/>
      <c r="BH372" s="301" t="s">
        <v>9421</v>
      </c>
      <c r="BI372" s="301"/>
      <c r="BJ372" s="312">
        <f>+[75]MATRIZ!$J$60</f>
        <v>17413707.581017613</v>
      </c>
      <c r="BK372" s="312">
        <v>17413708</v>
      </c>
      <c r="BL372" s="313">
        <v>95877420</v>
      </c>
      <c r="BM372" s="299">
        <v>43944</v>
      </c>
      <c r="BN372" s="300">
        <v>43944</v>
      </c>
      <c r="BO372" s="460"/>
      <c r="BP372" s="390" t="s">
        <v>9422</v>
      </c>
      <c r="BQ372" s="297" t="s">
        <v>9423</v>
      </c>
      <c r="BR372" s="303"/>
      <c r="BS372" s="301"/>
      <c r="BT372" s="301"/>
      <c r="BU372" s="301"/>
      <c r="BV372" s="301"/>
      <c r="BW372" s="316"/>
      <c r="BX372" s="304"/>
      <c r="BY372" s="299"/>
      <c r="BZ372" s="317"/>
      <c r="CA372" s="509"/>
      <c r="CB372" s="509"/>
      <c r="CC372" s="509"/>
      <c r="CD372" s="509"/>
      <c r="CE372" s="509"/>
      <c r="CF372" s="509"/>
      <c r="CG372" s="509"/>
      <c r="CH372" s="509"/>
      <c r="CI372" s="509"/>
      <c r="CJ372" s="509"/>
      <c r="CK372" s="509"/>
      <c r="CL372" s="509"/>
      <c r="CM372" s="509"/>
      <c r="CN372" s="509"/>
      <c r="CO372" s="509"/>
      <c r="CP372" s="509"/>
      <c r="CQ372" s="509"/>
      <c r="CR372" s="509"/>
      <c r="CS372" s="509"/>
      <c r="CT372" s="509"/>
      <c r="CU372" s="509"/>
      <c r="CV372" s="509"/>
      <c r="CW372" s="509"/>
      <c r="CX372" s="509"/>
      <c r="CY372" s="509"/>
      <c r="CZ372" s="509"/>
      <c r="DA372" s="509"/>
      <c r="DB372" s="509"/>
      <c r="DC372" s="509"/>
      <c r="DD372" s="509"/>
      <c r="DE372" s="509"/>
      <c r="DF372" s="509"/>
      <c r="DG372" s="509"/>
      <c r="DH372" s="509"/>
      <c r="DI372" s="509"/>
      <c r="DJ372" s="509"/>
      <c r="DK372" s="509"/>
      <c r="DL372" s="509"/>
      <c r="DM372" s="509"/>
      <c r="DN372" s="509"/>
      <c r="DO372" s="509"/>
      <c r="DP372" s="509"/>
      <c r="DQ372" s="509"/>
      <c r="DR372" s="509"/>
      <c r="DS372" s="509"/>
      <c r="DT372" s="509"/>
      <c r="DU372" s="509"/>
      <c r="DV372" s="509"/>
      <c r="DW372" s="509"/>
      <c r="DX372" s="509"/>
      <c r="DY372" s="509"/>
      <c r="DZ372" s="509"/>
      <c r="EA372" s="509"/>
      <c r="EB372" s="509"/>
      <c r="EC372" s="509"/>
      <c r="ED372" s="509"/>
      <c r="EE372" s="509"/>
      <c r="EF372" s="509"/>
      <c r="EG372" s="509"/>
      <c r="EH372" s="509"/>
      <c r="EI372" s="509"/>
      <c r="EJ372" s="509"/>
      <c r="EK372" s="509"/>
      <c r="EL372" s="509"/>
      <c r="EM372" s="509"/>
      <c r="EN372" s="509"/>
      <c r="EO372" s="509"/>
      <c r="EP372" s="509"/>
      <c r="EQ372" s="509"/>
      <c r="ER372" s="509"/>
      <c r="ES372" s="509"/>
      <c r="ET372" s="509"/>
      <c r="EU372" s="509"/>
      <c r="EV372" s="509"/>
      <c r="EW372" s="509"/>
      <c r="EX372" s="509"/>
      <c r="EY372" s="509"/>
      <c r="EZ372" s="509"/>
      <c r="FA372" s="509"/>
      <c r="FB372" s="509"/>
      <c r="FC372" s="509"/>
      <c r="FD372" s="509"/>
      <c r="FE372" s="509"/>
      <c r="FF372" s="509"/>
      <c r="FG372" s="509"/>
      <c r="FH372" s="509"/>
      <c r="FI372" s="509"/>
      <c r="FJ372" s="509"/>
      <c r="FK372" s="509"/>
      <c r="FL372" s="509"/>
      <c r="FM372" s="509"/>
      <c r="FN372" s="509"/>
      <c r="FO372" s="509"/>
      <c r="FP372" s="509"/>
      <c r="FQ372" s="509"/>
      <c r="FR372" s="509"/>
      <c r="FS372" s="509"/>
      <c r="FT372" s="509"/>
      <c r="FU372" s="509"/>
      <c r="FV372" s="509"/>
      <c r="FW372" s="509"/>
      <c r="FX372" s="509"/>
      <c r="FY372" s="509"/>
      <c r="FZ372" s="509"/>
      <c r="GA372" s="509"/>
      <c r="GB372" s="509"/>
      <c r="GC372" s="509"/>
      <c r="GD372" s="509"/>
      <c r="GE372" s="509"/>
      <c r="GF372" s="509"/>
      <c r="GG372" s="509"/>
      <c r="GH372" s="509"/>
      <c r="GI372" s="509"/>
      <c r="GJ372" s="509"/>
      <c r="GK372" s="509"/>
      <c r="GL372" s="509"/>
      <c r="GM372" s="509"/>
      <c r="GN372" s="509"/>
      <c r="GO372" s="509"/>
      <c r="GP372" s="509"/>
      <c r="GQ372" s="509"/>
      <c r="GR372" s="509"/>
      <c r="GS372" s="509"/>
      <c r="GT372" s="509"/>
      <c r="GU372" s="509"/>
      <c r="GV372" s="509"/>
      <c r="GW372" s="509"/>
      <c r="GX372" s="509"/>
      <c r="GY372" s="509"/>
      <c r="GZ372" s="509"/>
      <c r="HA372" s="509"/>
      <c r="HB372" s="509"/>
      <c r="HC372" s="509"/>
      <c r="HD372" s="509"/>
      <c r="HE372" s="509"/>
      <c r="HF372" s="509"/>
      <c r="HG372" s="509"/>
      <c r="HH372" s="509"/>
      <c r="HI372" s="509"/>
      <c r="HJ372" s="509"/>
      <c r="HK372" s="509"/>
      <c r="HL372" s="509"/>
      <c r="HM372" s="509"/>
      <c r="HN372" s="509"/>
      <c r="HO372" s="509"/>
      <c r="HP372" s="509"/>
      <c r="HQ372" s="509"/>
      <c r="HR372" s="509"/>
      <c r="HS372" s="509"/>
      <c r="HT372" s="509"/>
      <c r="HU372" s="509"/>
      <c r="HV372" s="509"/>
      <c r="HW372" s="509"/>
      <c r="HX372" s="509"/>
      <c r="HY372" s="509"/>
      <c r="HZ372" s="509"/>
      <c r="IA372" s="509"/>
      <c r="IB372" s="509"/>
      <c r="IC372" s="509"/>
      <c r="ID372" s="509"/>
      <c r="IE372" s="509"/>
      <c r="IF372" s="509"/>
      <c r="IG372" s="509"/>
      <c r="IH372" s="509"/>
      <c r="II372" s="509"/>
      <c r="IJ372" s="509"/>
      <c r="IK372" s="509"/>
      <c r="IL372" s="509"/>
      <c r="IM372" s="509"/>
      <c r="IN372" s="509"/>
      <c r="IO372" s="509"/>
      <c r="IP372" s="509"/>
      <c r="IQ372" s="509"/>
      <c r="IR372" s="509"/>
      <c r="IS372" s="509"/>
      <c r="IT372" s="509"/>
      <c r="IU372" s="509"/>
      <c r="IV372" s="509"/>
      <c r="IW372" s="509"/>
      <c r="IX372" s="509"/>
      <c r="IY372" s="509"/>
      <c r="IZ372" s="509"/>
      <c r="JA372" s="509"/>
      <c r="JB372" s="509"/>
      <c r="JC372" s="509"/>
      <c r="JD372" s="509"/>
      <c r="JE372" s="509"/>
      <c r="JF372" s="509"/>
      <c r="JG372" s="509"/>
      <c r="JH372" s="509"/>
      <c r="JI372" s="509"/>
      <c r="JJ372" s="509"/>
      <c r="JK372" s="509"/>
      <c r="JL372" s="509"/>
      <c r="JM372" s="509"/>
      <c r="JN372" s="509"/>
      <c r="JO372" s="509"/>
      <c r="JP372" s="509"/>
      <c r="JQ372" s="509"/>
      <c r="JR372" s="509"/>
      <c r="JS372" s="509"/>
      <c r="JT372" s="509"/>
      <c r="JU372" s="509"/>
      <c r="JV372" s="509"/>
      <c r="JW372" s="509"/>
      <c r="JX372" s="509"/>
      <c r="JY372" s="509"/>
      <c r="JZ372" s="509"/>
      <c r="KA372" s="509"/>
      <c r="KB372" s="509"/>
      <c r="KC372" s="509"/>
      <c r="KD372" s="509"/>
      <c r="KE372" s="509"/>
      <c r="KF372" s="509"/>
      <c r="KG372" s="509"/>
      <c r="KH372" s="509"/>
      <c r="KI372" s="509"/>
      <c r="KJ372" s="509"/>
      <c r="KK372" s="509"/>
      <c r="KL372" s="509"/>
      <c r="KM372" s="509"/>
      <c r="KN372" s="509"/>
      <c r="KO372" s="509"/>
      <c r="KP372" s="509"/>
      <c r="KQ372" s="509"/>
      <c r="KR372" s="509"/>
      <c r="KS372" s="509"/>
      <c r="KT372" s="509"/>
      <c r="KU372" s="509"/>
      <c r="KV372" s="509"/>
      <c r="KW372" s="509"/>
      <c r="KX372" s="509"/>
      <c r="KY372" s="509"/>
      <c r="KZ372" s="509"/>
      <c r="LA372" s="509"/>
      <c r="LB372" s="509"/>
      <c r="LC372" s="509"/>
      <c r="LD372" s="509"/>
      <c r="LE372" s="509"/>
      <c r="LF372" s="509"/>
      <c r="LG372" s="509"/>
      <c r="LH372" s="509"/>
      <c r="LI372" s="509"/>
      <c r="LJ372" s="509"/>
      <c r="LK372" s="509"/>
      <c r="LL372" s="509"/>
      <c r="LM372" s="509"/>
      <c r="LN372" s="509"/>
      <c r="LO372" s="509"/>
      <c r="LP372" s="509"/>
      <c r="LQ372" s="509"/>
      <c r="LR372" s="509"/>
      <c r="LS372" s="509"/>
      <c r="LT372" s="509"/>
      <c r="LU372" s="509"/>
      <c r="LV372" s="509"/>
      <c r="LW372" s="509"/>
      <c r="LX372" s="509"/>
      <c r="LY372" s="509"/>
      <c r="LZ372" s="509"/>
      <c r="MA372" s="509"/>
      <c r="MB372" s="509"/>
      <c r="MC372" s="509"/>
      <c r="MD372" s="509"/>
      <c r="ME372" s="509"/>
      <c r="MF372" s="509"/>
      <c r="MG372" s="509"/>
      <c r="MH372" s="509"/>
      <c r="MI372" s="509"/>
      <c r="MJ372" s="509"/>
      <c r="MK372" s="509"/>
      <c r="ML372" s="509"/>
      <c r="MM372" s="509"/>
      <c r="MN372" s="509"/>
      <c r="MO372" s="509"/>
      <c r="MP372" s="509"/>
      <c r="MQ372" s="509"/>
      <c r="MR372" s="509"/>
      <c r="MS372" s="509"/>
      <c r="MT372" s="509"/>
      <c r="MU372" s="509"/>
      <c r="MV372" s="509"/>
      <c r="MW372" s="509"/>
      <c r="MX372" s="509"/>
      <c r="MY372" s="509"/>
      <c r="MZ372" s="509"/>
      <c r="NA372" s="509"/>
      <c r="NB372" s="509"/>
      <c r="NC372" s="509"/>
      <c r="ND372" s="509"/>
      <c r="NE372" s="509"/>
      <c r="NF372" s="509"/>
      <c r="NG372" s="509"/>
      <c r="NH372" s="509"/>
      <c r="NI372" s="509"/>
      <c r="NJ372" s="509"/>
      <c r="NK372" s="509"/>
      <c r="NL372" s="509"/>
      <c r="NM372" s="509"/>
      <c r="NN372" s="509"/>
      <c r="NO372" s="509"/>
      <c r="NP372" s="509"/>
      <c r="NQ372" s="509"/>
      <c r="NR372" s="509"/>
      <c r="NS372" s="509"/>
      <c r="NT372" s="509"/>
      <c r="NU372" s="509"/>
      <c r="NV372" s="509"/>
      <c r="NW372" s="509"/>
      <c r="NX372" s="509"/>
      <c r="NY372" s="509"/>
      <c r="NZ372" s="509"/>
      <c r="OA372" s="509"/>
      <c r="OB372" s="509"/>
      <c r="OC372" s="509"/>
      <c r="OD372" s="509"/>
      <c r="OE372" s="509"/>
      <c r="OF372" s="509"/>
      <c r="OG372" s="509"/>
      <c r="OH372" s="509"/>
      <c r="OI372" s="509"/>
      <c r="OJ372" s="509"/>
      <c r="OK372" s="509"/>
      <c r="OL372" s="509"/>
      <c r="OM372" s="509"/>
      <c r="ON372" s="509"/>
      <c r="OO372" s="509"/>
      <c r="OP372" s="509"/>
      <c r="OQ372" s="509"/>
      <c r="OR372" s="509"/>
      <c r="OS372" s="509"/>
      <c r="OT372" s="509"/>
      <c r="OU372" s="509"/>
      <c r="OV372" s="509"/>
      <c r="OW372" s="509"/>
      <c r="OX372" s="509"/>
      <c r="OY372" s="509"/>
      <c r="OZ372" s="509"/>
      <c r="PA372" s="509"/>
      <c r="PB372" s="509"/>
      <c r="PC372" s="509"/>
      <c r="PD372" s="509"/>
      <c r="PE372" s="509"/>
      <c r="PF372" s="509"/>
      <c r="PG372" s="509"/>
      <c r="PH372" s="509"/>
      <c r="PI372" s="509"/>
      <c r="PJ372" s="509"/>
      <c r="PK372" s="509"/>
      <c r="PL372" s="509"/>
      <c r="PM372" s="509"/>
      <c r="PN372" s="509"/>
      <c r="PO372" s="509"/>
      <c r="PP372" s="509"/>
      <c r="PQ372" s="509"/>
      <c r="PR372" s="509"/>
      <c r="PS372" s="509"/>
      <c r="PT372" s="509"/>
      <c r="PU372" s="509"/>
      <c r="PV372" s="509"/>
      <c r="PW372" s="509"/>
      <c r="PX372" s="509"/>
      <c r="PY372" s="509"/>
      <c r="PZ372" s="509"/>
      <c r="QA372" s="509"/>
      <c r="QB372" s="509"/>
      <c r="QC372" s="509"/>
      <c r="QD372" s="509"/>
      <c r="QE372" s="509"/>
      <c r="QF372" s="509"/>
      <c r="QG372" s="509"/>
      <c r="QH372" s="509"/>
      <c r="QI372" s="509"/>
      <c r="QJ372" s="509"/>
      <c r="QK372" s="509"/>
      <c r="QL372" s="509"/>
      <c r="QM372" s="509"/>
      <c r="QN372" s="509"/>
      <c r="QO372" s="509"/>
      <c r="QP372" s="509"/>
      <c r="QQ372" s="509"/>
      <c r="QR372" s="509"/>
      <c r="QS372" s="509"/>
      <c r="QT372" s="509"/>
      <c r="QU372" s="509"/>
      <c r="QV372" s="509"/>
      <c r="QW372" s="509"/>
      <c r="QX372" s="509"/>
      <c r="QY372" s="509"/>
      <c r="QZ372" s="509"/>
      <c r="RA372" s="509"/>
      <c r="RB372" s="509"/>
      <c r="RC372" s="509"/>
      <c r="RD372" s="509"/>
      <c r="RE372" s="509"/>
      <c r="RF372" s="509"/>
      <c r="RG372" s="509"/>
      <c r="RH372" s="509"/>
      <c r="RI372" s="509"/>
      <c r="RJ372" s="509"/>
      <c r="RK372" s="509"/>
      <c r="RL372" s="509"/>
      <c r="RM372" s="509"/>
      <c r="RN372" s="509"/>
      <c r="RO372" s="509"/>
      <c r="RP372" s="509"/>
      <c r="RQ372" s="509"/>
      <c r="RR372" s="509"/>
      <c r="RS372" s="509"/>
      <c r="RT372" s="509"/>
      <c r="RU372" s="509"/>
      <c r="RV372" s="509"/>
      <c r="RW372" s="509"/>
      <c r="RX372" s="509"/>
      <c r="RY372" s="509"/>
      <c r="RZ372" s="509"/>
      <c r="SA372" s="509"/>
      <c r="SB372" s="509"/>
      <c r="SC372" s="509"/>
      <c r="SD372" s="509"/>
      <c r="SE372" s="509"/>
      <c r="SF372" s="509"/>
      <c r="SG372" s="509"/>
      <c r="SH372" s="509"/>
      <c r="SI372" s="509"/>
      <c r="SJ372" s="509"/>
      <c r="SK372" s="509"/>
      <c r="SL372" s="509"/>
      <c r="SM372" s="509"/>
      <c r="SN372" s="509"/>
      <c r="SO372" s="509"/>
      <c r="SP372" s="509"/>
      <c r="SQ372" s="509"/>
      <c r="SR372" s="509"/>
      <c r="SS372" s="509"/>
      <c r="ST372" s="509"/>
      <c r="SU372" s="509"/>
      <c r="SV372" s="509"/>
      <c r="SW372" s="509"/>
      <c r="SX372" s="509"/>
      <c r="SY372" s="509"/>
      <c r="SZ372" s="509"/>
      <c r="TA372" s="509"/>
      <c r="TB372" s="509"/>
      <c r="TC372" s="509"/>
      <c r="TD372" s="509"/>
      <c r="TE372" s="509"/>
      <c r="TF372" s="509"/>
      <c r="TG372" s="509"/>
      <c r="TH372" s="509"/>
      <c r="TI372" s="509"/>
      <c r="TJ372" s="509"/>
      <c r="TK372" s="509"/>
      <c r="TL372" s="509"/>
      <c r="TM372" s="509"/>
      <c r="TN372" s="509"/>
      <c r="TO372" s="509"/>
      <c r="TP372" s="509"/>
      <c r="TQ372" s="509"/>
      <c r="TR372" s="509"/>
      <c r="TS372" s="509"/>
      <c r="TT372" s="509"/>
      <c r="TU372" s="509"/>
      <c r="TV372" s="509"/>
      <c r="TW372" s="509"/>
      <c r="TX372" s="509"/>
      <c r="TY372" s="509"/>
      <c r="TZ372" s="509"/>
      <c r="UA372" s="509"/>
      <c r="UB372" s="509"/>
      <c r="UC372" s="509"/>
      <c r="UD372" s="509"/>
      <c r="UE372" s="509"/>
      <c r="UF372" s="509"/>
      <c r="UG372" s="509"/>
      <c r="UH372" s="509"/>
      <c r="UI372" s="509"/>
    </row>
    <row r="373" spans="1:555" ht="40.5">
      <c r="A373" s="296">
        <v>526</v>
      </c>
      <c r="B373" s="297" t="s">
        <v>4855</v>
      </c>
      <c r="C373" s="298" t="s">
        <v>4856</v>
      </c>
      <c r="D373" s="354" t="s">
        <v>67</v>
      </c>
      <c r="E373" s="299">
        <v>42843</v>
      </c>
      <c r="F373" s="300">
        <v>42826</v>
      </c>
      <c r="G373" s="301" t="s">
        <v>182</v>
      </c>
      <c r="H373" s="297" t="s">
        <v>63</v>
      </c>
      <c r="I373" s="297" t="s">
        <v>79</v>
      </c>
      <c r="J373" s="299"/>
      <c r="K373" s="300"/>
      <c r="L373" s="301"/>
      <c r="M373" s="297"/>
      <c r="N373" s="297"/>
      <c r="O373" s="299"/>
      <c r="P373" s="302"/>
      <c r="Q373" s="301"/>
      <c r="R373" s="297"/>
      <c r="S373" s="297"/>
      <c r="T373" s="299"/>
      <c r="U373" s="300"/>
      <c r="V373" s="301"/>
      <c r="W373" s="297"/>
      <c r="X373" s="297"/>
      <c r="Y373" s="299"/>
      <c r="Z373" s="300"/>
      <c r="AA373" s="301"/>
      <c r="AB373" s="297"/>
      <c r="AC373" s="297"/>
      <c r="AD373" s="299"/>
      <c r="AE373" s="300"/>
      <c r="AF373" s="301"/>
      <c r="AG373" s="297"/>
      <c r="AH373" s="297"/>
      <c r="AI373" s="322"/>
      <c r="AJ373" s="300"/>
      <c r="AK373" s="301"/>
      <c r="AL373" s="297"/>
      <c r="AM373" s="297"/>
      <c r="AN373" s="297"/>
      <c r="AO373" s="473"/>
      <c r="AP373" s="297"/>
      <c r="AQ373" s="301" t="s">
        <v>4857</v>
      </c>
      <c r="AR373" s="297" t="s">
        <v>66</v>
      </c>
      <c r="AS373" s="299" t="s">
        <v>67</v>
      </c>
      <c r="AT373" s="299" t="s">
        <v>67</v>
      </c>
      <c r="AU373" s="297" t="s">
        <v>4858</v>
      </c>
      <c r="AV373" s="297"/>
      <c r="AW373" s="297" t="s">
        <v>69</v>
      </c>
      <c r="AX373" s="297" t="s">
        <v>4859</v>
      </c>
      <c r="AY373" s="299">
        <v>42788</v>
      </c>
      <c r="AZ373" s="297" t="s">
        <v>67</v>
      </c>
      <c r="BA373" s="299" t="s">
        <v>67</v>
      </c>
      <c r="BB373" s="382">
        <v>42794</v>
      </c>
      <c r="BC373" s="297" t="s">
        <v>71</v>
      </c>
      <c r="BD373" s="297" t="s">
        <v>6447</v>
      </c>
      <c r="BE373" s="297"/>
      <c r="BF373" s="301"/>
      <c r="BG373" s="301" t="s">
        <v>67</v>
      </c>
      <c r="BH373" s="301" t="s">
        <v>4860</v>
      </c>
      <c r="BI373" s="301" t="s">
        <v>4861</v>
      </c>
      <c r="BJ373" s="312">
        <v>310155000</v>
      </c>
      <c r="BK373" s="312">
        <v>310155000</v>
      </c>
      <c r="BL373" s="313">
        <v>120383317</v>
      </c>
      <c r="BM373" s="299">
        <v>42870</v>
      </c>
      <c r="BN373" s="300">
        <v>42856</v>
      </c>
      <c r="BO373" s="460"/>
      <c r="BP373" s="390"/>
      <c r="BQ373" s="297"/>
      <c r="BR373" s="303"/>
      <c r="BS373" s="301"/>
      <c r="BT373" s="301"/>
      <c r="BU373" s="301"/>
      <c r="BV373" s="301"/>
      <c r="BW373" s="316"/>
      <c r="BX373" s="304"/>
      <c r="BY373" s="299"/>
      <c r="BZ373" s="317"/>
    </row>
    <row r="374" spans="1:555" ht="54">
      <c r="A374" s="296">
        <v>530</v>
      </c>
      <c r="B374" s="297" t="s">
        <v>4876</v>
      </c>
      <c r="C374" s="298">
        <v>79663194</v>
      </c>
      <c r="D374" s="354" t="s">
        <v>67</v>
      </c>
      <c r="E374" s="299">
        <v>42865</v>
      </c>
      <c r="F374" s="300">
        <v>42856</v>
      </c>
      <c r="G374" s="301" t="s">
        <v>271</v>
      </c>
      <c r="H374" s="297" t="s">
        <v>63</v>
      </c>
      <c r="I374" s="297" t="s">
        <v>4871</v>
      </c>
      <c r="J374" s="299"/>
      <c r="K374" s="300"/>
      <c r="L374" s="301"/>
      <c r="M374" s="297"/>
      <c r="N374" s="297"/>
      <c r="O374" s="299"/>
      <c r="P374" s="302"/>
      <c r="Q374" s="301"/>
      <c r="R374" s="297"/>
      <c r="S374" s="297"/>
      <c r="T374" s="299"/>
      <c r="U374" s="300"/>
      <c r="V374" s="301"/>
      <c r="W374" s="297"/>
      <c r="X374" s="297"/>
      <c r="Y374" s="299"/>
      <c r="Z374" s="300"/>
      <c r="AA374" s="301"/>
      <c r="AB374" s="297"/>
      <c r="AC374" s="297"/>
      <c r="AD374" s="299"/>
      <c r="AE374" s="300"/>
      <c r="AF374" s="301"/>
      <c r="AG374" s="297"/>
      <c r="AH374" s="297"/>
      <c r="AI374" s="322"/>
      <c r="AJ374" s="300"/>
      <c r="AK374" s="301"/>
      <c r="AL374" s="297"/>
      <c r="AM374" s="297"/>
      <c r="AN374" s="297"/>
      <c r="AO374" s="473"/>
      <c r="AP374" s="297"/>
      <c r="AQ374" s="301" t="s">
        <v>7901</v>
      </c>
      <c r="AR374" s="297" t="s">
        <v>66</v>
      </c>
      <c r="AS374" s="299" t="s">
        <v>67</v>
      </c>
      <c r="AT374" s="299" t="s">
        <v>67</v>
      </c>
      <c r="AU374" s="297" t="s">
        <v>3827</v>
      </c>
      <c r="AV374" s="297"/>
      <c r="AW374" s="297" t="s">
        <v>69</v>
      </c>
      <c r="AX374" s="297" t="s">
        <v>7754</v>
      </c>
      <c r="AY374" s="299">
        <v>42858</v>
      </c>
      <c r="AZ374" s="297" t="s">
        <v>67</v>
      </c>
      <c r="BA374" s="299" t="s">
        <v>67</v>
      </c>
      <c r="BB374" s="382">
        <v>42861</v>
      </c>
      <c r="BC374" s="297" t="s">
        <v>3829</v>
      </c>
      <c r="BD374" s="297" t="s">
        <v>6447</v>
      </c>
      <c r="BE374" s="297"/>
      <c r="BF374" s="301"/>
      <c r="BG374" s="301" t="s">
        <v>67</v>
      </c>
      <c r="BH374" s="301" t="s">
        <v>4877</v>
      </c>
      <c r="BI374" s="301" t="s">
        <v>4878</v>
      </c>
      <c r="BJ374" s="312">
        <v>1122083</v>
      </c>
      <c r="BK374" s="312">
        <v>1122083</v>
      </c>
      <c r="BL374" s="313">
        <v>141894617</v>
      </c>
      <c r="BM374" s="299">
        <v>42891</v>
      </c>
      <c r="BN374" s="300">
        <v>42887</v>
      </c>
      <c r="BO374" s="434" t="s">
        <v>4879</v>
      </c>
      <c r="BP374" s="397"/>
      <c r="BQ374" s="398"/>
      <c r="BR374" s="320"/>
      <c r="BS374" s="301"/>
      <c r="BT374" s="301"/>
      <c r="BU374" s="301"/>
      <c r="BV374" s="301"/>
      <c r="BW374" s="316"/>
      <c r="BX374" s="304"/>
      <c r="BY374" s="299"/>
      <c r="BZ374" s="317"/>
    </row>
    <row r="375" spans="1:555" ht="54">
      <c r="A375" s="296">
        <v>531</v>
      </c>
      <c r="B375" s="297" t="s">
        <v>4880</v>
      </c>
      <c r="C375" s="298">
        <v>93399117</v>
      </c>
      <c r="D375" s="354" t="s">
        <v>67</v>
      </c>
      <c r="E375" s="299">
        <v>42865</v>
      </c>
      <c r="F375" s="300">
        <v>42856</v>
      </c>
      <c r="G375" s="301" t="s">
        <v>271</v>
      </c>
      <c r="H375" s="297" t="s">
        <v>63</v>
      </c>
      <c r="I375" s="297" t="s">
        <v>4871</v>
      </c>
      <c r="J375" s="299"/>
      <c r="K375" s="300"/>
      <c r="L375" s="301"/>
      <c r="M375" s="297"/>
      <c r="N375" s="297"/>
      <c r="O375" s="299"/>
      <c r="P375" s="302"/>
      <c r="Q375" s="301"/>
      <c r="R375" s="297"/>
      <c r="S375" s="297"/>
      <c r="T375" s="299"/>
      <c r="U375" s="300"/>
      <c r="V375" s="301"/>
      <c r="W375" s="297"/>
      <c r="X375" s="297"/>
      <c r="Y375" s="299"/>
      <c r="Z375" s="300"/>
      <c r="AA375" s="301"/>
      <c r="AB375" s="297"/>
      <c r="AC375" s="297"/>
      <c r="AD375" s="299"/>
      <c r="AE375" s="300"/>
      <c r="AF375" s="301"/>
      <c r="AG375" s="297"/>
      <c r="AH375" s="297"/>
      <c r="AI375" s="322"/>
      <c r="AJ375" s="300"/>
      <c r="AK375" s="301"/>
      <c r="AL375" s="297"/>
      <c r="AM375" s="297"/>
      <c r="AN375" s="297"/>
      <c r="AO375" s="473"/>
      <c r="AP375" s="297"/>
      <c r="AQ375" s="301" t="s">
        <v>7842</v>
      </c>
      <c r="AR375" s="297" t="s">
        <v>66</v>
      </c>
      <c r="AS375" s="299" t="s">
        <v>67</v>
      </c>
      <c r="AT375" s="299" t="s">
        <v>67</v>
      </c>
      <c r="AU375" s="297" t="s">
        <v>3827</v>
      </c>
      <c r="AV375" s="297"/>
      <c r="AW375" s="297" t="s">
        <v>69</v>
      </c>
      <c r="AX375" s="297" t="s">
        <v>7658</v>
      </c>
      <c r="AY375" s="299">
        <v>42860</v>
      </c>
      <c r="AZ375" s="297" t="s">
        <v>67</v>
      </c>
      <c r="BA375" s="299" t="s">
        <v>67</v>
      </c>
      <c r="BB375" s="382">
        <v>42863</v>
      </c>
      <c r="BC375" s="297" t="s">
        <v>3829</v>
      </c>
      <c r="BD375" s="297" t="s">
        <v>6447</v>
      </c>
      <c r="BE375" s="297"/>
      <c r="BF375" s="301"/>
      <c r="BG375" s="301"/>
      <c r="BH375" s="301" t="s">
        <v>4881</v>
      </c>
      <c r="BI375" s="301"/>
      <c r="BJ375" s="312">
        <v>1416133</v>
      </c>
      <c r="BK375" s="312">
        <v>1416133</v>
      </c>
      <c r="BL375" s="313">
        <v>42804618</v>
      </c>
      <c r="BM375" s="299">
        <v>43158</v>
      </c>
      <c r="BN375" s="300">
        <v>43132</v>
      </c>
      <c r="BO375" s="434" t="s">
        <v>4882</v>
      </c>
      <c r="BP375" s="397"/>
      <c r="BQ375" s="453"/>
      <c r="BR375" s="454"/>
      <c r="BS375" s="301"/>
      <c r="BT375" s="301"/>
      <c r="BU375" s="301"/>
      <c r="BV375" s="301"/>
      <c r="BW375" s="316"/>
      <c r="BX375" s="304"/>
      <c r="BY375" s="299"/>
      <c r="BZ375" s="317"/>
    </row>
    <row r="376" spans="1:555" ht="54">
      <c r="A376" s="296">
        <v>532</v>
      </c>
      <c r="B376" s="297" t="s">
        <v>4883</v>
      </c>
      <c r="C376" s="298">
        <v>5823926</v>
      </c>
      <c r="D376" s="354" t="s">
        <v>67</v>
      </c>
      <c r="E376" s="299">
        <v>42865</v>
      </c>
      <c r="F376" s="300">
        <v>42856</v>
      </c>
      <c r="G376" s="301" t="s">
        <v>271</v>
      </c>
      <c r="H376" s="297" t="s">
        <v>63</v>
      </c>
      <c r="I376" s="297" t="s">
        <v>4871</v>
      </c>
      <c r="J376" s="299"/>
      <c r="K376" s="300"/>
      <c r="L376" s="301"/>
      <c r="M376" s="297"/>
      <c r="N376" s="297"/>
      <c r="O376" s="299"/>
      <c r="P376" s="302"/>
      <c r="Q376" s="301"/>
      <c r="R376" s="297"/>
      <c r="S376" s="297"/>
      <c r="T376" s="299"/>
      <c r="U376" s="300"/>
      <c r="V376" s="301"/>
      <c r="W376" s="297"/>
      <c r="X376" s="297"/>
      <c r="Y376" s="299"/>
      <c r="Z376" s="300"/>
      <c r="AA376" s="301"/>
      <c r="AB376" s="297"/>
      <c r="AC376" s="297"/>
      <c r="AD376" s="299"/>
      <c r="AE376" s="300"/>
      <c r="AF376" s="301"/>
      <c r="AG376" s="297"/>
      <c r="AH376" s="297"/>
      <c r="AI376" s="322"/>
      <c r="AJ376" s="300"/>
      <c r="AK376" s="301"/>
      <c r="AL376" s="297"/>
      <c r="AM376" s="297"/>
      <c r="AN376" s="297"/>
      <c r="AO376" s="473"/>
      <c r="AP376" s="297"/>
      <c r="AQ376" s="301" t="s">
        <v>7669</v>
      </c>
      <c r="AR376" s="297" t="s">
        <v>66</v>
      </c>
      <c r="AS376" s="299" t="s">
        <v>67</v>
      </c>
      <c r="AT376" s="299" t="s">
        <v>67</v>
      </c>
      <c r="AU376" s="297" t="s">
        <v>3827</v>
      </c>
      <c r="AV376" s="297"/>
      <c r="AW376" s="297" t="s">
        <v>69</v>
      </c>
      <c r="AX376" s="297" t="s">
        <v>7658</v>
      </c>
      <c r="AY376" s="299">
        <v>42860</v>
      </c>
      <c r="AZ376" s="297" t="s">
        <v>67</v>
      </c>
      <c r="BA376" s="299" t="s">
        <v>67</v>
      </c>
      <c r="BB376" s="382">
        <v>42863</v>
      </c>
      <c r="BC376" s="297" t="s">
        <v>3829</v>
      </c>
      <c r="BD376" s="297" t="s">
        <v>6447</v>
      </c>
      <c r="BE376" s="297"/>
      <c r="BF376" s="301"/>
      <c r="BG376" s="301" t="s">
        <v>67</v>
      </c>
      <c r="BH376" s="301" t="s">
        <v>4884</v>
      </c>
      <c r="BI376" s="301" t="s">
        <v>517</v>
      </c>
      <c r="BJ376" s="312">
        <v>2575850</v>
      </c>
      <c r="BK376" s="312">
        <v>2575850</v>
      </c>
      <c r="BL376" s="313">
        <v>154484517</v>
      </c>
      <c r="BM376" s="299">
        <v>42899</v>
      </c>
      <c r="BN376" s="300">
        <v>42887</v>
      </c>
      <c r="BO376" s="434" t="s">
        <v>4885</v>
      </c>
      <c r="BP376" s="397"/>
      <c r="BQ376" s="398"/>
      <c r="BR376" s="320"/>
      <c r="BS376" s="301"/>
      <c r="BT376" s="301"/>
      <c r="BU376" s="301"/>
      <c r="BV376" s="301"/>
      <c r="BW376" s="316"/>
      <c r="BX376" s="304"/>
      <c r="BY376" s="299"/>
      <c r="BZ376" s="317"/>
    </row>
    <row r="377" spans="1:555" ht="54">
      <c r="A377" s="296">
        <v>533</v>
      </c>
      <c r="B377" s="297" t="s">
        <v>4886</v>
      </c>
      <c r="C377" s="298">
        <v>79465283</v>
      </c>
      <c r="D377" s="354" t="s">
        <v>67</v>
      </c>
      <c r="E377" s="299">
        <v>42865</v>
      </c>
      <c r="F377" s="300">
        <v>42856</v>
      </c>
      <c r="G377" s="301" t="s">
        <v>271</v>
      </c>
      <c r="H377" s="297" t="s">
        <v>63</v>
      </c>
      <c r="I377" s="297" t="s">
        <v>4871</v>
      </c>
      <c r="J377" s="299"/>
      <c r="K377" s="300"/>
      <c r="L377" s="301"/>
      <c r="M377" s="297"/>
      <c r="N377" s="297"/>
      <c r="O377" s="299"/>
      <c r="P377" s="302"/>
      <c r="Q377" s="301"/>
      <c r="R377" s="297"/>
      <c r="S377" s="297"/>
      <c r="T377" s="299"/>
      <c r="U377" s="300"/>
      <c r="V377" s="301"/>
      <c r="W377" s="297"/>
      <c r="X377" s="297"/>
      <c r="Y377" s="299"/>
      <c r="Z377" s="300"/>
      <c r="AA377" s="301"/>
      <c r="AB377" s="297"/>
      <c r="AC377" s="297"/>
      <c r="AD377" s="299"/>
      <c r="AE377" s="300"/>
      <c r="AF377" s="301"/>
      <c r="AG377" s="297"/>
      <c r="AH377" s="297"/>
      <c r="AI377" s="322"/>
      <c r="AJ377" s="300"/>
      <c r="AK377" s="301"/>
      <c r="AL377" s="297"/>
      <c r="AM377" s="297"/>
      <c r="AN377" s="297"/>
      <c r="AO377" s="473"/>
      <c r="AP377" s="297"/>
      <c r="AQ377" s="301" t="s">
        <v>7657</v>
      </c>
      <c r="AR377" s="297" t="s">
        <v>66</v>
      </c>
      <c r="AS377" s="299" t="s">
        <v>67</v>
      </c>
      <c r="AT377" s="299" t="s">
        <v>67</v>
      </c>
      <c r="AU377" s="297" t="s">
        <v>3827</v>
      </c>
      <c r="AV377" s="297"/>
      <c r="AW377" s="297" t="s">
        <v>69</v>
      </c>
      <c r="AX377" s="297" t="s">
        <v>7658</v>
      </c>
      <c r="AY377" s="299">
        <v>42860</v>
      </c>
      <c r="AZ377" s="297" t="s">
        <v>67</v>
      </c>
      <c r="BA377" s="299" t="s">
        <v>67</v>
      </c>
      <c r="BB377" s="382">
        <v>42863</v>
      </c>
      <c r="BC377" s="297" t="s">
        <v>3829</v>
      </c>
      <c r="BD377" s="297" t="s">
        <v>6447</v>
      </c>
      <c r="BE377" s="297"/>
      <c r="BF377" s="301"/>
      <c r="BG377" s="301" t="s">
        <v>67</v>
      </c>
      <c r="BH377" s="301" t="s">
        <v>4887</v>
      </c>
      <c r="BI377" s="301" t="s">
        <v>4878</v>
      </c>
      <c r="BJ377" s="312">
        <v>2122928</v>
      </c>
      <c r="BK377" s="312">
        <v>2122928</v>
      </c>
      <c r="BL377" s="313">
        <v>141937417</v>
      </c>
      <c r="BM377" s="299">
        <v>42891</v>
      </c>
      <c r="BN377" s="300">
        <v>42887</v>
      </c>
      <c r="BO377" s="460"/>
      <c r="BP377" s="390"/>
      <c r="BQ377" s="297"/>
      <c r="BR377" s="303"/>
      <c r="BS377" s="301"/>
      <c r="BT377" s="301"/>
      <c r="BU377" s="301"/>
      <c r="BV377" s="301"/>
      <c r="BW377" s="316"/>
      <c r="BX377" s="304"/>
      <c r="BY377" s="299"/>
      <c r="BZ377" s="317"/>
    </row>
    <row r="378" spans="1:555" ht="54">
      <c r="A378" s="296">
        <v>534</v>
      </c>
      <c r="B378" s="297" t="s">
        <v>4888</v>
      </c>
      <c r="C378" s="298">
        <v>78699511</v>
      </c>
      <c r="D378" s="354"/>
      <c r="E378" s="299">
        <v>42865</v>
      </c>
      <c r="F378" s="300">
        <v>42856</v>
      </c>
      <c r="G378" s="301" t="s">
        <v>271</v>
      </c>
      <c r="H378" s="297" t="s">
        <v>63</v>
      </c>
      <c r="I378" s="297" t="s">
        <v>4871</v>
      </c>
      <c r="J378" s="299"/>
      <c r="K378" s="300"/>
      <c r="L378" s="301"/>
      <c r="M378" s="297"/>
      <c r="N378" s="297"/>
      <c r="O378" s="299"/>
      <c r="P378" s="302"/>
      <c r="Q378" s="301"/>
      <c r="R378" s="297"/>
      <c r="S378" s="297"/>
      <c r="T378" s="299"/>
      <c r="U378" s="300"/>
      <c r="V378" s="301"/>
      <c r="W378" s="297"/>
      <c r="X378" s="297"/>
      <c r="Y378" s="299"/>
      <c r="Z378" s="300"/>
      <c r="AA378" s="301"/>
      <c r="AB378" s="297"/>
      <c r="AC378" s="297"/>
      <c r="AD378" s="299"/>
      <c r="AE378" s="300"/>
      <c r="AF378" s="301"/>
      <c r="AG378" s="297"/>
      <c r="AH378" s="297"/>
      <c r="AI378" s="322"/>
      <c r="AJ378" s="300"/>
      <c r="AK378" s="301"/>
      <c r="AL378" s="297"/>
      <c r="AM378" s="297"/>
      <c r="AN378" s="297"/>
      <c r="AO378" s="473"/>
      <c r="AP378" s="297"/>
      <c r="AQ378" s="301" t="s">
        <v>7823</v>
      </c>
      <c r="AR378" s="297" t="s">
        <v>66</v>
      </c>
      <c r="AS378" s="299" t="s">
        <v>67</v>
      </c>
      <c r="AT378" s="299" t="s">
        <v>67</v>
      </c>
      <c r="AU378" s="297" t="s">
        <v>3827</v>
      </c>
      <c r="AV378" s="297"/>
      <c r="AW378" s="297" t="s">
        <v>69</v>
      </c>
      <c r="AX378" s="297" t="s">
        <v>7628</v>
      </c>
      <c r="AY378" s="299">
        <v>42860</v>
      </c>
      <c r="AZ378" s="297" t="s">
        <v>67</v>
      </c>
      <c r="BA378" s="299" t="s">
        <v>67</v>
      </c>
      <c r="BB378" s="382" t="s">
        <v>4889</v>
      </c>
      <c r="BC378" s="297" t="s">
        <v>3829</v>
      </c>
      <c r="BD378" s="297" t="s">
        <v>6447</v>
      </c>
      <c r="BE378" s="297"/>
      <c r="BF378" s="301"/>
      <c r="BG378" s="301"/>
      <c r="BH378" s="301" t="s">
        <v>4890</v>
      </c>
      <c r="BI378" s="301"/>
      <c r="BJ378" s="312">
        <v>745641</v>
      </c>
      <c r="BK378" s="312">
        <v>745641</v>
      </c>
      <c r="BL378" s="313">
        <v>6699518</v>
      </c>
      <c r="BM378" s="299">
        <v>43119</v>
      </c>
      <c r="BN378" s="300">
        <v>43101</v>
      </c>
      <c r="BO378" s="434" t="s">
        <v>7824</v>
      </c>
      <c r="BP378" s="390"/>
      <c r="BQ378" s="297"/>
      <c r="BR378" s="303"/>
      <c r="BS378" s="301"/>
      <c r="BT378" s="301"/>
      <c r="BU378" s="301"/>
      <c r="BV378" s="301"/>
      <c r="BW378" s="316"/>
      <c r="BX378" s="304"/>
      <c r="BY378" s="299"/>
      <c r="BZ378" s="317"/>
    </row>
    <row r="379" spans="1:555" ht="27">
      <c r="A379" s="296">
        <v>536</v>
      </c>
      <c r="B379" s="297" t="s">
        <v>4899</v>
      </c>
      <c r="C379" s="298" t="s">
        <v>4900</v>
      </c>
      <c r="D379" s="354" t="s">
        <v>67</v>
      </c>
      <c r="E379" s="299">
        <v>42867</v>
      </c>
      <c r="F379" s="300">
        <v>42856</v>
      </c>
      <c r="G379" s="301" t="s">
        <v>4901</v>
      </c>
      <c r="H379" s="297" t="s">
        <v>4895</v>
      </c>
      <c r="I379" s="297" t="s">
        <v>101</v>
      </c>
      <c r="J379" s="299"/>
      <c r="K379" s="300"/>
      <c r="L379" s="301"/>
      <c r="M379" s="297"/>
      <c r="N379" s="297"/>
      <c r="O379" s="299"/>
      <c r="P379" s="302"/>
      <c r="Q379" s="301"/>
      <c r="R379" s="297"/>
      <c r="S379" s="297"/>
      <c r="T379" s="299"/>
      <c r="U379" s="300"/>
      <c r="V379" s="301"/>
      <c r="W379" s="297"/>
      <c r="X379" s="297"/>
      <c r="Y379" s="299"/>
      <c r="Z379" s="300"/>
      <c r="AA379" s="301"/>
      <c r="AB379" s="297"/>
      <c r="AC379" s="297"/>
      <c r="AD379" s="299"/>
      <c r="AE379" s="300"/>
      <c r="AF379" s="301"/>
      <c r="AG379" s="297"/>
      <c r="AH379" s="297"/>
      <c r="AI379" s="322"/>
      <c r="AJ379" s="300"/>
      <c r="AK379" s="301"/>
      <c r="AL379" s="297"/>
      <c r="AM379" s="297"/>
      <c r="AN379" s="297"/>
      <c r="AO379" s="473"/>
      <c r="AP379" s="297"/>
      <c r="AQ379" s="301" t="s">
        <v>4902</v>
      </c>
      <c r="AR379" s="297" t="s">
        <v>66</v>
      </c>
      <c r="AS379" s="299" t="s">
        <v>67</v>
      </c>
      <c r="AT379" s="299" t="s">
        <v>67</v>
      </c>
      <c r="AU379" s="297" t="s">
        <v>4903</v>
      </c>
      <c r="AV379" s="297"/>
      <c r="AW379" s="297" t="s">
        <v>69</v>
      </c>
      <c r="AX379" s="297" t="s">
        <v>4904</v>
      </c>
      <c r="AY379" s="299">
        <v>42851</v>
      </c>
      <c r="AZ379" s="297" t="s">
        <v>67</v>
      </c>
      <c r="BA379" s="299" t="s">
        <v>67</v>
      </c>
      <c r="BB379" s="382">
        <v>42858</v>
      </c>
      <c r="BC379" s="297" t="s">
        <v>71</v>
      </c>
      <c r="BD379" s="297" t="s">
        <v>6447</v>
      </c>
      <c r="BE379" s="297"/>
      <c r="BF379" s="301"/>
      <c r="BG379" s="301" t="s">
        <v>67</v>
      </c>
      <c r="BH379" s="301" t="s">
        <v>4905</v>
      </c>
      <c r="BI379" s="301" t="s">
        <v>517</v>
      </c>
      <c r="BJ379" s="312">
        <v>1054504603</v>
      </c>
      <c r="BK379" s="312">
        <v>1054504603</v>
      </c>
      <c r="BL379" s="313">
        <v>154529017</v>
      </c>
      <c r="BM379" s="299">
        <v>42899</v>
      </c>
      <c r="BN379" s="300">
        <v>42887</v>
      </c>
      <c r="BO379" s="460"/>
      <c r="BP379" s="390"/>
      <c r="BQ379" s="297"/>
      <c r="BR379" s="303"/>
      <c r="BS379" s="301"/>
      <c r="BT379" s="301"/>
      <c r="BU379" s="301"/>
      <c r="BV379" s="301"/>
      <c r="BW379" s="316"/>
      <c r="BX379" s="304"/>
      <c r="BY379" s="299"/>
      <c r="BZ379" s="317"/>
    </row>
    <row r="380" spans="1:555" ht="54">
      <c r="A380" s="296">
        <v>537</v>
      </c>
      <c r="B380" s="297" t="s">
        <v>4906</v>
      </c>
      <c r="C380" s="298">
        <v>71850704</v>
      </c>
      <c r="D380" s="354" t="s">
        <v>67</v>
      </c>
      <c r="E380" s="299">
        <v>42870</v>
      </c>
      <c r="F380" s="300">
        <v>42856</v>
      </c>
      <c r="G380" s="301" t="s">
        <v>271</v>
      </c>
      <c r="H380" s="297" t="s">
        <v>63</v>
      </c>
      <c r="I380" s="297" t="s">
        <v>79</v>
      </c>
      <c r="J380" s="299"/>
      <c r="K380" s="300"/>
      <c r="L380" s="301"/>
      <c r="M380" s="297"/>
      <c r="N380" s="297"/>
      <c r="O380" s="299"/>
      <c r="P380" s="302"/>
      <c r="Q380" s="301"/>
      <c r="R380" s="297"/>
      <c r="S380" s="297"/>
      <c r="T380" s="299"/>
      <c r="U380" s="300"/>
      <c r="V380" s="301"/>
      <c r="W380" s="297"/>
      <c r="X380" s="297"/>
      <c r="Y380" s="299"/>
      <c r="Z380" s="300"/>
      <c r="AA380" s="301"/>
      <c r="AB380" s="297"/>
      <c r="AC380" s="297"/>
      <c r="AD380" s="299"/>
      <c r="AE380" s="300"/>
      <c r="AF380" s="301"/>
      <c r="AG380" s="297"/>
      <c r="AH380" s="297"/>
      <c r="AI380" s="322"/>
      <c r="AJ380" s="300"/>
      <c r="AK380" s="301"/>
      <c r="AL380" s="297"/>
      <c r="AM380" s="297"/>
      <c r="AN380" s="297"/>
      <c r="AO380" s="473"/>
      <c r="AP380" s="297"/>
      <c r="AQ380" s="301" t="s">
        <v>7920</v>
      </c>
      <c r="AR380" s="297" t="s">
        <v>66</v>
      </c>
      <c r="AS380" s="299" t="s">
        <v>67</v>
      </c>
      <c r="AT380" s="299" t="s">
        <v>67</v>
      </c>
      <c r="AU380" s="297" t="s">
        <v>3827</v>
      </c>
      <c r="AV380" s="297"/>
      <c r="AW380" s="297" t="s">
        <v>69</v>
      </c>
      <c r="AX380" s="297" t="s">
        <v>7921</v>
      </c>
      <c r="AY380" s="299">
        <v>42853</v>
      </c>
      <c r="AZ380" s="297" t="s">
        <v>67</v>
      </c>
      <c r="BA380" s="299" t="s">
        <v>67</v>
      </c>
      <c r="BB380" s="382">
        <v>42859</v>
      </c>
      <c r="BC380" s="297" t="s">
        <v>3829</v>
      </c>
      <c r="BD380" s="297" t="s">
        <v>6447</v>
      </c>
      <c r="BE380" s="297"/>
      <c r="BF380" s="301"/>
      <c r="BG380" s="301" t="s">
        <v>67</v>
      </c>
      <c r="BH380" s="301" t="s">
        <v>4908</v>
      </c>
      <c r="BI380" s="301" t="s">
        <v>4878</v>
      </c>
      <c r="BJ380" s="312">
        <v>2304709</v>
      </c>
      <c r="BK380" s="312">
        <v>2304709</v>
      </c>
      <c r="BL380" s="313">
        <v>141966617</v>
      </c>
      <c r="BM380" s="299">
        <v>42891</v>
      </c>
      <c r="BN380" s="300">
        <v>42887</v>
      </c>
      <c r="BO380" s="434" t="s">
        <v>4909</v>
      </c>
      <c r="BP380" s="397"/>
      <c r="BQ380" s="455"/>
      <c r="BR380" s="456"/>
      <c r="BS380" s="301"/>
      <c r="BT380" s="301"/>
      <c r="BU380" s="301"/>
      <c r="BV380" s="301"/>
      <c r="BW380" s="316"/>
      <c r="BX380" s="304"/>
      <c r="BY380" s="299"/>
      <c r="BZ380" s="317"/>
    </row>
    <row r="381" spans="1:555" ht="40.5">
      <c r="A381" s="296">
        <v>538</v>
      </c>
      <c r="B381" s="297" t="s">
        <v>4910</v>
      </c>
      <c r="C381" s="298">
        <v>93405786</v>
      </c>
      <c r="D381" s="354" t="s">
        <v>67</v>
      </c>
      <c r="E381" s="299">
        <v>42870</v>
      </c>
      <c r="F381" s="300">
        <v>42856</v>
      </c>
      <c r="G381" s="301" t="s">
        <v>271</v>
      </c>
      <c r="H381" s="297" t="s">
        <v>63</v>
      </c>
      <c r="I381" s="297" t="s">
        <v>79</v>
      </c>
      <c r="J381" s="299"/>
      <c r="K381" s="300"/>
      <c r="L381" s="301"/>
      <c r="M381" s="297"/>
      <c r="N381" s="297"/>
      <c r="O381" s="299"/>
      <c r="P381" s="302"/>
      <c r="Q381" s="301"/>
      <c r="R381" s="297"/>
      <c r="S381" s="297"/>
      <c r="T381" s="299"/>
      <c r="U381" s="300"/>
      <c r="V381" s="301"/>
      <c r="W381" s="297"/>
      <c r="X381" s="297"/>
      <c r="Y381" s="299"/>
      <c r="Z381" s="300"/>
      <c r="AA381" s="301"/>
      <c r="AB381" s="297"/>
      <c r="AC381" s="297"/>
      <c r="AD381" s="299"/>
      <c r="AE381" s="300"/>
      <c r="AF381" s="301"/>
      <c r="AG381" s="297"/>
      <c r="AH381" s="297"/>
      <c r="AI381" s="322"/>
      <c r="AJ381" s="300"/>
      <c r="AK381" s="301"/>
      <c r="AL381" s="297"/>
      <c r="AM381" s="297"/>
      <c r="AN381" s="297"/>
      <c r="AO381" s="473"/>
      <c r="AP381" s="297"/>
      <c r="AQ381" s="301" t="s">
        <v>7938</v>
      </c>
      <c r="AR381" s="297" t="s">
        <v>66</v>
      </c>
      <c r="AS381" s="299" t="s">
        <v>67</v>
      </c>
      <c r="AT381" s="299" t="s">
        <v>67</v>
      </c>
      <c r="AU381" s="297" t="s">
        <v>3827</v>
      </c>
      <c r="AV381" s="297"/>
      <c r="AW381" s="297" t="s">
        <v>69</v>
      </c>
      <c r="AX381" s="297" t="s">
        <v>4911</v>
      </c>
      <c r="AY381" s="299">
        <v>42862</v>
      </c>
      <c r="AZ381" s="297" t="s">
        <v>67</v>
      </c>
      <c r="BA381" s="299" t="s">
        <v>67</v>
      </c>
      <c r="BB381" s="382">
        <v>42871</v>
      </c>
      <c r="BC381" s="297" t="s">
        <v>3829</v>
      </c>
      <c r="BD381" s="297" t="s">
        <v>6447</v>
      </c>
      <c r="BE381" s="297"/>
      <c r="BF381" s="301"/>
      <c r="BG381" s="301"/>
      <c r="BH381" s="301" t="s">
        <v>4912</v>
      </c>
      <c r="BI381" s="301"/>
      <c r="BJ381" s="312">
        <v>502714</v>
      </c>
      <c r="BK381" s="306">
        <v>502714</v>
      </c>
      <c r="BL381" s="307">
        <v>177559617</v>
      </c>
      <c r="BM381" s="299">
        <v>42922</v>
      </c>
      <c r="BN381" s="300">
        <v>42917</v>
      </c>
      <c r="BO381" s="460"/>
      <c r="BP381" s="390"/>
      <c r="BQ381" s="297"/>
      <c r="BR381" s="303"/>
      <c r="BS381" s="301"/>
      <c r="BT381" s="301"/>
      <c r="BU381" s="301"/>
      <c r="BV381" s="301"/>
      <c r="BW381" s="316"/>
      <c r="BX381" s="304"/>
      <c r="BY381" s="299"/>
      <c r="BZ381" s="317"/>
    </row>
    <row r="382" spans="1:555" ht="54">
      <c r="A382" s="296">
        <v>539</v>
      </c>
      <c r="B382" s="297" t="s">
        <v>4913</v>
      </c>
      <c r="C382" s="298">
        <v>91524178</v>
      </c>
      <c r="D382" s="354" t="s">
        <v>67</v>
      </c>
      <c r="E382" s="299">
        <v>42870</v>
      </c>
      <c r="F382" s="300">
        <v>42856</v>
      </c>
      <c r="G382" s="301" t="s">
        <v>271</v>
      </c>
      <c r="H382" s="297" t="s">
        <v>63</v>
      </c>
      <c r="I382" s="297" t="s">
        <v>79</v>
      </c>
      <c r="J382" s="299"/>
      <c r="K382" s="300"/>
      <c r="L382" s="301"/>
      <c r="M382" s="297"/>
      <c r="N382" s="297"/>
      <c r="O382" s="299"/>
      <c r="P382" s="302"/>
      <c r="Q382" s="301"/>
      <c r="R382" s="297"/>
      <c r="S382" s="297"/>
      <c r="T382" s="299"/>
      <c r="U382" s="300"/>
      <c r="V382" s="301"/>
      <c r="W382" s="297"/>
      <c r="X382" s="297"/>
      <c r="Y382" s="299"/>
      <c r="Z382" s="300"/>
      <c r="AA382" s="301"/>
      <c r="AB382" s="297"/>
      <c r="AC382" s="297"/>
      <c r="AD382" s="299"/>
      <c r="AE382" s="300"/>
      <c r="AF382" s="301"/>
      <c r="AG382" s="297"/>
      <c r="AH382" s="297"/>
      <c r="AI382" s="322"/>
      <c r="AJ382" s="300"/>
      <c r="AK382" s="301"/>
      <c r="AL382" s="297"/>
      <c r="AM382" s="297"/>
      <c r="AN382" s="297"/>
      <c r="AO382" s="473"/>
      <c r="AP382" s="297"/>
      <c r="AQ382" s="301" t="s">
        <v>7747</v>
      </c>
      <c r="AR382" s="297" t="s">
        <v>66</v>
      </c>
      <c r="AS382" s="299" t="s">
        <v>67</v>
      </c>
      <c r="AT382" s="299" t="s">
        <v>67</v>
      </c>
      <c r="AU382" s="297" t="s">
        <v>3827</v>
      </c>
      <c r="AV382" s="297"/>
      <c r="AW382" s="297" t="s">
        <v>69</v>
      </c>
      <c r="AX382" s="297" t="s">
        <v>7633</v>
      </c>
      <c r="AY382" s="299">
        <v>42866</v>
      </c>
      <c r="AZ382" s="297" t="s">
        <v>67</v>
      </c>
      <c r="BA382" s="299" t="s">
        <v>67</v>
      </c>
      <c r="BB382" s="382">
        <v>42873</v>
      </c>
      <c r="BC382" s="297" t="s">
        <v>3829</v>
      </c>
      <c r="BD382" s="297" t="s">
        <v>6447</v>
      </c>
      <c r="BE382" s="297"/>
      <c r="BF382" s="301"/>
      <c r="BG382" s="301" t="s">
        <v>67</v>
      </c>
      <c r="BH382" s="301" t="s">
        <v>4914</v>
      </c>
      <c r="BI382" s="301" t="s">
        <v>517</v>
      </c>
      <c r="BJ382" s="312">
        <v>2033566</v>
      </c>
      <c r="BK382" s="312">
        <v>2033566</v>
      </c>
      <c r="BL382" s="313">
        <v>160703617</v>
      </c>
      <c r="BM382" s="299">
        <v>42907</v>
      </c>
      <c r="BN382" s="300">
        <v>42887</v>
      </c>
      <c r="BO382" s="460"/>
      <c r="BP382" s="390"/>
      <c r="BQ382" s="297"/>
      <c r="BR382" s="303"/>
      <c r="BS382" s="301"/>
      <c r="BT382" s="301"/>
      <c r="BU382" s="301"/>
      <c r="BV382" s="301"/>
      <c r="BW382" s="316"/>
      <c r="BX382" s="304"/>
      <c r="BY382" s="299"/>
      <c r="BZ382" s="317"/>
    </row>
    <row r="383" spans="1:555" ht="54">
      <c r="A383" s="296">
        <v>542</v>
      </c>
      <c r="B383" s="297" t="s">
        <v>4028</v>
      </c>
      <c r="C383" s="298">
        <v>80504321</v>
      </c>
      <c r="D383" s="354" t="s">
        <v>67</v>
      </c>
      <c r="E383" s="299">
        <v>42880</v>
      </c>
      <c r="F383" s="300">
        <v>42856</v>
      </c>
      <c r="G383" s="301" t="s">
        <v>271</v>
      </c>
      <c r="H383" s="297" t="s">
        <v>63</v>
      </c>
      <c r="I383" s="297" t="s">
        <v>79</v>
      </c>
      <c r="J383" s="299"/>
      <c r="K383" s="300"/>
      <c r="L383" s="301"/>
      <c r="M383" s="297"/>
      <c r="N383" s="297"/>
      <c r="O383" s="299"/>
      <c r="P383" s="302"/>
      <c r="Q383" s="301"/>
      <c r="R383" s="297"/>
      <c r="S383" s="297"/>
      <c r="T383" s="299"/>
      <c r="U383" s="300"/>
      <c r="V383" s="301"/>
      <c r="W383" s="297"/>
      <c r="X383" s="297"/>
      <c r="Y383" s="299"/>
      <c r="Z383" s="300"/>
      <c r="AA383" s="301"/>
      <c r="AB383" s="297"/>
      <c r="AC383" s="297"/>
      <c r="AD383" s="299"/>
      <c r="AE383" s="300"/>
      <c r="AF383" s="301"/>
      <c r="AG383" s="297"/>
      <c r="AH383" s="297"/>
      <c r="AI383" s="322"/>
      <c r="AJ383" s="300"/>
      <c r="AK383" s="301"/>
      <c r="AL383" s="297"/>
      <c r="AM383" s="297"/>
      <c r="AN383" s="297"/>
      <c r="AO383" s="473"/>
      <c r="AP383" s="297"/>
      <c r="AQ383" s="301" t="s">
        <v>7659</v>
      </c>
      <c r="AR383" s="297" t="s">
        <v>66</v>
      </c>
      <c r="AS383" s="299" t="s">
        <v>67</v>
      </c>
      <c r="AT383" s="299" t="s">
        <v>67</v>
      </c>
      <c r="AU383" s="297" t="s">
        <v>3827</v>
      </c>
      <c r="AV383" s="297"/>
      <c r="AW383" s="297" t="s">
        <v>69</v>
      </c>
      <c r="AX383" s="297" t="s">
        <v>7633</v>
      </c>
      <c r="AY383" s="299">
        <v>42879</v>
      </c>
      <c r="AZ383" s="297" t="s">
        <v>67</v>
      </c>
      <c r="BA383" s="299" t="s">
        <v>67</v>
      </c>
      <c r="BB383" s="382">
        <v>42885</v>
      </c>
      <c r="BC383" s="297" t="s">
        <v>3829</v>
      </c>
      <c r="BD383" s="297" t="s">
        <v>6447</v>
      </c>
      <c r="BE383" s="297"/>
      <c r="BF383" s="301" t="s">
        <v>4932</v>
      </c>
      <c r="BG383" s="301"/>
      <c r="BH383" s="301" t="s">
        <v>4933</v>
      </c>
      <c r="BI383" s="301" t="s">
        <v>4934</v>
      </c>
      <c r="BJ383" s="312">
        <v>338928</v>
      </c>
      <c r="BK383" s="312">
        <v>338928</v>
      </c>
      <c r="BL383" s="313">
        <v>222745417</v>
      </c>
      <c r="BM383" s="299">
        <v>42958</v>
      </c>
      <c r="BN383" s="300">
        <v>42948</v>
      </c>
      <c r="BO383" s="434" t="s">
        <v>4935</v>
      </c>
      <c r="BP383" s="397"/>
      <c r="BQ383" s="398"/>
      <c r="BR383" s="320"/>
      <c r="BS383" s="301"/>
      <c r="BT383" s="301"/>
      <c r="BU383" s="301"/>
      <c r="BV383" s="301"/>
      <c r="BW383" s="316"/>
      <c r="BX383" s="304"/>
      <c r="BY383" s="299"/>
      <c r="BZ383" s="317"/>
    </row>
    <row r="384" spans="1:555" ht="54">
      <c r="A384" s="296">
        <v>543</v>
      </c>
      <c r="B384" s="297" t="s">
        <v>4936</v>
      </c>
      <c r="C384" s="298">
        <v>94316893</v>
      </c>
      <c r="D384" s="354" t="s">
        <v>67</v>
      </c>
      <c r="E384" s="299">
        <v>42880</v>
      </c>
      <c r="F384" s="300">
        <v>42856</v>
      </c>
      <c r="G384" s="301" t="s">
        <v>271</v>
      </c>
      <c r="H384" s="297" t="s">
        <v>63</v>
      </c>
      <c r="I384" s="297" t="s">
        <v>79</v>
      </c>
      <c r="J384" s="299"/>
      <c r="K384" s="300"/>
      <c r="L384" s="301"/>
      <c r="M384" s="297"/>
      <c r="N384" s="297"/>
      <c r="O384" s="299"/>
      <c r="P384" s="302"/>
      <c r="Q384" s="301"/>
      <c r="R384" s="297"/>
      <c r="S384" s="297"/>
      <c r="T384" s="299"/>
      <c r="U384" s="300"/>
      <c r="V384" s="301"/>
      <c r="W384" s="297"/>
      <c r="X384" s="297"/>
      <c r="Y384" s="299"/>
      <c r="Z384" s="300"/>
      <c r="AA384" s="301"/>
      <c r="AB384" s="297"/>
      <c r="AC384" s="297"/>
      <c r="AD384" s="299"/>
      <c r="AE384" s="300"/>
      <c r="AF384" s="301"/>
      <c r="AG384" s="297"/>
      <c r="AH384" s="297"/>
      <c r="AI384" s="322"/>
      <c r="AJ384" s="300"/>
      <c r="AK384" s="301"/>
      <c r="AL384" s="297"/>
      <c r="AM384" s="297"/>
      <c r="AN384" s="297"/>
      <c r="AO384" s="473"/>
      <c r="AP384" s="297"/>
      <c r="AQ384" s="301" t="s">
        <v>7771</v>
      </c>
      <c r="AR384" s="297" t="s">
        <v>66</v>
      </c>
      <c r="AS384" s="299" t="s">
        <v>67</v>
      </c>
      <c r="AT384" s="299" t="s">
        <v>67</v>
      </c>
      <c r="AU384" s="297" t="s">
        <v>3827</v>
      </c>
      <c r="AV384" s="297"/>
      <c r="AW384" s="297" t="s">
        <v>69</v>
      </c>
      <c r="AX384" s="297" t="s">
        <v>7695</v>
      </c>
      <c r="AY384" s="299">
        <v>42723</v>
      </c>
      <c r="AZ384" s="297" t="s">
        <v>67</v>
      </c>
      <c r="BA384" s="299" t="s">
        <v>67</v>
      </c>
      <c r="BB384" s="382">
        <v>42835</v>
      </c>
      <c r="BC384" s="297" t="s">
        <v>3829</v>
      </c>
      <c r="BD384" s="297" t="s">
        <v>6447</v>
      </c>
      <c r="BE384" s="297"/>
      <c r="BF384" s="301"/>
      <c r="BG384" s="301"/>
      <c r="BH384" s="301" t="s">
        <v>4937</v>
      </c>
      <c r="BI384" s="301" t="s">
        <v>4938</v>
      </c>
      <c r="BJ384" s="312">
        <v>668870</v>
      </c>
      <c r="BK384" s="312">
        <v>668870</v>
      </c>
      <c r="BL384" s="313">
        <v>239565417</v>
      </c>
      <c r="BM384" s="299">
        <v>42975</v>
      </c>
      <c r="BN384" s="300">
        <v>42948</v>
      </c>
      <c r="BO384" s="434" t="s">
        <v>4939</v>
      </c>
      <c r="BP384" s="397"/>
      <c r="BQ384" s="398"/>
      <c r="BR384" s="320"/>
      <c r="BS384" s="301"/>
      <c r="BT384" s="301"/>
      <c r="BU384" s="301"/>
      <c r="BV384" s="301"/>
      <c r="BW384" s="316"/>
      <c r="BX384" s="304"/>
      <c r="BY384" s="299"/>
      <c r="BZ384" s="317"/>
    </row>
    <row r="385" spans="1:555" ht="54">
      <c r="A385" s="296">
        <v>544</v>
      </c>
      <c r="B385" s="297" t="s">
        <v>4940</v>
      </c>
      <c r="C385" s="298">
        <v>83218275</v>
      </c>
      <c r="D385" s="354" t="s">
        <v>67</v>
      </c>
      <c r="E385" s="299">
        <v>42880</v>
      </c>
      <c r="F385" s="300">
        <v>42856</v>
      </c>
      <c r="G385" s="301" t="s">
        <v>271</v>
      </c>
      <c r="H385" s="297" t="s">
        <v>63</v>
      </c>
      <c r="I385" s="297" t="s">
        <v>79</v>
      </c>
      <c r="J385" s="299"/>
      <c r="K385" s="300"/>
      <c r="L385" s="301"/>
      <c r="M385" s="297"/>
      <c r="N385" s="297"/>
      <c r="O385" s="299"/>
      <c r="P385" s="302"/>
      <c r="Q385" s="301"/>
      <c r="R385" s="297"/>
      <c r="S385" s="297"/>
      <c r="T385" s="299"/>
      <c r="U385" s="300"/>
      <c r="V385" s="301"/>
      <c r="W385" s="297"/>
      <c r="X385" s="297"/>
      <c r="Y385" s="299"/>
      <c r="Z385" s="300"/>
      <c r="AA385" s="301"/>
      <c r="AB385" s="297"/>
      <c r="AC385" s="297"/>
      <c r="AD385" s="299"/>
      <c r="AE385" s="300"/>
      <c r="AF385" s="301"/>
      <c r="AG385" s="297"/>
      <c r="AH385" s="297"/>
      <c r="AI385" s="322"/>
      <c r="AJ385" s="300"/>
      <c r="AK385" s="301"/>
      <c r="AL385" s="297"/>
      <c r="AM385" s="297"/>
      <c r="AN385" s="297"/>
      <c r="AO385" s="473"/>
      <c r="AP385" s="297"/>
      <c r="AQ385" s="301" t="s">
        <v>7876</v>
      </c>
      <c r="AR385" s="297" t="s">
        <v>66</v>
      </c>
      <c r="AS385" s="299" t="s">
        <v>67</v>
      </c>
      <c r="AT385" s="299" t="s">
        <v>67</v>
      </c>
      <c r="AU385" s="297" t="s">
        <v>3827</v>
      </c>
      <c r="AV385" s="297"/>
      <c r="AW385" s="297" t="s">
        <v>69</v>
      </c>
      <c r="AX385" s="297" t="s">
        <v>7633</v>
      </c>
      <c r="AY385" s="299">
        <v>42879</v>
      </c>
      <c r="AZ385" s="297" t="s">
        <v>67</v>
      </c>
      <c r="BA385" s="299" t="s">
        <v>67</v>
      </c>
      <c r="BB385" s="382">
        <v>42885</v>
      </c>
      <c r="BC385" s="297" t="s">
        <v>3829</v>
      </c>
      <c r="BD385" s="297" t="s">
        <v>6447</v>
      </c>
      <c r="BE385" s="297"/>
      <c r="BF385" s="301"/>
      <c r="BG385" s="301"/>
      <c r="BH385" s="301" t="s">
        <v>4941</v>
      </c>
      <c r="BI385" s="301" t="s">
        <v>4942</v>
      </c>
      <c r="BJ385" s="312">
        <v>610070</v>
      </c>
      <c r="BK385" s="312">
        <v>610070</v>
      </c>
      <c r="BL385" s="313">
        <v>217320717</v>
      </c>
      <c r="BM385" s="299">
        <v>42955</v>
      </c>
      <c r="BN385" s="300">
        <v>42948</v>
      </c>
      <c r="BO385" s="434" t="s">
        <v>4943</v>
      </c>
      <c r="BP385" s="397"/>
      <c r="BQ385" s="398"/>
      <c r="BR385" s="320"/>
      <c r="BS385" s="301"/>
      <c r="BT385" s="301"/>
      <c r="BU385" s="301"/>
      <c r="BV385" s="301"/>
      <c r="BW385" s="316"/>
      <c r="BX385" s="304"/>
      <c r="BY385" s="299"/>
      <c r="BZ385" s="317"/>
    </row>
    <row r="386" spans="1:555" ht="54">
      <c r="A386" s="296">
        <v>545</v>
      </c>
      <c r="B386" s="297" t="s">
        <v>4944</v>
      </c>
      <c r="C386" s="298">
        <v>79204548</v>
      </c>
      <c r="D386" s="354" t="s">
        <v>67</v>
      </c>
      <c r="E386" s="299">
        <v>42880</v>
      </c>
      <c r="F386" s="300">
        <v>42856</v>
      </c>
      <c r="G386" s="301" t="s">
        <v>271</v>
      </c>
      <c r="H386" s="297" t="s">
        <v>63</v>
      </c>
      <c r="I386" s="297" t="s">
        <v>79</v>
      </c>
      <c r="J386" s="299"/>
      <c r="K386" s="300"/>
      <c r="L386" s="301"/>
      <c r="M386" s="297"/>
      <c r="N386" s="297"/>
      <c r="O386" s="299"/>
      <c r="P386" s="302"/>
      <c r="Q386" s="301"/>
      <c r="R386" s="297"/>
      <c r="S386" s="297"/>
      <c r="T386" s="299"/>
      <c r="U386" s="300"/>
      <c r="V386" s="301"/>
      <c r="W386" s="297"/>
      <c r="X386" s="297"/>
      <c r="Y386" s="299"/>
      <c r="Z386" s="300"/>
      <c r="AA386" s="301"/>
      <c r="AB386" s="297"/>
      <c r="AC386" s="297"/>
      <c r="AD386" s="299"/>
      <c r="AE386" s="300"/>
      <c r="AF386" s="301"/>
      <c r="AG386" s="297"/>
      <c r="AH386" s="297"/>
      <c r="AI386" s="322"/>
      <c r="AJ386" s="300"/>
      <c r="AK386" s="301"/>
      <c r="AL386" s="297"/>
      <c r="AM386" s="297"/>
      <c r="AN386" s="297"/>
      <c r="AO386" s="473"/>
      <c r="AP386" s="297"/>
      <c r="AQ386" s="301" t="s">
        <v>7852</v>
      </c>
      <c r="AR386" s="297" t="s">
        <v>66</v>
      </c>
      <c r="AS386" s="299" t="s">
        <v>67</v>
      </c>
      <c r="AT386" s="299" t="s">
        <v>67</v>
      </c>
      <c r="AU386" s="297" t="s">
        <v>3827</v>
      </c>
      <c r="AV386" s="297"/>
      <c r="AW386" s="297" t="s">
        <v>69</v>
      </c>
      <c r="AX386" s="297" t="s">
        <v>7633</v>
      </c>
      <c r="AY386" s="299">
        <v>42879</v>
      </c>
      <c r="AZ386" s="297" t="s">
        <v>67</v>
      </c>
      <c r="BA386" s="299" t="s">
        <v>67</v>
      </c>
      <c r="BB386" s="382">
        <v>42885</v>
      </c>
      <c r="BC386" s="297" t="s">
        <v>3829</v>
      </c>
      <c r="BD386" s="297" t="s">
        <v>6447</v>
      </c>
      <c r="BE386" s="297"/>
      <c r="BF386" s="301"/>
      <c r="BG386" s="301"/>
      <c r="BH386" s="301" t="s">
        <v>4945</v>
      </c>
      <c r="BI386" s="301" t="s">
        <v>4946</v>
      </c>
      <c r="BJ386" s="312">
        <v>3667323</v>
      </c>
      <c r="BK386" s="312">
        <v>3667323</v>
      </c>
      <c r="BL386" s="313">
        <v>191217117</v>
      </c>
      <c r="BM386" s="299">
        <v>42933</v>
      </c>
      <c r="BN386" s="300">
        <v>42917</v>
      </c>
      <c r="BO386" s="460"/>
      <c r="BP386" s="390"/>
      <c r="BQ386" s="297"/>
      <c r="BR386" s="303"/>
      <c r="BS386" s="301"/>
      <c r="BT386" s="301"/>
      <c r="BU386" s="301"/>
      <c r="BV386" s="301"/>
      <c r="BW386" s="316"/>
      <c r="BX386" s="304"/>
      <c r="BY386" s="299"/>
      <c r="BZ386" s="317"/>
    </row>
    <row r="387" spans="1:555" ht="54">
      <c r="A387" s="296">
        <v>546</v>
      </c>
      <c r="B387" s="297" t="s">
        <v>4947</v>
      </c>
      <c r="C387" s="298">
        <v>88159188</v>
      </c>
      <c r="D387" s="354" t="s">
        <v>67</v>
      </c>
      <c r="E387" s="299">
        <v>42880</v>
      </c>
      <c r="F387" s="300">
        <v>42856</v>
      </c>
      <c r="G387" s="301" t="s">
        <v>271</v>
      </c>
      <c r="H387" s="297" t="s">
        <v>63</v>
      </c>
      <c r="I387" s="297" t="s">
        <v>79</v>
      </c>
      <c r="J387" s="299"/>
      <c r="K387" s="300"/>
      <c r="L387" s="301"/>
      <c r="M387" s="297"/>
      <c r="N387" s="297"/>
      <c r="O387" s="299"/>
      <c r="P387" s="302"/>
      <c r="Q387" s="301"/>
      <c r="R387" s="297"/>
      <c r="S387" s="297"/>
      <c r="T387" s="299"/>
      <c r="U387" s="300"/>
      <c r="V387" s="301"/>
      <c r="W387" s="297"/>
      <c r="X387" s="297"/>
      <c r="Y387" s="299"/>
      <c r="Z387" s="300"/>
      <c r="AA387" s="301"/>
      <c r="AB387" s="297"/>
      <c r="AC387" s="297"/>
      <c r="AD387" s="299"/>
      <c r="AE387" s="300"/>
      <c r="AF387" s="301"/>
      <c r="AG387" s="297"/>
      <c r="AH387" s="297"/>
      <c r="AI387" s="322"/>
      <c r="AJ387" s="300"/>
      <c r="AK387" s="301"/>
      <c r="AL387" s="297"/>
      <c r="AM387" s="297"/>
      <c r="AN387" s="297"/>
      <c r="AO387" s="473"/>
      <c r="AP387" s="297"/>
      <c r="AQ387" s="301" t="s">
        <v>7738</v>
      </c>
      <c r="AR387" s="297" t="s">
        <v>66</v>
      </c>
      <c r="AS387" s="299" t="s">
        <v>67</v>
      </c>
      <c r="AT387" s="299" t="s">
        <v>67</v>
      </c>
      <c r="AU387" s="297" t="s">
        <v>3827</v>
      </c>
      <c r="AV387" s="297"/>
      <c r="AW387" s="297" t="s">
        <v>69</v>
      </c>
      <c r="AX387" s="297" t="s">
        <v>7739</v>
      </c>
      <c r="AY387" s="299">
        <v>42880</v>
      </c>
      <c r="AZ387" s="297" t="s">
        <v>67</v>
      </c>
      <c r="BA387" s="299" t="s">
        <v>67</v>
      </c>
      <c r="BB387" s="382">
        <v>42885</v>
      </c>
      <c r="BC387" s="297" t="s">
        <v>3829</v>
      </c>
      <c r="BD387" s="297" t="s">
        <v>6447</v>
      </c>
      <c r="BE387" s="297"/>
      <c r="BF387" s="301"/>
      <c r="BG387" s="301"/>
      <c r="BH387" s="301" t="s">
        <v>4948</v>
      </c>
      <c r="BI387" s="301" t="s">
        <v>4949</v>
      </c>
      <c r="BJ387" s="312">
        <v>1181369</v>
      </c>
      <c r="BK387" s="312">
        <v>1181369</v>
      </c>
      <c r="BL387" s="313">
        <v>224321717</v>
      </c>
      <c r="BM387" s="299">
        <v>42961</v>
      </c>
      <c r="BN387" s="300">
        <v>42948</v>
      </c>
      <c r="BO387" s="434" t="s">
        <v>4950</v>
      </c>
      <c r="BP387" s="397"/>
      <c r="BQ387" s="453"/>
      <c r="BR387" s="454"/>
      <c r="BS387" s="301"/>
      <c r="BT387" s="301"/>
      <c r="BU387" s="301"/>
      <c r="BV387" s="301"/>
      <c r="BW387" s="316"/>
      <c r="BX387" s="304"/>
      <c r="BY387" s="299"/>
      <c r="BZ387" s="317"/>
    </row>
    <row r="388" spans="1:555" ht="54">
      <c r="A388" s="296">
        <v>547</v>
      </c>
      <c r="B388" s="297" t="s">
        <v>4951</v>
      </c>
      <c r="C388" s="298">
        <v>93339007</v>
      </c>
      <c r="D388" s="354" t="s">
        <v>67</v>
      </c>
      <c r="E388" s="299">
        <v>42880</v>
      </c>
      <c r="F388" s="300">
        <v>42856</v>
      </c>
      <c r="G388" s="301" t="s">
        <v>271</v>
      </c>
      <c r="H388" s="297" t="s">
        <v>63</v>
      </c>
      <c r="I388" s="297" t="s">
        <v>79</v>
      </c>
      <c r="J388" s="299"/>
      <c r="K388" s="300"/>
      <c r="L388" s="301"/>
      <c r="M388" s="297"/>
      <c r="N388" s="297"/>
      <c r="O388" s="299"/>
      <c r="P388" s="302"/>
      <c r="Q388" s="301"/>
      <c r="R388" s="297"/>
      <c r="S388" s="297"/>
      <c r="T388" s="299"/>
      <c r="U388" s="300"/>
      <c r="V388" s="301"/>
      <c r="W388" s="297"/>
      <c r="X388" s="297"/>
      <c r="Y388" s="299"/>
      <c r="Z388" s="300"/>
      <c r="AA388" s="301"/>
      <c r="AB388" s="297"/>
      <c r="AC388" s="297"/>
      <c r="AD388" s="299"/>
      <c r="AE388" s="300"/>
      <c r="AF388" s="301"/>
      <c r="AG388" s="297"/>
      <c r="AH388" s="297"/>
      <c r="AI388" s="322"/>
      <c r="AJ388" s="300"/>
      <c r="AK388" s="301"/>
      <c r="AL388" s="297"/>
      <c r="AM388" s="297"/>
      <c r="AN388" s="297"/>
      <c r="AO388" s="473"/>
      <c r="AP388" s="297"/>
      <c r="AQ388" s="301" t="s">
        <v>7917</v>
      </c>
      <c r="AR388" s="297" t="s">
        <v>66</v>
      </c>
      <c r="AS388" s="299" t="s">
        <v>67</v>
      </c>
      <c r="AT388" s="299" t="s">
        <v>67</v>
      </c>
      <c r="AU388" s="297" t="s">
        <v>3827</v>
      </c>
      <c r="AV388" s="297"/>
      <c r="AW388" s="297" t="s">
        <v>69</v>
      </c>
      <c r="AX388" s="297" t="s">
        <v>7633</v>
      </c>
      <c r="AY388" s="299">
        <v>42879</v>
      </c>
      <c r="AZ388" s="297" t="s">
        <v>67</v>
      </c>
      <c r="BA388" s="299" t="s">
        <v>67</v>
      </c>
      <c r="BB388" s="382">
        <v>42885</v>
      </c>
      <c r="BC388" s="297" t="s">
        <v>3829</v>
      </c>
      <c r="BD388" s="297" t="s">
        <v>6447</v>
      </c>
      <c r="BE388" s="297"/>
      <c r="BF388" s="301"/>
      <c r="BG388" s="301"/>
      <c r="BH388" s="301" t="s">
        <v>4952</v>
      </c>
      <c r="BI388" s="301" t="s">
        <v>4953</v>
      </c>
      <c r="BJ388" s="312">
        <v>552870</v>
      </c>
      <c r="BK388" s="312">
        <v>552870</v>
      </c>
      <c r="BL388" s="313">
        <v>217313317</v>
      </c>
      <c r="BM388" s="299">
        <v>42955</v>
      </c>
      <c r="BN388" s="300">
        <v>42948</v>
      </c>
      <c r="BO388" s="434" t="s">
        <v>4954</v>
      </c>
      <c r="BP388" s="397"/>
      <c r="BQ388" s="398"/>
      <c r="BR388" s="320"/>
      <c r="BS388" s="301"/>
      <c r="BT388" s="301"/>
      <c r="BU388" s="301"/>
      <c r="BV388" s="301"/>
      <c r="BW388" s="316"/>
      <c r="BX388" s="304"/>
      <c r="BY388" s="299"/>
      <c r="BZ388" s="317"/>
    </row>
    <row r="389" spans="1:555" ht="54">
      <c r="A389" s="296">
        <v>551</v>
      </c>
      <c r="B389" s="297" t="s">
        <v>4982</v>
      </c>
      <c r="C389" s="298">
        <v>10486943</v>
      </c>
      <c r="D389" s="354" t="s">
        <v>4983</v>
      </c>
      <c r="E389" s="299">
        <v>42885</v>
      </c>
      <c r="F389" s="300">
        <v>42856</v>
      </c>
      <c r="G389" s="301" t="s">
        <v>4984</v>
      </c>
      <c r="H389" s="297" t="s">
        <v>63</v>
      </c>
      <c r="I389" s="297" t="s">
        <v>101</v>
      </c>
      <c r="J389" s="299">
        <v>42971</v>
      </c>
      <c r="K389" s="300">
        <v>42948</v>
      </c>
      <c r="L389" s="301" t="s">
        <v>4985</v>
      </c>
      <c r="M389" s="297" t="s">
        <v>63</v>
      </c>
      <c r="N389" s="297" t="s">
        <v>79</v>
      </c>
      <c r="O389" s="299">
        <v>43172</v>
      </c>
      <c r="P389" s="302">
        <v>43160</v>
      </c>
      <c r="Q389" s="301" t="s">
        <v>4986</v>
      </c>
      <c r="R389" s="297" t="s">
        <v>63</v>
      </c>
      <c r="S389" s="297" t="s">
        <v>1114</v>
      </c>
      <c r="T389" s="299">
        <v>43168</v>
      </c>
      <c r="U389" s="300">
        <v>43160</v>
      </c>
      <c r="V389" s="301" t="s">
        <v>4987</v>
      </c>
      <c r="W389" s="297" t="s">
        <v>63</v>
      </c>
      <c r="X389" s="297" t="s">
        <v>3939</v>
      </c>
      <c r="Y389" s="299">
        <v>43201</v>
      </c>
      <c r="Z389" s="300">
        <v>43191</v>
      </c>
      <c r="AA389" s="301" t="s">
        <v>4988</v>
      </c>
      <c r="AB389" s="297" t="s">
        <v>2743</v>
      </c>
      <c r="AC389" s="297" t="s">
        <v>352</v>
      </c>
      <c r="AD389" s="299">
        <v>43577</v>
      </c>
      <c r="AE389" s="300">
        <v>43577</v>
      </c>
      <c r="AF389" s="301" t="s">
        <v>8478</v>
      </c>
      <c r="AG389" s="297" t="s">
        <v>63</v>
      </c>
      <c r="AH389" s="297" t="s">
        <v>8447</v>
      </c>
      <c r="AI389" s="299">
        <v>44035</v>
      </c>
      <c r="AJ389" s="300">
        <v>44035</v>
      </c>
      <c r="AK389" s="301" t="s">
        <v>9558</v>
      </c>
      <c r="AL389" s="297" t="s">
        <v>63</v>
      </c>
      <c r="AM389" s="297" t="s">
        <v>9546</v>
      </c>
      <c r="AN389" s="297" t="s">
        <v>3671</v>
      </c>
      <c r="AO389" s="554"/>
      <c r="AP389" s="297"/>
      <c r="AQ389" s="301" t="s">
        <v>4989</v>
      </c>
      <c r="AR389" s="297" t="s">
        <v>161</v>
      </c>
      <c r="AS389" s="299">
        <v>37956</v>
      </c>
      <c r="AT389" s="299">
        <v>40830</v>
      </c>
      <c r="AU389" s="297" t="s">
        <v>4990</v>
      </c>
      <c r="AV389" s="297"/>
      <c r="AW389" s="297" t="s">
        <v>92</v>
      </c>
      <c r="AX389" s="297" t="s">
        <v>4991</v>
      </c>
      <c r="AY389" s="299">
        <v>42247</v>
      </c>
      <c r="AZ389" s="297" t="s">
        <v>67</v>
      </c>
      <c r="BA389" s="299" t="s">
        <v>67</v>
      </c>
      <c r="BB389" s="382">
        <v>42255</v>
      </c>
      <c r="BC389" s="297" t="s">
        <v>95</v>
      </c>
      <c r="BD389" s="297" t="s">
        <v>566</v>
      </c>
      <c r="BE389" s="297"/>
      <c r="BF389" s="301" t="s">
        <v>2399</v>
      </c>
      <c r="BG389" s="301"/>
      <c r="BH389" s="301" t="s">
        <v>9437</v>
      </c>
      <c r="BI389" s="301"/>
      <c r="BJ389" s="312">
        <f>+[76]MATRIZ!$J$71</f>
        <v>9611239.1110321097</v>
      </c>
      <c r="BK389" s="312">
        <v>196244978</v>
      </c>
      <c r="BL389" s="313">
        <v>73462720</v>
      </c>
      <c r="BM389" s="299">
        <v>43921</v>
      </c>
      <c r="BN389" s="300">
        <v>43921</v>
      </c>
      <c r="BO389" s="460"/>
      <c r="BP389" s="390" t="s">
        <v>9402</v>
      </c>
      <c r="BQ389" s="297" t="s">
        <v>9401</v>
      </c>
      <c r="BR389" s="303"/>
      <c r="BS389" s="301"/>
      <c r="BT389" s="301"/>
      <c r="BU389" s="301"/>
      <c r="BV389" s="301"/>
      <c r="BW389" s="316"/>
      <c r="BX389" s="304"/>
      <c r="BY389" s="299"/>
      <c r="BZ389" s="317"/>
      <c r="CA389" s="509"/>
      <c r="CB389" s="509"/>
      <c r="CC389" s="509"/>
      <c r="CD389" s="509"/>
      <c r="CE389" s="509"/>
      <c r="CF389" s="509"/>
      <c r="CG389" s="509"/>
      <c r="CH389" s="509"/>
      <c r="CI389" s="509"/>
      <c r="CJ389" s="509"/>
      <c r="CK389" s="509"/>
      <c r="CL389" s="509"/>
      <c r="CM389" s="509"/>
      <c r="CN389" s="509"/>
      <c r="CO389" s="509"/>
      <c r="CP389" s="509"/>
      <c r="CQ389" s="509"/>
      <c r="CR389" s="509"/>
      <c r="CS389" s="509"/>
      <c r="CT389" s="509"/>
      <c r="CU389" s="509"/>
      <c r="CV389" s="509"/>
      <c r="CW389" s="509"/>
      <c r="CX389" s="509"/>
      <c r="CY389" s="509"/>
      <c r="CZ389" s="509"/>
      <c r="DA389" s="509"/>
      <c r="DB389" s="509"/>
      <c r="DC389" s="509"/>
      <c r="DD389" s="509"/>
      <c r="DE389" s="509"/>
      <c r="DF389" s="509"/>
      <c r="DG389" s="509"/>
      <c r="DH389" s="509"/>
      <c r="DI389" s="509"/>
      <c r="DJ389" s="509"/>
      <c r="DK389" s="509"/>
      <c r="DL389" s="509"/>
      <c r="DM389" s="509"/>
      <c r="DN389" s="509"/>
      <c r="DO389" s="509"/>
      <c r="DP389" s="509"/>
      <c r="DQ389" s="509"/>
      <c r="DR389" s="509"/>
      <c r="DS389" s="509"/>
      <c r="DT389" s="509"/>
      <c r="DU389" s="509"/>
      <c r="DV389" s="509"/>
      <c r="DW389" s="509"/>
      <c r="DX389" s="509"/>
      <c r="DY389" s="509"/>
      <c r="DZ389" s="509"/>
      <c r="EA389" s="509"/>
      <c r="EB389" s="509"/>
      <c r="EC389" s="509"/>
      <c r="ED389" s="509"/>
      <c r="EE389" s="509"/>
      <c r="EF389" s="509"/>
      <c r="EG389" s="509"/>
      <c r="EH389" s="509"/>
      <c r="EI389" s="509"/>
      <c r="EJ389" s="509"/>
      <c r="EK389" s="509"/>
      <c r="EL389" s="509"/>
      <c r="EM389" s="509"/>
      <c r="EN389" s="509"/>
      <c r="EO389" s="509"/>
      <c r="EP389" s="509"/>
      <c r="EQ389" s="509"/>
      <c r="ER389" s="509"/>
      <c r="ES389" s="509"/>
      <c r="ET389" s="509"/>
      <c r="EU389" s="509"/>
      <c r="EV389" s="509"/>
      <c r="EW389" s="509"/>
      <c r="EX389" s="509"/>
      <c r="EY389" s="509"/>
      <c r="EZ389" s="509"/>
      <c r="FA389" s="509"/>
      <c r="FB389" s="509"/>
      <c r="FC389" s="509"/>
      <c r="FD389" s="509"/>
      <c r="FE389" s="509"/>
      <c r="FF389" s="509"/>
      <c r="FG389" s="509"/>
      <c r="FH389" s="509"/>
      <c r="FI389" s="509"/>
      <c r="FJ389" s="509"/>
      <c r="FK389" s="509"/>
      <c r="FL389" s="509"/>
      <c r="FM389" s="509"/>
      <c r="FN389" s="509"/>
      <c r="FO389" s="509"/>
      <c r="FP389" s="509"/>
      <c r="FQ389" s="509"/>
      <c r="FR389" s="509"/>
      <c r="FS389" s="509"/>
      <c r="FT389" s="509"/>
      <c r="FU389" s="509"/>
      <c r="FV389" s="509"/>
      <c r="FW389" s="509"/>
      <c r="FX389" s="509"/>
      <c r="FY389" s="509"/>
      <c r="FZ389" s="509"/>
      <c r="GA389" s="509"/>
      <c r="GB389" s="509"/>
      <c r="GC389" s="509"/>
      <c r="GD389" s="509"/>
      <c r="GE389" s="509"/>
      <c r="GF389" s="509"/>
      <c r="GG389" s="509"/>
      <c r="GH389" s="509"/>
      <c r="GI389" s="509"/>
      <c r="GJ389" s="509"/>
      <c r="GK389" s="509"/>
      <c r="GL389" s="509"/>
      <c r="GM389" s="509"/>
      <c r="GN389" s="509"/>
      <c r="GO389" s="509"/>
      <c r="GP389" s="509"/>
      <c r="GQ389" s="509"/>
      <c r="GR389" s="509"/>
      <c r="GS389" s="509"/>
      <c r="GT389" s="509"/>
      <c r="GU389" s="509"/>
      <c r="GV389" s="509"/>
      <c r="GW389" s="509"/>
      <c r="GX389" s="509"/>
      <c r="GY389" s="509"/>
      <c r="GZ389" s="509"/>
      <c r="HA389" s="509"/>
      <c r="HB389" s="509"/>
      <c r="HC389" s="509"/>
      <c r="HD389" s="509"/>
      <c r="HE389" s="509"/>
      <c r="HF389" s="509"/>
      <c r="HG389" s="509"/>
      <c r="HH389" s="509"/>
      <c r="HI389" s="509"/>
      <c r="HJ389" s="509"/>
      <c r="HK389" s="509"/>
      <c r="HL389" s="509"/>
      <c r="HM389" s="509"/>
      <c r="HN389" s="509"/>
      <c r="HO389" s="509"/>
      <c r="HP389" s="509"/>
      <c r="HQ389" s="509"/>
      <c r="HR389" s="509"/>
      <c r="HS389" s="509"/>
      <c r="HT389" s="509"/>
      <c r="HU389" s="509"/>
      <c r="HV389" s="509"/>
      <c r="HW389" s="509"/>
      <c r="HX389" s="509"/>
      <c r="HY389" s="509"/>
      <c r="HZ389" s="509"/>
      <c r="IA389" s="509"/>
      <c r="IB389" s="509"/>
      <c r="IC389" s="509"/>
      <c r="ID389" s="509"/>
      <c r="IE389" s="509"/>
      <c r="IF389" s="509"/>
      <c r="IG389" s="509"/>
      <c r="IH389" s="509"/>
      <c r="II389" s="509"/>
      <c r="IJ389" s="509"/>
      <c r="IK389" s="509"/>
      <c r="IL389" s="509"/>
      <c r="IM389" s="509"/>
      <c r="IN389" s="509"/>
      <c r="IO389" s="509"/>
      <c r="IP389" s="509"/>
      <c r="IQ389" s="509"/>
      <c r="IR389" s="509"/>
      <c r="IS389" s="509"/>
      <c r="IT389" s="509"/>
      <c r="IU389" s="509"/>
      <c r="IV389" s="509"/>
      <c r="IW389" s="509"/>
      <c r="IX389" s="509"/>
      <c r="IY389" s="509"/>
      <c r="IZ389" s="509"/>
      <c r="JA389" s="509"/>
      <c r="JB389" s="509"/>
      <c r="JC389" s="509"/>
      <c r="JD389" s="509"/>
      <c r="JE389" s="509"/>
      <c r="JF389" s="509"/>
      <c r="JG389" s="509"/>
      <c r="JH389" s="509"/>
      <c r="JI389" s="509"/>
      <c r="JJ389" s="509"/>
      <c r="JK389" s="509"/>
      <c r="JL389" s="509"/>
      <c r="JM389" s="509"/>
      <c r="JN389" s="509"/>
      <c r="JO389" s="509"/>
      <c r="JP389" s="509"/>
      <c r="JQ389" s="509"/>
      <c r="JR389" s="509"/>
      <c r="JS389" s="509"/>
      <c r="JT389" s="509"/>
      <c r="JU389" s="509"/>
      <c r="JV389" s="509"/>
      <c r="JW389" s="509"/>
      <c r="JX389" s="509"/>
      <c r="JY389" s="509"/>
      <c r="JZ389" s="509"/>
      <c r="KA389" s="509"/>
      <c r="KB389" s="509"/>
      <c r="KC389" s="509"/>
      <c r="KD389" s="509"/>
      <c r="KE389" s="509"/>
      <c r="KF389" s="509"/>
      <c r="KG389" s="509"/>
      <c r="KH389" s="509"/>
      <c r="KI389" s="509"/>
      <c r="KJ389" s="509"/>
      <c r="KK389" s="509"/>
      <c r="KL389" s="509"/>
      <c r="KM389" s="509"/>
      <c r="KN389" s="509"/>
      <c r="KO389" s="509"/>
      <c r="KP389" s="509"/>
      <c r="KQ389" s="509"/>
      <c r="KR389" s="509"/>
      <c r="KS389" s="509"/>
      <c r="KT389" s="509"/>
      <c r="KU389" s="509"/>
      <c r="KV389" s="509"/>
      <c r="KW389" s="509"/>
      <c r="KX389" s="509"/>
      <c r="KY389" s="509"/>
      <c r="KZ389" s="509"/>
      <c r="LA389" s="509"/>
      <c r="LB389" s="509"/>
      <c r="LC389" s="509"/>
      <c r="LD389" s="509"/>
      <c r="LE389" s="509"/>
      <c r="LF389" s="509"/>
      <c r="LG389" s="509"/>
      <c r="LH389" s="509"/>
      <c r="LI389" s="509"/>
      <c r="LJ389" s="509"/>
      <c r="LK389" s="509"/>
      <c r="LL389" s="509"/>
      <c r="LM389" s="509"/>
      <c r="LN389" s="509"/>
      <c r="LO389" s="509"/>
      <c r="LP389" s="509"/>
      <c r="LQ389" s="509"/>
      <c r="LR389" s="509"/>
      <c r="LS389" s="509"/>
      <c r="LT389" s="509"/>
      <c r="LU389" s="509"/>
      <c r="LV389" s="509"/>
      <c r="LW389" s="509"/>
      <c r="LX389" s="509"/>
      <c r="LY389" s="509"/>
      <c r="LZ389" s="509"/>
      <c r="MA389" s="509"/>
      <c r="MB389" s="509"/>
      <c r="MC389" s="509"/>
      <c r="MD389" s="509"/>
      <c r="ME389" s="509"/>
      <c r="MF389" s="509"/>
      <c r="MG389" s="509"/>
      <c r="MH389" s="509"/>
      <c r="MI389" s="509"/>
      <c r="MJ389" s="509"/>
      <c r="MK389" s="509"/>
      <c r="ML389" s="509"/>
      <c r="MM389" s="509"/>
      <c r="MN389" s="509"/>
      <c r="MO389" s="509"/>
      <c r="MP389" s="509"/>
      <c r="MQ389" s="509"/>
      <c r="MR389" s="509"/>
      <c r="MS389" s="509"/>
      <c r="MT389" s="509"/>
      <c r="MU389" s="509"/>
      <c r="MV389" s="509"/>
      <c r="MW389" s="509"/>
      <c r="MX389" s="509"/>
      <c r="MY389" s="509"/>
      <c r="MZ389" s="509"/>
      <c r="NA389" s="509"/>
      <c r="NB389" s="509"/>
      <c r="NC389" s="509"/>
      <c r="ND389" s="509"/>
      <c r="NE389" s="509"/>
      <c r="NF389" s="509"/>
      <c r="NG389" s="509"/>
      <c r="NH389" s="509"/>
      <c r="NI389" s="509"/>
      <c r="NJ389" s="509"/>
      <c r="NK389" s="509"/>
      <c r="NL389" s="509"/>
      <c r="NM389" s="509"/>
      <c r="NN389" s="509"/>
      <c r="NO389" s="509"/>
      <c r="NP389" s="509"/>
      <c r="NQ389" s="509"/>
      <c r="NR389" s="509"/>
      <c r="NS389" s="509"/>
      <c r="NT389" s="509"/>
      <c r="NU389" s="509"/>
      <c r="NV389" s="509"/>
      <c r="NW389" s="509"/>
      <c r="NX389" s="509"/>
      <c r="NY389" s="509"/>
      <c r="NZ389" s="509"/>
      <c r="OA389" s="509"/>
      <c r="OB389" s="509"/>
      <c r="OC389" s="509"/>
      <c r="OD389" s="509"/>
      <c r="OE389" s="509"/>
      <c r="OF389" s="509"/>
      <c r="OG389" s="509"/>
      <c r="OH389" s="509"/>
      <c r="OI389" s="509"/>
      <c r="OJ389" s="509"/>
      <c r="OK389" s="509"/>
      <c r="OL389" s="509"/>
      <c r="OM389" s="509"/>
      <c r="ON389" s="509"/>
      <c r="OO389" s="509"/>
      <c r="OP389" s="509"/>
      <c r="OQ389" s="509"/>
      <c r="OR389" s="509"/>
      <c r="OS389" s="509"/>
      <c r="OT389" s="509"/>
      <c r="OU389" s="509"/>
      <c r="OV389" s="509"/>
      <c r="OW389" s="509"/>
      <c r="OX389" s="509"/>
      <c r="OY389" s="509"/>
      <c r="OZ389" s="509"/>
      <c r="PA389" s="509"/>
      <c r="PB389" s="509"/>
      <c r="PC389" s="509"/>
      <c r="PD389" s="509"/>
      <c r="PE389" s="509"/>
      <c r="PF389" s="509"/>
      <c r="PG389" s="509"/>
      <c r="PH389" s="509"/>
      <c r="PI389" s="509"/>
      <c r="PJ389" s="509"/>
      <c r="PK389" s="509"/>
      <c r="PL389" s="509"/>
      <c r="PM389" s="509"/>
      <c r="PN389" s="509"/>
      <c r="PO389" s="509"/>
      <c r="PP389" s="509"/>
      <c r="PQ389" s="509"/>
      <c r="PR389" s="509"/>
      <c r="PS389" s="509"/>
      <c r="PT389" s="509"/>
      <c r="PU389" s="509"/>
      <c r="PV389" s="509"/>
      <c r="PW389" s="509"/>
      <c r="PX389" s="509"/>
      <c r="PY389" s="509"/>
      <c r="PZ389" s="509"/>
      <c r="QA389" s="509"/>
      <c r="QB389" s="509"/>
      <c r="QC389" s="509"/>
      <c r="QD389" s="509"/>
      <c r="QE389" s="509"/>
      <c r="QF389" s="509"/>
      <c r="QG389" s="509"/>
      <c r="QH389" s="509"/>
      <c r="QI389" s="509"/>
      <c r="QJ389" s="509"/>
      <c r="QK389" s="509"/>
      <c r="QL389" s="509"/>
      <c r="QM389" s="509"/>
      <c r="QN389" s="509"/>
      <c r="QO389" s="509"/>
      <c r="QP389" s="509"/>
      <c r="QQ389" s="509"/>
      <c r="QR389" s="509"/>
      <c r="QS389" s="509"/>
      <c r="QT389" s="509"/>
      <c r="QU389" s="509"/>
      <c r="QV389" s="509"/>
      <c r="QW389" s="509"/>
      <c r="QX389" s="509"/>
      <c r="QY389" s="509"/>
      <c r="QZ389" s="509"/>
      <c r="RA389" s="509"/>
      <c r="RB389" s="509"/>
      <c r="RC389" s="509"/>
      <c r="RD389" s="509"/>
      <c r="RE389" s="509"/>
      <c r="RF389" s="509"/>
      <c r="RG389" s="509"/>
      <c r="RH389" s="509"/>
      <c r="RI389" s="509"/>
      <c r="RJ389" s="509"/>
      <c r="RK389" s="509"/>
      <c r="RL389" s="509"/>
      <c r="RM389" s="509"/>
      <c r="RN389" s="509"/>
      <c r="RO389" s="509"/>
      <c r="RP389" s="509"/>
      <c r="RQ389" s="509"/>
      <c r="RR389" s="509"/>
      <c r="RS389" s="509"/>
      <c r="RT389" s="509"/>
      <c r="RU389" s="509"/>
      <c r="RV389" s="509"/>
      <c r="RW389" s="509"/>
      <c r="RX389" s="509"/>
      <c r="RY389" s="509"/>
      <c r="RZ389" s="509"/>
      <c r="SA389" s="509"/>
      <c r="SB389" s="509"/>
      <c r="SC389" s="509"/>
      <c r="SD389" s="509"/>
      <c r="SE389" s="509"/>
      <c r="SF389" s="509"/>
      <c r="SG389" s="509"/>
      <c r="SH389" s="509"/>
      <c r="SI389" s="509"/>
      <c r="SJ389" s="509"/>
      <c r="SK389" s="509"/>
      <c r="SL389" s="509"/>
      <c r="SM389" s="509"/>
      <c r="SN389" s="509"/>
      <c r="SO389" s="509"/>
      <c r="SP389" s="509"/>
      <c r="SQ389" s="509"/>
      <c r="SR389" s="509"/>
      <c r="SS389" s="509"/>
      <c r="ST389" s="509"/>
      <c r="SU389" s="509"/>
      <c r="SV389" s="509"/>
      <c r="SW389" s="509"/>
      <c r="SX389" s="509"/>
      <c r="SY389" s="509"/>
      <c r="SZ389" s="509"/>
      <c r="TA389" s="509"/>
      <c r="TB389" s="509"/>
      <c r="TC389" s="509"/>
      <c r="TD389" s="509"/>
      <c r="TE389" s="509"/>
      <c r="TF389" s="509"/>
      <c r="TG389" s="509"/>
      <c r="TH389" s="509"/>
      <c r="TI389" s="509"/>
      <c r="TJ389" s="509"/>
      <c r="TK389" s="509"/>
      <c r="TL389" s="509"/>
      <c r="TM389" s="509"/>
      <c r="TN389" s="509"/>
      <c r="TO389" s="509"/>
      <c r="TP389" s="509"/>
      <c r="TQ389" s="509"/>
      <c r="TR389" s="509"/>
      <c r="TS389" s="509"/>
      <c r="TT389" s="509"/>
      <c r="TU389" s="509"/>
      <c r="TV389" s="509"/>
      <c r="TW389" s="509"/>
      <c r="TX389" s="509"/>
      <c r="TY389" s="509"/>
      <c r="TZ389" s="509"/>
      <c r="UA389" s="509"/>
      <c r="UB389" s="509"/>
      <c r="UC389" s="509"/>
      <c r="UD389" s="509"/>
      <c r="UE389" s="509"/>
      <c r="UF389" s="509"/>
      <c r="UG389" s="509"/>
      <c r="UH389" s="509"/>
      <c r="UI389" s="509"/>
    </row>
    <row r="390" spans="1:555" ht="54">
      <c r="A390" s="296">
        <v>553</v>
      </c>
      <c r="B390" s="297" t="s">
        <v>4997</v>
      </c>
      <c r="C390" s="298">
        <v>19673974</v>
      </c>
      <c r="D390" s="354" t="s">
        <v>67</v>
      </c>
      <c r="E390" s="299"/>
      <c r="F390" s="300"/>
      <c r="G390" s="301"/>
      <c r="H390" s="297"/>
      <c r="I390" s="297"/>
      <c r="J390" s="299"/>
      <c r="K390" s="300"/>
      <c r="L390" s="301"/>
      <c r="M390" s="297"/>
      <c r="N390" s="297"/>
      <c r="O390" s="299"/>
      <c r="P390" s="302"/>
      <c r="Q390" s="301"/>
      <c r="R390" s="297"/>
      <c r="S390" s="297"/>
      <c r="T390" s="299"/>
      <c r="U390" s="300"/>
      <c r="V390" s="301"/>
      <c r="W390" s="297"/>
      <c r="X390" s="297"/>
      <c r="Y390" s="299"/>
      <c r="Z390" s="300"/>
      <c r="AA390" s="301"/>
      <c r="AB390" s="297"/>
      <c r="AC390" s="297"/>
      <c r="AD390" s="299"/>
      <c r="AE390" s="300"/>
      <c r="AF390" s="301"/>
      <c r="AG390" s="297"/>
      <c r="AH390" s="297"/>
      <c r="AI390" s="322"/>
      <c r="AJ390" s="300"/>
      <c r="AK390" s="301"/>
      <c r="AL390" s="297"/>
      <c r="AM390" s="297"/>
      <c r="AN390" s="297" t="s">
        <v>4896</v>
      </c>
      <c r="AO390" s="473"/>
      <c r="AP390" s="297"/>
      <c r="AQ390" s="301" t="s">
        <v>7806</v>
      </c>
      <c r="AR390" s="297" t="s">
        <v>66</v>
      </c>
      <c r="AS390" s="299" t="s">
        <v>67</v>
      </c>
      <c r="AT390" s="299" t="s">
        <v>67</v>
      </c>
      <c r="AU390" s="297" t="s">
        <v>3827</v>
      </c>
      <c r="AV390" s="297"/>
      <c r="AW390" s="297" t="s">
        <v>69</v>
      </c>
      <c r="AX390" s="297" t="s">
        <v>7628</v>
      </c>
      <c r="AY390" s="299">
        <v>42880</v>
      </c>
      <c r="AZ390" s="297" t="s">
        <v>67</v>
      </c>
      <c r="BA390" s="299" t="s">
        <v>67</v>
      </c>
      <c r="BB390" s="382">
        <v>42887</v>
      </c>
      <c r="BC390" s="297" t="s">
        <v>3829</v>
      </c>
      <c r="BD390" s="297" t="s">
        <v>6447</v>
      </c>
      <c r="BE390" s="297"/>
      <c r="BF390" s="301"/>
      <c r="BG390" s="301" t="s">
        <v>67</v>
      </c>
      <c r="BH390" s="301" t="s">
        <v>4998</v>
      </c>
      <c r="BI390" s="301"/>
      <c r="BJ390" s="312">
        <v>745641</v>
      </c>
      <c r="BK390" s="312">
        <v>745641</v>
      </c>
      <c r="BL390" s="313">
        <v>2853518</v>
      </c>
      <c r="BM390" s="299">
        <v>43115</v>
      </c>
      <c r="BN390" s="300">
        <v>43101</v>
      </c>
      <c r="BO390" s="434" t="s">
        <v>7807</v>
      </c>
      <c r="BP390" s="390"/>
      <c r="BQ390" s="297"/>
      <c r="BR390" s="303"/>
      <c r="BS390" s="301"/>
      <c r="BT390" s="301"/>
      <c r="BU390" s="301"/>
      <c r="BV390" s="301"/>
      <c r="BW390" s="316"/>
      <c r="BX390" s="304"/>
      <c r="BY390" s="299"/>
      <c r="BZ390" s="317"/>
    </row>
    <row r="391" spans="1:555" ht="54">
      <c r="A391" s="296">
        <v>554</v>
      </c>
      <c r="B391" s="297" t="s">
        <v>4999</v>
      </c>
      <c r="C391" s="298">
        <v>79261720</v>
      </c>
      <c r="D391" s="354" t="s">
        <v>67</v>
      </c>
      <c r="E391" s="299">
        <v>42887</v>
      </c>
      <c r="F391" s="300">
        <v>42856</v>
      </c>
      <c r="G391" s="301" t="s">
        <v>271</v>
      </c>
      <c r="H391" s="297" t="s">
        <v>63</v>
      </c>
      <c r="I391" s="297" t="s">
        <v>101</v>
      </c>
      <c r="J391" s="299"/>
      <c r="K391" s="300"/>
      <c r="L391" s="301"/>
      <c r="M391" s="297"/>
      <c r="N391" s="297"/>
      <c r="O391" s="299"/>
      <c r="P391" s="302"/>
      <c r="Q391" s="301"/>
      <c r="R391" s="297"/>
      <c r="S391" s="297"/>
      <c r="T391" s="299"/>
      <c r="U391" s="300"/>
      <c r="V391" s="301"/>
      <c r="W391" s="297"/>
      <c r="X391" s="297"/>
      <c r="Y391" s="299"/>
      <c r="Z391" s="300"/>
      <c r="AA391" s="301"/>
      <c r="AB391" s="297"/>
      <c r="AC391" s="297"/>
      <c r="AD391" s="299"/>
      <c r="AE391" s="300"/>
      <c r="AF391" s="301"/>
      <c r="AG391" s="297"/>
      <c r="AH391" s="297"/>
      <c r="AI391" s="322"/>
      <c r="AJ391" s="300"/>
      <c r="AK391" s="301"/>
      <c r="AL391" s="297"/>
      <c r="AM391" s="297"/>
      <c r="AN391" s="297"/>
      <c r="AO391" s="473"/>
      <c r="AP391" s="297"/>
      <c r="AQ391" s="301" t="s">
        <v>7886</v>
      </c>
      <c r="AR391" s="297" t="s">
        <v>66</v>
      </c>
      <c r="AS391" s="299" t="s">
        <v>67</v>
      </c>
      <c r="AT391" s="299" t="s">
        <v>67</v>
      </c>
      <c r="AU391" s="297" t="s">
        <v>3827</v>
      </c>
      <c r="AV391" s="297"/>
      <c r="AW391" s="297" t="s">
        <v>69</v>
      </c>
      <c r="AX391" s="297" t="s">
        <v>7628</v>
      </c>
      <c r="AY391" s="299">
        <v>42873</v>
      </c>
      <c r="AZ391" s="297" t="s">
        <v>67</v>
      </c>
      <c r="BA391" s="299" t="s">
        <v>67</v>
      </c>
      <c r="BB391" s="382">
        <v>42887</v>
      </c>
      <c r="BC391" s="297" t="s">
        <v>3829</v>
      </c>
      <c r="BD391" s="297" t="s">
        <v>6447</v>
      </c>
      <c r="BE391" s="297"/>
      <c r="BF391" s="301"/>
      <c r="BG391" s="301" t="s">
        <v>67</v>
      </c>
      <c r="BH391" s="301" t="s">
        <v>5000</v>
      </c>
      <c r="BI391" s="301" t="s">
        <v>4946</v>
      </c>
      <c r="BJ391" s="312">
        <v>3680316</v>
      </c>
      <c r="BK391" s="312">
        <v>3680316</v>
      </c>
      <c r="BL391" s="313">
        <v>191184017</v>
      </c>
      <c r="BM391" s="299">
        <v>42933</v>
      </c>
      <c r="BN391" s="300">
        <v>42917</v>
      </c>
      <c r="BO391" s="434" t="s">
        <v>5001</v>
      </c>
      <c r="BP391" s="397"/>
      <c r="BQ391" s="398"/>
      <c r="BR391" s="320"/>
      <c r="BS391" s="301"/>
      <c r="BT391" s="301"/>
      <c r="BU391" s="301"/>
      <c r="BV391" s="301"/>
      <c r="BW391" s="316"/>
      <c r="BX391" s="304"/>
      <c r="BY391" s="299"/>
      <c r="BZ391" s="317"/>
    </row>
    <row r="392" spans="1:555" ht="40.5">
      <c r="A392" s="296">
        <v>555</v>
      </c>
      <c r="B392" s="297" t="s">
        <v>5002</v>
      </c>
      <c r="C392" s="298">
        <v>12195741</v>
      </c>
      <c r="D392" s="354" t="s">
        <v>67</v>
      </c>
      <c r="E392" s="299"/>
      <c r="F392" s="300"/>
      <c r="G392" s="301"/>
      <c r="H392" s="297"/>
      <c r="I392" s="297"/>
      <c r="J392" s="299"/>
      <c r="K392" s="300"/>
      <c r="L392" s="301"/>
      <c r="M392" s="297"/>
      <c r="N392" s="297"/>
      <c r="O392" s="299"/>
      <c r="P392" s="302"/>
      <c r="Q392" s="301"/>
      <c r="R392" s="297"/>
      <c r="S392" s="297"/>
      <c r="T392" s="299"/>
      <c r="U392" s="300"/>
      <c r="V392" s="301"/>
      <c r="W392" s="297"/>
      <c r="X392" s="297"/>
      <c r="Y392" s="299"/>
      <c r="Z392" s="300"/>
      <c r="AA392" s="301"/>
      <c r="AB392" s="297"/>
      <c r="AC392" s="297"/>
      <c r="AD392" s="299"/>
      <c r="AE392" s="300"/>
      <c r="AF392" s="301"/>
      <c r="AG392" s="297"/>
      <c r="AH392" s="297"/>
      <c r="AI392" s="322"/>
      <c r="AJ392" s="300"/>
      <c r="AK392" s="301"/>
      <c r="AL392" s="297"/>
      <c r="AM392" s="297"/>
      <c r="AN392" s="297"/>
      <c r="AO392" s="473"/>
      <c r="AP392" s="297"/>
      <c r="AQ392" s="301" t="s">
        <v>7743</v>
      </c>
      <c r="AR392" s="297" t="s">
        <v>66</v>
      </c>
      <c r="AS392" s="299" t="s">
        <v>67</v>
      </c>
      <c r="AT392" s="299" t="s">
        <v>67</v>
      </c>
      <c r="AU392" s="297" t="s">
        <v>3827</v>
      </c>
      <c r="AV392" s="297"/>
      <c r="AW392" s="297" t="s">
        <v>69</v>
      </c>
      <c r="AX392" s="297" t="s">
        <v>7744</v>
      </c>
      <c r="AY392" s="299">
        <v>42881</v>
      </c>
      <c r="AZ392" s="297" t="s">
        <v>67</v>
      </c>
      <c r="BA392" s="299" t="s">
        <v>67</v>
      </c>
      <c r="BB392" s="382">
        <v>42887</v>
      </c>
      <c r="BC392" s="297" t="s">
        <v>3829</v>
      </c>
      <c r="BD392" s="297" t="s">
        <v>6447</v>
      </c>
      <c r="BE392" s="297"/>
      <c r="BF392" s="301"/>
      <c r="BG392" s="301" t="s">
        <v>67</v>
      </c>
      <c r="BH392" s="301" t="s">
        <v>5003</v>
      </c>
      <c r="BI392" s="301" t="s">
        <v>5004</v>
      </c>
      <c r="BJ392" s="312">
        <v>2236922</v>
      </c>
      <c r="BK392" s="312">
        <v>2236922</v>
      </c>
      <c r="BL392" s="313">
        <v>217333617</v>
      </c>
      <c r="BM392" s="299">
        <v>42955</v>
      </c>
      <c r="BN392" s="300">
        <v>42948</v>
      </c>
      <c r="BO392" s="460"/>
      <c r="BP392" s="390"/>
      <c r="BQ392" s="297"/>
      <c r="BR392" s="303"/>
      <c r="BS392" s="301"/>
      <c r="BT392" s="301"/>
      <c r="BU392" s="301"/>
      <c r="BV392" s="301"/>
      <c r="BW392" s="316"/>
      <c r="BX392" s="304"/>
      <c r="BY392" s="299"/>
      <c r="BZ392" s="317"/>
    </row>
    <row r="393" spans="1:555" ht="54">
      <c r="A393" s="296">
        <v>558</v>
      </c>
      <c r="B393" s="297" t="s">
        <v>3381</v>
      </c>
      <c r="C393" s="298">
        <v>79325332</v>
      </c>
      <c r="D393" s="354" t="s">
        <v>67</v>
      </c>
      <c r="E393" s="299">
        <v>42902</v>
      </c>
      <c r="F393" s="300">
        <v>42887</v>
      </c>
      <c r="G393" s="301" t="s">
        <v>271</v>
      </c>
      <c r="H393" s="297" t="s">
        <v>63</v>
      </c>
      <c r="I393" s="297" t="s">
        <v>101</v>
      </c>
      <c r="J393" s="299"/>
      <c r="K393" s="300"/>
      <c r="L393" s="301"/>
      <c r="M393" s="297"/>
      <c r="N393" s="297"/>
      <c r="O393" s="299"/>
      <c r="P393" s="302"/>
      <c r="Q393" s="301"/>
      <c r="R393" s="297"/>
      <c r="S393" s="297"/>
      <c r="T393" s="299"/>
      <c r="U393" s="300"/>
      <c r="V393" s="301"/>
      <c r="W393" s="297"/>
      <c r="X393" s="297"/>
      <c r="Y393" s="299"/>
      <c r="Z393" s="300"/>
      <c r="AA393" s="301"/>
      <c r="AB393" s="297"/>
      <c r="AC393" s="297"/>
      <c r="AD393" s="299"/>
      <c r="AE393" s="300"/>
      <c r="AF393" s="301"/>
      <c r="AG393" s="297"/>
      <c r="AH393" s="297"/>
      <c r="AI393" s="322"/>
      <c r="AJ393" s="300"/>
      <c r="AK393" s="301"/>
      <c r="AL393" s="297"/>
      <c r="AM393" s="675"/>
      <c r="AN393" s="297"/>
      <c r="AO393" s="473"/>
      <c r="AP393" s="297"/>
      <c r="AQ393" s="301" t="s">
        <v>7699</v>
      </c>
      <c r="AR393" s="297" t="s">
        <v>66</v>
      </c>
      <c r="AS393" s="299" t="s">
        <v>67</v>
      </c>
      <c r="AT393" s="299" t="s">
        <v>67</v>
      </c>
      <c r="AU393" s="297" t="s">
        <v>3827</v>
      </c>
      <c r="AV393" s="297"/>
      <c r="AW393" s="297" t="s">
        <v>69</v>
      </c>
      <c r="AX393" s="297" t="s">
        <v>7628</v>
      </c>
      <c r="AY393" s="299">
        <v>42894</v>
      </c>
      <c r="AZ393" s="297" t="s">
        <v>67</v>
      </c>
      <c r="BA393" s="299" t="s">
        <v>67</v>
      </c>
      <c r="BB393" s="382">
        <v>42901</v>
      </c>
      <c r="BC393" s="297" t="s">
        <v>3829</v>
      </c>
      <c r="BD393" s="297" t="s">
        <v>6447</v>
      </c>
      <c r="BE393" s="297"/>
      <c r="BF393" s="301"/>
      <c r="BG393" s="301" t="s">
        <v>67</v>
      </c>
      <c r="BH393" s="301" t="s">
        <v>5011</v>
      </c>
      <c r="BI393" s="301" t="s">
        <v>4934</v>
      </c>
      <c r="BJ393" s="312">
        <v>2208515</v>
      </c>
      <c r="BK393" s="312">
        <v>2208515</v>
      </c>
      <c r="BL393" s="313">
        <v>222943617</v>
      </c>
      <c r="BM393" s="299">
        <v>42958</v>
      </c>
      <c r="BN393" s="300">
        <v>42948</v>
      </c>
      <c r="BO393" s="434" t="s">
        <v>7700</v>
      </c>
      <c r="BP393" s="390"/>
      <c r="BQ393" s="297"/>
      <c r="BR393" s="303"/>
      <c r="BS393" s="301"/>
      <c r="BT393" s="301"/>
      <c r="BU393" s="301"/>
      <c r="BV393" s="301"/>
      <c r="BW393" s="316"/>
      <c r="BX393" s="304"/>
      <c r="BY393" s="299"/>
      <c r="BZ393" s="317"/>
    </row>
    <row r="394" spans="1:555" ht="66.75" customHeight="1">
      <c r="A394" s="296">
        <v>559</v>
      </c>
      <c r="B394" s="297" t="s">
        <v>5013</v>
      </c>
      <c r="C394" s="298">
        <v>3147270</v>
      </c>
      <c r="D394" s="354" t="s">
        <v>67</v>
      </c>
      <c r="E394" s="299">
        <v>42902</v>
      </c>
      <c r="F394" s="300">
        <v>42887</v>
      </c>
      <c r="G394" s="301" t="s">
        <v>271</v>
      </c>
      <c r="H394" s="297" t="s">
        <v>63</v>
      </c>
      <c r="I394" s="297" t="s">
        <v>101</v>
      </c>
      <c r="J394" s="299"/>
      <c r="K394" s="300"/>
      <c r="L394" s="301"/>
      <c r="M394" s="297"/>
      <c r="N394" s="297"/>
      <c r="O394" s="299"/>
      <c r="P394" s="302"/>
      <c r="Q394" s="301"/>
      <c r="R394" s="297"/>
      <c r="S394" s="297"/>
      <c r="T394" s="299"/>
      <c r="U394" s="300"/>
      <c r="V394" s="301"/>
      <c r="W394" s="297"/>
      <c r="X394" s="297"/>
      <c r="Y394" s="299"/>
      <c r="Z394" s="300"/>
      <c r="AA394" s="301"/>
      <c r="AB394" s="297"/>
      <c r="AC394" s="297"/>
      <c r="AD394" s="299"/>
      <c r="AE394" s="300"/>
      <c r="AF394" s="301"/>
      <c r="AG394" s="297"/>
      <c r="AH394" s="297"/>
      <c r="AI394" s="322"/>
      <c r="AJ394" s="300"/>
      <c r="AK394" s="301"/>
      <c r="AL394" s="297"/>
      <c r="AM394" s="297"/>
      <c r="AN394" s="297"/>
      <c r="AO394" s="473"/>
      <c r="AP394" s="297"/>
      <c r="AQ394" s="301" t="s">
        <v>5014</v>
      </c>
      <c r="AR394" s="297" t="s">
        <v>66</v>
      </c>
      <c r="AS394" s="299" t="s">
        <v>67</v>
      </c>
      <c r="AT394" s="299" t="s">
        <v>67</v>
      </c>
      <c r="AU394" s="297" t="s">
        <v>3827</v>
      </c>
      <c r="AV394" s="297"/>
      <c r="AW394" s="297" t="s">
        <v>69</v>
      </c>
      <c r="AX394" s="297" t="s">
        <v>7596</v>
      </c>
      <c r="AY394" s="299">
        <v>42894</v>
      </c>
      <c r="AZ394" s="297" t="s">
        <v>67</v>
      </c>
      <c r="BA394" s="299" t="s">
        <v>67</v>
      </c>
      <c r="BB394" s="382">
        <v>42901</v>
      </c>
      <c r="BC394" s="297" t="s">
        <v>3829</v>
      </c>
      <c r="BD394" s="297" t="s">
        <v>6447</v>
      </c>
      <c r="BE394" s="297"/>
      <c r="BF394" s="301"/>
      <c r="BG394" s="301" t="s">
        <v>67</v>
      </c>
      <c r="BH394" s="301" t="s">
        <v>5015</v>
      </c>
      <c r="BI394" s="301" t="s">
        <v>5016</v>
      </c>
      <c r="BJ394" s="312">
        <v>830265</v>
      </c>
      <c r="BK394" s="312">
        <v>830265</v>
      </c>
      <c r="BL394" s="313">
        <v>193060717</v>
      </c>
      <c r="BM394" s="299">
        <v>42934</v>
      </c>
      <c r="BN394" s="300">
        <v>42917</v>
      </c>
      <c r="BO394" s="434" t="s">
        <v>5017</v>
      </c>
      <c r="BP394" s="397"/>
      <c r="BQ394" s="398"/>
      <c r="BR394" s="320"/>
      <c r="BS394" s="301"/>
      <c r="BT394" s="301"/>
      <c r="BU394" s="301"/>
      <c r="BV394" s="301"/>
      <c r="BW394" s="316"/>
      <c r="BX394" s="304"/>
      <c r="BY394" s="299"/>
      <c r="BZ394" s="317"/>
    </row>
    <row r="395" spans="1:555" ht="54">
      <c r="A395" s="296">
        <v>560</v>
      </c>
      <c r="B395" s="297" t="s">
        <v>4179</v>
      </c>
      <c r="C395" s="298">
        <v>11515248</v>
      </c>
      <c r="D395" s="354" t="s">
        <v>67</v>
      </c>
      <c r="E395" s="299">
        <v>42902</v>
      </c>
      <c r="F395" s="300">
        <v>42887</v>
      </c>
      <c r="G395" s="301" t="s">
        <v>271</v>
      </c>
      <c r="H395" s="297" t="s">
        <v>63</v>
      </c>
      <c r="I395" s="297" t="s">
        <v>101</v>
      </c>
      <c r="J395" s="299"/>
      <c r="K395" s="300"/>
      <c r="L395" s="301"/>
      <c r="M395" s="297"/>
      <c r="N395" s="297"/>
      <c r="O395" s="299"/>
      <c r="P395" s="302"/>
      <c r="Q395" s="301"/>
      <c r="R395" s="297"/>
      <c r="S395" s="297"/>
      <c r="T395" s="299"/>
      <c r="U395" s="300"/>
      <c r="V395" s="301"/>
      <c r="W395" s="297"/>
      <c r="X395" s="297"/>
      <c r="Y395" s="299"/>
      <c r="Z395" s="300"/>
      <c r="AA395" s="301"/>
      <c r="AB395" s="297"/>
      <c r="AC395" s="297"/>
      <c r="AD395" s="299"/>
      <c r="AE395" s="300"/>
      <c r="AF395" s="301"/>
      <c r="AG395" s="297"/>
      <c r="AH395" s="297"/>
      <c r="AI395" s="322"/>
      <c r="AJ395" s="300"/>
      <c r="AK395" s="301"/>
      <c r="AL395" s="297"/>
      <c r="AM395" s="297"/>
      <c r="AN395" s="297"/>
      <c r="AO395" s="473"/>
      <c r="AP395" s="297"/>
      <c r="AQ395" s="301" t="s">
        <v>7713</v>
      </c>
      <c r="AR395" s="297" t="s">
        <v>66</v>
      </c>
      <c r="AS395" s="299" t="s">
        <v>67</v>
      </c>
      <c r="AT395" s="299" t="s">
        <v>67</v>
      </c>
      <c r="AU395" s="297" t="s">
        <v>3827</v>
      </c>
      <c r="AV395" s="297"/>
      <c r="AW395" s="297" t="s">
        <v>69</v>
      </c>
      <c r="AX395" s="297" t="s">
        <v>7714</v>
      </c>
      <c r="AY395" s="299">
        <v>42894</v>
      </c>
      <c r="AZ395" s="297" t="s">
        <v>67</v>
      </c>
      <c r="BA395" s="299" t="s">
        <v>67</v>
      </c>
      <c r="BB395" s="382">
        <v>42901</v>
      </c>
      <c r="BC395" s="297" t="s">
        <v>3829</v>
      </c>
      <c r="BD395" s="297" t="s">
        <v>6447</v>
      </c>
      <c r="BE395" s="297"/>
      <c r="BF395" s="301"/>
      <c r="BG395" s="301" t="s">
        <v>67</v>
      </c>
      <c r="BH395" s="301" t="s">
        <v>5018</v>
      </c>
      <c r="BI395" s="301" t="s">
        <v>5019</v>
      </c>
      <c r="BJ395" s="312">
        <v>2372493</v>
      </c>
      <c r="BK395" s="312">
        <v>2372493</v>
      </c>
      <c r="BL395" s="313">
        <v>214049717</v>
      </c>
      <c r="BM395" s="299">
        <v>42950</v>
      </c>
      <c r="BN395" s="300">
        <v>42948</v>
      </c>
      <c r="BO395" s="434" t="s">
        <v>5020</v>
      </c>
      <c r="BP395" s="397"/>
      <c r="BQ395" s="398"/>
      <c r="BR395" s="320"/>
      <c r="BS395" s="301"/>
      <c r="BT395" s="301"/>
      <c r="BU395" s="301"/>
      <c r="BV395" s="301"/>
      <c r="BW395" s="316"/>
      <c r="BX395" s="304"/>
      <c r="BY395" s="299"/>
      <c r="BZ395" s="317"/>
    </row>
    <row r="396" spans="1:555" s="509" customFormat="1" ht="90.75" customHeight="1">
      <c r="A396" s="296">
        <v>561</v>
      </c>
      <c r="B396" s="297" t="s">
        <v>5021</v>
      </c>
      <c r="C396" s="298">
        <v>3928787</v>
      </c>
      <c r="D396" s="354" t="s">
        <v>67</v>
      </c>
      <c r="E396" s="299">
        <v>42902</v>
      </c>
      <c r="F396" s="300">
        <v>42887</v>
      </c>
      <c r="G396" s="301" t="s">
        <v>271</v>
      </c>
      <c r="H396" s="297" t="s">
        <v>63</v>
      </c>
      <c r="I396" s="297" t="s">
        <v>101</v>
      </c>
      <c r="J396" s="299"/>
      <c r="K396" s="300"/>
      <c r="L396" s="301"/>
      <c r="M396" s="297"/>
      <c r="N396" s="297"/>
      <c r="O396" s="299"/>
      <c r="P396" s="302"/>
      <c r="Q396" s="301"/>
      <c r="R396" s="297"/>
      <c r="S396" s="297"/>
      <c r="T396" s="299"/>
      <c r="U396" s="300"/>
      <c r="V396" s="301"/>
      <c r="W396" s="297"/>
      <c r="X396" s="297"/>
      <c r="Y396" s="299"/>
      <c r="Z396" s="300"/>
      <c r="AA396" s="301"/>
      <c r="AB396" s="297"/>
      <c r="AC396" s="297"/>
      <c r="AD396" s="299"/>
      <c r="AE396" s="300"/>
      <c r="AF396" s="301"/>
      <c r="AG396" s="297"/>
      <c r="AH396" s="297"/>
      <c r="AI396" s="322"/>
      <c r="AJ396" s="300"/>
      <c r="AK396" s="301"/>
      <c r="AL396" s="297"/>
      <c r="AM396" s="297"/>
      <c r="AN396" s="297"/>
      <c r="AO396" s="473"/>
      <c r="AP396" s="297"/>
      <c r="AQ396" s="301" t="s">
        <v>7760</v>
      </c>
      <c r="AR396" s="297" t="s">
        <v>66</v>
      </c>
      <c r="AS396" s="299" t="s">
        <v>67</v>
      </c>
      <c r="AT396" s="299" t="s">
        <v>67</v>
      </c>
      <c r="AU396" s="297" t="s">
        <v>3827</v>
      </c>
      <c r="AV396" s="297"/>
      <c r="AW396" s="297" t="s">
        <v>69</v>
      </c>
      <c r="AX396" s="297" t="s">
        <v>3828</v>
      </c>
      <c r="AY396" s="299">
        <v>42906</v>
      </c>
      <c r="AZ396" s="297" t="s">
        <v>67</v>
      </c>
      <c r="BA396" s="299" t="s">
        <v>67</v>
      </c>
      <c r="BB396" s="382">
        <v>42909</v>
      </c>
      <c r="BC396" s="297" t="s">
        <v>3829</v>
      </c>
      <c r="BD396" s="297" t="s">
        <v>6447</v>
      </c>
      <c r="BE396" s="297"/>
      <c r="BF396" s="301"/>
      <c r="BG396" s="301" t="s">
        <v>67</v>
      </c>
      <c r="BH396" s="301" t="s">
        <v>5022</v>
      </c>
      <c r="BI396" s="301"/>
      <c r="BJ396" s="312">
        <v>2328794</v>
      </c>
      <c r="BK396" s="312">
        <v>2328794</v>
      </c>
      <c r="BL396" s="313">
        <v>2855218</v>
      </c>
      <c r="BM396" s="299">
        <v>43115</v>
      </c>
      <c r="BN396" s="300">
        <v>43101</v>
      </c>
      <c r="BO396" s="434" t="s">
        <v>5023</v>
      </c>
      <c r="BP396" s="397"/>
      <c r="BQ396" s="453"/>
      <c r="BR396" s="454"/>
      <c r="BS396" s="301"/>
      <c r="BT396" s="301"/>
      <c r="BU396" s="301"/>
      <c r="BV396" s="301"/>
      <c r="BW396" s="316"/>
      <c r="BX396" s="304"/>
      <c r="BY396" s="299"/>
      <c r="BZ396" s="317"/>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c r="JW396" s="1"/>
      <c r="JX396" s="1"/>
      <c r="JY396" s="1"/>
      <c r="JZ396" s="1"/>
      <c r="KA396" s="1"/>
      <c r="KB396" s="1"/>
      <c r="KC396" s="1"/>
      <c r="KD396" s="1"/>
      <c r="KE396" s="1"/>
      <c r="KF396" s="1"/>
      <c r="KG396" s="1"/>
      <c r="KH396" s="1"/>
      <c r="KI396" s="1"/>
      <c r="KJ396" s="1"/>
      <c r="KK396" s="1"/>
      <c r="KL396" s="1"/>
      <c r="KM396" s="1"/>
      <c r="KN396" s="1"/>
      <c r="KO396" s="1"/>
      <c r="KP396" s="1"/>
      <c r="KQ396" s="1"/>
      <c r="KR396" s="1"/>
      <c r="KS396" s="1"/>
      <c r="KT396" s="1"/>
      <c r="KU396" s="1"/>
      <c r="KV396" s="1"/>
      <c r="KW396" s="1"/>
      <c r="KX396" s="1"/>
      <c r="KY396" s="1"/>
      <c r="KZ396" s="1"/>
      <c r="LA396" s="1"/>
      <c r="LB396" s="1"/>
      <c r="LC396" s="1"/>
      <c r="LD396" s="1"/>
      <c r="LE396" s="1"/>
      <c r="LF396" s="1"/>
      <c r="LG396" s="1"/>
      <c r="LH396" s="1"/>
      <c r="LI396" s="1"/>
      <c r="LJ396" s="1"/>
      <c r="LK396" s="1"/>
      <c r="LL396" s="1"/>
      <c r="LM396" s="1"/>
      <c r="LN396" s="1"/>
      <c r="LO396" s="1"/>
      <c r="LP396" s="1"/>
      <c r="LQ396" s="1"/>
      <c r="LR396" s="1"/>
      <c r="LS396" s="1"/>
      <c r="LT396" s="1"/>
      <c r="LU396" s="1"/>
      <c r="LV396" s="1"/>
      <c r="LW396" s="1"/>
      <c r="LX396" s="1"/>
      <c r="LY396" s="1"/>
      <c r="LZ396" s="1"/>
      <c r="MA396" s="1"/>
      <c r="MB396" s="1"/>
      <c r="MC396" s="1"/>
      <c r="MD396" s="1"/>
      <c r="ME396" s="1"/>
      <c r="MF396" s="1"/>
      <c r="MG396" s="1"/>
      <c r="MH396" s="1"/>
      <c r="MI396" s="1"/>
      <c r="MJ396" s="1"/>
      <c r="MK396" s="1"/>
      <c r="ML396" s="1"/>
      <c r="MM396" s="1"/>
      <c r="MN396" s="1"/>
      <c r="MO396" s="1"/>
      <c r="MP396" s="1"/>
      <c r="MQ396" s="1"/>
      <c r="MR396" s="1"/>
      <c r="MS396" s="1"/>
      <c r="MT396" s="1"/>
      <c r="MU396" s="1"/>
      <c r="MV396" s="1"/>
      <c r="MW396" s="1"/>
      <c r="MX396" s="1"/>
      <c r="MY396" s="1"/>
      <c r="MZ396" s="1"/>
      <c r="NA396" s="1"/>
      <c r="NB396" s="1"/>
      <c r="NC396" s="1"/>
      <c r="ND396" s="1"/>
      <c r="NE396" s="1"/>
      <c r="NF396" s="1"/>
      <c r="NG396" s="1"/>
      <c r="NH396" s="1"/>
      <c r="NI396" s="1"/>
      <c r="NJ396" s="1"/>
      <c r="NK396" s="1"/>
      <c r="NL396" s="1"/>
      <c r="NM396" s="1"/>
      <c r="NN396" s="1"/>
      <c r="NO396" s="1"/>
      <c r="NP396" s="1"/>
      <c r="NQ396" s="1"/>
      <c r="NR396" s="1"/>
      <c r="NS396" s="1"/>
      <c r="NT396" s="1"/>
      <c r="NU396" s="1"/>
      <c r="NV396" s="1"/>
      <c r="NW396" s="1"/>
      <c r="NX396" s="1"/>
      <c r="NY396" s="1"/>
      <c r="NZ396" s="1"/>
      <c r="OA396" s="1"/>
      <c r="OB396" s="1"/>
      <c r="OC396" s="1"/>
      <c r="OD396" s="1"/>
      <c r="OE396" s="1"/>
      <c r="OF396" s="1"/>
      <c r="OG396" s="1"/>
      <c r="OH396" s="1"/>
      <c r="OI396" s="1"/>
      <c r="OJ396" s="1"/>
      <c r="OK396" s="1"/>
      <c r="OL396" s="1"/>
      <c r="OM396" s="1"/>
      <c r="ON396" s="1"/>
      <c r="OO396" s="1"/>
      <c r="OP396" s="1"/>
      <c r="OQ396" s="1"/>
      <c r="OR396" s="1"/>
      <c r="OS396" s="1"/>
      <c r="OT396" s="1"/>
      <c r="OU396" s="1"/>
      <c r="OV396" s="1"/>
      <c r="OW396" s="1"/>
      <c r="OX396" s="1"/>
      <c r="OY396" s="1"/>
      <c r="OZ396" s="1"/>
      <c r="PA396" s="1"/>
      <c r="PB396" s="1"/>
      <c r="PC396" s="1"/>
      <c r="PD396" s="1"/>
      <c r="PE396" s="1"/>
      <c r="PF396" s="1"/>
      <c r="PG396" s="1"/>
      <c r="PH396" s="1"/>
      <c r="PI396" s="1"/>
      <c r="PJ396" s="1"/>
      <c r="PK396" s="1"/>
      <c r="PL396" s="1"/>
      <c r="PM396" s="1"/>
      <c r="PN396" s="1"/>
      <c r="PO396" s="1"/>
      <c r="PP396" s="1"/>
      <c r="PQ396" s="1"/>
      <c r="PR396" s="1"/>
      <c r="PS396" s="1"/>
      <c r="PT396" s="1"/>
      <c r="PU396" s="1"/>
      <c r="PV396" s="1"/>
      <c r="PW396" s="1"/>
      <c r="PX396" s="1"/>
      <c r="PY396" s="1"/>
      <c r="PZ396" s="1"/>
      <c r="QA396" s="1"/>
      <c r="QB396" s="1"/>
      <c r="QC396" s="1"/>
      <c r="QD396" s="1"/>
      <c r="QE396" s="1"/>
      <c r="QF396" s="1"/>
      <c r="QG396" s="1"/>
      <c r="QH396" s="1"/>
      <c r="QI396" s="1"/>
      <c r="QJ396" s="1"/>
      <c r="QK396" s="1"/>
      <c r="QL396" s="1"/>
      <c r="QM396" s="1"/>
      <c r="QN396" s="1"/>
      <c r="QO396" s="1"/>
      <c r="QP396" s="1"/>
      <c r="QQ396" s="1"/>
      <c r="QR396" s="1"/>
      <c r="QS396" s="1"/>
      <c r="QT396" s="1"/>
      <c r="QU396" s="1"/>
      <c r="QV396" s="1"/>
      <c r="QW396" s="1"/>
      <c r="QX396" s="1"/>
      <c r="QY396" s="1"/>
      <c r="QZ396" s="1"/>
      <c r="RA396" s="1"/>
      <c r="RB396" s="1"/>
      <c r="RC396" s="1"/>
      <c r="RD396" s="1"/>
      <c r="RE396" s="1"/>
      <c r="RF396" s="1"/>
      <c r="RG396" s="1"/>
      <c r="RH396" s="1"/>
      <c r="RI396" s="1"/>
      <c r="RJ396" s="1"/>
      <c r="RK396" s="1"/>
      <c r="RL396" s="1"/>
      <c r="RM396" s="1"/>
      <c r="RN396" s="1"/>
      <c r="RO396" s="1"/>
      <c r="RP396" s="1"/>
      <c r="RQ396" s="1"/>
      <c r="RR396" s="1"/>
      <c r="RS396" s="1"/>
      <c r="RT396" s="1"/>
      <c r="RU396" s="1"/>
      <c r="RV396" s="1"/>
      <c r="RW396" s="1"/>
      <c r="RX396" s="1"/>
      <c r="RY396" s="1"/>
      <c r="RZ396" s="1"/>
      <c r="SA396" s="1"/>
      <c r="SB396" s="1"/>
      <c r="SC396" s="1"/>
      <c r="SD396" s="1"/>
      <c r="SE396" s="1"/>
      <c r="SF396" s="1"/>
      <c r="SG396" s="1"/>
      <c r="SH396" s="1"/>
      <c r="SI396" s="1"/>
      <c r="SJ396" s="1"/>
      <c r="SK396" s="1"/>
      <c r="SL396" s="1"/>
      <c r="SM396" s="1"/>
      <c r="SN396" s="1"/>
      <c r="SO396" s="1"/>
      <c r="SP396" s="1"/>
      <c r="SQ396" s="1"/>
      <c r="SR396" s="1"/>
      <c r="SS396" s="1"/>
      <c r="ST396" s="1"/>
      <c r="SU396" s="1"/>
      <c r="SV396" s="1"/>
      <c r="SW396" s="1"/>
      <c r="SX396" s="1"/>
      <c r="SY396" s="1"/>
      <c r="SZ396" s="1"/>
      <c r="TA396" s="1"/>
      <c r="TB396" s="1"/>
      <c r="TC396" s="1"/>
      <c r="TD396" s="1"/>
      <c r="TE396" s="1"/>
      <c r="TF396" s="1"/>
      <c r="TG396" s="1"/>
      <c r="TH396" s="1"/>
      <c r="TI396" s="1"/>
      <c r="TJ396" s="1"/>
      <c r="TK396" s="1"/>
      <c r="TL396" s="1"/>
      <c r="TM396" s="1"/>
      <c r="TN396" s="1"/>
      <c r="TO396" s="1"/>
      <c r="TP396" s="1"/>
      <c r="TQ396" s="1"/>
      <c r="TR396" s="1"/>
      <c r="TS396" s="1"/>
      <c r="TT396" s="1"/>
      <c r="TU396" s="1"/>
      <c r="TV396" s="1"/>
      <c r="TW396" s="1"/>
      <c r="TX396" s="1"/>
      <c r="TY396" s="1"/>
      <c r="TZ396" s="1"/>
      <c r="UA396" s="1"/>
      <c r="UB396" s="1"/>
      <c r="UC396" s="1"/>
      <c r="UD396" s="1"/>
      <c r="UE396" s="1"/>
      <c r="UF396" s="1"/>
      <c r="UG396" s="1"/>
      <c r="UH396" s="1"/>
      <c r="UI396" s="1"/>
    </row>
    <row r="397" spans="1:555" s="259" customFormat="1" ht="54">
      <c r="A397" s="296">
        <v>562</v>
      </c>
      <c r="B397" s="297" t="s">
        <v>4266</v>
      </c>
      <c r="C397" s="298">
        <v>3102638</v>
      </c>
      <c r="D397" s="354" t="s">
        <v>67</v>
      </c>
      <c r="E397" s="299">
        <v>42913</v>
      </c>
      <c r="F397" s="300">
        <v>42887</v>
      </c>
      <c r="G397" s="301" t="s">
        <v>271</v>
      </c>
      <c r="H397" s="297" t="s">
        <v>63</v>
      </c>
      <c r="I397" s="297" t="s">
        <v>101</v>
      </c>
      <c r="J397" s="299"/>
      <c r="K397" s="300"/>
      <c r="L397" s="301"/>
      <c r="M397" s="297"/>
      <c r="N397" s="297"/>
      <c r="O397" s="299"/>
      <c r="P397" s="302"/>
      <c r="Q397" s="301"/>
      <c r="R397" s="297"/>
      <c r="S397" s="297"/>
      <c r="T397" s="299"/>
      <c r="U397" s="300"/>
      <c r="V397" s="301"/>
      <c r="W397" s="297"/>
      <c r="X397" s="297"/>
      <c r="Y397" s="299"/>
      <c r="Z397" s="300"/>
      <c r="AA397" s="301"/>
      <c r="AB397" s="297"/>
      <c r="AC397" s="297"/>
      <c r="AD397" s="299"/>
      <c r="AE397" s="300"/>
      <c r="AF397" s="301"/>
      <c r="AG397" s="297"/>
      <c r="AH397" s="297"/>
      <c r="AI397" s="322"/>
      <c r="AJ397" s="300"/>
      <c r="AK397" s="301"/>
      <c r="AL397" s="297"/>
      <c r="AM397" s="297"/>
      <c r="AN397" s="297"/>
      <c r="AO397" s="473"/>
      <c r="AP397" s="297"/>
      <c r="AQ397" s="301" t="s">
        <v>7718</v>
      </c>
      <c r="AR397" s="297" t="s">
        <v>66</v>
      </c>
      <c r="AS397" s="299" t="s">
        <v>67</v>
      </c>
      <c r="AT397" s="299" t="s">
        <v>67</v>
      </c>
      <c r="AU397" s="297" t="s">
        <v>3827</v>
      </c>
      <c r="AV397" s="297"/>
      <c r="AW397" s="297" t="s">
        <v>69</v>
      </c>
      <c r="AX397" s="297" t="s">
        <v>7719</v>
      </c>
      <c r="AY397" s="299">
        <v>42907</v>
      </c>
      <c r="AZ397" s="297" t="s">
        <v>67</v>
      </c>
      <c r="BA397" s="299" t="s">
        <v>67</v>
      </c>
      <c r="BB397" s="382">
        <v>42913</v>
      </c>
      <c r="BC397" s="297" t="s">
        <v>3829</v>
      </c>
      <c r="BD397" s="297" t="s">
        <v>6447</v>
      </c>
      <c r="BE397" s="297"/>
      <c r="BF397" s="301" t="s">
        <v>4278</v>
      </c>
      <c r="BG397" s="301" t="s">
        <v>67</v>
      </c>
      <c r="BH397" s="301" t="s">
        <v>5024</v>
      </c>
      <c r="BI397" s="301" t="s">
        <v>5019</v>
      </c>
      <c r="BJ397" s="312">
        <v>2982563</v>
      </c>
      <c r="BK397" s="312">
        <v>2982563</v>
      </c>
      <c r="BL397" s="313">
        <v>214044717</v>
      </c>
      <c r="BM397" s="299">
        <v>42950</v>
      </c>
      <c r="BN397" s="300">
        <v>42948</v>
      </c>
      <c r="BO397" s="434" t="s">
        <v>5025</v>
      </c>
      <c r="BP397" s="397"/>
      <c r="BQ397" s="398"/>
      <c r="BR397" s="320"/>
      <c r="BS397" s="301"/>
      <c r="BT397" s="301"/>
      <c r="BU397" s="301"/>
      <c r="BV397" s="301"/>
      <c r="BW397" s="316"/>
      <c r="BX397" s="304"/>
      <c r="BY397" s="299"/>
      <c r="BZ397" s="317"/>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c r="JW397" s="1"/>
      <c r="JX397" s="1"/>
      <c r="JY397" s="1"/>
      <c r="JZ397" s="1"/>
      <c r="KA397" s="1"/>
      <c r="KB397" s="1"/>
      <c r="KC397" s="1"/>
      <c r="KD397" s="1"/>
      <c r="KE397" s="1"/>
      <c r="KF397" s="1"/>
      <c r="KG397" s="1"/>
      <c r="KH397" s="1"/>
      <c r="KI397" s="1"/>
      <c r="KJ397" s="1"/>
      <c r="KK397" s="1"/>
      <c r="KL397" s="1"/>
      <c r="KM397" s="1"/>
      <c r="KN397" s="1"/>
      <c r="KO397" s="1"/>
      <c r="KP397" s="1"/>
      <c r="KQ397" s="1"/>
      <c r="KR397" s="1"/>
      <c r="KS397" s="1"/>
      <c r="KT397" s="1"/>
      <c r="KU397" s="1"/>
      <c r="KV397" s="1"/>
      <c r="KW397" s="1"/>
      <c r="KX397" s="1"/>
      <c r="KY397" s="1"/>
      <c r="KZ397" s="1"/>
      <c r="LA397" s="1"/>
      <c r="LB397" s="1"/>
      <c r="LC397" s="1"/>
      <c r="LD397" s="1"/>
      <c r="LE397" s="1"/>
      <c r="LF397" s="1"/>
      <c r="LG397" s="1"/>
      <c r="LH397" s="1"/>
      <c r="LI397" s="1"/>
      <c r="LJ397" s="1"/>
      <c r="LK397" s="1"/>
      <c r="LL397" s="1"/>
      <c r="LM397" s="1"/>
      <c r="LN397" s="1"/>
      <c r="LO397" s="1"/>
      <c r="LP397" s="1"/>
      <c r="LQ397" s="1"/>
      <c r="LR397" s="1"/>
      <c r="LS397" s="1"/>
      <c r="LT397" s="1"/>
      <c r="LU397" s="1"/>
      <c r="LV397" s="1"/>
      <c r="LW397" s="1"/>
      <c r="LX397" s="1"/>
      <c r="LY397" s="1"/>
      <c r="LZ397" s="1"/>
      <c r="MA397" s="1"/>
      <c r="MB397" s="1"/>
      <c r="MC397" s="1"/>
      <c r="MD397" s="1"/>
      <c r="ME397" s="1"/>
      <c r="MF397" s="1"/>
      <c r="MG397" s="1"/>
      <c r="MH397" s="1"/>
      <c r="MI397" s="1"/>
      <c r="MJ397" s="1"/>
      <c r="MK397" s="1"/>
      <c r="ML397" s="1"/>
      <c r="MM397" s="1"/>
      <c r="MN397" s="1"/>
      <c r="MO397" s="1"/>
      <c r="MP397" s="1"/>
      <c r="MQ397" s="1"/>
      <c r="MR397" s="1"/>
      <c r="MS397" s="1"/>
      <c r="MT397" s="1"/>
      <c r="MU397" s="1"/>
      <c r="MV397" s="1"/>
      <c r="MW397" s="1"/>
      <c r="MX397" s="1"/>
      <c r="MY397" s="1"/>
      <c r="MZ397" s="1"/>
      <c r="NA397" s="1"/>
      <c r="NB397" s="1"/>
      <c r="NC397" s="1"/>
      <c r="ND397" s="1"/>
      <c r="NE397" s="1"/>
      <c r="NF397" s="1"/>
      <c r="NG397" s="1"/>
      <c r="NH397" s="1"/>
      <c r="NI397" s="1"/>
      <c r="NJ397" s="1"/>
      <c r="NK397" s="1"/>
      <c r="NL397" s="1"/>
      <c r="NM397" s="1"/>
      <c r="NN397" s="1"/>
      <c r="NO397" s="1"/>
      <c r="NP397" s="1"/>
      <c r="NQ397" s="1"/>
      <c r="NR397" s="1"/>
      <c r="NS397" s="1"/>
      <c r="NT397" s="1"/>
      <c r="NU397" s="1"/>
      <c r="NV397" s="1"/>
      <c r="NW397" s="1"/>
      <c r="NX397" s="1"/>
      <c r="NY397" s="1"/>
      <c r="NZ397" s="1"/>
      <c r="OA397" s="1"/>
      <c r="OB397" s="1"/>
      <c r="OC397" s="1"/>
      <c r="OD397" s="1"/>
      <c r="OE397" s="1"/>
      <c r="OF397" s="1"/>
      <c r="OG397" s="1"/>
      <c r="OH397" s="1"/>
      <c r="OI397" s="1"/>
      <c r="OJ397" s="1"/>
      <c r="OK397" s="1"/>
      <c r="OL397" s="1"/>
      <c r="OM397" s="1"/>
      <c r="ON397" s="1"/>
      <c r="OO397" s="1"/>
      <c r="OP397" s="1"/>
      <c r="OQ397" s="1"/>
      <c r="OR397" s="1"/>
      <c r="OS397" s="1"/>
      <c r="OT397" s="1"/>
      <c r="OU397" s="1"/>
      <c r="OV397" s="1"/>
      <c r="OW397" s="1"/>
      <c r="OX397" s="1"/>
      <c r="OY397" s="1"/>
      <c r="OZ397" s="1"/>
      <c r="PA397" s="1"/>
      <c r="PB397" s="1"/>
      <c r="PC397" s="1"/>
      <c r="PD397" s="1"/>
      <c r="PE397" s="1"/>
      <c r="PF397" s="1"/>
      <c r="PG397" s="1"/>
      <c r="PH397" s="1"/>
      <c r="PI397" s="1"/>
      <c r="PJ397" s="1"/>
      <c r="PK397" s="1"/>
      <c r="PL397" s="1"/>
      <c r="PM397" s="1"/>
      <c r="PN397" s="1"/>
      <c r="PO397" s="1"/>
      <c r="PP397" s="1"/>
      <c r="PQ397" s="1"/>
      <c r="PR397" s="1"/>
      <c r="PS397" s="1"/>
      <c r="PT397" s="1"/>
      <c r="PU397" s="1"/>
      <c r="PV397" s="1"/>
      <c r="PW397" s="1"/>
      <c r="PX397" s="1"/>
      <c r="PY397" s="1"/>
      <c r="PZ397" s="1"/>
      <c r="QA397" s="1"/>
      <c r="QB397" s="1"/>
      <c r="QC397" s="1"/>
      <c r="QD397" s="1"/>
      <c r="QE397" s="1"/>
      <c r="QF397" s="1"/>
      <c r="QG397" s="1"/>
      <c r="QH397" s="1"/>
      <c r="QI397" s="1"/>
      <c r="QJ397" s="1"/>
      <c r="QK397" s="1"/>
      <c r="QL397" s="1"/>
      <c r="QM397" s="1"/>
      <c r="QN397" s="1"/>
      <c r="QO397" s="1"/>
      <c r="QP397" s="1"/>
      <c r="QQ397" s="1"/>
      <c r="QR397" s="1"/>
      <c r="QS397" s="1"/>
      <c r="QT397" s="1"/>
      <c r="QU397" s="1"/>
      <c r="QV397" s="1"/>
      <c r="QW397" s="1"/>
      <c r="QX397" s="1"/>
      <c r="QY397" s="1"/>
      <c r="QZ397" s="1"/>
      <c r="RA397" s="1"/>
      <c r="RB397" s="1"/>
      <c r="RC397" s="1"/>
      <c r="RD397" s="1"/>
      <c r="RE397" s="1"/>
      <c r="RF397" s="1"/>
      <c r="RG397" s="1"/>
      <c r="RH397" s="1"/>
      <c r="RI397" s="1"/>
      <c r="RJ397" s="1"/>
      <c r="RK397" s="1"/>
      <c r="RL397" s="1"/>
      <c r="RM397" s="1"/>
      <c r="RN397" s="1"/>
      <c r="RO397" s="1"/>
      <c r="RP397" s="1"/>
      <c r="RQ397" s="1"/>
      <c r="RR397" s="1"/>
      <c r="RS397" s="1"/>
      <c r="RT397" s="1"/>
      <c r="RU397" s="1"/>
      <c r="RV397" s="1"/>
      <c r="RW397" s="1"/>
      <c r="RX397" s="1"/>
      <c r="RY397" s="1"/>
      <c r="RZ397" s="1"/>
      <c r="SA397" s="1"/>
      <c r="SB397" s="1"/>
      <c r="SC397" s="1"/>
      <c r="SD397" s="1"/>
      <c r="SE397" s="1"/>
      <c r="SF397" s="1"/>
      <c r="SG397" s="1"/>
      <c r="SH397" s="1"/>
      <c r="SI397" s="1"/>
      <c r="SJ397" s="1"/>
      <c r="SK397" s="1"/>
      <c r="SL397" s="1"/>
      <c r="SM397" s="1"/>
      <c r="SN397" s="1"/>
      <c r="SO397" s="1"/>
      <c r="SP397" s="1"/>
      <c r="SQ397" s="1"/>
      <c r="SR397" s="1"/>
      <c r="SS397" s="1"/>
      <c r="ST397" s="1"/>
      <c r="SU397" s="1"/>
      <c r="SV397" s="1"/>
      <c r="SW397" s="1"/>
      <c r="SX397" s="1"/>
      <c r="SY397" s="1"/>
      <c r="SZ397" s="1"/>
      <c r="TA397" s="1"/>
      <c r="TB397" s="1"/>
      <c r="TC397" s="1"/>
      <c r="TD397" s="1"/>
      <c r="TE397" s="1"/>
      <c r="TF397" s="1"/>
      <c r="TG397" s="1"/>
      <c r="TH397" s="1"/>
      <c r="TI397" s="1"/>
      <c r="TJ397" s="1"/>
      <c r="TK397" s="1"/>
      <c r="TL397" s="1"/>
      <c r="TM397" s="1"/>
      <c r="TN397" s="1"/>
      <c r="TO397" s="1"/>
      <c r="TP397" s="1"/>
      <c r="TQ397" s="1"/>
      <c r="TR397" s="1"/>
      <c r="TS397" s="1"/>
      <c r="TT397" s="1"/>
      <c r="TU397" s="1"/>
      <c r="TV397" s="1"/>
      <c r="TW397" s="1"/>
      <c r="TX397" s="1"/>
      <c r="TY397" s="1"/>
      <c r="TZ397" s="1"/>
      <c r="UA397" s="1"/>
      <c r="UB397" s="1"/>
      <c r="UC397" s="1"/>
      <c r="UD397" s="1"/>
      <c r="UE397" s="1"/>
      <c r="UF397" s="1"/>
      <c r="UG397" s="1"/>
      <c r="UH397" s="1"/>
      <c r="UI397" s="1"/>
    </row>
    <row r="398" spans="1:555" s="259" customFormat="1" ht="88.5" customHeight="1">
      <c r="A398" s="296">
        <v>563</v>
      </c>
      <c r="B398" s="297" t="s">
        <v>3618</v>
      </c>
      <c r="C398" s="298">
        <v>7691235</v>
      </c>
      <c r="D398" s="354" t="s">
        <v>67</v>
      </c>
      <c r="E398" s="299">
        <v>42913</v>
      </c>
      <c r="F398" s="300">
        <v>42887</v>
      </c>
      <c r="G398" s="301" t="s">
        <v>271</v>
      </c>
      <c r="H398" s="297" t="s">
        <v>63</v>
      </c>
      <c r="I398" s="297" t="s">
        <v>101</v>
      </c>
      <c r="J398" s="299"/>
      <c r="K398" s="300"/>
      <c r="L398" s="301"/>
      <c r="M398" s="297"/>
      <c r="N398" s="297"/>
      <c r="O398" s="299"/>
      <c r="P398" s="302"/>
      <c r="Q398" s="301"/>
      <c r="R398" s="297"/>
      <c r="S398" s="297"/>
      <c r="T398" s="299"/>
      <c r="U398" s="300"/>
      <c r="V398" s="301"/>
      <c r="W398" s="297"/>
      <c r="X398" s="297"/>
      <c r="Y398" s="299"/>
      <c r="Z398" s="300"/>
      <c r="AA398" s="301"/>
      <c r="AB398" s="297"/>
      <c r="AC398" s="297"/>
      <c r="AD398" s="299"/>
      <c r="AE398" s="300"/>
      <c r="AF398" s="301"/>
      <c r="AG398" s="297"/>
      <c r="AH398" s="297"/>
      <c r="AI398" s="322"/>
      <c r="AJ398" s="300"/>
      <c r="AK398" s="301"/>
      <c r="AL398" s="297"/>
      <c r="AM398" s="297"/>
      <c r="AN398" s="297"/>
      <c r="AO398" s="473"/>
      <c r="AP398" s="297"/>
      <c r="AQ398" s="301" t="s">
        <v>8151</v>
      </c>
      <c r="AR398" s="297" t="s">
        <v>66</v>
      </c>
      <c r="AS398" s="299" t="s">
        <v>67</v>
      </c>
      <c r="AT398" s="299" t="s">
        <v>67</v>
      </c>
      <c r="AU398" s="297" t="s">
        <v>3827</v>
      </c>
      <c r="AV398" s="297"/>
      <c r="AW398" s="297" t="s">
        <v>69</v>
      </c>
      <c r="AX398" s="297" t="s">
        <v>7719</v>
      </c>
      <c r="AY398" s="299">
        <v>42907</v>
      </c>
      <c r="AZ398" s="297" t="s">
        <v>67</v>
      </c>
      <c r="BA398" s="299" t="s">
        <v>67</v>
      </c>
      <c r="BB398" s="382">
        <v>42913</v>
      </c>
      <c r="BC398" s="297" t="s">
        <v>3829</v>
      </c>
      <c r="BD398" s="297" t="s">
        <v>6447</v>
      </c>
      <c r="BE398" s="297"/>
      <c r="BF398" s="301"/>
      <c r="BG398" s="301" t="s">
        <v>67</v>
      </c>
      <c r="BH398" s="301" t="s">
        <v>5026</v>
      </c>
      <c r="BI398" s="301" t="s">
        <v>5019</v>
      </c>
      <c r="BJ398" s="312">
        <v>1287926</v>
      </c>
      <c r="BK398" s="312">
        <v>1287926</v>
      </c>
      <c r="BL398" s="313">
        <v>214053417</v>
      </c>
      <c r="BM398" s="299">
        <v>42950</v>
      </c>
      <c r="BN398" s="300">
        <v>42948</v>
      </c>
      <c r="BO398" s="434" t="s">
        <v>5027</v>
      </c>
      <c r="BP398" s="397"/>
      <c r="BQ398" s="398"/>
      <c r="BR398" s="320"/>
      <c r="BS398" s="301"/>
      <c r="BT398" s="301"/>
      <c r="BU398" s="301"/>
      <c r="BV398" s="301"/>
      <c r="BW398" s="316"/>
      <c r="BX398" s="304"/>
      <c r="BY398" s="299"/>
      <c r="BZ398" s="317"/>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c r="JW398" s="1"/>
      <c r="JX398" s="1"/>
      <c r="JY398" s="1"/>
      <c r="JZ398" s="1"/>
      <c r="KA398" s="1"/>
      <c r="KB398" s="1"/>
      <c r="KC398" s="1"/>
      <c r="KD398" s="1"/>
      <c r="KE398" s="1"/>
      <c r="KF398" s="1"/>
      <c r="KG398" s="1"/>
      <c r="KH398" s="1"/>
      <c r="KI398" s="1"/>
      <c r="KJ398" s="1"/>
      <c r="KK398" s="1"/>
      <c r="KL398" s="1"/>
      <c r="KM398" s="1"/>
      <c r="KN398" s="1"/>
      <c r="KO398" s="1"/>
      <c r="KP398" s="1"/>
      <c r="KQ398" s="1"/>
      <c r="KR398" s="1"/>
      <c r="KS398" s="1"/>
      <c r="KT398" s="1"/>
      <c r="KU398" s="1"/>
      <c r="KV398" s="1"/>
      <c r="KW398" s="1"/>
      <c r="KX398" s="1"/>
      <c r="KY398" s="1"/>
      <c r="KZ398" s="1"/>
      <c r="LA398" s="1"/>
      <c r="LB398" s="1"/>
      <c r="LC398" s="1"/>
      <c r="LD398" s="1"/>
      <c r="LE398" s="1"/>
      <c r="LF398" s="1"/>
      <c r="LG398" s="1"/>
      <c r="LH398" s="1"/>
      <c r="LI398" s="1"/>
      <c r="LJ398" s="1"/>
      <c r="LK398" s="1"/>
      <c r="LL398" s="1"/>
      <c r="LM398" s="1"/>
      <c r="LN398" s="1"/>
      <c r="LO398" s="1"/>
      <c r="LP398" s="1"/>
      <c r="LQ398" s="1"/>
      <c r="LR398" s="1"/>
      <c r="LS398" s="1"/>
      <c r="LT398" s="1"/>
      <c r="LU398" s="1"/>
      <c r="LV398" s="1"/>
      <c r="LW398" s="1"/>
      <c r="LX398" s="1"/>
      <c r="LY398" s="1"/>
      <c r="LZ398" s="1"/>
      <c r="MA398" s="1"/>
      <c r="MB398" s="1"/>
      <c r="MC398" s="1"/>
      <c r="MD398" s="1"/>
      <c r="ME398" s="1"/>
      <c r="MF398" s="1"/>
      <c r="MG398" s="1"/>
      <c r="MH398" s="1"/>
      <c r="MI398" s="1"/>
      <c r="MJ398" s="1"/>
      <c r="MK398" s="1"/>
      <c r="ML398" s="1"/>
      <c r="MM398" s="1"/>
      <c r="MN398" s="1"/>
      <c r="MO398" s="1"/>
      <c r="MP398" s="1"/>
      <c r="MQ398" s="1"/>
      <c r="MR398" s="1"/>
      <c r="MS398" s="1"/>
      <c r="MT398" s="1"/>
      <c r="MU398" s="1"/>
      <c r="MV398" s="1"/>
      <c r="MW398" s="1"/>
      <c r="MX398" s="1"/>
      <c r="MY398" s="1"/>
      <c r="MZ398" s="1"/>
      <c r="NA398" s="1"/>
      <c r="NB398" s="1"/>
      <c r="NC398" s="1"/>
      <c r="ND398" s="1"/>
      <c r="NE398" s="1"/>
      <c r="NF398" s="1"/>
      <c r="NG398" s="1"/>
      <c r="NH398" s="1"/>
      <c r="NI398" s="1"/>
      <c r="NJ398" s="1"/>
      <c r="NK398" s="1"/>
      <c r="NL398" s="1"/>
      <c r="NM398" s="1"/>
      <c r="NN398" s="1"/>
      <c r="NO398" s="1"/>
      <c r="NP398" s="1"/>
      <c r="NQ398" s="1"/>
      <c r="NR398" s="1"/>
      <c r="NS398" s="1"/>
      <c r="NT398" s="1"/>
      <c r="NU398" s="1"/>
      <c r="NV398" s="1"/>
      <c r="NW398" s="1"/>
      <c r="NX398" s="1"/>
      <c r="NY398" s="1"/>
      <c r="NZ398" s="1"/>
      <c r="OA398" s="1"/>
      <c r="OB398" s="1"/>
      <c r="OC398" s="1"/>
      <c r="OD398" s="1"/>
      <c r="OE398" s="1"/>
      <c r="OF398" s="1"/>
      <c r="OG398" s="1"/>
      <c r="OH398" s="1"/>
      <c r="OI398" s="1"/>
      <c r="OJ398" s="1"/>
      <c r="OK398" s="1"/>
      <c r="OL398" s="1"/>
      <c r="OM398" s="1"/>
      <c r="ON398" s="1"/>
      <c r="OO398" s="1"/>
      <c r="OP398" s="1"/>
      <c r="OQ398" s="1"/>
      <c r="OR398" s="1"/>
      <c r="OS398" s="1"/>
      <c r="OT398" s="1"/>
      <c r="OU398" s="1"/>
      <c r="OV398" s="1"/>
      <c r="OW398" s="1"/>
      <c r="OX398" s="1"/>
      <c r="OY398" s="1"/>
      <c r="OZ398" s="1"/>
      <c r="PA398" s="1"/>
      <c r="PB398" s="1"/>
      <c r="PC398" s="1"/>
      <c r="PD398" s="1"/>
      <c r="PE398" s="1"/>
      <c r="PF398" s="1"/>
      <c r="PG398" s="1"/>
      <c r="PH398" s="1"/>
      <c r="PI398" s="1"/>
      <c r="PJ398" s="1"/>
      <c r="PK398" s="1"/>
      <c r="PL398" s="1"/>
      <c r="PM398" s="1"/>
      <c r="PN398" s="1"/>
      <c r="PO398" s="1"/>
      <c r="PP398" s="1"/>
      <c r="PQ398" s="1"/>
      <c r="PR398" s="1"/>
      <c r="PS398" s="1"/>
      <c r="PT398" s="1"/>
      <c r="PU398" s="1"/>
      <c r="PV398" s="1"/>
      <c r="PW398" s="1"/>
      <c r="PX398" s="1"/>
      <c r="PY398" s="1"/>
      <c r="PZ398" s="1"/>
      <c r="QA398" s="1"/>
      <c r="QB398" s="1"/>
      <c r="QC398" s="1"/>
      <c r="QD398" s="1"/>
      <c r="QE398" s="1"/>
      <c r="QF398" s="1"/>
      <c r="QG398" s="1"/>
      <c r="QH398" s="1"/>
      <c r="QI398" s="1"/>
      <c r="QJ398" s="1"/>
      <c r="QK398" s="1"/>
      <c r="QL398" s="1"/>
      <c r="QM398" s="1"/>
      <c r="QN398" s="1"/>
      <c r="QO398" s="1"/>
      <c r="QP398" s="1"/>
      <c r="QQ398" s="1"/>
      <c r="QR398" s="1"/>
      <c r="QS398" s="1"/>
      <c r="QT398" s="1"/>
      <c r="QU398" s="1"/>
      <c r="QV398" s="1"/>
      <c r="QW398" s="1"/>
      <c r="QX398" s="1"/>
      <c r="QY398" s="1"/>
      <c r="QZ398" s="1"/>
      <c r="RA398" s="1"/>
      <c r="RB398" s="1"/>
      <c r="RC398" s="1"/>
      <c r="RD398" s="1"/>
      <c r="RE398" s="1"/>
      <c r="RF398" s="1"/>
      <c r="RG398" s="1"/>
      <c r="RH398" s="1"/>
      <c r="RI398" s="1"/>
      <c r="RJ398" s="1"/>
      <c r="RK398" s="1"/>
      <c r="RL398" s="1"/>
      <c r="RM398" s="1"/>
      <c r="RN398" s="1"/>
      <c r="RO398" s="1"/>
      <c r="RP398" s="1"/>
      <c r="RQ398" s="1"/>
      <c r="RR398" s="1"/>
      <c r="RS398" s="1"/>
      <c r="RT398" s="1"/>
      <c r="RU398" s="1"/>
      <c r="RV398" s="1"/>
      <c r="RW398" s="1"/>
      <c r="RX398" s="1"/>
      <c r="RY398" s="1"/>
      <c r="RZ398" s="1"/>
      <c r="SA398" s="1"/>
      <c r="SB398" s="1"/>
      <c r="SC398" s="1"/>
      <c r="SD398" s="1"/>
      <c r="SE398" s="1"/>
      <c r="SF398" s="1"/>
      <c r="SG398" s="1"/>
      <c r="SH398" s="1"/>
      <c r="SI398" s="1"/>
      <c r="SJ398" s="1"/>
      <c r="SK398" s="1"/>
      <c r="SL398" s="1"/>
      <c r="SM398" s="1"/>
      <c r="SN398" s="1"/>
      <c r="SO398" s="1"/>
      <c r="SP398" s="1"/>
      <c r="SQ398" s="1"/>
      <c r="SR398" s="1"/>
      <c r="SS398" s="1"/>
      <c r="ST398" s="1"/>
      <c r="SU398" s="1"/>
      <c r="SV398" s="1"/>
      <c r="SW398" s="1"/>
      <c r="SX398" s="1"/>
      <c r="SY398" s="1"/>
      <c r="SZ398" s="1"/>
      <c r="TA398" s="1"/>
      <c r="TB398" s="1"/>
      <c r="TC398" s="1"/>
      <c r="TD398" s="1"/>
      <c r="TE398" s="1"/>
      <c r="TF398" s="1"/>
      <c r="TG398" s="1"/>
      <c r="TH398" s="1"/>
      <c r="TI398" s="1"/>
      <c r="TJ398" s="1"/>
      <c r="TK398" s="1"/>
      <c r="TL398" s="1"/>
      <c r="TM398" s="1"/>
      <c r="TN398" s="1"/>
      <c r="TO398" s="1"/>
      <c r="TP398" s="1"/>
      <c r="TQ398" s="1"/>
      <c r="TR398" s="1"/>
      <c r="TS398" s="1"/>
      <c r="TT398" s="1"/>
      <c r="TU398" s="1"/>
      <c r="TV398" s="1"/>
      <c r="TW398" s="1"/>
      <c r="TX398" s="1"/>
      <c r="TY398" s="1"/>
      <c r="TZ398" s="1"/>
      <c r="UA398" s="1"/>
      <c r="UB398" s="1"/>
      <c r="UC398" s="1"/>
      <c r="UD398" s="1"/>
      <c r="UE398" s="1"/>
      <c r="UF398" s="1"/>
      <c r="UG398" s="1"/>
      <c r="UH398" s="1"/>
      <c r="UI398" s="1"/>
    </row>
    <row r="399" spans="1:555" ht="67.5">
      <c r="A399" s="296">
        <v>564</v>
      </c>
      <c r="B399" s="297" t="s">
        <v>5028</v>
      </c>
      <c r="C399" s="298">
        <v>98429551</v>
      </c>
      <c r="D399" s="354" t="s">
        <v>67</v>
      </c>
      <c r="E399" s="299">
        <v>42913</v>
      </c>
      <c r="F399" s="300">
        <v>42887</v>
      </c>
      <c r="G399" s="301" t="s">
        <v>271</v>
      </c>
      <c r="H399" s="297" t="s">
        <v>63</v>
      </c>
      <c r="I399" s="297" t="s">
        <v>101</v>
      </c>
      <c r="J399" s="299"/>
      <c r="K399" s="300"/>
      <c r="L399" s="301"/>
      <c r="M399" s="297"/>
      <c r="N399" s="297"/>
      <c r="O399" s="299"/>
      <c r="P399" s="302"/>
      <c r="Q399" s="301"/>
      <c r="R399" s="297"/>
      <c r="S399" s="297"/>
      <c r="T399" s="299"/>
      <c r="U399" s="300"/>
      <c r="V399" s="301"/>
      <c r="W399" s="297"/>
      <c r="X399" s="297"/>
      <c r="Y399" s="299"/>
      <c r="Z399" s="300"/>
      <c r="AA399" s="301"/>
      <c r="AB399" s="297"/>
      <c r="AC399" s="297"/>
      <c r="AD399" s="299"/>
      <c r="AE399" s="300"/>
      <c r="AF399" s="301"/>
      <c r="AG399" s="297"/>
      <c r="AH399" s="297"/>
      <c r="AI399" s="322"/>
      <c r="AJ399" s="300"/>
      <c r="AK399" s="301"/>
      <c r="AL399" s="297"/>
      <c r="AM399" s="297"/>
      <c r="AN399" s="297"/>
      <c r="AO399" s="473"/>
      <c r="AP399" s="297"/>
      <c r="AQ399" s="301" t="s">
        <v>7918</v>
      </c>
      <c r="AR399" s="297" t="s">
        <v>66</v>
      </c>
      <c r="AS399" s="299" t="s">
        <v>67</v>
      </c>
      <c r="AT399" s="299" t="s">
        <v>67</v>
      </c>
      <c r="AU399" s="297" t="s">
        <v>3827</v>
      </c>
      <c r="AV399" s="297"/>
      <c r="AW399" s="297" t="s">
        <v>69</v>
      </c>
      <c r="AX399" s="297" t="s">
        <v>7919</v>
      </c>
      <c r="AY399" s="299">
        <v>42907</v>
      </c>
      <c r="AZ399" s="297" t="s">
        <v>67</v>
      </c>
      <c r="BA399" s="299" t="s">
        <v>67</v>
      </c>
      <c r="BB399" s="382">
        <v>42913</v>
      </c>
      <c r="BC399" s="297" t="s">
        <v>3829</v>
      </c>
      <c r="BD399" s="297" t="s">
        <v>6447</v>
      </c>
      <c r="BE399" s="297"/>
      <c r="BF399" s="301"/>
      <c r="BG399" s="301"/>
      <c r="BH399" s="301" t="s">
        <v>5029</v>
      </c>
      <c r="BI399" s="301"/>
      <c r="BJ399" s="312">
        <v>1025382</v>
      </c>
      <c r="BK399" s="312">
        <v>1025382</v>
      </c>
      <c r="BL399" s="313">
        <v>2810418</v>
      </c>
      <c r="BM399" s="299">
        <v>43115</v>
      </c>
      <c r="BN399" s="300">
        <v>43101</v>
      </c>
      <c r="BO399" s="434" t="s">
        <v>7922</v>
      </c>
      <c r="BP399" s="390"/>
      <c r="BQ399" s="297"/>
      <c r="BR399" s="303"/>
      <c r="BS399" s="301"/>
      <c r="BT399" s="301"/>
      <c r="BU399" s="301"/>
      <c r="BV399" s="301"/>
      <c r="BW399" s="316"/>
      <c r="BX399" s="304"/>
      <c r="BY399" s="299"/>
      <c r="BZ399" s="317"/>
    </row>
    <row r="400" spans="1:555" ht="54.75" thickBot="1">
      <c r="A400" s="296">
        <v>565</v>
      </c>
      <c r="B400" s="297" t="s">
        <v>5030</v>
      </c>
      <c r="C400" s="298">
        <v>66820072</v>
      </c>
      <c r="D400" s="354" t="s">
        <v>67</v>
      </c>
      <c r="E400" s="299">
        <v>42913</v>
      </c>
      <c r="F400" s="300">
        <v>42887</v>
      </c>
      <c r="G400" s="301" t="s">
        <v>271</v>
      </c>
      <c r="H400" s="297" t="s">
        <v>63</v>
      </c>
      <c r="I400" s="297" t="s">
        <v>101</v>
      </c>
      <c r="J400" s="299"/>
      <c r="K400" s="300"/>
      <c r="L400" s="301"/>
      <c r="M400" s="297"/>
      <c r="N400" s="297"/>
      <c r="O400" s="299"/>
      <c r="P400" s="302"/>
      <c r="Q400" s="301"/>
      <c r="R400" s="297"/>
      <c r="S400" s="297"/>
      <c r="T400" s="299"/>
      <c r="U400" s="300"/>
      <c r="V400" s="301"/>
      <c r="W400" s="297"/>
      <c r="X400" s="297"/>
      <c r="Y400" s="299"/>
      <c r="Z400" s="300"/>
      <c r="AA400" s="301"/>
      <c r="AB400" s="297"/>
      <c r="AC400" s="297"/>
      <c r="AD400" s="299"/>
      <c r="AE400" s="300"/>
      <c r="AF400" s="301"/>
      <c r="AG400" s="297"/>
      <c r="AH400" s="297"/>
      <c r="AI400" s="322"/>
      <c r="AJ400" s="300"/>
      <c r="AK400" s="301"/>
      <c r="AL400" s="297"/>
      <c r="AM400" s="297"/>
      <c r="AN400" s="297"/>
      <c r="AO400" s="473"/>
      <c r="AP400" s="297"/>
      <c r="AQ400" s="301" t="s">
        <v>7614</v>
      </c>
      <c r="AR400" s="297" t="s">
        <v>66</v>
      </c>
      <c r="AS400" s="299" t="s">
        <v>67</v>
      </c>
      <c r="AT400" s="299" t="s">
        <v>67</v>
      </c>
      <c r="AU400" s="297" t="s">
        <v>3827</v>
      </c>
      <c r="AV400" s="297"/>
      <c r="AW400" s="297" t="s">
        <v>69</v>
      </c>
      <c r="AX400" s="297" t="s">
        <v>7615</v>
      </c>
      <c r="AY400" s="299">
        <v>42901</v>
      </c>
      <c r="AZ400" s="297" t="s">
        <v>67</v>
      </c>
      <c r="BA400" s="299" t="s">
        <v>67</v>
      </c>
      <c r="BB400" s="382" t="s">
        <v>5031</v>
      </c>
      <c r="BC400" s="297" t="s">
        <v>3829</v>
      </c>
      <c r="BD400" s="297" t="s">
        <v>6447</v>
      </c>
      <c r="BE400" s="297"/>
      <c r="BF400" s="301"/>
      <c r="BG400" s="301" t="s">
        <v>67</v>
      </c>
      <c r="BH400" s="301" t="s">
        <v>5032</v>
      </c>
      <c r="BI400" s="301"/>
      <c r="BJ400" s="312">
        <v>745641</v>
      </c>
      <c r="BK400" s="312">
        <v>745641</v>
      </c>
      <c r="BL400" s="313">
        <v>42815818</v>
      </c>
      <c r="BM400" s="299">
        <v>43158</v>
      </c>
      <c r="BN400" s="300">
        <v>43132</v>
      </c>
      <c r="BO400" s="452" t="s">
        <v>7616</v>
      </c>
      <c r="BP400" s="390"/>
      <c r="BQ400" s="297"/>
      <c r="BR400" s="303"/>
      <c r="BS400" s="301"/>
      <c r="BT400" s="301"/>
      <c r="BU400" s="301"/>
      <c r="BV400" s="301"/>
      <c r="BW400" s="316"/>
      <c r="BX400" s="304"/>
      <c r="BY400" s="299"/>
      <c r="BZ400" s="317"/>
    </row>
    <row r="401" spans="1:555" ht="109.5" customHeight="1">
      <c r="A401" s="296">
        <v>566</v>
      </c>
      <c r="B401" s="297" t="s">
        <v>5033</v>
      </c>
      <c r="C401" s="298">
        <v>9175202</v>
      </c>
      <c r="D401" s="354"/>
      <c r="E401" s="299">
        <v>42913</v>
      </c>
      <c r="F401" s="300">
        <v>42887</v>
      </c>
      <c r="G401" s="301" t="s">
        <v>271</v>
      </c>
      <c r="H401" s="297" t="s">
        <v>63</v>
      </c>
      <c r="I401" s="297" t="s">
        <v>101</v>
      </c>
      <c r="J401" s="299"/>
      <c r="K401" s="300"/>
      <c r="L401" s="301"/>
      <c r="M401" s="297"/>
      <c r="N401" s="297"/>
      <c r="O401" s="299"/>
      <c r="P401" s="302"/>
      <c r="Q401" s="301"/>
      <c r="R401" s="297"/>
      <c r="S401" s="297"/>
      <c r="T401" s="299"/>
      <c r="U401" s="300"/>
      <c r="V401" s="301"/>
      <c r="W401" s="297"/>
      <c r="X401" s="297"/>
      <c r="Y401" s="299"/>
      <c r="Z401" s="300"/>
      <c r="AA401" s="301"/>
      <c r="AB401" s="297"/>
      <c r="AC401" s="297"/>
      <c r="AD401" s="299"/>
      <c r="AE401" s="300"/>
      <c r="AF401" s="301"/>
      <c r="AG401" s="297"/>
      <c r="AH401" s="297"/>
      <c r="AI401" s="322"/>
      <c r="AJ401" s="300"/>
      <c r="AK401" s="301"/>
      <c r="AL401" s="297"/>
      <c r="AM401" s="297"/>
      <c r="AN401" s="297"/>
      <c r="AO401" s="473"/>
      <c r="AP401" s="297"/>
      <c r="AQ401" s="301" t="s">
        <v>7679</v>
      </c>
      <c r="AR401" s="297" t="s">
        <v>66</v>
      </c>
      <c r="AS401" s="299" t="s">
        <v>67</v>
      </c>
      <c r="AT401" s="299" t="s">
        <v>67</v>
      </c>
      <c r="AU401" s="297" t="s">
        <v>3827</v>
      </c>
      <c r="AV401" s="297"/>
      <c r="AW401" s="297" t="s">
        <v>69</v>
      </c>
      <c r="AX401" s="297" t="s">
        <v>7608</v>
      </c>
      <c r="AY401" s="299">
        <v>42901</v>
      </c>
      <c r="AZ401" s="297" t="s">
        <v>67</v>
      </c>
      <c r="BA401" s="299" t="s">
        <v>67</v>
      </c>
      <c r="BB401" s="382">
        <v>42907</v>
      </c>
      <c r="BC401" s="297" t="s">
        <v>3829</v>
      </c>
      <c r="BD401" s="297" t="s">
        <v>6447</v>
      </c>
      <c r="BE401" s="297"/>
      <c r="BF401" s="301"/>
      <c r="BG401" s="301"/>
      <c r="BH401" s="301" t="s">
        <v>5034</v>
      </c>
      <c r="BI401" s="301"/>
      <c r="BJ401" s="312">
        <v>1423497</v>
      </c>
      <c r="BK401" s="312">
        <v>1423497</v>
      </c>
      <c r="BL401" s="313">
        <v>2865918</v>
      </c>
      <c r="BM401" s="299">
        <v>43115</v>
      </c>
      <c r="BN401" s="300">
        <v>43101</v>
      </c>
      <c r="BO401" s="434" t="s">
        <v>5035</v>
      </c>
      <c r="BP401" s="397"/>
      <c r="BQ401" s="398"/>
      <c r="BR401" s="320"/>
      <c r="BS401" s="301"/>
      <c r="BT401" s="301"/>
      <c r="BU401" s="301"/>
      <c r="BV401" s="301"/>
      <c r="BW401" s="316"/>
      <c r="BX401" s="304"/>
      <c r="BY401" s="299"/>
      <c r="BZ401" s="317"/>
    </row>
    <row r="402" spans="1:555" s="259" customFormat="1" ht="77.25" customHeight="1">
      <c r="A402" s="296">
        <v>567</v>
      </c>
      <c r="B402" s="297" t="s">
        <v>5036</v>
      </c>
      <c r="C402" s="298">
        <v>17356051</v>
      </c>
      <c r="D402" s="354" t="s">
        <v>67</v>
      </c>
      <c r="E402" s="299">
        <v>42913</v>
      </c>
      <c r="F402" s="300">
        <v>42887</v>
      </c>
      <c r="G402" s="301" t="s">
        <v>271</v>
      </c>
      <c r="H402" s="297" t="s">
        <v>63</v>
      </c>
      <c r="I402" s="297" t="s">
        <v>101</v>
      </c>
      <c r="J402" s="299"/>
      <c r="K402" s="300"/>
      <c r="L402" s="301"/>
      <c r="M402" s="297"/>
      <c r="N402" s="297"/>
      <c r="O402" s="299"/>
      <c r="P402" s="302"/>
      <c r="Q402" s="301"/>
      <c r="R402" s="297"/>
      <c r="S402" s="297"/>
      <c r="T402" s="299"/>
      <c r="U402" s="300"/>
      <c r="V402" s="301"/>
      <c r="W402" s="297"/>
      <c r="X402" s="297"/>
      <c r="Y402" s="299"/>
      <c r="Z402" s="300"/>
      <c r="AA402" s="301"/>
      <c r="AB402" s="297"/>
      <c r="AC402" s="297"/>
      <c r="AD402" s="299"/>
      <c r="AE402" s="300"/>
      <c r="AF402" s="301"/>
      <c r="AG402" s="297"/>
      <c r="AH402" s="297"/>
      <c r="AI402" s="322"/>
      <c r="AJ402" s="300"/>
      <c r="AK402" s="301"/>
      <c r="AL402" s="297"/>
      <c r="AM402" s="297"/>
      <c r="AN402" s="297"/>
      <c r="AO402" s="473"/>
      <c r="AP402" s="297"/>
      <c r="AQ402" s="301" t="s">
        <v>7752</v>
      </c>
      <c r="AR402" s="297" t="s">
        <v>66</v>
      </c>
      <c r="AS402" s="299" t="s">
        <v>67</v>
      </c>
      <c r="AT402" s="299" t="s">
        <v>67</v>
      </c>
      <c r="AU402" s="297" t="s">
        <v>3827</v>
      </c>
      <c r="AV402" s="297"/>
      <c r="AW402" s="297" t="s">
        <v>69</v>
      </c>
      <c r="AX402" s="297" t="s">
        <v>7628</v>
      </c>
      <c r="AY402" s="299">
        <v>42901</v>
      </c>
      <c r="AZ402" s="297" t="s">
        <v>67</v>
      </c>
      <c r="BA402" s="299" t="s">
        <v>67</v>
      </c>
      <c r="BB402" s="382">
        <v>42907</v>
      </c>
      <c r="BC402" s="297" t="s">
        <v>3829</v>
      </c>
      <c r="BD402" s="297" t="s">
        <v>6447</v>
      </c>
      <c r="BE402" s="297"/>
      <c r="BF402" s="301"/>
      <c r="BG402" s="301" t="s">
        <v>67</v>
      </c>
      <c r="BH402" s="301" t="s">
        <v>5037</v>
      </c>
      <c r="BI402" s="301" t="s">
        <v>4934</v>
      </c>
      <c r="BJ402" s="312">
        <v>1762426</v>
      </c>
      <c r="BK402" s="312">
        <v>1762426</v>
      </c>
      <c r="BL402" s="313">
        <v>222924717</v>
      </c>
      <c r="BM402" s="299">
        <v>42958</v>
      </c>
      <c r="BN402" s="300">
        <v>42948</v>
      </c>
      <c r="BO402" s="434" t="s">
        <v>5038</v>
      </c>
      <c r="BP402" s="397"/>
      <c r="BQ402" s="455"/>
      <c r="BR402" s="456"/>
      <c r="BS402" s="301"/>
      <c r="BT402" s="301"/>
      <c r="BU402" s="301"/>
      <c r="BV402" s="301"/>
      <c r="BW402" s="316"/>
      <c r="BX402" s="304"/>
      <c r="BY402" s="299"/>
      <c r="BZ402" s="317"/>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c r="JW402" s="1"/>
      <c r="JX402" s="1"/>
      <c r="JY402" s="1"/>
      <c r="JZ402" s="1"/>
      <c r="KA402" s="1"/>
      <c r="KB402" s="1"/>
      <c r="KC402" s="1"/>
      <c r="KD402" s="1"/>
      <c r="KE402" s="1"/>
      <c r="KF402" s="1"/>
      <c r="KG402" s="1"/>
      <c r="KH402" s="1"/>
      <c r="KI402" s="1"/>
      <c r="KJ402" s="1"/>
      <c r="KK402" s="1"/>
      <c r="KL402" s="1"/>
      <c r="KM402" s="1"/>
      <c r="KN402" s="1"/>
      <c r="KO402" s="1"/>
      <c r="KP402" s="1"/>
      <c r="KQ402" s="1"/>
      <c r="KR402" s="1"/>
      <c r="KS402" s="1"/>
      <c r="KT402" s="1"/>
      <c r="KU402" s="1"/>
      <c r="KV402" s="1"/>
      <c r="KW402" s="1"/>
      <c r="KX402" s="1"/>
      <c r="KY402" s="1"/>
      <c r="KZ402" s="1"/>
      <c r="LA402" s="1"/>
      <c r="LB402" s="1"/>
      <c r="LC402" s="1"/>
      <c r="LD402" s="1"/>
      <c r="LE402" s="1"/>
      <c r="LF402" s="1"/>
      <c r="LG402" s="1"/>
      <c r="LH402" s="1"/>
      <c r="LI402" s="1"/>
      <c r="LJ402" s="1"/>
      <c r="LK402" s="1"/>
      <c r="LL402" s="1"/>
      <c r="LM402" s="1"/>
      <c r="LN402" s="1"/>
      <c r="LO402" s="1"/>
      <c r="LP402" s="1"/>
      <c r="LQ402" s="1"/>
      <c r="LR402" s="1"/>
      <c r="LS402" s="1"/>
      <c r="LT402" s="1"/>
      <c r="LU402" s="1"/>
      <c r="LV402" s="1"/>
      <c r="LW402" s="1"/>
      <c r="LX402" s="1"/>
      <c r="LY402" s="1"/>
      <c r="LZ402" s="1"/>
      <c r="MA402" s="1"/>
      <c r="MB402" s="1"/>
      <c r="MC402" s="1"/>
      <c r="MD402" s="1"/>
      <c r="ME402" s="1"/>
      <c r="MF402" s="1"/>
      <c r="MG402" s="1"/>
      <c r="MH402" s="1"/>
      <c r="MI402" s="1"/>
      <c r="MJ402" s="1"/>
      <c r="MK402" s="1"/>
      <c r="ML402" s="1"/>
      <c r="MM402" s="1"/>
      <c r="MN402" s="1"/>
      <c r="MO402" s="1"/>
      <c r="MP402" s="1"/>
      <c r="MQ402" s="1"/>
      <c r="MR402" s="1"/>
      <c r="MS402" s="1"/>
      <c r="MT402" s="1"/>
      <c r="MU402" s="1"/>
      <c r="MV402" s="1"/>
      <c r="MW402" s="1"/>
      <c r="MX402" s="1"/>
      <c r="MY402" s="1"/>
      <c r="MZ402" s="1"/>
      <c r="NA402" s="1"/>
      <c r="NB402" s="1"/>
      <c r="NC402" s="1"/>
      <c r="ND402" s="1"/>
      <c r="NE402" s="1"/>
      <c r="NF402" s="1"/>
      <c r="NG402" s="1"/>
      <c r="NH402" s="1"/>
      <c r="NI402" s="1"/>
      <c r="NJ402" s="1"/>
      <c r="NK402" s="1"/>
      <c r="NL402" s="1"/>
      <c r="NM402" s="1"/>
      <c r="NN402" s="1"/>
      <c r="NO402" s="1"/>
      <c r="NP402" s="1"/>
      <c r="NQ402" s="1"/>
      <c r="NR402" s="1"/>
      <c r="NS402" s="1"/>
      <c r="NT402" s="1"/>
      <c r="NU402" s="1"/>
      <c r="NV402" s="1"/>
      <c r="NW402" s="1"/>
      <c r="NX402" s="1"/>
      <c r="NY402" s="1"/>
      <c r="NZ402" s="1"/>
      <c r="OA402" s="1"/>
      <c r="OB402" s="1"/>
      <c r="OC402" s="1"/>
      <c r="OD402" s="1"/>
      <c r="OE402" s="1"/>
      <c r="OF402" s="1"/>
      <c r="OG402" s="1"/>
      <c r="OH402" s="1"/>
      <c r="OI402" s="1"/>
      <c r="OJ402" s="1"/>
      <c r="OK402" s="1"/>
      <c r="OL402" s="1"/>
      <c r="OM402" s="1"/>
      <c r="ON402" s="1"/>
      <c r="OO402" s="1"/>
      <c r="OP402" s="1"/>
      <c r="OQ402" s="1"/>
      <c r="OR402" s="1"/>
      <c r="OS402" s="1"/>
      <c r="OT402" s="1"/>
      <c r="OU402" s="1"/>
      <c r="OV402" s="1"/>
      <c r="OW402" s="1"/>
      <c r="OX402" s="1"/>
      <c r="OY402" s="1"/>
      <c r="OZ402" s="1"/>
      <c r="PA402" s="1"/>
      <c r="PB402" s="1"/>
      <c r="PC402" s="1"/>
      <c r="PD402" s="1"/>
      <c r="PE402" s="1"/>
      <c r="PF402" s="1"/>
      <c r="PG402" s="1"/>
      <c r="PH402" s="1"/>
      <c r="PI402" s="1"/>
      <c r="PJ402" s="1"/>
      <c r="PK402" s="1"/>
      <c r="PL402" s="1"/>
      <c r="PM402" s="1"/>
      <c r="PN402" s="1"/>
      <c r="PO402" s="1"/>
      <c r="PP402" s="1"/>
      <c r="PQ402" s="1"/>
      <c r="PR402" s="1"/>
      <c r="PS402" s="1"/>
      <c r="PT402" s="1"/>
      <c r="PU402" s="1"/>
      <c r="PV402" s="1"/>
      <c r="PW402" s="1"/>
      <c r="PX402" s="1"/>
      <c r="PY402" s="1"/>
      <c r="PZ402" s="1"/>
      <c r="QA402" s="1"/>
      <c r="QB402" s="1"/>
      <c r="QC402" s="1"/>
      <c r="QD402" s="1"/>
      <c r="QE402" s="1"/>
      <c r="QF402" s="1"/>
      <c r="QG402" s="1"/>
      <c r="QH402" s="1"/>
      <c r="QI402" s="1"/>
      <c r="QJ402" s="1"/>
      <c r="QK402" s="1"/>
      <c r="QL402" s="1"/>
      <c r="QM402" s="1"/>
      <c r="QN402" s="1"/>
      <c r="QO402" s="1"/>
      <c r="QP402" s="1"/>
      <c r="QQ402" s="1"/>
      <c r="QR402" s="1"/>
      <c r="QS402" s="1"/>
      <c r="QT402" s="1"/>
      <c r="QU402" s="1"/>
      <c r="QV402" s="1"/>
      <c r="QW402" s="1"/>
      <c r="QX402" s="1"/>
      <c r="QY402" s="1"/>
      <c r="QZ402" s="1"/>
      <c r="RA402" s="1"/>
      <c r="RB402" s="1"/>
      <c r="RC402" s="1"/>
      <c r="RD402" s="1"/>
      <c r="RE402" s="1"/>
      <c r="RF402" s="1"/>
      <c r="RG402" s="1"/>
      <c r="RH402" s="1"/>
      <c r="RI402" s="1"/>
      <c r="RJ402" s="1"/>
      <c r="RK402" s="1"/>
      <c r="RL402" s="1"/>
      <c r="RM402" s="1"/>
      <c r="RN402" s="1"/>
      <c r="RO402" s="1"/>
      <c r="RP402" s="1"/>
      <c r="RQ402" s="1"/>
      <c r="RR402" s="1"/>
      <c r="RS402" s="1"/>
      <c r="RT402" s="1"/>
      <c r="RU402" s="1"/>
      <c r="RV402" s="1"/>
      <c r="RW402" s="1"/>
      <c r="RX402" s="1"/>
      <c r="RY402" s="1"/>
      <c r="RZ402" s="1"/>
      <c r="SA402" s="1"/>
      <c r="SB402" s="1"/>
      <c r="SC402" s="1"/>
      <c r="SD402" s="1"/>
      <c r="SE402" s="1"/>
      <c r="SF402" s="1"/>
      <c r="SG402" s="1"/>
      <c r="SH402" s="1"/>
      <c r="SI402" s="1"/>
      <c r="SJ402" s="1"/>
      <c r="SK402" s="1"/>
      <c r="SL402" s="1"/>
      <c r="SM402" s="1"/>
      <c r="SN402" s="1"/>
      <c r="SO402" s="1"/>
      <c r="SP402" s="1"/>
      <c r="SQ402" s="1"/>
      <c r="SR402" s="1"/>
      <c r="SS402" s="1"/>
      <c r="ST402" s="1"/>
      <c r="SU402" s="1"/>
      <c r="SV402" s="1"/>
      <c r="SW402" s="1"/>
      <c r="SX402" s="1"/>
      <c r="SY402" s="1"/>
      <c r="SZ402" s="1"/>
      <c r="TA402" s="1"/>
      <c r="TB402" s="1"/>
      <c r="TC402" s="1"/>
      <c r="TD402" s="1"/>
      <c r="TE402" s="1"/>
      <c r="TF402" s="1"/>
      <c r="TG402" s="1"/>
      <c r="TH402" s="1"/>
      <c r="TI402" s="1"/>
      <c r="TJ402" s="1"/>
      <c r="TK402" s="1"/>
      <c r="TL402" s="1"/>
      <c r="TM402" s="1"/>
      <c r="TN402" s="1"/>
      <c r="TO402" s="1"/>
      <c r="TP402" s="1"/>
      <c r="TQ402" s="1"/>
      <c r="TR402" s="1"/>
      <c r="TS402" s="1"/>
      <c r="TT402" s="1"/>
      <c r="TU402" s="1"/>
      <c r="TV402" s="1"/>
      <c r="TW402" s="1"/>
      <c r="TX402" s="1"/>
      <c r="TY402" s="1"/>
      <c r="TZ402" s="1"/>
      <c r="UA402" s="1"/>
      <c r="UB402" s="1"/>
      <c r="UC402" s="1"/>
      <c r="UD402" s="1"/>
      <c r="UE402" s="1"/>
      <c r="UF402" s="1"/>
      <c r="UG402" s="1"/>
      <c r="UH402" s="1"/>
      <c r="UI402" s="1"/>
    </row>
    <row r="403" spans="1:555" ht="121.5">
      <c r="A403" s="296">
        <v>568</v>
      </c>
      <c r="B403" s="297" t="s">
        <v>5039</v>
      </c>
      <c r="C403" s="298">
        <v>88154887</v>
      </c>
      <c r="D403" s="354" t="s">
        <v>994</v>
      </c>
      <c r="E403" s="299">
        <v>42881</v>
      </c>
      <c r="F403" s="300">
        <v>42881</v>
      </c>
      <c r="G403" s="301" t="s">
        <v>8177</v>
      </c>
      <c r="H403" s="297" t="s">
        <v>286</v>
      </c>
      <c r="I403" s="297" t="s">
        <v>85</v>
      </c>
      <c r="J403" s="299">
        <v>42921</v>
      </c>
      <c r="K403" s="300">
        <v>42917</v>
      </c>
      <c r="L403" s="301" t="s">
        <v>5040</v>
      </c>
      <c r="M403" s="297" t="s">
        <v>5</v>
      </c>
      <c r="N403" s="297" t="s">
        <v>79</v>
      </c>
      <c r="O403" s="299">
        <v>43173</v>
      </c>
      <c r="P403" s="302">
        <v>43160</v>
      </c>
      <c r="Q403" s="301" t="s">
        <v>5042</v>
      </c>
      <c r="R403" s="297" t="s">
        <v>5</v>
      </c>
      <c r="S403" s="297" t="s">
        <v>1625</v>
      </c>
      <c r="T403" s="299">
        <v>43179</v>
      </c>
      <c r="U403" s="300">
        <v>43160</v>
      </c>
      <c r="V403" s="301" t="s">
        <v>5043</v>
      </c>
      <c r="W403" s="297" t="s">
        <v>286</v>
      </c>
      <c r="X403" s="297" t="s">
        <v>1753</v>
      </c>
      <c r="Y403" s="299">
        <v>43215</v>
      </c>
      <c r="Z403" s="300">
        <v>43191</v>
      </c>
      <c r="AA403" s="301" t="s">
        <v>5044</v>
      </c>
      <c r="AB403" s="297" t="s">
        <v>5</v>
      </c>
      <c r="AC403" s="297" t="s">
        <v>107</v>
      </c>
      <c r="AD403" s="305">
        <v>43263</v>
      </c>
      <c r="AE403" s="300">
        <v>43263</v>
      </c>
      <c r="AF403" s="315" t="s">
        <v>5045</v>
      </c>
      <c r="AG403" s="297" t="s">
        <v>5</v>
      </c>
      <c r="AH403" s="315" t="s">
        <v>5046</v>
      </c>
      <c r="AI403" s="299">
        <v>43486</v>
      </c>
      <c r="AJ403" s="300">
        <v>43486</v>
      </c>
      <c r="AK403" s="301" t="s">
        <v>8026</v>
      </c>
      <c r="AL403" s="297" t="s">
        <v>503</v>
      </c>
      <c r="AM403" s="297" t="s">
        <v>8028</v>
      </c>
      <c r="AN403" s="297" t="s">
        <v>4331</v>
      </c>
      <c r="AO403" s="473"/>
      <c r="AP403" s="297" t="s">
        <v>2558</v>
      </c>
      <c r="AQ403" s="301" t="s">
        <v>5047</v>
      </c>
      <c r="AR403" s="297" t="s">
        <v>66</v>
      </c>
      <c r="AS403" s="299">
        <v>38596</v>
      </c>
      <c r="AT403" s="299">
        <v>40543</v>
      </c>
      <c r="AU403" s="297" t="s">
        <v>5048</v>
      </c>
      <c r="AV403" s="297"/>
      <c r="AW403" s="297" t="s">
        <v>92</v>
      </c>
      <c r="AX403" s="297" t="s">
        <v>5049</v>
      </c>
      <c r="AY403" s="299">
        <v>41516</v>
      </c>
      <c r="AZ403" s="297" t="s">
        <v>2075</v>
      </c>
      <c r="BA403" s="299">
        <v>42216</v>
      </c>
      <c r="BB403" s="382">
        <v>42464</v>
      </c>
      <c r="BC403" s="297" t="s">
        <v>95</v>
      </c>
      <c r="BD403" s="297" t="s">
        <v>566</v>
      </c>
      <c r="BE403" s="297"/>
      <c r="BF403" s="301"/>
      <c r="BG403" s="301"/>
      <c r="BH403" s="301" t="s">
        <v>5050</v>
      </c>
      <c r="BI403" s="301"/>
      <c r="BJ403" s="312">
        <v>128680353</v>
      </c>
      <c r="BK403" s="312">
        <v>128680353</v>
      </c>
      <c r="BL403" s="313">
        <v>163296318</v>
      </c>
      <c r="BM403" s="299">
        <v>43249</v>
      </c>
      <c r="BN403" s="300">
        <v>43221</v>
      </c>
      <c r="BO403" s="434" t="s">
        <v>5051</v>
      </c>
      <c r="BP403" s="397"/>
      <c r="BQ403" s="398"/>
      <c r="BR403" s="320"/>
      <c r="BS403" s="301"/>
      <c r="BT403" s="301"/>
      <c r="BU403" s="301"/>
      <c r="BV403" s="301"/>
      <c r="BW403" s="316"/>
      <c r="BX403" s="304"/>
      <c r="BY403" s="299"/>
      <c r="BZ403" s="317"/>
    </row>
    <row r="404" spans="1:555" s="259" customFormat="1" ht="99" customHeight="1">
      <c r="A404" s="296">
        <v>570</v>
      </c>
      <c r="B404" s="297" t="s">
        <v>5059</v>
      </c>
      <c r="C404" s="298">
        <v>17137959</v>
      </c>
      <c r="D404" s="354" t="s">
        <v>667</v>
      </c>
      <c r="E404" s="299">
        <v>42881</v>
      </c>
      <c r="F404" s="300">
        <v>42856</v>
      </c>
      <c r="G404" s="301" t="s">
        <v>5060</v>
      </c>
      <c r="H404" s="297" t="s">
        <v>63</v>
      </c>
      <c r="I404" s="297" t="s">
        <v>5061</v>
      </c>
      <c r="J404" s="299">
        <v>43150</v>
      </c>
      <c r="K404" s="300">
        <v>43132</v>
      </c>
      <c r="L404" s="301" t="s">
        <v>1142</v>
      </c>
      <c r="M404" s="297" t="s">
        <v>63</v>
      </c>
      <c r="N404" s="297" t="s">
        <v>107</v>
      </c>
      <c r="O404" s="299"/>
      <c r="P404" s="302"/>
      <c r="Q404" s="301"/>
      <c r="R404" s="297"/>
      <c r="S404" s="297"/>
      <c r="T404" s="299"/>
      <c r="U404" s="300"/>
      <c r="V404" s="301"/>
      <c r="W404" s="297"/>
      <c r="X404" s="297"/>
      <c r="Y404" s="299"/>
      <c r="Z404" s="300"/>
      <c r="AA404" s="301"/>
      <c r="AB404" s="297"/>
      <c r="AC404" s="297"/>
      <c r="AD404" s="299"/>
      <c r="AE404" s="300"/>
      <c r="AF404" s="301"/>
      <c r="AG404" s="297"/>
      <c r="AH404" s="297"/>
      <c r="AI404" s="322"/>
      <c r="AJ404" s="300"/>
      <c r="AK404" s="301"/>
      <c r="AL404" s="297"/>
      <c r="AM404" s="297"/>
      <c r="AN404" s="297" t="s">
        <v>600</v>
      </c>
      <c r="AO404" s="473"/>
      <c r="AP404" s="297"/>
      <c r="AQ404" s="301" t="s">
        <v>5062</v>
      </c>
      <c r="AR404" s="297" t="s">
        <v>66</v>
      </c>
      <c r="AS404" s="299"/>
      <c r="AT404" s="299"/>
      <c r="AU404" s="297" t="s">
        <v>5063</v>
      </c>
      <c r="AV404" s="297"/>
      <c r="AW404" s="297"/>
      <c r="AX404" s="297" t="s">
        <v>5064</v>
      </c>
      <c r="AY404" s="299">
        <v>41085</v>
      </c>
      <c r="AZ404" s="297" t="s">
        <v>5065</v>
      </c>
      <c r="BA404" s="299">
        <v>41340</v>
      </c>
      <c r="BB404" s="382">
        <v>41367</v>
      </c>
      <c r="BC404" s="297" t="s">
        <v>95</v>
      </c>
      <c r="BD404" s="297" t="s">
        <v>566</v>
      </c>
      <c r="BE404" s="297"/>
      <c r="BF404" s="301"/>
      <c r="BG404" s="301"/>
      <c r="BH404" s="301" t="s">
        <v>5066</v>
      </c>
      <c r="BI404" s="301"/>
      <c r="BJ404" s="312">
        <v>11079173</v>
      </c>
      <c r="BK404" s="312">
        <v>11079173</v>
      </c>
      <c r="BL404" s="313">
        <v>160767918</v>
      </c>
      <c r="BM404" s="299">
        <v>43248</v>
      </c>
      <c r="BN404" s="300">
        <v>43221</v>
      </c>
      <c r="BO404" s="434" t="s">
        <v>5067</v>
      </c>
      <c r="BP404" s="397"/>
      <c r="BQ404" s="398"/>
      <c r="BR404" s="320"/>
      <c r="BS404" s="301"/>
      <c r="BT404" s="301"/>
      <c r="BU404" s="301"/>
      <c r="BV404" s="301"/>
      <c r="BW404" s="316"/>
      <c r="BX404" s="304"/>
      <c r="BY404" s="299"/>
      <c r="BZ404" s="317"/>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c r="JW404" s="1"/>
      <c r="JX404" s="1"/>
      <c r="JY404" s="1"/>
      <c r="JZ404" s="1"/>
      <c r="KA404" s="1"/>
      <c r="KB404" s="1"/>
      <c r="KC404" s="1"/>
      <c r="KD404" s="1"/>
      <c r="KE404" s="1"/>
      <c r="KF404" s="1"/>
      <c r="KG404" s="1"/>
      <c r="KH404" s="1"/>
      <c r="KI404" s="1"/>
      <c r="KJ404" s="1"/>
      <c r="KK404" s="1"/>
      <c r="KL404" s="1"/>
      <c r="KM404" s="1"/>
      <c r="KN404" s="1"/>
      <c r="KO404" s="1"/>
      <c r="KP404" s="1"/>
      <c r="KQ404" s="1"/>
      <c r="KR404" s="1"/>
      <c r="KS404" s="1"/>
      <c r="KT404" s="1"/>
      <c r="KU404" s="1"/>
      <c r="KV404" s="1"/>
      <c r="KW404" s="1"/>
      <c r="KX404" s="1"/>
      <c r="KY404" s="1"/>
      <c r="KZ404" s="1"/>
      <c r="LA404" s="1"/>
      <c r="LB404" s="1"/>
      <c r="LC404" s="1"/>
      <c r="LD404" s="1"/>
      <c r="LE404" s="1"/>
      <c r="LF404" s="1"/>
      <c r="LG404" s="1"/>
      <c r="LH404" s="1"/>
      <c r="LI404" s="1"/>
      <c r="LJ404" s="1"/>
      <c r="LK404" s="1"/>
      <c r="LL404" s="1"/>
      <c r="LM404" s="1"/>
      <c r="LN404" s="1"/>
      <c r="LO404" s="1"/>
      <c r="LP404" s="1"/>
      <c r="LQ404" s="1"/>
      <c r="LR404" s="1"/>
      <c r="LS404" s="1"/>
      <c r="LT404" s="1"/>
      <c r="LU404" s="1"/>
      <c r="LV404" s="1"/>
      <c r="LW404" s="1"/>
      <c r="LX404" s="1"/>
      <c r="LY404" s="1"/>
      <c r="LZ404" s="1"/>
      <c r="MA404" s="1"/>
      <c r="MB404" s="1"/>
      <c r="MC404" s="1"/>
      <c r="MD404" s="1"/>
      <c r="ME404" s="1"/>
      <c r="MF404" s="1"/>
      <c r="MG404" s="1"/>
      <c r="MH404" s="1"/>
      <c r="MI404" s="1"/>
      <c r="MJ404" s="1"/>
      <c r="MK404" s="1"/>
      <c r="ML404" s="1"/>
      <c r="MM404" s="1"/>
      <c r="MN404" s="1"/>
      <c r="MO404" s="1"/>
      <c r="MP404" s="1"/>
      <c r="MQ404" s="1"/>
      <c r="MR404" s="1"/>
      <c r="MS404" s="1"/>
      <c r="MT404" s="1"/>
      <c r="MU404" s="1"/>
      <c r="MV404" s="1"/>
      <c r="MW404" s="1"/>
      <c r="MX404" s="1"/>
      <c r="MY404" s="1"/>
      <c r="MZ404" s="1"/>
      <c r="NA404" s="1"/>
      <c r="NB404" s="1"/>
      <c r="NC404" s="1"/>
      <c r="ND404" s="1"/>
      <c r="NE404" s="1"/>
      <c r="NF404" s="1"/>
      <c r="NG404" s="1"/>
      <c r="NH404" s="1"/>
      <c r="NI404" s="1"/>
      <c r="NJ404" s="1"/>
      <c r="NK404" s="1"/>
      <c r="NL404" s="1"/>
      <c r="NM404" s="1"/>
      <c r="NN404" s="1"/>
      <c r="NO404" s="1"/>
      <c r="NP404" s="1"/>
      <c r="NQ404" s="1"/>
      <c r="NR404" s="1"/>
      <c r="NS404" s="1"/>
      <c r="NT404" s="1"/>
      <c r="NU404" s="1"/>
      <c r="NV404" s="1"/>
      <c r="NW404" s="1"/>
      <c r="NX404" s="1"/>
      <c r="NY404" s="1"/>
      <c r="NZ404" s="1"/>
      <c r="OA404" s="1"/>
      <c r="OB404" s="1"/>
      <c r="OC404" s="1"/>
      <c r="OD404" s="1"/>
      <c r="OE404" s="1"/>
      <c r="OF404" s="1"/>
      <c r="OG404" s="1"/>
      <c r="OH404" s="1"/>
      <c r="OI404" s="1"/>
      <c r="OJ404" s="1"/>
      <c r="OK404" s="1"/>
      <c r="OL404" s="1"/>
      <c r="OM404" s="1"/>
      <c r="ON404" s="1"/>
      <c r="OO404" s="1"/>
      <c r="OP404" s="1"/>
      <c r="OQ404" s="1"/>
      <c r="OR404" s="1"/>
      <c r="OS404" s="1"/>
      <c r="OT404" s="1"/>
      <c r="OU404" s="1"/>
      <c r="OV404" s="1"/>
      <c r="OW404" s="1"/>
      <c r="OX404" s="1"/>
      <c r="OY404" s="1"/>
      <c r="OZ404" s="1"/>
      <c r="PA404" s="1"/>
      <c r="PB404" s="1"/>
      <c r="PC404" s="1"/>
      <c r="PD404" s="1"/>
      <c r="PE404" s="1"/>
      <c r="PF404" s="1"/>
      <c r="PG404" s="1"/>
      <c r="PH404" s="1"/>
      <c r="PI404" s="1"/>
      <c r="PJ404" s="1"/>
      <c r="PK404" s="1"/>
      <c r="PL404" s="1"/>
      <c r="PM404" s="1"/>
      <c r="PN404" s="1"/>
      <c r="PO404" s="1"/>
      <c r="PP404" s="1"/>
      <c r="PQ404" s="1"/>
      <c r="PR404" s="1"/>
      <c r="PS404" s="1"/>
      <c r="PT404" s="1"/>
      <c r="PU404" s="1"/>
      <c r="PV404" s="1"/>
      <c r="PW404" s="1"/>
      <c r="PX404" s="1"/>
      <c r="PY404" s="1"/>
      <c r="PZ404" s="1"/>
      <c r="QA404" s="1"/>
      <c r="QB404" s="1"/>
      <c r="QC404" s="1"/>
      <c r="QD404" s="1"/>
      <c r="QE404" s="1"/>
      <c r="QF404" s="1"/>
      <c r="QG404" s="1"/>
      <c r="QH404" s="1"/>
      <c r="QI404" s="1"/>
      <c r="QJ404" s="1"/>
      <c r="QK404" s="1"/>
      <c r="QL404" s="1"/>
      <c r="QM404" s="1"/>
      <c r="QN404" s="1"/>
      <c r="QO404" s="1"/>
      <c r="QP404" s="1"/>
      <c r="QQ404" s="1"/>
      <c r="QR404" s="1"/>
      <c r="QS404" s="1"/>
      <c r="QT404" s="1"/>
      <c r="QU404" s="1"/>
      <c r="QV404" s="1"/>
      <c r="QW404" s="1"/>
      <c r="QX404" s="1"/>
      <c r="QY404" s="1"/>
      <c r="QZ404" s="1"/>
      <c r="RA404" s="1"/>
      <c r="RB404" s="1"/>
      <c r="RC404" s="1"/>
      <c r="RD404" s="1"/>
      <c r="RE404" s="1"/>
      <c r="RF404" s="1"/>
      <c r="RG404" s="1"/>
      <c r="RH404" s="1"/>
      <c r="RI404" s="1"/>
      <c r="RJ404" s="1"/>
      <c r="RK404" s="1"/>
      <c r="RL404" s="1"/>
      <c r="RM404" s="1"/>
      <c r="RN404" s="1"/>
      <c r="RO404" s="1"/>
      <c r="RP404" s="1"/>
      <c r="RQ404" s="1"/>
      <c r="RR404" s="1"/>
      <c r="RS404" s="1"/>
      <c r="RT404" s="1"/>
      <c r="RU404" s="1"/>
      <c r="RV404" s="1"/>
      <c r="RW404" s="1"/>
      <c r="RX404" s="1"/>
      <c r="RY404" s="1"/>
      <c r="RZ404" s="1"/>
      <c r="SA404" s="1"/>
      <c r="SB404" s="1"/>
      <c r="SC404" s="1"/>
      <c r="SD404" s="1"/>
      <c r="SE404" s="1"/>
      <c r="SF404" s="1"/>
      <c r="SG404" s="1"/>
      <c r="SH404" s="1"/>
      <c r="SI404" s="1"/>
      <c r="SJ404" s="1"/>
      <c r="SK404" s="1"/>
      <c r="SL404" s="1"/>
      <c r="SM404" s="1"/>
      <c r="SN404" s="1"/>
      <c r="SO404" s="1"/>
      <c r="SP404" s="1"/>
      <c r="SQ404" s="1"/>
      <c r="SR404" s="1"/>
      <c r="SS404" s="1"/>
      <c r="ST404" s="1"/>
      <c r="SU404" s="1"/>
      <c r="SV404" s="1"/>
      <c r="SW404" s="1"/>
      <c r="SX404" s="1"/>
      <c r="SY404" s="1"/>
      <c r="SZ404" s="1"/>
      <c r="TA404" s="1"/>
      <c r="TB404" s="1"/>
      <c r="TC404" s="1"/>
      <c r="TD404" s="1"/>
      <c r="TE404" s="1"/>
      <c r="TF404" s="1"/>
      <c r="TG404" s="1"/>
      <c r="TH404" s="1"/>
      <c r="TI404" s="1"/>
      <c r="TJ404" s="1"/>
      <c r="TK404" s="1"/>
      <c r="TL404" s="1"/>
      <c r="TM404" s="1"/>
      <c r="TN404" s="1"/>
      <c r="TO404" s="1"/>
      <c r="TP404" s="1"/>
      <c r="TQ404" s="1"/>
      <c r="TR404" s="1"/>
      <c r="TS404" s="1"/>
      <c r="TT404" s="1"/>
      <c r="TU404" s="1"/>
      <c r="TV404" s="1"/>
      <c r="TW404" s="1"/>
      <c r="TX404" s="1"/>
      <c r="TY404" s="1"/>
      <c r="TZ404" s="1"/>
      <c r="UA404" s="1"/>
      <c r="UB404" s="1"/>
      <c r="UC404" s="1"/>
      <c r="UD404" s="1"/>
      <c r="UE404" s="1"/>
      <c r="UF404" s="1"/>
      <c r="UG404" s="1"/>
      <c r="UH404" s="1"/>
      <c r="UI404" s="1"/>
    </row>
    <row r="405" spans="1:555" ht="40.5">
      <c r="A405" s="296">
        <v>572</v>
      </c>
      <c r="B405" s="297" t="s">
        <v>5077</v>
      </c>
      <c r="C405" s="298">
        <v>98648437</v>
      </c>
      <c r="D405" s="354"/>
      <c r="E405" s="299"/>
      <c r="F405" s="300"/>
      <c r="G405" s="301"/>
      <c r="H405" s="297"/>
      <c r="I405" s="297"/>
      <c r="J405" s="299"/>
      <c r="K405" s="300"/>
      <c r="L405" s="301"/>
      <c r="M405" s="297"/>
      <c r="N405" s="297"/>
      <c r="O405" s="299"/>
      <c r="P405" s="302"/>
      <c r="Q405" s="301"/>
      <c r="R405" s="297"/>
      <c r="S405" s="297"/>
      <c r="T405" s="299"/>
      <c r="U405" s="300"/>
      <c r="V405" s="301"/>
      <c r="W405" s="297"/>
      <c r="X405" s="297"/>
      <c r="Y405" s="299"/>
      <c r="Z405" s="300"/>
      <c r="AA405" s="301"/>
      <c r="AB405" s="297"/>
      <c r="AC405" s="297"/>
      <c r="AD405" s="299"/>
      <c r="AE405" s="300"/>
      <c r="AF405" s="301"/>
      <c r="AG405" s="297"/>
      <c r="AH405" s="297"/>
      <c r="AI405" s="322"/>
      <c r="AJ405" s="300"/>
      <c r="AK405" s="301"/>
      <c r="AL405" s="297"/>
      <c r="AM405" s="297"/>
      <c r="AN405" s="297"/>
      <c r="AO405" s="473"/>
      <c r="AP405" s="297"/>
      <c r="AQ405" s="301" t="s">
        <v>7801</v>
      </c>
      <c r="AR405" s="297" t="s">
        <v>66</v>
      </c>
      <c r="AS405" s="299"/>
      <c r="AT405" s="299"/>
      <c r="AU405" s="297" t="s">
        <v>3827</v>
      </c>
      <c r="AV405" s="297"/>
      <c r="AW405" s="297" t="s">
        <v>69</v>
      </c>
      <c r="AX405" s="297" t="s">
        <v>7802</v>
      </c>
      <c r="AY405" s="299">
        <v>42914</v>
      </c>
      <c r="AZ405" s="297" t="s">
        <v>67</v>
      </c>
      <c r="BA405" s="299" t="s">
        <v>67</v>
      </c>
      <c r="BB405" s="382">
        <v>42914</v>
      </c>
      <c r="BC405" s="297" t="s">
        <v>3829</v>
      </c>
      <c r="BD405" s="297" t="s">
        <v>6447</v>
      </c>
      <c r="BE405" s="297"/>
      <c r="BF405" s="301"/>
      <c r="BG405" s="301"/>
      <c r="BH405" s="301" t="s">
        <v>5078</v>
      </c>
      <c r="BI405" s="301" t="s">
        <v>5019</v>
      </c>
      <c r="BJ405" s="312">
        <v>2101352</v>
      </c>
      <c r="BK405" s="312">
        <v>2101352</v>
      </c>
      <c r="BL405" s="313">
        <v>214040817</v>
      </c>
      <c r="BM405" s="299">
        <v>42950</v>
      </c>
      <c r="BN405" s="300">
        <v>42948</v>
      </c>
      <c r="BO405" s="434" t="s">
        <v>5079</v>
      </c>
      <c r="BP405" s="397"/>
      <c r="BQ405" s="398"/>
      <c r="BR405" s="320"/>
      <c r="BS405" s="301"/>
      <c r="BT405" s="301"/>
      <c r="BU405" s="301"/>
      <c r="BV405" s="301"/>
      <c r="BW405" s="316"/>
      <c r="BX405" s="304"/>
      <c r="BY405" s="299"/>
      <c r="BZ405" s="317"/>
    </row>
    <row r="406" spans="1:555" s="259" customFormat="1" ht="81">
      <c r="A406" s="296">
        <v>576</v>
      </c>
      <c r="B406" s="297" t="s">
        <v>5112</v>
      </c>
      <c r="C406" s="298">
        <v>16511717</v>
      </c>
      <c r="D406" s="354" t="s">
        <v>1153</v>
      </c>
      <c r="E406" s="299">
        <v>42930</v>
      </c>
      <c r="F406" s="300">
        <v>42917</v>
      </c>
      <c r="G406" s="301" t="s">
        <v>5113</v>
      </c>
      <c r="H406" s="297" t="s">
        <v>5</v>
      </c>
      <c r="I406" s="297" t="s">
        <v>4871</v>
      </c>
      <c r="J406" s="299"/>
      <c r="K406" s="300"/>
      <c r="L406" s="301"/>
      <c r="M406" s="297"/>
      <c r="N406" s="297"/>
      <c r="O406" s="299"/>
      <c r="P406" s="302"/>
      <c r="Q406" s="301"/>
      <c r="R406" s="297"/>
      <c r="S406" s="297"/>
      <c r="T406" s="299"/>
      <c r="U406" s="300"/>
      <c r="V406" s="301"/>
      <c r="W406" s="297"/>
      <c r="X406" s="297"/>
      <c r="Y406" s="299"/>
      <c r="Z406" s="300"/>
      <c r="AA406" s="301"/>
      <c r="AB406" s="297"/>
      <c r="AC406" s="297"/>
      <c r="AD406" s="299"/>
      <c r="AE406" s="300"/>
      <c r="AF406" s="301"/>
      <c r="AG406" s="297"/>
      <c r="AH406" s="297"/>
      <c r="AI406" s="322"/>
      <c r="AJ406" s="300"/>
      <c r="AK406" s="301"/>
      <c r="AL406" s="297"/>
      <c r="AM406" s="297"/>
      <c r="AN406" s="297"/>
      <c r="AO406" s="473"/>
      <c r="AP406" s="297"/>
      <c r="AQ406" s="301" t="s">
        <v>7442</v>
      </c>
      <c r="AR406" s="297" t="s">
        <v>66</v>
      </c>
      <c r="AS406" s="299">
        <v>39052</v>
      </c>
      <c r="AT406" s="299">
        <v>40633</v>
      </c>
      <c r="AU406" s="297" t="s">
        <v>5114</v>
      </c>
      <c r="AV406" s="297"/>
      <c r="AW406" s="297" t="s">
        <v>69</v>
      </c>
      <c r="AX406" s="297" t="s">
        <v>5115</v>
      </c>
      <c r="AY406" s="299">
        <v>42290</v>
      </c>
      <c r="AZ406" s="297" t="s">
        <v>5116</v>
      </c>
      <c r="BA406" s="299">
        <v>42803</v>
      </c>
      <c r="BB406" s="382">
        <v>42825</v>
      </c>
      <c r="BC406" s="297" t="s">
        <v>95</v>
      </c>
      <c r="BD406" s="297" t="s">
        <v>566</v>
      </c>
      <c r="BE406" s="297"/>
      <c r="BF406" s="301"/>
      <c r="BG406" s="301" t="s">
        <v>5117</v>
      </c>
      <c r="BH406" s="301" t="s">
        <v>5118</v>
      </c>
      <c r="BI406" s="301"/>
      <c r="BJ406" s="312">
        <v>130526980</v>
      </c>
      <c r="BK406" s="312">
        <v>130526980</v>
      </c>
      <c r="BL406" s="313" t="s">
        <v>5119</v>
      </c>
      <c r="BM406" s="299">
        <v>43115</v>
      </c>
      <c r="BN406" s="300">
        <v>43101</v>
      </c>
      <c r="BO406" s="460" t="s">
        <v>5120</v>
      </c>
      <c r="BP406" s="390">
        <v>16843000</v>
      </c>
      <c r="BQ406" s="297" t="s">
        <v>7481</v>
      </c>
      <c r="BR406" s="303"/>
      <c r="BS406" s="301"/>
      <c r="BT406" s="301"/>
      <c r="BU406" s="301"/>
      <c r="BV406" s="301"/>
      <c r="BW406" s="316"/>
      <c r="BX406" s="304"/>
      <c r="BY406" s="299"/>
      <c r="BZ406" s="317"/>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c r="JW406" s="1"/>
      <c r="JX406" s="1"/>
      <c r="JY406" s="1"/>
      <c r="JZ406" s="1"/>
      <c r="KA406" s="1"/>
      <c r="KB406" s="1"/>
      <c r="KC406" s="1"/>
      <c r="KD406" s="1"/>
      <c r="KE406" s="1"/>
      <c r="KF406" s="1"/>
      <c r="KG406" s="1"/>
      <c r="KH406" s="1"/>
      <c r="KI406" s="1"/>
      <c r="KJ406" s="1"/>
      <c r="KK406" s="1"/>
      <c r="KL406" s="1"/>
      <c r="KM406" s="1"/>
      <c r="KN406" s="1"/>
      <c r="KO406" s="1"/>
      <c r="KP406" s="1"/>
      <c r="KQ406" s="1"/>
      <c r="KR406" s="1"/>
      <c r="KS406" s="1"/>
      <c r="KT406" s="1"/>
      <c r="KU406" s="1"/>
      <c r="KV406" s="1"/>
      <c r="KW406" s="1"/>
      <c r="KX406" s="1"/>
      <c r="KY406" s="1"/>
      <c r="KZ406" s="1"/>
      <c r="LA406" s="1"/>
      <c r="LB406" s="1"/>
      <c r="LC406" s="1"/>
      <c r="LD406" s="1"/>
      <c r="LE406" s="1"/>
      <c r="LF406" s="1"/>
      <c r="LG406" s="1"/>
      <c r="LH406" s="1"/>
      <c r="LI406" s="1"/>
      <c r="LJ406" s="1"/>
      <c r="LK406" s="1"/>
      <c r="LL406" s="1"/>
      <c r="LM406" s="1"/>
      <c r="LN406" s="1"/>
      <c r="LO406" s="1"/>
      <c r="LP406" s="1"/>
      <c r="LQ406" s="1"/>
      <c r="LR406" s="1"/>
      <c r="LS406" s="1"/>
      <c r="LT406" s="1"/>
      <c r="LU406" s="1"/>
      <c r="LV406" s="1"/>
      <c r="LW406" s="1"/>
      <c r="LX406" s="1"/>
      <c r="LY406" s="1"/>
      <c r="LZ406" s="1"/>
      <c r="MA406" s="1"/>
      <c r="MB406" s="1"/>
      <c r="MC406" s="1"/>
      <c r="MD406" s="1"/>
      <c r="ME406" s="1"/>
      <c r="MF406" s="1"/>
      <c r="MG406" s="1"/>
      <c r="MH406" s="1"/>
      <c r="MI406" s="1"/>
      <c r="MJ406" s="1"/>
      <c r="MK406" s="1"/>
      <c r="ML406" s="1"/>
      <c r="MM406" s="1"/>
      <c r="MN406" s="1"/>
      <c r="MO406" s="1"/>
      <c r="MP406" s="1"/>
      <c r="MQ406" s="1"/>
      <c r="MR406" s="1"/>
      <c r="MS406" s="1"/>
      <c r="MT406" s="1"/>
      <c r="MU406" s="1"/>
      <c r="MV406" s="1"/>
      <c r="MW406" s="1"/>
      <c r="MX406" s="1"/>
      <c r="MY406" s="1"/>
      <c r="MZ406" s="1"/>
      <c r="NA406" s="1"/>
      <c r="NB406" s="1"/>
      <c r="NC406" s="1"/>
      <c r="ND406" s="1"/>
      <c r="NE406" s="1"/>
      <c r="NF406" s="1"/>
      <c r="NG406" s="1"/>
      <c r="NH406" s="1"/>
      <c r="NI406" s="1"/>
      <c r="NJ406" s="1"/>
      <c r="NK406" s="1"/>
      <c r="NL406" s="1"/>
      <c r="NM406" s="1"/>
      <c r="NN406" s="1"/>
      <c r="NO406" s="1"/>
      <c r="NP406" s="1"/>
      <c r="NQ406" s="1"/>
      <c r="NR406" s="1"/>
      <c r="NS406" s="1"/>
      <c r="NT406" s="1"/>
      <c r="NU406" s="1"/>
      <c r="NV406" s="1"/>
      <c r="NW406" s="1"/>
      <c r="NX406" s="1"/>
      <c r="NY406" s="1"/>
      <c r="NZ406" s="1"/>
      <c r="OA406" s="1"/>
      <c r="OB406" s="1"/>
      <c r="OC406" s="1"/>
      <c r="OD406" s="1"/>
      <c r="OE406" s="1"/>
      <c r="OF406" s="1"/>
      <c r="OG406" s="1"/>
      <c r="OH406" s="1"/>
      <c r="OI406" s="1"/>
      <c r="OJ406" s="1"/>
      <c r="OK406" s="1"/>
      <c r="OL406" s="1"/>
      <c r="OM406" s="1"/>
      <c r="ON406" s="1"/>
      <c r="OO406" s="1"/>
      <c r="OP406" s="1"/>
      <c r="OQ406" s="1"/>
      <c r="OR406" s="1"/>
      <c r="OS406" s="1"/>
      <c r="OT406" s="1"/>
      <c r="OU406" s="1"/>
      <c r="OV406" s="1"/>
      <c r="OW406" s="1"/>
      <c r="OX406" s="1"/>
      <c r="OY406" s="1"/>
      <c r="OZ406" s="1"/>
      <c r="PA406" s="1"/>
      <c r="PB406" s="1"/>
      <c r="PC406" s="1"/>
      <c r="PD406" s="1"/>
      <c r="PE406" s="1"/>
      <c r="PF406" s="1"/>
      <c r="PG406" s="1"/>
      <c r="PH406" s="1"/>
      <c r="PI406" s="1"/>
      <c r="PJ406" s="1"/>
      <c r="PK406" s="1"/>
      <c r="PL406" s="1"/>
      <c r="PM406" s="1"/>
      <c r="PN406" s="1"/>
      <c r="PO406" s="1"/>
      <c r="PP406" s="1"/>
      <c r="PQ406" s="1"/>
      <c r="PR406" s="1"/>
      <c r="PS406" s="1"/>
      <c r="PT406" s="1"/>
      <c r="PU406" s="1"/>
      <c r="PV406" s="1"/>
      <c r="PW406" s="1"/>
      <c r="PX406" s="1"/>
      <c r="PY406" s="1"/>
      <c r="PZ406" s="1"/>
      <c r="QA406" s="1"/>
      <c r="QB406" s="1"/>
      <c r="QC406" s="1"/>
      <c r="QD406" s="1"/>
      <c r="QE406" s="1"/>
      <c r="QF406" s="1"/>
      <c r="QG406" s="1"/>
      <c r="QH406" s="1"/>
      <c r="QI406" s="1"/>
      <c r="QJ406" s="1"/>
      <c r="QK406" s="1"/>
      <c r="QL406" s="1"/>
      <c r="QM406" s="1"/>
      <c r="QN406" s="1"/>
      <c r="QO406" s="1"/>
      <c r="QP406" s="1"/>
      <c r="QQ406" s="1"/>
      <c r="QR406" s="1"/>
      <c r="QS406" s="1"/>
      <c r="QT406" s="1"/>
      <c r="QU406" s="1"/>
      <c r="QV406" s="1"/>
      <c r="QW406" s="1"/>
      <c r="QX406" s="1"/>
      <c r="QY406" s="1"/>
      <c r="QZ406" s="1"/>
      <c r="RA406" s="1"/>
      <c r="RB406" s="1"/>
      <c r="RC406" s="1"/>
      <c r="RD406" s="1"/>
      <c r="RE406" s="1"/>
      <c r="RF406" s="1"/>
      <c r="RG406" s="1"/>
      <c r="RH406" s="1"/>
      <c r="RI406" s="1"/>
      <c r="RJ406" s="1"/>
      <c r="RK406" s="1"/>
      <c r="RL406" s="1"/>
      <c r="RM406" s="1"/>
      <c r="RN406" s="1"/>
      <c r="RO406" s="1"/>
      <c r="RP406" s="1"/>
      <c r="RQ406" s="1"/>
      <c r="RR406" s="1"/>
      <c r="RS406" s="1"/>
      <c r="RT406" s="1"/>
      <c r="RU406" s="1"/>
      <c r="RV406" s="1"/>
      <c r="RW406" s="1"/>
      <c r="RX406" s="1"/>
      <c r="RY406" s="1"/>
      <c r="RZ406" s="1"/>
      <c r="SA406" s="1"/>
      <c r="SB406" s="1"/>
      <c r="SC406" s="1"/>
      <c r="SD406" s="1"/>
      <c r="SE406" s="1"/>
      <c r="SF406" s="1"/>
      <c r="SG406" s="1"/>
      <c r="SH406" s="1"/>
      <c r="SI406" s="1"/>
      <c r="SJ406" s="1"/>
      <c r="SK406" s="1"/>
      <c r="SL406" s="1"/>
      <c r="SM406" s="1"/>
      <c r="SN406" s="1"/>
      <c r="SO406" s="1"/>
      <c r="SP406" s="1"/>
      <c r="SQ406" s="1"/>
      <c r="SR406" s="1"/>
      <c r="SS406" s="1"/>
      <c r="ST406" s="1"/>
      <c r="SU406" s="1"/>
      <c r="SV406" s="1"/>
      <c r="SW406" s="1"/>
      <c r="SX406" s="1"/>
      <c r="SY406" s="1"/>
      <c r="SZ406" s="1"/>
      <c r="TA406" s="1"/>
      <c r="TB406" s="1"/>
      <c r="TC406" s="1"/>
      <c r="TD406" s="1"/>
      <c r="TE406" s="1"/>
      <c r="TF406" s="1"/>
      <c r="TG406" s="1"/>
      <c r="TH406" s="1"/>
      <c r="TI406" s="1"/>
      <c r="TJ406" s="1"/>
      <c r="TK406" s="1"/>
      <c r="TL406" s="1"/>
      <c r="TM406" s="1"/>
      <c r="TN406" s="1"/>
      <c r="TO406" s="1"/>
      <c r="TP406" s="1"/>
      <c r="TQ406" s="1"/>
      <c r="TR406" s="1"/>
      <c r="TS406" s="1"/>
      <c r="TT406" s="1"/>
      <c r="TU406" s="1"/>
      <c r="TV406" s="1"/>
      <c r="TW406" s="1"/>
      <c r="TX406" s="1"/>
      <c r="TY406" s="1"/>
      <c r="TZ406" s="1"/>
      <c r="UA406" s="1"/>
      <c r="UB406" s="1"/>
      <c r="UC406" s="1"/>
      <c r="UD406" s="1"/>
      <c r="UE406" s="1"/>
      <c r="UF406" s="1"/>
      <c r="UG406" s="1"/>
      <c r="UH406" s="1"/>
      <c r="UI406" s="1"/>
    </row>
    <row r="407" spans="1:555" ht="72.75" customHeight="1">
      <c r="A407" s="296">
        <v>577</v>
      </c>
      <c r="B407" s="297" t="s">
        <v>5121</v>
      </c>
      <c r="C407" s="298">
        <v>80097126</v>
      </c>
      <c r="D407" s="354"/>
      <c r="E407" s="299"/>
      <c r="F407" s="300"/>
      <c r="G407" s="301"/>
      <c r="H407" s="297"/>
      <c r="I407" s="297"/>
      <c r="J407" s="299"/>
      <c r="K407" s="300"/>
      <c r="L407" s="301"/>
      <c r="M407" s="297"/>
      <c r="N407" s="297"/>
      <c r="O407" s="299"/>
      <c r="P407" s="302"/>
      <c r="Q407" s="301"/>
      <c r="R407" s="297"/>
      <c r="S407" s="297"/>
      <c r="T407" s="299"/>
      <c r="U407" s="300"/>
      <c r="V407" s="301"/>
      <c r="W407" s="297"/>
      <c r="X407" s="297"/>
      <c r="Y407" s="299"/>
      <c r="Z407" s="300"/>
      <c r="AA407" s="301"/>
      <c r="AB407" s="297"/>
      <c r="AC407" s="297"/>
      <c r="AD407" s="299"/>
      <c r="AE407" s="300"/>
      <c r="AF407" s="301"/>
      <c r="AG407" s="297"/>
      <c r="AH407" s="297"/>
      <c r="AI407" s="322"/>
      <c r="AJ407" s="300"/>
      <c r="AK407" s="301"/>
      <c r="AL407" s="297"/>
      <c r="AM407" s="297"/>
      <c r="AN407" s="297"/>
      <c r="AO407" s="473"/>
      <c r="AP407" s="297"/>
      <c r="AQ407" s="301" t="s">
        <v>7645</v>
      </c>
      <c r="AR407" s="297" t="s">
        <v>66</v>
      </c>
      <c r="AS407" s="299" t="s">
        <v>67</v>
      </c>
      <c r="AT407" s="299" t="s">
        <v>67</v>
      </c>
      <c r="AU407" s="297" t="s">
        <v>3827</v>
      </c>
      <c r="AV407" s="297"/>
      <c r="AW407" s="297" t="s">
        <v>69</v>
      </c>
      <c r="AX407" s="297" t="s">
        <v>7646</v>
      </c>
      <c r="AY407" s="299">
        <v>42915</v>
      </c>
      <c r="AZ407" s="297" t="s">
        <v>67</v>
      </c>
      <c r="BA407" s="299" t="s">
        <v>67</v>
      </c>
      <c r="BB407" s="382" t="s">
        <v>5122</v>
      </c>
      <c r="BC407" s="297" t="s">
        <v>3829</v>
      </c>
      <c r="BD407" s="297" t="s">
        <v>6447</v>
      </c>
      <c r="BE407" s="297"/>
      <c r="BF407" s="301"/>
      <c r="BG407" s="301"/>
      <c r="BH407" s="301" t="s">
        <v>5123</v>
      </c>
      <c r="BI407" s="301" t="s">
        <v>5124</v>
      </c>
      <c r="BJ407" s="312">
        <v>2846992</v>
      </c>
      <c r="BK407" s="312">
        <v>2846992</v>
      </c>
      <c r="BL407" s="313">
        <v>223037317</v>
      </c>
      <c r="BM407" s="299">
        <v>42958</v>
      </c>
      <c r="BN407" s="300">
        <v>42948</v>
      </c>
      <c r="BO407" s="434" t="s">
        <v>5125</v>
      </c>
      <c r="BP407" s="397"/>
      <c r="BQ407" s="416"/>
      <c r="BR407" s="342"/>
      <c r="BS407" s="301"/>
      <c r="BT407" s="301"/>
      <c r="BU407" s="301"/>
      <c r="BV407" s="301"/>
      <c r="BW407" s="316"/>
      <c r="BX407" s="304"/>
      <c r="BY407" s="299"/>
      <c r="BZ407" s="317"/>
    </row>
    <row r="408" spans="1:555" ht="63" customHeight="1">
      <c r="A408" s="296">
        <v>578</v>
      </c>
      <c r="B408" s="297" t="s">
        <v>5126</v>
      </c>
      <c r="C408" s="298">
        <v>16285361</v>
      </c>
      <c r="D408" s="354"/>
      <c r="E408" s="299"/>
      <c r="F408" s="300"/>
      <c r="G408" s="301"/>
      <c r="H408" s="297"/>
      <c r="I408" s="297"/>
      <c r="J408" s="299"/>
      <c r="K408" s="300"/>
      <c r="L408" s="301"/>
      <c r="M408" s="297"/>
      <c r="N408" s="297"/>
      <c r="O408" s="299"/>
      <c r="P408" s="302"/>
      <c r="Q408" s="301"/>
      <c r="R408" s="297"/>
      <c r="S408" s="297"/>
      <c r="T408" s="299"/>
      <c r="U408" s="300"/>
      <c r="V408" s="301"/>
      <c r="W408" s="297"/>
      <c r="X408" s="297"/>
      <c r="Y408" s="299"/>
      <c r="Z408" s="300"/>
      <c r="AA408" s="301"/>
      <c r="AB408" s="297"/>
      <c r="AC408" s="297"/>
      <c r="AD408" s="299"/>
      <c r="AE408" s="300"/>
      <c r="AF408" s="301"/>
      <c r="AG408" s="297"/>
      <c r="AH408" s="297"/>
      <c r="AI408" s="322"/>
      <c r="AJ408" s="300"/>
      <c r="AK408" s="301"/>
      <c r="AL408" s="297"/>
      <c r="AM408" s="297"/>
      <c r="AN408" s="297"/>
      <c r="AO408" s="473"/>
      <c r="AP408" s="297"/>
      <c r="AQ408" s="301" t="s">
        <v>7731</v>
      </c>
      <c r="AR408" s="297" t="s">
        <v>66</v>
      </c>
      <c r="AS408" s="299" t="s">
        <v>67</v>
      </c>
      <c r="AT408" s="299" t="s">
        <v>67</v>
      </c>
      <c r="AU408" s="297" t="s">
        <v>3827</v>
      </c>
      <c r="AV408" s="297"/>
      <c r="AW408" s="297" t="s">
        <v>69</v>
      </c>
      <c r="AX408" s="297" t="s">
        <v>7732</v>
      </c>
      <c r="AY408" s="299">
        <v>42900</v>
      </c>
      <c r="AZ408" s="297" t="s">
        <v>67</v>
      </c>
      <c r="BA408" s="299" t="s">
        <v>67</v>
      </c>
      <c r="BB408" s="382" t="s">
        <v>5127</v>
      </c>
      <c r="BC408" s="297" t="s">
        <v>3829</v>
      </c>
      <c r="BD408" s="297" t="s">
        <v>6447</v>
      </c>
      <c r="BE408" s="297"/>
      <c r="BF408" s="301"/>
      <c r="BG408" s="301"/>
      <c r="BH408" s="301" t="s">
        <v>5128</v>
      </c>
      <c r="BI408" s="301" t="s">
        <v>5124</v>
      </c>
      <c r="BJ408" s="312">
        <v>1353525</v>
      </c>
      <c r="BK408" s="312">
        <v>1353525</v>
      </c>
      <c r="BL408" s="313">
        <v>223049217</v>
      </c>
      <c r="BM408" s="299">
        <v>42958</v>
      </c>
      <c r="BN408" s="300">
        <v>42948</v>
      </c>
      <c r="BO408" s="434" t="s">
        <v>5129</v>
      </c>
      <c r="BP408" s="397"/>
      <c r="BQ408" s="398"/>
      <c r="BR408" s="320"/>
      <c r="BS408" s="301"/>
      <c r="BT408" s="301"/>
      <c r="BU408" s="301"/>
      <c r="BV408" s="301"/>
      <c r="BW408" s="316"/>
      <c r="BX408" s="304"/>
      <c r="BY408" s="299"/>
      <c r="BZ408" s="317"/>
    </row>
    <row r="409" spans="1:555" ht="96.75" customHeight="1">
      <c r="A409" s="296">
        <v>579</v>
      </c>
      <c r="B409" s="297" t="s">
        <v>5130</v>
      </c>
      <c r="C409" s="298">
        <v>80450156</v>
      </c>
      <c r="D409" s="354"/>
      <c r="E409" s="299"/>
      <c r="F409" s="300"/>
      <c r="G409" s="301"/>
      <c r="H409" s="297"/>
      <c r="I409" s="297"/>
      <c r="J409" s="299"/>
      <c r="K409" s="300"/>
      <c r="L409" s="301"/>
      <c r="M409" s="297"/>
      <c r="N409" s="297"/>
      <c r="O409" s="299"/>
      <c r="P409" s="302"/>
      <c r="Q409" s="301"/>
      <c r="R409" s="297"/>
      <c r="S409" s="297"/>
      <c r="T409" s="299"/>
      <c r="U409" s="300"/>
      <c r="V409" s="301"/>
      <c r="W409" s="297"/>
      <c r="X409" s="297"/>
      <c r="Y409" s="299"/>
      <c r="Z409" s="300"/>
      <c r="AA409" s="301"/>
      <c r="AB409" s="297"/>
      <c r="AC409" s="297"/>
      <c r="AD409" s="299"/>
      <c r="AE409" s="300"/>
      <c r="AF409" s="301"/>
      <c r="AG409" s="297"/>
      <c r="AH409" s="297"/>
      <c r="AI409" s="322"/>
      <c r="AJ409" s="300"/>
      <c r="AK409" s="301"/>
      <c r="AL409" s="297"/>
      <c r="AM409" s="297"/>
      <c r="AN409" s="297"/>
      <c r="AO409" s="473"/>
      <c r="AP409" s="297"/>
      <c r="AQ409" s="301" t="s">
        <v>7698</v>
      </c>
      <c r="AR409" s="297" t="s">
        <v>66</v>
      </c>
      <c r="AS409" s="299" t="s">
        <v>67</v>
      </c>
      <c r="AT409" s="299" t="s">
        <v>67</v>
      </c>
      <c r="AU409" s="297" t="s">
        <v>3827</v>
      </c>
      <c r="AV409" s="297"/>
      <c r="AW409" s="297" t="s">
        <v>69</v>
      </c>
      <c r="AX409" s="297" t="s">
        <v>5131</v>
      </c>
      <c r="AY409" s="299">
        <v>42921</v>
      </c>
      <c r="AZ409" s="297" t="s">
        <v>67</v>
      </c>
      <c r="BA409" s="299" t="s">
        <v>67</v>
      </c>
      <c r="BB409" s="382" t="s">
        <v>5132</v>
      </c>
      <c r="BC409" s="297" t="s">
        <v>3829</v>
      </c>
      <c r="BD409" s="297" t="s">
        <v>6447</v>
      </c>
      <c r="BE409" s="297"/>
      <c r="BF409" s="301"/>
      <c r="BG409" s="301"/>
      <c r="BH409" s="301" t="s">
        <v>5133</v>
      </c>
      <c r="BI409" s="301" t="s">
        <v>5124</v>
      </c>
      <c r="BJ409" s="312">
        <v>542285</v>
      </c>
      <c r="BK409" s="312">
        <v>542285</v>
      </c>
      <c r="BL409" s="313">
        <v>223101117</v>
      </c>
      <c r="BM409" s="299">
        <v>42958</v>
      </c>
      <c r="BN409" s="300">
        <v>42948</v>
      </c>
      <c r="BO409" s="434" t="s">
        <v>5134</v>
      </c>
      <c r="BP409" s="397"/>
      <c r="BQ409" s="398"/>
      <c r="BR409" s="320"/>
      <c r="BS409" s="301"/>
      <c r="BT409" s="301"/>
      <c r="BU409" s="301"/>
      <c r="BV409" s="301"/>
      <c r="BW409" s="316"/>
      <c r="BX409" s="304"/>
      <c r="BY409" s="299"/>
      <c r="BZ409" s="317"/>
    </row>
    <row r="410" spans="1:555" ht="79.5" customHeight="1">
      <c r="A410" s="296">
        <v>580</v>
      </c>
      <c r="B410" s="297" t="s">
        <v>5135</v>
      </c>
      <c r="C410" s="298">
        <v>17338134</v>
      </c>
      <c r="D410" s="354"/>
      <c r="E410" s="299"/>
      <c r="F410" s="300"/>
      <c r="G410" s="301"/>
      <c r="H410" s="297"/>
      <c r="I410" s="297"/>
      <c r="J410" s="299"/>
      <c r="K410" s="300"/>
      <c r="L410" s="301"/>
      <c r="M410" s="297"/>
      <c r="N410" s="297"/>
      <c r="O410" s="299"/>
      <c r="P410" s="302"/>
      <c r="Q410" s="301"/>
      <c r="R410" s="297"/>
      <c r="S410" s="297"/>
      <c r="T410" s="299"/>
      <c r="U410" s="300"/>
      <c r="V410" s="301"/>
      <c r="W410" s="297"/>
      <c r="X410" s="297"/>
      <c r="Y410" s="299"/>
      <c r="Z410" s="300"/>
      <c r="AA410" s="301"/>
      <c r="AB410" s="297"/>
      <c r="AC410" s="297"/>
      <c r="AD410" s="299"/>
      <c r="AE410" s="300"/>
      <c r="AF410" s="301"/>
      <c r="AG410" s="297"/>
      <c r="AH410" s="297"/>
      <c r="AI410" s="322"/>
      <c r="AJ410" s="300"/>
      <c r="AK410" s="301"/>
      <c r="AL410" s="297"/>
      <c r="AM410" s="297"/>
      <c r="AN410" s="297"/>
      <c r="AO410" s="473"/>
      <c r="AP410" s="297"/>
      <c r="AQ410" s="301" t="s">
        <v>7740</v>
      </c>
      <c r="AR410" s="297" t="s">
        <v>66</v>
      </c>
      <c r="AS410" s="299" t="s">
        <v>67</v>
      </c>
      <c r="AT410" s="299" t="s">
        <v>67</v>
      </c>
      <c r="AU410" s="297" t="s">
        <v>3827</v>
      </c>
      <c r="AV410" s="297"/>
      <c r="AW410" s="297" t="s">
        <v>69</v>
      </c>
      <c r="AX410" s="297" t="s">
        <v>7741</v>
      </c>
      <c r="AY410" s="299">
        <v>42915</v>
      </c>
      <c r="AZ410" s="297" t="s">
        <v>67</v>
      </c>
      <c r="BA410" s="299" t="s">
        <v>67</v>
      </c>
      <c r="BB410" s="382" t="s">
        <v>5136</v>
      </c>
      <c r="BC410" s="297" t="s">
        <v>3829</v>
      </c>
      <c r="BD410" s="297" t="s">
        <v>6447</v>
      </c>
      <c r="BE410" s="297"/>
      <c r="BF410" s="301"/>
      <c r="BG410" s="301"/>
      <c r="BH410" s="301" t="s">
        <v>5137</v>
      </c>
      <c r="BI410" s="301" t="s">
        <v>5124</v>
      </c>
      <c r="BJ410" s="312">
        <v>315503</v>
      </c>
      <c r="BK410" s="312">
        <v>315503</v>
      </c>
      <c r="BL410" s="313">
        <v>223181217</v>
      </c>
      <c r="BM410" s="299">
        <v>42958</v>
      </c>
      <c r="BN410" s="300">
        <v>42948</v>
      </c>
      <c r="BO410" s="434" t="s">
        <v>5138</v>
      </c>
      <c r="BP410" s="397"/>
      <c r="BQ410" s="453"/>
      <c r="BR410" s="454"/>
      <c r="BS410" s="301"/>
      <c r="BT410" s="301"/>
      <c r="BU410" s="301"/>
      <c r="BV410" s="301"/>
      <c r="BW410" s="316"/>
      <c r="BX410" s="304"/>
      <c r="BY410" s="299"/>
      <c r="BZ410" s="317"/>
    </row>
    <row r="411" spans="1:555" ht="87.75" customHeight="1">
      <c r="A411" s="296">
        <v>581</v>
      </c>
      <c r="B411" s="297" t="s">
        <v>5139</v>
      </c>
      <c r="C411" s="298">
        <v>12997831</v>
      </c>
      <c r="D411" s="354"/>
      <c r="E411" s="299"/>
      <c r="F411" s="300"/>
      <c r="G411" s="301"/>
      <c r="H411" s="297"/>
      <c r="I411" s="297"/>
      <c r="J411" s="299"/>
      <c r="K411" s="300"/>
      <c r="L411" s="301"/>
      <c r="M411" s="297"/>
      <c r="N411" s="297"/>
      <c r="O411" s="299"/>
      <c r="P411" s="302"/>
      <c r="Q411" s="301"/>
      <c r="R411" s="297"/>
      <c r="S411" s="297"/>
      <c r="T411" s="299"/>
      <c r="U411" s="300"/>
      <c r="V411" s="301"/>
      <c r="W411" s="297"/>
      <c r="X411" s="297"/>
      <c r="Y411" s="299"/>
      <c r="Z411" s="300"/>
      <c r="AA411" s="301"/>
      <c r="AB411" s="297"/>
      <c r="AC411" s="297"/>
      <c r="AD411" s="299"/>
      <c r="AE411" s="300"/>
      <c r="AF411" s="301"/>
      <c r="AG411" s="297"/>
      <c r="AH411" s="297"/>
      <c r="AI411" s="322"/>
      <c r="AJ411" s="300"/>
      <c r="AK411" s="301"/>
      <c r="AL411" s="297"/>
      <c r="AM411" s="297"/>
      <c r="AN411" s="297"/>
      <c r="AO411" s="473"/>
      <c r="AP411" s="297"/>
      <c r="AQ411" s="301" t="s">
        <v>7721</v>
      </c>
      <c r="AR411" s="297" t="s">
        <v>66</v>
      </c>
      <c r="AS411" s="299" t="s">
        <v>67</v>
      </c>
      <c r="AT411" s="299" t="s">
        <v>67</v>
      </c>
      <c r="AU411" s="297" t="s">
        <v>3827</v>
      </c>
      <c r="AV411" s="297"/>
      <c r="AW411" s="297" t="s">
        <v>69</v>
      </c>
      <c r="AX411" s="297" t="s">
        <v>5140</v>
      </c>
      <c r="AY411" s="299">
        <v>42901</v>
      </c>
      <c r="AZ411" s="297" t="s">
        <v>67</v>
      </c>
      <c r="BA411" s="299" t="s">
        <v>67</v>
      </c>
      <c r="BB411" s="382" t="s">
        <v>5141</v>
      </c>
      <c r="BC411" s="297" t="s">
        <v>3829</v>
      </c>
      <c r="BD411" s="297" t="s">
        <v>6447</v>
      </c>
      <c r="BE411" s="297"/>
      <c r="BF411" s="301"/>
      <c r="BG411" s="301"/>
      <c r="BH411" s="301" t="s">
        <v>5142</v>
      </c>
      <c r="BI411" s="301" t="s">
        <v>5124</v>
      </c>
      <c r="BJ411" s="312">
        <v>236627</v>
      </c>
      <c r="BK411" s="312">
        <v>236627</v>
      </c>
      <c r="BL411" s="313">
        <v>223216817</v>
      </c>
      <c r="BM411" s="299">
        <v>42958</v>
      </c>
      <c r="BN411" s="300">
        <v>42948</v>
      </c>
      <c r="BO411" s="434" t="s">
        <v>5143</v>
      </c>
      <c r="BP411" s="397"/>
      <c r="BQ411" s="398"/>
      <c r="BR411" s="320"/>
      <c r="BS411" s="301"/>
      <c r="BT411" s="301"/>
      <c r="BU411" s="301"/>
      <c r="BV411" s="301"/>
      <c r="BW411" s="316"/>
      <c r="BX411" s="304"/>
      <c r="BY411" s="299"/>
      <c r="BZ411" s="317"/>
    </row>
    <row r="412" spans="1:555" ht="81">
      <c r="A412" s="296">
        <v>582</v>
      </c>
      <c r="B412" s="297" t="s">
        <v>5144</v>
      </c>
      <c r="C412" s="298">
        <v>3798286</v>
      </c>
      <c r="D412" s="354"/>
      <c r="E412" s="299"/>
      <c r="F412" s="300"/>
      <c r="G412" s="301"/>
      <c r="H412" s="297"/>
      <c r="I412" s="297"/>
      <c r="J412" s="299"/>
      <c r="K412" s="300"/>
      <c r="L412" s="301"/>
      <c r="M412" s="297"/>
      <c r="N412" s="297"/>
      <c r="O412" s="299"/>
      <c r="P412" s="302"/>
      <c r="Q412" s="301"/>
      <c r="R412" s="297"/>
      <c r="S412" s="297"/>
      <c r="T412" s="299"/>
      <c r="U412" s="300"/>
      <c r="V412" s="301"/>
      <c r="W412" s="297"/>
      <c r="X412" s="297"/>
      <c r="Y412" s="299"/>
      <c r="Z412" s="300"/>
      <c r="AA412" s="301"/>
      <c r="AB412" s="297"/>
      <c r="AC412" s="297"/>
      <c r="AD412" s="299"/>
      <c r="AE412" s="300"/>
      <c r="AF412" s="301"/>
      <c r="AG412" s="297"/>
      <c r="AH412" s="297"/>
      <c r="AI412" s="322"/>
      <c r="AJ412" s="300"/>
      <c r="AK412" s="301"/>
      <c r="AL412" s="297"/>
      <c r="AM412" s="297"/>
      <c r="AN412" s="297"/>
      <c r="AO412" s="473"/>
      <c r="AP412" s="297"/>
      <c r="AQ412" s="301" t="s">
        <v>7749</v>
      </c>
      <c r="AR412" s="297" t="s">
        <v>66</v>
      </c>
      <c r="AS412" s="299" t="s">
        <v>67</v>
      </c>
      <c r="AT412" s="299" t="s">
        <v>67</v>
      </c>
      <c r="AU412" s="297" t="s">
        <v>3827</v>
      </c>
      <c r="AV412" s="297"/>
      <c r="AW412" s="297" t="s">
        <v>69</v>
      </c>
      <c r="AX412" s="297" t="s">
        <v>5145</v>
      </c>
      <c r="AY412" s="299">
        <v>42915</v>
      </c>
      <c r="AZ412" s="297" t="s">
        <v>67</v>
      </c>
      <c r="BA412" s="299" t="s">
        <v>67</v>
      </c>
      <c r="BB412" s="382" t="s">
        <v>5146</v>
      </c>
      <c r="BC412" s="297" t="s">
        <v>3829</v>
      </c>
      <c r="BD412" s="297" t="s">
        <v>6447</v>
      </c>
      <c r="BE412" s="297"/>
      <c r="BF412" s="301"/>
      <c r="BG412" s="301"/>
      <c r="BH412" s="301" t="s">
        <v>5147</v>
      </c>
      <c r="BI412" s="301" t="s">
        <v>5124</v>
      </c>
      <c r="BJ412" s="312">
        <v>982598</v>
      </c>
      <c r="BK412" s="312">
        <v>982598</v>
      </c>
      <c r="BL412" s="313">
        <v>223230317</v>
      </c>
      <c r="BM412" s="299">
        <v>42958</v>
      </c>
      <c r="BN412" s="300">
        <v>42948</v>
      </c>
      <c r="BO412" s="434" t="s">
        <v>5148</v>
      </c>
      <c r="BP412" s="397"/>
      <c r="BQ412" s="453"/>
      <c r="BR412" s="454"/>
      <c r="BS412" s="301"/>
      <c r="BT412" s="301"/>
      <c r="BU412" s="301"/>
      <c r="BV412" s="301"/>
      <c r="BW412" s="316"/>
      <c r="BX412" s="304"/>
      <c r="BY412" s="299"/>
      <c r="BZ412" s="317"/>
    </row>
    <row r="413" spans="1:555" ht="134.25" customHeight="1">
      <c r="A413" s="296">
        <v>583</v>
      </c>
      <c r="B413" s="297" t="s">
        <v>5149</v>
      </c>
      <c r="C413" s="298">
        <v>19316637</v>
      </c>
      <c r="D413" s="354"/>
      <c r="E413" s="299"/>
      <c r="F413" s="300"/>
      <c r="G413" s="301"/>
      <c r="H413" s="297"/>
      <c r="I413" s="297"/>
      <c r="J413" s="299"/>
      <c r="K413" s="300"/>
      <c r="L413" s="301"/>
      <c r="M413" s="297"/>
      <c r="N413" s="297"/>
      <c r="O413" s="299"/>
      <c r="P413" s="302"/>
      <c r="Q413" s="301"/>
      <c r="R413" s="297"/>
      <c r="S413" s="297"/>
      <c r="T413" s="299"/>
      <c r="U413" s="300"/>
      <c r="V413" s="301"/>
      <c r="W413" s="297"/>
      <c r="X413" s="297"/>
      <c r="Y413" s="299"/>
      <c r="Z413" s="300"/>
      <c r="AA413" s="301"/>
      <c r="AB413" s="297"/>
      <c r="AC413" s="297"/>
      <c r="AD413" s="299"/>
      <c r="AE413" s="300"/>
      <c r="AF413" s="301"/>
      <c r="AG413" s="297"/>
      <c r="AH413" s="297"/>
      <c r="AI413" s="322"/>
      <c r="AJ413" s="300"/>
      <c r="AK413" s="301"/>
      <c r="AL413" s="297"/>
      <c r="AM413" s="297"/>
      <c r="AN413" s="297"/>
      <c r="AO413" s="473"/>
      <c r="AP413" s="297"/>
      <c r="AQ413" s="301" t="s">
        <v>7676</v>
      </c>
      <c r="AR413" s="297" t="s">
        <v>66</v>
      </c>
      <c r="AS413" s="299" t="s">
        <v>67</v>
      </c>
      <c r="AT413" s="299" t="s">
        <v>67</v>
      </c>
      <c r="AU413" s="297" t="s">
        <v>3827</v>
      </c>
      <c r="AV413" s="297"/>
      <c r="AW413" s="297" t="s">
        <v>69</v>
      </c>
      <c r="AX413" s="297" t="s">
        <v>7677</v>
      </c>
      <c r="AY413" s="299">
        <v>42916</v>
      </c>
      <c r="AZ413" s="297" t="s">
        <v>67</v>
      </c>
      <c r="BA413" s="299" t="s">
        <v>67</v>
      </c>
      <c r="BB413" s="382" t="s">
        <v>5150</v>
      </c>
      <c r="BC413" s="297" t="s">
        <v>3829</v>
      </c>
      <c r="BD413" s="297" t="s">
        <v>6447</v>
      </c>
      <c r="BE413" s="297"/>
      <c r="BF413" s="301"/>
      <c r="BG413" s="301"/>
      <c r="BH413" s="301" t="s">
        <v>5151</v>
      </c>
      <c r="BI413" s="301" t="s">
        <v>4949</v>
      </c>
      <c r="BJ413" s="312">
        <v>2643635</v>
      </c>
      <c r="BK413" s="312">
        <v>2643635</v>
      </c>
      <c r="BL413" s="313">
        <v>238283117</v>
      </c>
      <c r="BM413" s="299">
        <v>42975</v>
      </c>
      <c r="BN413" s="300">
        <v>42948</v>
      </c>
      <c r="BO413" s="434" t="s">
        <v>5152</v>
      </c>
      <c r="BP413" s="397"/>
      <c r="BQ413" s="398"/>
      <c r="BR413" s="320"/>
      <c r="BS413" s="301"/>
      <c r="BT413" s="301"/>
      <c r="BU413" s="301"/>
      <c r="BV413" s="301"/>
      <c r="BW413" s="316"/>
      <c r="BX413" s="304"/>
      <c r="BY413" s="299"/>
      <c r="BZ413" s="317"/>
    </row>
    <row r="414" spans="1:555" ht="54">
      <c r="A414" s="296">
        <v>584</v>
      </c>
      <c r="B414" s="297" t="s">
        <v>5153</v>
      </c>
      <c r="C414" s="298">
        <v>13617580</v>
      </c>
      <c r="D414" s="354"/>
      <c r="E414" s="299"/>
      <c r="F414" s="300"/>
      <c r="G414" s="301"/>
      <c r="H414" s="297"/>
      <c r="I414" s="297"/>
      <c r="J414" s="299"/>
      <c r="K414" s="300"/>
      <c r="L414" s="301"/>
      <c r="M414" s="297"/>
      <c r="N414" s="297"/>
      <c r="O414" s="299"/>
      <c r="P414" s="302"/>
      <c r="Q414" s="301"/>
      <c r="R414" s="297"/>
      <c r="S414" s="297"/>
      <c r="T414" s="299"/>
      <c r="U414" s="300"/>
      <c r="V414" s="301"/>
      <c r="W414" s="297"/>
      <c r="X414" s="297"/>
      <c r="Y414" s="299"/>
      <c r="Z414" s="300"/>
      <c r="AA414" s="301"/>
      <c r="AB414" s="297"/>
      <c r="AC414" s="297"/>
      <c r="AD414" s="299"/>
      <c r="AE414" s="300"/>
      <c r="AF414" s="301"/>
      <c r="AG414" s="297"/>
      <c r="AH414" s="297"/>
      <c r="AI414" s="322"/>
      <c r="AJ414" s="300"/>
      <c r="AK414" s="301"/>
      <c r="AL414" s="297"/>
      <c r="AM414" s="297"/>
      <c r="AN414" s="297"/>
      <c r="AO414" s="473"/>
      <c r="AP414" s="297"/>
      <c r="AQ414" s="301" t="s">
        <v>7829</v>
      </c>
      <c r="AR414" s="297" t="s">
        <v>66</v>
      </c>
      <c r="AS414" s="299" t="s">
        <v>67</v>
      </c>
      <c r="AT414" s="299" t="s">
        <v>67</v>
      </c>
      <c r="AU414" s="297" t="s">
        <v>3827</v>
      </c>
      <c r="AV414" s="297"/>
      <c r="AW414" s="297" t="s">
        <v>69</v>
      </c>
      <c r="AX414" s="297" t="s">
        <v>5154</v>
      </c>
      <c r="AY414" s="299">
        <v>42916</v>
      </c>
      <c r="AZ414" s="297" t="s">
        <v>67</v>
      </c>
      <c r="BA414" s="299" t="s">
        <v>67</v>
      </c>
      <c r="BB414" s="382">
        <v>42923</v>
      </c>
      <c r="BC414" s="297" t="s">
        <v>3829</v>
      </c>
      <c r="BD414" s="297" t="s">
        <v>6447</v>
      </c>
      <c r="BE414" s="297"/>
      <c r="BF414" s="301"/>
      <c r="BG414" s="301"/>
      <c r="BH414" s="301" t="s">
        <v>5155</v>
      </c>
      <c r="BI414" s="301" t="s">
        <v>4949</v>
      </c>
      <c r="BJ414" s="312">
        <v>3118134</v>
      </c>
      <c r="BK414" s="312">
        <v>3118134</v>
      </c>
      <c r="BL414" s="313">
        <v>224368117</v>
      </c>
      <c r="BM414" s="299">
        <v>42961</v>
      </c>
      <c r="BN414" s="300">
        <v>42948</v>
      </c>
      <c r="BO414" s="434" t="s">
        <v>7830</v>
      </c>
      <c r="BP414" s="397"/>
      <c r="BQ414" s="398"/>
      <c r="BR414" s="320"/>
      <c r="BS414" s="301"/>
      <c r="BT414" s="301"/>
      <c r="BU414" s="301"/>
      <c r="BV414" s="301"/>
      <c r="BW414" s="316"/>
      <c r="BX414" s="304"/>
      <c r="BY414" s="299"/>
      <c r="BZ414" s="317"/>
    </row>
    <row r="415" spans="1:555" ht="54">
      <c r="A415" s="296">
        <v>585</v>
      </c>
      <c r="B415" s="297" t="s">
        <v>5156</v>
      </c>
      <c r="C415" s="298">
        <v>80047035</v>
      </c>
      <c r="D415" s="354"/>
      <c r="E415" s="299"/>
      <c r="F415" s="300"/>
      <c r="G415" s="301"/>
      <c r="H415" s="297"/>
      <c r="I415" s="297"/>
      <c r="J415" s="299"/>
      <c r="K415" s="300"/>
      <c r="L415" s="301"/>
      <c r="M415" s="297"/>
      <c r="N415" s="297"/>
      <c r="O415" s="299"/>
      <c r="P415" s="302"/>
      <c r="Q415" s="301"/>
      <c r="R415" s="297"/>
      <c r="S415" s="297"/>
      <c r="T415" s="299"/>
      <c r="U415" s="300"/>
      <c r="V415" s="301"/>
      <c r="W415" s="297"/>
      <c r="X415" s="297"/>
      <c r="Y415" s="299"/>
      <c r="Z415" s="300"/>
      <c r="AA415" s="301"/>
      <c r="AB415" s="297"/>
      <c r="AC415" s="297"/>
      <c r="AD415" s="299"/>
      <c r="AE415" s="300"/>
      <c r="AF415" s="301"/>
      <c r="AG415" s="297"/>
      <c r="AH415" s="297"/>
      <c r="AI415" s="322"/>
      <c r="AJ415" s="300"/>
      <c r="AK415" s="301"/>
      <c r="AL415" s="297"/>
      <c r="AM415" s="297"/>
      <c r="AN415" s="297"/>
      <c r="AO415" s="473"/>
      <c r="AP415" s="297"/>
      <c r="AQ415" s="301" t="s">
        <v>7751</v>
      </c>
      <c r="AR415" s="297" t="s">
        <v>66</v>
      </c>
      <c r="AS415" s="299" t="s">
        <v>67</v>
      </c>
      <c r="AT415" s="299" t="s">
        <v>67</v>
      </c>
      <c r="AU415" s="297" t="s">
        <v>3827</v>
      </c>
      <c r="AV415" s="297"/>
      <c r="AW415" s="297" t="s">
        <v>69</v>
      </c>
      <c r="AX415" s="297" t="s">
        <v>5359</v>
      </c>
      <c r="AY415" s="299">
        <v>42930</v>
      </c>
      <c r="AZ415" s="297" t="s">
        <v>67</v>
      </c>
      <c r="BA415" s="299" t="s">
        <v>67</v>
      </c>
      <c r="BB415" s="382">
        <v>42930</v>
      </c>
      <c r="BC415" s="297" t="s">
        <v>3829</v>
      </c>
      <c r="BD415" s="297" t="s">
        <v>6447</v>
      </c>
      <c r="BE415" s="297"/>
      <c r="BF415" s="301"/>
      <c r="BG415" s="301"/>
      <c r="BH415" s="301" t="s">
        <v>5157</v>
      </c>
      <c r="BI415" s="301" t="s">
        <v>4949</v>
      </c>
      <c r="BJ415" s="312">
        <v>3310119</v>
      </c>
      <c r="BK415" s="312">
        <v>3310119</v>
      </c>
      <c r="BL415" s="313">
        <v>224382117</v>
      </c>
      <c r="BM415" s="299">
        <v>42961</v>
      </c>
      <c r="BN415" s="300">
        <v>42948</v>
      </c>
      <c r="BO415" s="434" t="s">
        <v>5158</v>
      </c>
      <c r="BP415" s="397"/>
      <c r="BQ415" s="453"/>
      <c r="BR415" s="454"/>
      <c r="BS415" s="301"/>
      <c r="BT415" s="301"/>
      <c r="BU415" s="301"/>
      <c r="BV415" s="301"/>
      <c r="BW415" s="316"/>
      <c r="BX415" s="304"/>
      <c r="BY415" s="299"/>
      <c r="BZ415" s="317"/>
    </row>
    <row r="416" spans="1:555" ht="67.5">
      <c r="A416" s="296">
        <v>586</v>
      </c>
      <c r="B416" s="297" t="s">
        <v>5159</v>
      </c>
      <c r="C416" s="298">
        <v>79756705</v>
      </c>
      <c r="D416" s="354"/>
      <c r="E416" s="299"/>
      <c r="F416" s="300"/>
      <c r="G416" s="301"/>
      <c r="H416" s="297"/>
      <c r="I416" s="297"/>
      <c r="J416" s="299"/>
      <c r="K416" s="300"/>
      <c r="L416" s="301"/>
      <c r="M416" s="297"/>
      <c r="N416" s="297"/>
      <c r="O416" s="299"/>
      <c r="P416" s="302"/>
      <c r="Q416" s="301"/>
      <c r="R416" s="297"/>
      <c r="S416" s="297"/>
      <c r="T416" s="299"/>
      <c r="U416" s="300"/>
      <c r="V416" s="301"/>
      <c r="W416" s="297"/>
      <c r="X416" s="297"/>
      <c r="Y416" s="299"/>
      <c r="Z416" s="300"/>
      <c r="AA416" s="301"/>
      <c r="AB416" s="297"/>
      <c r="AC416" s="297"/>
      <c r="AD416" s="299"/>
      <c r="AE416" s="300"/>
      <c r="AF416" s="301"/>
      <c r="AG416" s="297"/>
      <c r="AH416" s="297"/>
      <c r="AI416" s="322"/>
      <c r="AJ416" s="300"/>
      <c r="AK416" s="301"/>
      <c r="AL416" s="297"/>
      <c r="AM416" s="297"/>
      <c r="AN416" s="297"/>
      <c r="AO416" s="473"/>
      <c r="AP416" s="297"/>
      <c r="AQ416" s="301" t="s">
        <v>7725</v>
      </c>
      <c r="AR416" s="297" t="s">
        <v>66</v>
      </c>
      <c r="AS416" s="299" t="s">
        <v>67</v>
      </c>
      <c r="AT416" s="299" t="s">
        <v>67</v>
      </c>
      <c r="AU416" s="297" t="s">
        <v>3827</v>
      </c>
      <c r="AV416" s="297"/>
      <c r="AW416" s="297" t="s">
        <v>69</v>
      </c>
      <c r="AX416" s="297" t="s">
        <v>7677</v>
      </c>
      <c r="AY416" s="299">
        <v>42916</v>
      </c>
      <c r="AZ416" s="297" t="s">
        <v>67</v>
      </c>
      <c r="BA416" s="299" t="s">
        <v>67</v>
      </c>
      <c r="BB416" s="382" t="s">
        <v>5150</v>
      </c>
      <c r="BC416" s="297" t="s">
        <v>3829</v>
      </c>
      <c r="BD416" s="297" t="s">
        <v>6447</v>
      </c>
      <c r="BE416" s="297"/>
      <c r="BF416" s="301"/>
      <c r="BG416" s="301"/>
      <c r="BH416" s="301" t="s">
        <v>5160</v>
      </c>
      <c r="BI416" s="301" t="s">
        <v>4949</v>
      </c>
      <c r="BJ416" s="312">
        <v>2948906</v>
      </c>
      <c r="BK416" s="312">
        <v>2948906</v>
      </c>
      <c r="BL416" s="313">
        <v>224391217</v>
      </c>
      <c r="BM416" s="299">
        <v>42961</v>
      </c>
      <c r="BN416" s="300">
        <v>42948</v>
      </c>
      <c r="BO416" s="434" t="s">
        <v>7726</v>
      </c>
      <c r="BP416" s="390"/>
      <c r="BQ416" s="297"/>
      <c r="BR416" s="303"/>
      <c r="BS416" s="301"/>
      <c r="BT416" s="301"/>
      <c r="BU416" s="301"/>
      <c r="BV416" s="301"/>
      <c r="BW416" s="316"/>
      <c r="BX416" s="304"/>
      <c r="BY416" s="299"/>
      <c r="BZ416" s="317"/>
    </row>
    <row r="417" spans="1:555" ht="67.5">
      <c r="A417" s="296">
        <v>587</v>
      </c>
      <c r="B417" s="297" t="s">
        <v>5161</v>
      </c>
      <c r="C417" s="298">
        <v>79489250</v>
      </c>
      <c r="D417" s="354"/>
      <c r="E417" s="299"/>
      <c r="F417" s="300"/>
      <c r="G417" s="301"/>
      <c r="H417" s="297"/>
      <c r="I417" s="297"/>
      <c r="J417" s="299"/>
      <c r="K417" s="300"/>
      <c r="L417" s="301"/>
      <c r="M417" s="297"/>
      <c r="N417" s="297"/>
      <c r="O417" s="299"/>
      <c r="P417" s="302"/>
      <c r="Q417" s="301"/>
      <c r="R417" s="297"/>
      <c r="S417" s="297"/>
      <c r="T417" s="299"/>
      <c r="U417" s="300"/>
      <c r="V417" s="301"/>
      <c r="W417" s="297"/>
      <c r="X417" s="297"/>
      <c r="Y417" s="299"/>
      <c r="Z417" s="300"/>
      <c r="AA417" s="301"/>
      <c r="AB417" s="297"/>
      <c r="AC417" s="297"/>
      <c r="AD417" s="299"/>
      <c r="AE417" s="300"/>
      <c r="AF417" s="301"/>
      <c r="AG417" s="297"/>
      <c r="AH417" s="297"/>
      <c r="AI417" s="322"/>
      <c r="AJ417" s="300"/>
      <c r="AK417" s="301"/>
      <c r="AL417" s="297"/>
      <c r="AM417" s="297"/>
      <c r="AN417" s="297"/>
      <c r="AO417" s="473"/>
      <c r="AP417" s="297"/>
      <c r="AQ417" s="301" t="s">
        <v>7848</v>
      </c>
      <c r="AR417" s="297" t="s">
        <v>66</v>
      </c>
      <c r="AS417" s="299" t="s">
        <v>67</v>
      </c>
      <c r="AT417" s="299" t="s">
        <v>67</v>
      </c>
      <c r="AU417" s="297" t="s">
        <v>3827</v>
      </c>
      <c r="AV417" s="297"/>
      <c r="AW417" s="297" t="s">
        <v>69</v>
      </c>
      <c r="AX417" s="297" t="s">
        <v>7849</v>
      </c>
      <c r="AY417" s="299">
        <v>42916</v>
      </c>
      <c r="AZ417" s="297" t="s">
        <v>67</v>
      </c>
      <c r="BA417" s="299" t="s">
        <v>67</v>
      </c>
      <c r="BB417" s="382" t="s">
        <v>5150</v>
      </c>
      <c r="BC417" s="297" t="s">
        <v>3829</v>
      </c>
      <c r="BD417" s="297" t="s">
        <v>6447</v>
      </c>
      <c r="BE417" s="297"/>
      <c r="BF417" s="301"/>
      <c r="BG417" s="301"/>
      <c r="BH417" s="301" t="s">
        <v>5162</v>
      </c>
      <c r="BI417" s="301" t="s">
        <v>4949</v>
      </c>
      <c r="BJ417" s="312">
        <v>2575850</v>
      </c>
      <c r="BK417" s="312">
        <v>2575850</v>
      </c>
      <c r="BL417" s="313">
        <v>224420817</v>
      </c>
      <c r="BM417" s="299">
        <v>42961</v>
      </c>
      <c r="BN417" s="300">
        <v>42948</v>
      </c>
      <c r="BO417" s="434" t="s">
        <v>5163</v>
      </c>
      <c r="BP417" s="397"/>
      <c r="BQ417" s="398"/>
      <c r="BR417" s="320"/>
      <c r="BS417" s="301"/>
      <c r="BT417" s="301"/>
      <c r="BU417" s="301"/>
      <c r="BV417" s="301"/>
      <c r="BW417" s="316"/>
      <c r="BX417" s="304"/>
      <c r="BY417" s="299"/>
      <c r="BZ417" s="317"/>
    </row>
    <row r="418" spans="1:555" ht="67.5">
      <c r="A418" s="296">
        <v>589</v>
      </c>
      <c r="B418" s="297" t="s">
        <v>5171</v>
      </c>
      <c r="C418" s="298">
        <v>79059371</v>
      </c>
      <c r="D418" s="354"/>
      <c r="E418" s="299"/>
      <c r="F418" s="300"/>
      <c r="G418" s="301"/>
      <c r="H418" s="297"/>
      <c r="I418" s="297"/>
      <c r="J418" s="299"/>
      <c r="K418" s="300"/>
      <c r="L418" s="301"/>
      <c r="M418" s="297"/>
      <c r="N418" s="297"/>
      <c r="O418" s="299"/>
      <c r="P418" s="302"/>
      <c r="Q418" s="301"/>
      <c r="R418" s="297"/>
      <c r="S418" s="297"/>
      <c r="T418" s="299"/>
      <c r="U418" s="300"/>
      <c r="V418" s="301"/>
      <c r="W418" s="297"/>
      <c r="X418" s="297"/>
      <c r="Y418" s="299"/>
      <c r="Z418" s="300"/>
      <c r="AA418" s="301"/>
      <c r="AB418" s="297"/>
      <c r="AC418" s="297"/>
      <c r="AD418" s="299"/>
      <c r="AE418" s="300"/>
      <c r="AF418" s="301"/>
      <c r="AG418" s="297"/>
      <c r="AH418" s="297"/>
      <c r="AI418" s="322"/>
      <c r="AJ418" s="300"/>
      <c r="AK418" s="301"/>
      <c r="AL418" s="297"/>
      <c r="AM418" s="297"/>
      <c r="AN418" s="297"/>
      <c r="AO418" s="473"/>
      <c r="AP418" s="297"/>
      <c r="AQ418" s="301" t="s">
        <v>7859</v>
      </c>
      <c r="AR418" s="297" t="s">
        <v>66</v>
      </c>
      <c r="AS418" s="299" t="s">
        <v>67</v>
      </c>
      <c r="AT418" s="299" t="s">
        <v>67</v>
      </c>
      <c r="AU418" s="297" t="s">
        <v>3827</v>
      </c>
      <c r="AV418" s="297"/>
      <c r="AW418" s="297" t="s">
        <v>69</v>
      </c>
      <c r="AX418" s="297" t="s">
        <v>7860</v>
      </c>
      <c r="AY418" s="299">
        <v>43005</v>
      </c>
      <c r="AZ418" s="297" t="s">
        <v>67</v>
      </c>
      <c r="BA418" s="297" t="s">
        <v>67</v>
      </c>
      <c r="BB418" s="382" t="s">
        <v>5172</v>
      </c>
      <c r="BC418" s="297" t="s">
        <v>3829</v>
      </c>
      <c r="BD418" s="297" t="s">
        <v>6447</v>
      </c>
      <c r="BE418" s="297"/>
      <c r="BF418" s="301"/>
      <c r="BG418" s="301"/>
      <c r="BH418" s="301" t="s">
        <v>5173</v>
      </c>
      <c r="BI418" s="301"/>
      <c r="BJ418" s="312">
        <v>1081212</v>
      </c>
      <c r="BK418" s="312">
        <v>1081212</v>
      </c>
      <c r="BL418" s="313">
        <v>2852718</v>
      </c>
      <c r="BM418" s="299">
        <v>43115</v>
      </c>
      <c r="BN418" s="300">
        <v>43101</v>
      </c>
      <c r="BO418" s="434" t="s">
        <v>7861</v>
      </c>
      <c r="BP418" s="390"/>
      <c r="BQ418" s="297"/>
      <c r="BR418" s="303"/>
      <c r="BS418" s="301"/>
      <c r="BT418" s="301"/>
      <c r="BU418" s="301"/>
      <c r="BV418" s="301"/>
      <c r="BW418" s="316"/>
      <c r="BX418" s="304"/>
      <c r="BY418" s="299"/>
      <c r="BZ418" s="317"/>
    </row>
    <row r="419" spans="1:555" ht="189">
      <c r="A419" s="296">
        <v>591</v>
      </c>
      <c r="B419" s="297" t="s">
        <v>5182</v>
      </c>
      <c r="C419" s="298" t="s">
        <v>7942</v>
      </c>
      <c r="D419" s="354"/>
      <c r="E419" s="299">
        <v>43161</v>
      </c>
      <c r="F419" s="300">
        <v>43160</v>
      </c>
      <c r="G419" s="301" t="s">
        <v>5183</v>
      </c>
      <c r="H419" s="297" t="s">
        <v>63</v>
      </c>
      <c r="I419" s="297" t="s">
        <v>107</v>
      </c>
      <c r="J419" s="299"/>
      <c r="K419" s="300"/>
      <c r="L419" s="301"/>
      <c r="M419" s="297"/>
      <c r="N419" s="297"/>
      <c r="O419" s="299"/>
      <c r="P419" s="302"/>
      <c r="Q419" s="301"/>
      <c r="R419" s="297"/>
      <c r="S419" s="297"/>
      <c r="T419" s="299"/>
      <c r="U419" s="300"/>
      <c r="V419" s="301"/>
      <c r="W419" s="297"/>
      <c r="X419" s="297"/>
      <c r="Y419" s="299"/>
      <c r="Z419" s="300"/>
      <c r="AA419" s="301"/>
      <c r="AB419" s="297"/>
      <c r="AC419" s="297"/>
      <c r="AD419" s="299"/>
      <c r="AE419" s="300"/>
      <c r="AF419" s="301"/>
      <c r="AG419" s="297"/>
      <c r="AH419" s="297"/>
      <c r="AI419" s="322"/>
      <c r="AJ419" s="300"/>
      <c r="AK419" s="301"/>
      <c r="AL419" s="297"/>
      <c r="AM419" s="297"/>
      <c r="AN419" s="297"/>
      <c r="AO419" s="473"/>
      <c r="AP419" s="297"/>
      <c r="AQ419" s="301"/>
      <c r="AR419" s="297" t="s">
        <v>66</v>
      </c>
      <c r="AS419" s="299"/>
      <c r="AT419" s="299"/>
      <c r="AU419" s="297" t="s">
        <v>7579</v>
      </c>
      <c r="AV419" s="297"/>
      <c r="AW419" s="297"/>
      <c r="AX419" s="297"/>
      <c r="AY419" s="299"/>
      <c r="AZ419" s="297" t="s">
        <v>67</v>
      </c>
      <c r="BA419" s="297" t="s">
        <v>67</v>
      </c>
      <c r="BB419" s="382">
        <v>42956</v>
      </c>
      <c r="BC419" s="297"/>
      <c r="BD419" s="297"/>
      <c r="BE419" s="297"/>
      <c r="BF419" s="301" t="s">
        <v>5184</v>
      </c>
      <c r="BG419" s="301" t="s">
        <v>5185</v>
      </c>
      <c r="BH419" s="301" t="s">
        <v>5186</v>
      </c>
      <c r="BI419" s="301"/>
      <c r="BJ419" s="312">
        <v>176804320</v>
      </c>
      <c r="BK419" s="312" t="s">
        <v>5187</v>
      </c>
      <c r="BL419" s="313"/>
      <c r="BM419" s="299"/>
      <c r="BN419" s="300"/>
      <c r="BO419" s="469" t="s">
        <v>5188</v>
      </c>
      <c r="BP419" s="417"/>
      <c r="BQ419" s="418"/>
      <c r="BR419" s="343"/>
      <c r="BS419" s="301"/>
      <c r="BT419" s="301"/>
      <c r="BU419" s="301"/>
      <c r="BV419" s="301"/>
      <c r="BW419" s="316"/>
      <c r="BX419" s="304"/>
      <c r="BY419" s="299"/>
      <c r="BZ419" s="317"/>
    </row>
    <row r="420" spans="1:555" ht="54">
      <c r="A420" s="296">
        <v>592</v>
      </c>
      <c r="B420" s="297" t="s">
        <v>5189</v>
      </c>
      <c r="C420" s="298" t="s">
        <v>5190</v>
      </c>
      <c r="D420" s="354"/>
      <c r="E420" s="299">
        <v>42964</v>
      </c>
      <c r="F420" s="300">
        <v>42948</v>
      </c>
      <c r="G420" s="301" t="s">
        <v>5191</v>
      </c>
      <c r="H420" s="297" t="s">
        <v>208</v>
      </c>
      <c r="I420" s="297" t="s">
        <v>85</v>
      </c>
      <c r="J420" s="299">
        <v>43068</v>
      </c>
      <c r="K420" s="300">
        <v>43040</v>
      </c>
      <c r="L420" s="301" t="s">
        <v>5192</v>
      </c>
      <c r="M420" s="297" t="s">
        <v>5193</v>
      </c>
      <c r="N420" s="297" t="s">
        <v>1114</v>
      </c>
      <c r="O420" s="299">
        <v>43066</v>
      </c>
      <c r="P420" s="302">
        <v>43040</v>
      </c>
      <c r="Q420" s="301" t="s">
        <v>5194</v>
      </c>
      <c r="R420" s="297" t="s">
        <v>5193</v>
      </c>
      <c r="S420" s="297" t="s">
        <v>5195</v>
      </c>
      <c r="T420" s="299"/>
      <c r="U420" s="300"/>
      <c r="V420" s="301"/>
      <c r="W420" s="297"/>
      <c r="X420" s="297"/>
      <c r="Y420" s="299"/>
      <c r="Z420" s="300"/>
      <c r="AA420" s="301"/>
      <c r="AB420" s="297"/>
      <c r="AC420" s="297"/>
      <c r="AD420" s="299"/>
      <c r="AE420" s="300"/>
      <c r="AF420" s="301"/>
      <c r="AG420" s="297"/>
      <c r="AH420" s="297"/>
      <c r="AI420" s="322"/>
      <c r="AJ420" s="300"/>
      <c r="AK420" s="301"/>
      <c r="AL420" s="297"/>
      <c r="AM420" s="297"/>
      <c r="AN420" s="297"/>
      <c r="AO420" s="473"/>
      <c r="AP420" s="297"/>
      <c r="AQ420" s="301" t="s">
        <v>5196</v>
      </c>
      <c r="AR420" s="297" t="s">
        <v>66</v>
      </c>
      <c r="AS420" s="299"/>
      <c r="AT420" s="299"/>
      <c r="AU420" s="297" t="s">
        <v>5197</v>
      </c>
      <c r="AV420" s="297"/>
      <c r="AW420" s="297" t="s">
        <v>69</v>
      </c>
      <c r="AX420" s="297" t="s">
        <v>5198</v>
      </c>
      <c r="AY420" s="299" t="s">
        <v>5199</v>
      </c>
      <c r="AZ420" s="297" t="s">
        <v>67</v>
      </c>
      <c r="BA420" s="297" t="s">
        <v>67</v>
      </c>
      <c r="BB420" s="382">
        <v>42958</v>
      </c>
      <c r="BC420" s="297" t="s">
        <v>71</v>
      </c>
      <c r="BD420" s="297"/>
      <c r="BE420" s="297"/>
      <c r="BF420" s="301"/>
      <c r="BG420" s="301" t="s">
        <v>5200</v>
      </c>
      <c r="BH420" s="301" t="s">
        <v>5201</v>
      </c>
      <c r="BI420" s="301"/>
      <c r="BJ420" s="312" t="s">
        <v>5202</v>
      </c>
      <c r="BK420" s="312" t="s">
        <v>5202</v>
      </c>
      <c r="BL420" s="313">
        <v>1789918</v>
      </c>
      <c r="BM420" s="299">
        <v>43110</v>
      </c>
      <c r="BN420" s="300">
        <v>43101</v>
      </c>
      <c r="BO420" s="434" t="s">
        <v>5203</v>
      </c>
      <c r="BP420" s="397"/>
      <c r="BQ420" s="398"/>
      <c r="BR420" s="320"/>
      <c r="BS420" s="301"/>
      <c r="BT420" s="301"/>
      <c r="BU420" s="301"/>
      <c r="BV420" s="301"/>
      <c r="BW420" s="316"/>
      <c r="BX420" s="304"/>
      <c r="BY420" s="299"/>
      <c r="BZ420" s="317"/>
    </row>
    <row r="421" spans="1:555" ht="54">
      <c r="A421" s="296">
        <v>594</v>
      </c>
      <c r="B421" s="297" t="s">
        <v>5211</v>
      </c>
      <c r="C421" s="298">
        <v>94531836</v>
      </c>
      <c r="D421" s="354" t="s">
        <v>2392</v>
      </c>
      <c r="E421" s="299">
        <v>42977</v>
      </c>
      <c r="F421" s="300">
        <v>42948</v>
      </c>
      <c r="G421" s="301" t="s">
        <v>5212</v>
      </c>
      <c r="H421" s="297" t="s">
        <v>5</v>
      </c>
      <c r="I421" s="297" t="s">
        <v>5213</v>
      </c>
      <c r="J421" s="299">
        <v>43039</v>
      </c>
      <c r="K421" s="300">
        <v>43009</v>
      </c>
      <c r="L421" s="301" t="s">
        <v>5214</v>
      </c>
      <c r="M421" s="297" t="s">
        <v>5</v>
      </c>
      <c r="N421" s="297" t="s">
        <v>5215</v>
      </c>
      <c r="O421" s="299">
        <v>43137</v>
      </c>
      <c r="P421" s="302">
        <v>43132</v>
      </c>
      <c r="Q421" s="301" t="s">
        <v>5216</v>
      </c>
      <c r="R421" s="297" t="s">
        <v>5</v>
      </c>
      <c r="S421" s="297" t="s">
        <v>107</v>
      </c>
      <c r="T421" s="299">
        <v>43763</v>
      </c>
      <c r="U421" s="300">
        <v>43763</v>
      </c>
      <c r="V421" s="301" t="s">
        <v>9223</v>
      </c>
      <c r="W421" s="297" t="s">
        <v>5</v>
      </c>
      <c r="X421" s="297" t="s">
        <v>85</v>
      </c>
      <c r="Y421" s="299"/>
      <c r="Z421" s="300"/>
      <c r="AA421" s="301"/>
      <c r="AB421" s="297"/>
      <c r="AC421" s="297"/>
      <c r="AD421" s="299"/>
      <c r="AE421" s="300"/>
      <c r="AF421" s="301"/>
      <c r="AG421" s="297"/>
      <c r="AH421" s="297"/>
      <c r="AI421" s="322"/>
      <c r="AJ421" s="300"/>
      <c r="AK421" s="301"/>
      <c r="AL421" s="297"/>
      <c r="AM421" s="297"/>
      <c r="AN421" s="297" t="s">
        <v>3671</v>
      </c>
      <c r="AO421" s="540">
        <v>43039</v>
      </c>
      <c r="AP421" s="297"/>
      <c r="AQ421" s="301" t="s">
        <v>5217</v>
      </c>
      <c r="AR421" s="297" t="s">
        <v>161</v>
      </c>
      <c r="AS421" s="299">
        <v>37773</v>
      </c>
      <c r="AT421" s="299">
        <v>40663</v>
      </c>
      <c r="AU421" s="297" t="s">
        <v>5218</v>
      </c>
      <c r="AV421" s="297"/>
      <c r="AW421" s="297" t="s">
        <v>92</v>
      </c>
      <c r="AX421" s="297" t="s">
        <v>5219</v>
      </c>
      <c r="AY421" s="299">
        <v>41578</v>
      </c>
      <c r="AZ421" s="297" t="s">
        <v>8179</v>
      </c>
      <c r="BA421" s="299">
        <v>42243</v>
      </c>
      <c r="BB421" s="382">
        <v>42297</v>
      </c>
      <c r="BC421" s="297" t="s">
        <v>95</v>
      </c>
      <c r="BD421" s="297" t="s">
        <v>566</v>
      </c>
      <c r="BE421" s="297"/>
      <c r="BF421" s="301" t="s">
        <v>2399</v>
      </c>
      <c r="BG421" s="301"/>
      <c r="BH421" s="301" t="s">
        <v>9808</v>
      </c>
      <c r="BI421" s="301"/>
      <c r="BJ421" s="312">
        <f>+[77]MATRIZ!$J$84</f>
        <v>285085459.58411109</v>
      </c>
      <c r="BK421" s="312" t="s">
        <v>9809</v>
      </c>
      <c r="BL421" s="313">
        <v>86314820</v>
      </c>
      <c r="BM421" s="299">
        <v>43935</v>
      </c>
      <c r="BN421" s="300">
        <v>43935</v>
      </c>
      <c r="BO421" s="460"/>
      <c r="BP421" s="390"/>
      <c r="BQ421" s="297"/>
      <c r="BR421" s="303"/>
      <c r="BS421" s="301"/>
      <c r="BT421" s="301"/>
      <c r="BU421" s="301"/>
      <c r="BV421" s="301"/>
      <c r="BW421" s="316"/>
      <c r="BX421" s="304"/>
      <c r="BY421" s="299"/>
      <c r="BZ421" s="317"/>
      <c r="CA421" s="509"/>
      <c r="CB421" s="509"/>
      <c r="CC421" s="509"/>
      <c r="CD421" s="509"/>
      <c r="CE421" s="509"/>
      <c r="CF421" s="509"/>
      <c r="CG421" s="509"/>
      <c r="CH421" s="509"/>
      <c r="CI421" s="509"/>
      <c r="CJ421" s="509"/>
      <c r="CK421" s="509"/>
      <c r="CL421" s="509"/>
      <c r="CM421" s="509"/>
      <c r="CN421" s="509"/>
      <c r="CO421" s="509"/>
      <c r="CP421" s="509"/>
      <c r="CQ421" s="509"/>
      <c r="CR421" s="509"/>
      <c r="CS421" s="509"/>
      <c r="CT421" s="509"/>
      <c r="CU421" s="509"/>
      <c r="CV421" s="509"/>
      <c r="CW421" s="509"/>
      <c r="CX421" s="509"/>
      <c r="CY421" s="509"/>
      <c r="CZ421" s="509"/>
      <c r="DA421" s="509"/>
      <c r="DB421" s="509"/>
      <c r="DC421" s="509"/>
      <c r="DD421" s="509"/>
      <c r="DE421" s="509"/>
      <c r="DF421" s="509"/>
      <c r="DG421" s="509"/>
      <c r="DH421" s="509"/>
      <c r="DI421" s="509"/>
      <c r="DJ421" s="509"/>
      <c r="DK421" s="509"/>
      <c r="DL421" s="509"/>
      <c r="DM421" s="509"/>
      <c r="DN421" s="509"/>
      <c r="DO421" s="509"/>
      <c r="DP421" s="509"/>
      <c r="DQ421" s="509"/>
      <c r="DR421" s="509"/>
      <c r="DS421" s="509"/>
      <c r="DT421" s="509"/>
      <c r="DU421" s="509"/>
      <c r="DV421" s="509"/>
      <c r="DW421" s="509"/>
      <c r="DX421" s="509"/>
      <c r="DY421" s="509"/>
      <c r="DZ421" s="509"/>
      <c r="EA421" s="509"/>
      <c r="EB421" s="509"/>
      <c r="EC421" s="509"/>
      <c r="ED421" s="509"/>
      <c r="EE421" s="509"/>
      <c r="EF421" s="509"/>
      <c r="EG421" s="509"/>
      <c r="EH421" s="509"/>
      <c r="EI421" s="509"/>
      <c r="EJ421" s="509"/>
      <c r="EK421" s="509"/>
      <c r="EL421" s="509"/>
      <c r="EM421" s="509"/>
      <c r="EN421" s="509"/>
      <c r="EO421" s="509"/>
      <c r="EP421" s="509"/>
      <c r="EQ421" s="509"/>
      <c r="ER421" s="509"/>
      <c r="ES421" s="509"/>
      <c r="ET421" s="509"/>
      <c r="EU421" s="509"/>
      <c r="EV421" s="509"/>
      <c r="EW421" s="509"/>
      <c r="EX421" s="509"/>
      <c r="EY421" s="509"/>
      <c r="EZ421" s="509"/>
      <c r="FA421" s="509"/>
      <c r="FB421" s="509"/>
      <c r="FC421" s="509"/>
      <c r="FD421" s="509"/>
      <c r="FE421" s="509"/>
      <c r="FF421" s="509"/>
      <c r="FG421" s="509"/>
      <c r="FH421" s="509"/>
      <c r="FI421" s="509"/>
      <c r="FJ421" s="509"/>
      <c r="FK421" s="509"/>
      <c r="FL421" s="509"/>
      <c r="FM421" s="509"/>
      <c r="FN421" s="509"/>
      <c r="FO421" s="509"/>
      <c r="FP421" s="509"/>
      <c r="FQ421" s="509"/>
      <c r="FR421" s="509"/>
      <c r="FS421" s="509"/>
      <c r="FT421" s="509"/>
      <c r="FU421" s="509"/>
      <c r="FV421" s="509"/>
      <c r="FW421" s="509"/>
      <c r="FX421" s="509"/>
      <c r="FY421" s="509"/>
      <c r="FZ421" s="509"/>
      <c r="GA421" s="509"/>
      <c r="GB421" s="509"/>
      <c r="GC421" s="509"/>
      <c r="GD421" s="509"/>
      <c r="GE421" s="509"/>
      <c r="GF421" s="509"/>
      <c r="GG421" s="509"/>
      <c r="GH421" s="509"/>
      <c r="GI421" s="509"/>
      <c r="GJ421" s="509"/>
      <c r="GK421" s="509"/>
      <c r="GL421" s="509"/>
      <c r="GM421" s="509"/>
      <c r="GN421" s="509"/>
      <c r="GO421" s="509"/>
      <c r="GP421" s="509"/>
      <c r="GQ421" s="509"/>
      <c r="GR421" s="509"/>
      <c r="GS421" s="509"/>
      <c r="GT421" s="509"/>
      <c r="GU421" s="509"/>
      <c r="GV421" s="509"/>
      <c r="GW421" s="509"/>
      <c r="GX421" s="509"/>
      <c r="GY421" s="509"/>
      <c r="GZ421" s="509"/>
      <c r="HA421" s="509"/>
      <c r="HB421" s="509"/>
      <c r="HC421" s="509"/>
      <c r="HD421" s="509"/>
      <c r="HE421" s="509"/>
      <c r="HF421" s="509"/>
      <c r="HG421" s="509"/>
      <c r="HH421" s="509"/>
      <c r="HI421" s="509"/>
      <c r="HJ421" s="509"/>
      <c r="HK421" s="509"/>
      <c r="HL421" s="509"/>
      <c r="HM421" s="509"/>
      <c r="HN421" s="509"/>
      <c r="HO421" s="509"/>
      <c r="HP421" s="509"/>
      <c r="HQ421" s="509"/>
      <c r="HR421" s="509"/>
      <c r="HS421" s="509"/>
      <c r="HT421" s="509"/>
      <c r="HU421" s="509"/>
      <c r="HV421" s="509"/>
      <c r="HW421" s="509"/>
      <c r="HX421" s="509"/>
      <c r="HY421" s="509"/>
      <c r="HZ421" s="509"/>
      <c r="IA421" s="509"/>
      <c r="IB421" s="509"/>
      <c r="IC421" s="509"/>
      <c r="ID421" s="509"/>
      <c r="IE421" s="509"/>
      <c r="IF421" s="509"/>
      <c r="IG421" s="509"/>
      <c r="IH421" s="509"/>
      <c r="II421" s="509"/>
      <c r="IJ421" s="509"/>
      <c r="IK421" s="509"/>
      <c r="IL421" s="509"/>
      <c r="IM421" s="509"/>
      <c r="IN421" s="509"/>
      <c r="IO421" s="509"/>
      <c r="IP421" s="509"/>
      <c r="IQ421" s="509"/>
      <c r="IR421" s="509"/>
      <c r="IS421" s="509"/>
      <c r="IT421" s="509"/>
      <c r="IU421" s="509"/>
      <c r="IV421" s="509"/>
      <c r="IW421" s="509"/>
      <c r="IX421" s="509"/>
      <c r="IY421" s="509"/>
      <c r="IZ421" s="509"/>
      <c r="JA421" s="509"/>
      <c r="JB421" s="509"/>
      <c r="JC421" s="509"/>
      <c r="JD421" s="509"/>
      <c r="JE421" s="509"/>
      <c r="JF421" s="509"/>
      <c r="JG421" s="509"/>
      <c r="JH421" s="509"/>
      <c r="JI421" s="509"/>
      <c r="JJ421" s="509"/>
      <c r="JK421" s="509"/>
      <c r="JL421" s="509"/>
      <c r="JM421" s="509"/>
      <c r="JN421" s="509"/>
      <c r="JO421" s="509"/>
      <c r="JP421" s="509"/>
      <c r="JQ421" s="509"/>
      <c r="JR421" s="509"/>
      <c r="JS421" s="509"/>
      <c r="JT421" s="509"/>
      <c r="JU421" s="509"/>
      <c r="JV421" s="509"/>
      <c r="JW421" s="509"/>
      <c r="JX421" s="509"/>
      <c r="JY421" s="509"/>
      <c r="JZ421" s="509"/>
      <c r="KA421" s="509"/>
      <c r="KB421" s="509"/>
      <c r="KC421" s="509"/>
      <c r="KD421" s="509"/>
      <c r="KE421" s="509"/>
      <c r="KF421" s="509"/>
      <c r="KG421" s="509"/>
      <c r="KH421" s="509"/>
      <c r="KI421" s="509"/>
      <c r="KJ421" s="509"/>
      <c r="KK421" s="509"/>
      <c r="KL421" s="509"/>
      <c r="KM421" s="509"/>
      <c r="KN421" s="509"/>
      <c r="KO421" s="509"/>
      <c r="KP421" s="509"/>
      <c r="KQ421" s="509"/>
      <c r="KR421" s="509"/>
      <c r="KS421" s="509"/>
      <c r="KT421" s="509"/>
      <c r="KU421" s="509"/>
      <c r="KV421" s="509"/>
      <c r="KW421" s="509"/>
      <c r="KX421" s="509"/>
      <c r="KY421" s="509"/>
      <c r="KZ421" s="509"/>
      <c r="LA421" s="509"/>
      <c r="LB421" s="509"/>
      <c r="LC421" s="509"/>
      <c r="LD421" s="509"/>
      <c r="LE421" s="509"/>
      <c r="LF421" s="509"/>
      <c r="LG421" s="509"/>
      <c r="LH421" s="509"/>
      <c r="LI421" s="509"/>
      <c r="LJ421" s="509"/>
      <c r="LK421" s="509"/>
      <c r="LL421" s="509"/>
      <c r="LM421" s="509"/>
      <c r="LN421" s="509"/>
      <c r="LO421" s="509"/>
      <c r="LP421" s="509"/>
      <c r="LQ421" s="509"/>
      <c r="LR421" s="509"/>
      <c r="LS421" s="509"/>
      <c r="LT421" s="509"/>
      <c r="LU421" s="509"/>
      <c r="LV421" s="509"/>
      <c r="LW421" s="509"/>
      <c r="LX421" s="509"/>
      <c r="LY421" s="509"/>
      <c r="LZ421" s="509"/>
      <c r="MA421" s="509"/>
      <c r="MB421" s="509"/>
      <c r="MC421" s="509"/>
      <c r="MD421" s="509"/>
      <c r="ME421" s="509"/>
      <c r="MF421" s="509"/>
      <c r="MG421" s="509"/>
      <c r="MH421" s="509"/>
      <c r="MI421" s="509"/>
      <c r="MJ421" s="509"/>
      <c r="MK421" s="509"/>
      <c r="ML421" s="509"/>
      <c r="MM421" s="509"/>
      <c r="MN421" s="509"/>
      <c r="MO421" s="509"/>
      <c r="MP421" s="509"/>
      <c r="MQ421" s="509"/>
      <c r="MR421" s="509"/>
      <c r="MS421" s="509"/>
      <c r="MT421" s="509"/>
      <c r="MU421" s="509"/>
      <c r="MV421" s="509"/>
      <c r="MW421" s="509"/>
      <c r="MX421" s="509"/>
      <c r="MY421" s="509"/>
      <c r="MZ421" s="509"/>
      <c r="NA421" s="509"/>
      <c r="NB421" s="509"/>
      <c r="NC421" s="509"/>
      <c r="ND421" s="509"/>
      <c r="NE421" s="509"/>
      <c r="NF421" s="509"/>
      <c r="NG421" s="509"/>
      <c r="NH421" s="509"/>
      <c r="NI421" s="509"/>
      <c r="NJ421" s="509"/>
      <c r="NK421" s="509"/>
      <c r="NL421" s="509"/>
      <c r="NM421" s="509"/>
      <c r="NN421" s="509"/>
      <c r="NO421" s="509"/>
      <c r="NP421" s="509"/>
      <c r="NQ421" s="509"/>
      <c r="NR421" s="509"/>
      <c r="NS421" s="509"/>
      <c r="NT421" s="509"/>
      <c r="NU421" s="509"/>
      <c r="NV421" s="509"/>
      <c r="NW421" s="509"/>
      <c r="NX421" s="509"/>
      <c r="NY421" s="509"/>
      <c r="NZ421" s="509"/>
      <c r="OA421" s="509"/>
      <c r="OB421" s="509"/>
      <c r="OC421" s="509"/>
      <c r="OD421" s="509"/>
      <c r="OE421" s="509"/>
      <c r="OF421" s="509"/>
      <c r="OG421" s="509"/>
      <c r="OH421" s="509"/>
      <c r="OI421" s="509"/>
      <c r="OJ421" s="509"/>
      <c r="OK421" s="509"/>
      <c r="OL421" s="509"/>
      <c r="OM421" s="509"/>
      <c r="ON421" s="509"/>
      <c r="OO421" s="509"/>
      <c r="OP421" s="509"/>
      <c r="OQ421" s="509"/>
      <c r="OR421" s="509"/>
      <c r="OS421" s="509"/>
      <c r="OT421" s="509"/>
      <c r="OU421" s="509"/>
      <c r="OV421" s="509"/>
      <c r="OW421" s="509"/>
      <c r="OX421" s="509"/>
      <c r="OY421" s="509"/>
      <c r="OZ421" s="509"/>
      <c r="PA421" s="509"/>
      <c r="PB421" s="509"/>
      <c r="PC421" s="509"/>
      <c r="PD421" s="509"/>
      <c r="PE421" s="509"/>
      <c r="PF421" s="509"/>
      <c r="PG421" s="509"/>
      <c r="PH421" s="509"/>
      <c r="PI421" s="509"/>
      <c r="PJ421" s="509"/>
      <c r="PK421" s="509"/>
      <c r="PL421" s="509"/>
      <c r="PM421" s="509"/>
      <c r="PN421" s="509"/>
      <c r="PO421" s="509"/>
      <c r="PP421" s="509"/>
      <c r="PQ421" s="509"/>
      <c r="PR421" s="509"/>
      <c r="PS421" s="509"/>
      <c r="PT421" s="509"/>
      <c r="PU421" s="509"/>
      <c r="PV421" s="509"/>
      <c r="PW421" s="509"/>
      <c r="PX421" s="509"/>
      <c r="PY421" s="509"/>
      <c r="PZ421" s="509"/>
      <c r="QA421" s="509"/>
      <c r="QB421" s="509"/>
      <c r="QC421" s="509"/>
      <c r="QD421" s="509"/>
      <c r="QE421" s="509"/>
      <c r="QF421" s="509"/>
      <c r="QG421" s="509"/>
      <c r="QH421" s="509"/>
      <c r="QI421" s="509"/>
      <c r="QJ421" s="509"/>
      <c r="QK421" s="509"/>
      <c r="QL421" s="509"/>
      <c r="QM421" s="509"/>
      <c r="QN421" s="509"/>
      <c r="QO421" s="509"/>
      <c r="QP421" s="509"/>
      <c r="QQ421" s="509"/>
      <c r="QR421" s="509"/>
      <c r="QS421" s="509"/>
      <c r="QT421" s="509"/>
      <c r="QU421" s="509"/>
      <c r="QV421" s="509"/>
      <c r="QW421" s="509"/>
      <c r="QX421" s="509"/>
      <c r="QY421" s="509"/>
      <c r="QZ421" s="509"/>
      <c r="RA421" s="509"/>
      <c r="RB421" s="509"/>
      <c r="RC421" s="509"/>
      <c r="RD421" s="509"/>
      <c r="RE421" s="509"/>
      <c r="RF421" s="509"/>
      <c r="RG421" s="509"/>
      <c r="RH421" s="509"/>
      <c r="RI421" s="509"/>
      <c r="RJ421" s="509"/>
      <c r="RK421" s="509"/>
      <c r="RL421" s="509"/>
      <c r="RM421" s="509"/>
      <c r="RN421" s="509"/>
      <c r="RO421" s="509"/>
      <c r="RP421" s="509"/>
      <c r="RQ421" s="509"/>
      <c r="RR421" s="509"/>
      <c r="RS421" s="509"/>
      <c r="RT421" s="509"/>
      <c r="RU421" s="509"/>
      <c r="RV421" s="509"/>
      <c r="RW421" s="509"/>
      <c r="RX421" s="509"/>
      <c r="RY421" s="509"/>
      <c r="RZ421" s="509"/>
      <c r="SA421" s="509"/>
      <c r="SB421" s="509"/>
      <c r="SC421" s="509"/>
      <c r="SD421" s="509"/>
      <c r="SE421" s="509"/>
      <c r="SF421" s="509"/>
      <c r="SG421" s="509"/>
      <c r="SH421" s="509"/>
      <c r="SI421" s="509"/>
      <c r="SJ421" s="509"/>
      <c r="SK421" s="509"/>
      <c r="SL421" s="509"/>
      <c r="SM421" s="509"/>
      <c r="SN421" s="509"/>
      <c r="SO421" s="509"/>
      <c r="SP421" s="509"/>
      <c r="SQ421" s="509"/>
      <c r="SR421" s="509"/>
      <c r="SS421" s="509"/>
      <c r="ST421" s="509"/>
      <c r="SU421" s="509"/>
      <c r="SV421" s="509"/>
      <c r="SW421" s="509"/>
      <c r="SX421" s="509"/>
      <c r="SY421" s="509"/>
      <c r="SZ421" s="509"/>
      <c r="TA421" s="509"/>
      <c r="TB421" s="509"/>
      <c r="TC421" s="509"/>
      <c r="TD421" s="509"/>
      <c r="TE421" s="509"/>
      <c r="TF421" s="509"/>
      <c r="TG421" s="509"/>
      <c r="TH421" s="509"/>
      <c r="TI421" s="509"/>
      <c r="TJ421" s="509"/>
      <c r="TK421" s="509"/>
      <c r="TL421" s="509"/>
      <c r="TM421" s="509"/>
      <c r="TN421" s="509"/>
      <c r="TO421" s="509"/>
      <c r="TP421" s="509"/>
      <c r="TQ421" s="509"/>
      <c r="TR421" s="509"/>
      <c r="TS421" s="509"/>
      <c r="TT421" s="509"/>
      <c r="TU421" s="509"/>
      <c r="TV421" s="509"/>
      <c r="TW421" s="509"/>
      <c r="TX421" s="509"/>
      <c r="TY421" s="509"/>
      <c r="TZ421" s="509"/>
      <c r="UA421" s="509"/>
      <c r="UB421" s="509"/>
      <c r="UC421" s="509"/>
      <c r="UD421" s="509"/>
      <c r="UE421" s="509"/>
      <c r="UF421" s="509"/>
      <c r="UG421" s="509"/>
      <c r="UH421" s="509"/>
      <c r="UI421" s="509"/>
    </row>
    <row r="422" spans="1:555" ht="81">
      <c r="A422" s="296">
        <v>606</v>
      </c>
      <c r="B422" s="297" t="s">
        <v>5299</v>
      </c>
      <c r="C422" s="298">
        <v>37559158</v>
      </c>
      <c r="D422" s="354"/>
      <c r="E422" s="299"/>
      <c r="F422" s="300"/>
      <c r="G422" s="301"/>
      <c r="H422" s="297"/>
      <c r="I422" s="297"/>
      <c r="J422" s="299"/>
      <c r="K422" s="300"/>
      <c r="L422" s="301"/>
      <c r="M422" s="297"/>
      <c r="N422" s="297"/>
      <c r="O422" s="299"/>
      <c r="P422" s="302"/>
      <c r="Q422" s="301"/>
      <c r="R422" s="297"/>
      <c r="S422" s="297"/>
      <c r="T422" s="299"/>
      <c r="U422" s="300"/>
      <c r="V422" s="301"/>
      <c r="W422" s="297"/>
      <c r="X422" s="297"/>
      <c r="Y422" s="299"/>
      <c r="Z422" s="300"/>
      <c r="AA422" s="301"/>
      <c r="AB422" s="297"/>
      <c r="AC422" s="297"/>
      <c r="AD422" s="299"/>
      <c r="AE422" s="300"/>
      <c r="AF422" s="301"/>
      <c r="AG422" s="297"/>
      <c r="AH422" s="297"/>
      <c r="AI422" s="322"/>
      <c r="AJ422" s="300"/>
      <c r="AK422" s="301"/>
      <c r="AL422" s="297"/>
      <c r="AM422" s="297"/>
      <c r="AN422" s="297"/>
      <c r="AO422" s="473"/>
      <c r="AP422" s="297"/>
      <c r="AQ422" s="301" t="s">
        <v>5300</v>
      </c>
      <c r="AR422" s="297" t="s">
        <v>66</v>
      </c>
      <c r="AS422" s="299" t="s">
        <v>67</v>
      </c>
      <c r="AT422" s="299" t="s">
        <v>67</v>
      </c>
      <c r="AU422" s="297" t="s">
        <v>3827</v>
      </c>
      <c r="AV422" s="297"/>
      <c r="AW422" s="297" t="s">
        <v>69</v>
      </c>
      <c r="AX422" s="297" t="s">
        <v>7681</v>
      </c>
      <c r="AY422" s="299"/>
      <c r="AZ422" s="297" t="s">
        <v>67</v>
      </c>
      <c r="BA422" s="299" t="s">
        <v>67</v>
      </c>
      <c r="BB422" s="382">
        <v>42922</v>
      </c>
      <c r="BC422" s="297" t="s">
        <v>3829</v>
      </c>
      <c r="BD422" s="297" t="s">
        <v>6447</v>
      </c>
      <c r="BE422" s="297"/>
      <c r="BF422" s="301"/>
      <c r="BG422" s="301"/>
      <c r="BH422" s="301" t="s">
        <v>5301</v>
      </c>
      <c r="BI422" s="301" t="s">
        <v>5302</v>
      </c>
      <c r="BJ422" s="312">
        <v>473254</v>
      </c>
      <c r="BK422" s="312">
        <v>473254</v>
      </c>
      <c r="BL422" s="313">
        <v>307253717</v>
      </c>
      <c r="BM422" s="299">
        <v>43032</v>
      </c>
      <c r="BN422" s="300">
        <v>43009</v>
      </c>
      <c r="BO422" s="434" t="s">
        <v>5303</v>
      </c>
      <c r="BP422" s="397"/>
      <c r="BQ422" s="398"/>
      <c r="BR422" s="320"/>
      <c r="BS422" s="301"/>
      <c r="BT422" s="301"/>
      <c r="BU422" s="301"/>
      <c r="BV422" s="301"/>
      <c r="BW422" s="316"/>
      <c r="BX422" s="304"/>
      <c r="BY422" s="299"/>
      <c r="BZ422" s="317"/>
    </row>
    <row r="423" spans="1:555" ht="54">
      <c r="A423" s="296">
        <v>607</v>
      </c>
      <c r="B423" s="297" t="s">
        <v>5304</v>
      </c>
      <c r="C423" s="298">
        <v>79848694</v>
      </c>
      <c r="D423" s="354"/>
      <c r="E423" s="299"/>
      <c r="F423" s="300"/>
      <c r="G423" s="301"/>
      <c r="H423" s="297"/>
      <c r="I423" s="297"/>
      <c r="J423" s="299"/>
      <c r="K423" s="300"/>
      <c r="L423" s="301"/>
      <c r="M423" s="297"/>
      <c r="N423" s="297"/>
      <c r="O423" s="299"/>
      <c r="P423" s="302"/>
      <c r="Q423" s="301"/>
      <c r="R423" s="297"/>
      <c r="S423" s="297"/>
      <c r="T423" s="299"/>
      <c r="U423" s="300"/>
      <c r="V423" s="301"/>
      <c r="W423" s="297"/>
      <c r="X423" s="297"/>
      <c r="Y423" s="299"/>
      <c r="Z423" s="300"/>
      <c r="AA423" s="301"/>
      <c r="AB423" s="297"/>
      <c r="AC423" s="297"/>
      <c r="AD423" s="299"/>
      <c r="AE423" s="300"/>
      <c r="AF423" s="301"/>
      <c r="AG423" s="297"/>
      <c r="AH423" s="297"/>
      <c r="AI423" s="322"/>
      <c r="AJ423" s="300"/>
      <c r="AK423" s="301"/>
      <c r="AL423" s="297"/>
      <c r="AM423" s="297"/>
      <c r="AN423" s="297"/>
      <c r="AO423" s="473"/>
      <c r="AP423" s="297"/>
      <c r="AQ423" s="301" t="s">
        <v>7855</v>
      </c>
      <c r="AR423" s="297" t="s">
        <v>66</v>
      </c>
      <c r="AS423" s="299" t="s">
        <v>67</v>
      </c>
      <c r="AT423" s="299" t="s">
        <v>67</v>
      </c>
      <c r="AU423" s="297" t="s">
        <v>3827</v>
      </c>
      <c r="AV423" s="297"/>
      <c r="AW423" s="297" t="s">
        <v>69</v>
      </c>
      <c r="AX423" s="297" t="s">
        <v>7856</v>
      </c>
      <c r="AY423" s="299">
        <v>42907</v>
      </c>
      <c r="AZ423" s="297" t="s">
        <v>67</v>
      </c>
      <c r="BA423" s="299" t="s">
        <v>67</v>
      </c>
      <c r="BB423" s="382" t="s">
        <v>5031</v>
      </c>
      <c r="BC423" s="297" t="s">
        <v>3829</v>
      </c>
      <c r="BD423" s="297" t="s">
        <v>6447</v>
      </c>
      <c r="BE423" s="297"/>
      <c r="BF423" s="301"/>
      <c r="BG423" s="301"/>
      <c r="BH423" s="301" t="s">
        <v>5305</v>
      </c>
      <c r="BI423" s="301" t="s">
        <v>5302</v>
      </c>
      <c r="BJ423" s="312">
        <v>394378</v>
      </c>
      <c r="BK423" s="312">
        <v>394378</v>
      </c>
      <c r="BL423" s="313">
        <v>307255517</v>
      </c>
      <c r="BM423" s="299">
        <v>43032</v>
      </c>
      <c r="BN423" s="300">
        <v>43009</v>
      </c>
      <c r="BO423" s="434" t="s">
        <v>5306</v>
      </c>
      <c r="BP423" s="397"/>
      <c r="BQ423" s="398"/>
      <c r="BR423" s="320"/>
      <c r="BS423" s="301"/>
      <c r="BT423" s="301"/>
      <c r="BU423" s="301"/>
      <c r="BV423" s="301"/>
      <c r="BW423" s="316"/>
      <c r="BX423" s="304"/>
      <c r="BY423" s="299"/>
      <c r="BZ423" s="317"/>
    </row>
    <row r="424" spans="1:555" ht="54">
      <c r="A424" s="296">
        <v>608</v>
      </c>
      <c r="B424" s="297" t="s">
        <v>3124</v>
      </c>
      <c r="C424" s="298">
        <v>10272278</v>
      </c>
      <c r="D424" s="354"/>
      <c r="E424" s="299"/>
      <c r="F424" s="300"/>
      <c r="G424" s="301"/>
      <c r="H424" s="297"/>
      <c r="I424" s="297"/>
      <c r="J424" s="299"/>
      <c r="K424" s="300"/>
      <c r="L424" s="301"/>
      <c r="M424" s="297"/>
      <c r="N424" s="297"/>
      <c r="O424" s="299"/>
      <c r="P424" s="302"/>
      <c r="Q424" s="301"/>
      <c r="R424" s="297"/>
      <c r="S424" s="297"/>
      <c r="T424" s="299"/>
      <c r="U424" s="300"/>
      <c r="V424" s="301"/>
      <c r="W424" s="297"/>
      <c r="X424" s="297"/>
      <c r="Y424" s="299"/>
      <c r="Z424" s="300"/>
      <c r="AA424" s="301"/>
      <c r="AB424" s="297"/>
      <c r="AC424" s="297"/>
      <c r="AD424" s="299"/>
      <c r="AE424" s="300"/>
      <c r="AF424" s="301"/>
      <c r="AG424" s="297"/>
      <c r="AH424" s="297"/>
      <c r="AI424" s="322"/>
      <c r="AJ424" s="300"/>
      <c r="AK424" s="301"/>
      <c r="AL424" s="297"/>
      <c r="AM424" s="297"/>
      <c r="AN424" s="297"/>
      <c r="AO424" s="473"/>
      <c r="AP424" s="297"/>
      <c r="AQ424" s="301" t="s">
        <v>7908</v>
      </c>
      <c r="AR424" s="297" t="s">
        <v>66</v>
      </c>
      <c r="AS424" s="299" t="s">
        <v>67</v>
      </c>
      <c r="AT424" s="299" t="s">
        <v>67</v>
      </c>
      <c r="AU424" s="297" t="s">
        <v>3827</v>
      </c>
      <c r="AV424" s="297"/>
      <c r="AW424" s="297" t="s">
        <v>69</v>
      </c>
      <c r="AX424" s="297" t="s">
        <v>7939</v>
      </c>
      <c r="AY424" s="299">
        <v>42872</v>
      </c>
      <c r="AZ424" s="297" t="s">
        <v>67</v>
      </c>
      <c r="BA424" s="299" t="s">
        <v>67</v>
      </c>
      <c r="BB424" s="382" t="s">
        <v>5307</v>
      </c>
      <c r="BC424" s="297" t="s">
        <v>3829</v>
      </c>
      <c r="BD424" s="297" t="s">
        <v>6447</v>
      </c>
      <c r="BE424" s="297"/>
      <c r="BF424" s="301"/>
      <c r="BG424" s="301"/>
      <c r="BH424" s="301" t="s">
        <v>5308</v>
      </c>
      <c r="BI424" s="301" t="s">
        <v>5302</v>
      </c>
      <c r="BJ424" s="312">
        <v>424778</v>
      </c>
      <c r="BK424" s="312">
        <v>424778</v>
      </c>
      <c r="BL424" s="313">
        <v>307256317</v>
      </c>
      <c r="BM424" s="299">
        <v>43032</v>
      </c>
      <c r="BN424" s="300">
        <v>43009</v>
      </c>
      <c r="BO424" s="434" t="s">
        <v>5309</v>
      </c>
      <c r="BP424" s="397"/>
      <c r="BQ424" s="398"/>
      <c r="BR424" s="320"/>
      <c r="BS424" s="301"/>
      <c r="BT424" s="301"/>
      <c r="BU424" s="301"/>
      <c r="BV424" s="301"/>
      <c r="BW424" s="316"/>
      <c r="BX424" s="304"/>
      <c r="BY424" s="299"/>
      <c r="BZ424" s="317"/>
    </row>
    <row r="425" spans="1:555" ht="40.5">
      <c r="A425" s="296">
        <v>609</v>
      </c>
      <c r="B425" s="297" t="s">
        <v>5310</v>
      </c>
      <c r="C425" s="298">
        <v>66989485</v>
      </c>
      <c r="D425" s="354"/>
      <c r="E425" s="299"/>
      <c r="F425" s="300"/>
      <c r="G425" s="301"/>
      <c r="H425" s="297"/>
      <c r="I425" s="297"/>
      <c r="J425" s="299"/>
      <c r="K425" s="300"/>
      <c r="L425" s="301"/>
      <c r="M425" s="297"/>
      <c r="N425" s="297"/>
      <c r="O425" s="299"/>
      <c r="P425" s="302"/>
      <c r="Q425" s="301"/>
      <c r="R425" s="297"/>
      <c r="S425" s="297"/>
      <c r="T425" s="299"/>
      <c r="U425" s="300"/>
      <c r="V425" s="301"/>
      <c r="W425" s="297"/>
      <c r="X425" s="297"/>
      <c r="Y425" s="299"/>
      <c r="Z425" s="300"/>
      <c r="AA425" s="301"/>
      <c r="AB425" s="297"/>
      <c r="AC425" s="297"/>
      <c r="AD425" s="299"/>
      <c r="AE425" s="300"/>
      <c r="AF425" s="301"/>
      <c r="AG425" s="297"/>
      <c r="AH425" s="297"/>
      <c r="AI425" s="322"/>
      <c r="AJ425" s="300"/>
      <c r="AK425" s="301"/>
      <c r="AL425" s="297"/>
      <c r="AM425" s="297"/>
      <c r="AN425" s="297"/>
      <c r="AO425" s="473"/>
      <c r="AP425" s="297"/>
      <c r="AQ425" s="301" t="s">
        <v>7786</v>
      </c>
      <c r="AR425" s="297" t="s">
        <v>66</v>
      </c>
      <c r="AS425" s="299" t="s">
        <v>67</v>
      </c>
      <c r="AT425" s="299" t="s">
        <v>67</v>
      </c>
      <c r="AU425" s="297" t="s">
        <v>3827</v>
      </c>
      <c r="AV425" s="297"/>
      <c r="AW425" s="297" t="s">
        <v>69</v>
      </c>
      <c r="AX425" s="297" t="s">
        <v>7787</v>
      </c>
      <c r="AY425" s="299">
        <v>42951</v>
      </c>
      <c r="AZ425" s="297" t="s">
        <v>67</v>
      </c>
      <c r="BA425" s="299" t="s">
        <v>67</v>
      </c>
      <c r="BB425" s="382">
        <v>42951</v>
      </c>
      <c r="BC425" s="297" t="s">
        <v>3829</v>
      </c>
      <c r="BD425" s="297" t="s">
        <v>6447</v>
      </c>
      <c r="BE425" s="297"/>
      <c r="BF425" s="301"/>
      <c r="BG425" s="301"/>
      <c r="BH425" s="301" t="s">
        <v>5311</v>
      </c>
      <c r="BI425" s="301"/>
      <c r="BJ425" s="312">
        <v>383296</v>
      </c>
      <c r="BK425" s="312">
        <v>383296</v>
      </c>
      <c r="BL425" s="313">
        <v>42835618</v>
      </c>
      <c r="BM425" s="299">
        <v>43158</v>
      </c>
      <c r="BN425" s="300">
        <v>43132</v>
      </c>
      <c r="BO425" s="434" t="s">
        <v>7788</v>
      </c>
      <c r="BP425" s="390"/>
      <c r="BQ425" s="297"/>
      <c r="BR425" s="303"/>
      <c r="BS425" s="301"/>
      <c r="BT425" s="301"/>
      <c r="BU425" s="301"/>
      <c r="BV425" s="301"/>
      <c r="BW425" s="316"/>
      <c r="BX425" s="304"/>
      <c r="BY425" s="299"/>
      <c r="BZ425" s="317"/>
    </row>
    <row r="426" spans="1:555" ht="81">
      <c r="A426" s="296">
        <v>622</v>
      </c>
      <c r="B426" s="297" t="s">
        <v>5383</v>
      </c>
      <c r="C426" s="298">
        <v>17594290</v>
      </c>
      <c r="D426" s="354" t="s">
        <v>667</v>
      </c>
      <c r="E426" s="299">
        <v>42881</v>
      </c>
      <c r="F426" s="300">
        <v>42856</v>
      </c>
      <c r="G426" s="301" t="s">
        <v>5384</v>
      </c>
      <c r="H426" s="297" t="s">
        <v>63</v>
      </c>
      <c r="I426" s="297" t="s">
        <v>79</v>
      </c>
      <c r="J426" s="299">
        <v>43089</v>
      </c>
      <c r="K426" s="300">
        <v>43070</v>
      </c>
      <c r="L426" s="301" t="s">
        <v>5385</v>
      </c>
      <c r="M426" s="297" t="s">
        <v>63</v>
      </c>
      <c r="N426" s="297" t="s">
        <v>5378</v>
      </c>
      <c r="O426" s="299">
        <v>43150</v>
      </c>
      <c r="P426" s="302">
        <v>43132</v>
      </c>
      <c r="Q426" s="301" t="s">
        <v>5386</v>
      </c>
      <c r="R426" s="297" t="s">
        <v>63</v>
      </c>
      <c r="S426" s="297" t="s">
        <v>2676</v>
      </c>
      <c r="T426" s="299">
        <v>43160</v>
      </c>
      <c r="U426" s="300">
        <v>43160</v>
      </c>
      <c r="V426" s="301" t="s">
        <v>2259</v>
      </c>
      <c r="W426" s="297" t="s">
        <v>5</v>
      </c>
      <c r="X426" s="297" t="s">
        <v>107</v>
      </c>
      <c r="Y426" s="299">
        <v>43230</v>
      </c>
      <c r="Z426" s="300">
        <v>43221</v>
      </c>
      <c r="AA426" s="301" t="s">
        <v>5387</v>
      </c>
      <c r="AB426" s="297" t="s">
        <v>63</v>
      </c>
      <c r="AC426" s="297" t="s">
        <v>1114</v>
      </c>
      <c r="AD426" s="299"/>
      <c r="AE426" s="300"/>
      <c r="AF426" s="301"/>
      <c r="AG426" s="297"/>
      <c r="AH426" s="297"/>
      <c r="AI426" s="322"/>
      <c r="AJ426" s="300"/>
      <c r="AK426" s="301"/>
      <c r="AL426" s="297"/>
      <c r="AM426" s="297"/>
      <c r="AN426" s="297"/>
      <c r="AO426" s="473"/>
      <c r="AP426" s="297"/>
      <c r="AQ426" s="301" t="s">
        <v>8152</v>
      </c>
      <c r="AR426" s="297" t="s">
        <v>66</v>
      </c>
      <c r="AS426" s="299">
        <v>37803</v>
      </c>
      <c r="AT426" s="299">
        <v>40663</v>
      </c>
      <c r="AU426" s="297" t="s">
        <v>5388</v>
      </c>
      <c r="AV426" s="297"/>
      <c r="AW426" s="297" t="s">
        <v>92</v>
      </c>
      <c r="AX426" s="297" t="s">
        <v>5389</v>
      </c>
      <c r="AY426" s="299">
        <v>41325</v>
      </c>
      <c r="AZ426" s="297" t="s">
        <v>67</v>
      </c>
      <c r="BA426" s="299" t="s">
        <v>67</v>
      </c>
      <c r="BB426" s="382">
        <v>41883</v>
      </c>
      <c r="BC426" s="297" t="s">
        <v>95</v>
      </c>
      <c r="BD426" s="297" t="s">
        <v>566</v>
      </c>
      <c r="BE426" s="297"/>
      <c r="BF426" s="301" t="s">
        <v>5390</v>
      </c>
      <c r="BG426" s="301"/>
      <c r="BH426" s="301" t="s">
        <v>5391</v>
      </c>
      <c r="BI426" s="301"/>
      <c r="BJ426" s="312">
        <v>178507122</v>
      </c>
      <c r="BK426" s="312">
        <v>178507122</v>
      </c>
      <c r="BL426" s="313">
        <v>115502618</v>
      </c>
      <c r="BM426" s="299">
        <v>43216</v>
      </c>
      <c r="BN426" s="300">
        <v>43191</v>
      </c>
      <c r="BO426" s="434" t="s">
        <v>5392</v>
      </c>
      <c r="BP426" s="397"/>
      <c r="BQ426" s="398"/>
      <c r="BR426" s="320"/>
      <c r="BS426" s="301"/>
      <c r="BT426" s="301"/>
      <c r="BU426" s="301"/>
      <c r="BV426" s="301"/>
      <c r="BW426" s="316"/>
      <c r="BX426" s="304"/>
      <c r="BY426" s="299"/>
      <c r="BZ426" s="317"/>
    </row>
    <row r="427" spans="1:555" ht="81.75" thickBot="1">
      <c r="A427" s="296">
        <v>627</v>
      </c>
      <c r="B427" s="297" t="s">
        <v>5408</v>
      </c>
      <c r="C427" s="298">
        <v>94371890</v>
      </c>
      <c r="D427" s="354" t="s">
        <v>1153</v>
      </c>
      <c r="E427" s="299">
        <v>42930</v>
      </c>
      <c r="F427" s="300">
        <v>42917</v>
      </c>
      <c r="G427" s="301" t="s">
        <v>5409</v>
      </c>
      <c r="H427" s="297" t="s">
        <v>5</v>
      </c>
      <c r="I427" s="297" t="s">
        <v>79</v>
      </c>
      <c r="J427" s="299"/>
      <c r="K427" s="300"/>
      <c r="L427" s="301"/>
      <c r="M427" s="297"/>
      <c r="N427" s="297"/>
      <c r="O427" s="299"/>
      <c r="P427" s="302"/>
      <c r="Q427" s="301"/>
      <c r="R427" s="297"/>
      <c r="S427" s="297"/>
      <c r="T427" s="299"/>
      <c r="U427" s="300"/>
      <c r="V427" s="301"/>
      <c r="W427" s="297"/>
      <c r="X427" s="297"/>
      <c r="Y427" s="299"/>
      <c r="Z427" s="300"/>
      <c r="AA427" s="301"/>
      <c r="AB427" s="297"/>
      <c r="AC427" s="297"/>
      <c r="AD427" s="299"/>
      <c r="AE427" s="300"/>
      <c r="AF427" s="301"/>
      <c r="AG427" s="297"/>
      <c r="AH427" s="297"/>
      <c r="AI427" s="322"/>
      <c r="AJ427" s="300"/>
      <c r="AK427" s="301"/>
      <c r="AL427" s="297"/>
      <c r="AM427" s="297"/>
      <c r="AN427" s="297"/>
      <c r="AO427" s="473"/>
      <c r="AP427" s="297"/>
      <c r="AQ427" s="301" t="s">
        <v>5410</v>
      </c>
      <c r="AR427" s="297" t="s">
        <v>66</v>
      </c>
      <c r="AS427" s="299">
        <v>38412</v>
      </c>
      <c r="AT427" s="299">
        <v>40633</v>
      </c>
      <c r="AU427" s="297" t="s">
        <v>5411</v>
      </c>
      <c r="AV427" s="297"/>
      <c r="AW427" s="297" t="s">
        <v>92</v>
      </c>
      <c r="AX427" s="297" t="s">
        <v>5412</v>
      </c>
      <c r="AY427" s="299" t="s">
        <v>5413</v>
      </c>
      <c r="AZ427" s="297" t="s">
        <v>5414</v>
      </c>
      <c r="BA427" s="299">
        <v>42803</v>
      </c>
      <c r="BB427" s="382">
        <v>42825</v>
      </c>
      <c r="BC427" s="297" t="s">
        <v>95</v>
      </c>
      <c r="BD427" s="297" t="s">
        <v>566</v>
      </c>
      <c r="BE427" s="297"/>
      <c r="BF427" s="301"/>
      <c r="BG427" s="301"/>
      <c r="BH427" s="301" t="s">
        <v>5415</v>
      </c>
      <c r="BI427" s="301"/>
      <c r="BJ427" s="312">
        <v>183209642</v>
      </c>
      <c r="BK427" s="312">
        <v>183209642</v>
      </c>
      <c r="BL427" s="313" t="s">
        <v>5416</v>
      </c>
      <c r="BM427" s="299">
        <v>43115</v>
      </c>
      <c r="BN427" s="300">
        <v>43101</v>
      </c>
      <c r="BO427" s="452" t="s">
        <v>5417</v>
      </c>
      <c r="BP427" s="396"/>
      <c r="BQ427" s="336"/>
      <c r="BR427" s="320"/>
      <c r="BS427" s="301"/>
      <c r="BT427" s="301"/>
      <c r="BU427" s="301"/>
      <c r="BV427" s="301"/>
      <c r="BW427" s="316"/>
      <c r="BX427" s="304"/>
      <c r="BY427" s="299"/>
      <c r="BZ427" s="317"/>
    </row>
    <row r="428" spans="1:555" ht="81">
      <c r="A428" s="296">
        <v>629</v>
      </c>
      <c r="B428" s="297" t="s">
        <v>5424</v>
      </c>
      <c r="C428" s="298">
        <v>1087997133</v>
      </c>
      <c r="D428" s="354"/>
      <c r="E428" s="299"/>
      <c r="F428" s="300"/>
      <c r="G428" s="301"/>
      <c r="H428" s="297"/>
      <c r="I428" s="297"/>
      <c r="J428" s="299"/>
      <c r="K428" s="300"/>
      <c r="L428" s="301"/>
      <c r="M428" s="297"/>
      <c r="N428" s="297"/>
      <c r="O428" s="299"/>
      <c r="P428" s="302"/>
      <c r="Q428" s="301"/>
      <c r="R428" s="297"/>
      <c r="S428" s="297"/>
      <c r="T428" s="299"/>
      <c r="U428" s="300"/>
      <c r="V428" s="301"/>
      <c r="W428" s="297"/>
      <c r="X428" s="297"/>
      <c r="Y428" s="299"/>
      <c r="Z428" s="300"/>
      <c r="AA428" s="301"/>
      <c r="AB428" s="297"/>
      <c r="AC428" s="297"/>
      <c r="AD428" s="299"/>
      <c r="AE428" s="300"/>
      <c r="AF428" s="301"/>
      <c r="AG428" s="297"/>
      <c r="AH428" s="297"/>
      <c r="AI428" s="322"/>
      <c r="AJ428" s="300"/>
      <c r="AK428" s="301"/>
      <c r="AL428" s="297"/>
      <c r="AM428" s="297"/>
      <c r="AN428" s="297"/>
      <c r="AO428" s="473"/>
      <c r="AP428" s="297"/>
      <c r="AQ428" s="301" t="s">
        <v>5425</v>
      </c>
      <c r="AR428" s="297" t="s">
        <v>66</v>
      </c>
      <c r="AS428" s="299"/>
      <c r="AT428" s="299"/>
      <c r="AU428" s="297" t="s">
        <v>3827</v>
      </c>
      <c r="AV428" s="297"/>
      <c r="AW428" s="297" t="s">
        <v>69</v>
      </c>
      <c r="AX428" s="297" t="s">
        <v>7642</v>
      </c>
      <c r="AY428" s="299">
        <v>43012</v>
      </c>
      <c r="AZ428" s="297" t="s">
        <v>67</v>
      </c>
      <c r="BA428" s="299" t="s">
        <v>67</v>
      </c>
      <c r="BB428" s="382" t="s">
        <v>5426</v>
      </c>
      <c r="BC428" s="297" t="s">
        <v>3829</v>
      </c>
      <c r="BD428" s="297" t="s">
        <v>6447</v>
      </c>
      <c r="BE428" s="297"/>
      <c r="BF428" s="301"/>
      <c r="BG428" s="301"/>
      <c r="BH428" s="301" t="s">
        <v>5427</v>
      </c>
      <c r="BI428" s="301" t="s">
        <v>5428</v>
      </c>
      <c r="BJ428" s="312">
        <v>346693</v>
      </c>
      <c r="BK428" s="312">
        <v>346693</v>
      </c>
      <c r="BL428" s="313">
        <v>307257817</v>
      </c>
      <c r="BM428" s="299">
        <v>43032</v>
      </c>
      <c r="BN428" s="300">
        <v>43009</v>
      </c>
      <c r="BO428" s="434" t="s">
        <v>5429</v>
      </c>
      <c r="BP428" s="396"/>
      <c r="BQ428" s="369"/>
      <c r="BR428" s="342"/>
      <c r="BS428" s="301"/>
      <c r="BT428" s="301"/>
      <c r="BU428" s="301"/>
      <c r="BV428" s="301"/>
      <c r="BW428" s="316"/>
      <c r="BX428" s="304"/>
      <c r="BY428" s="299"/>
      <c r="BZ428" s="317"/>
    </row>
    <row r="429" spans="1:555" ht="67.5">
      <c r="A429" s="296">
        <v>630</v>
      </c>
      <c r="B429" s="297" t="s">
        <v>5430</v>
      </c>
      <c r="C429" s="298">
        <v>94428898</v>
      </c>
      <c r="D429" s="354" t="s">
        <v>1153</v>
      </c>
      <c r="E429" s="299">
        <v>42964</v>
      </c>
      <c r="F429" s="300">
        <v>42948</v>
      </c>
      <c r="G429" s="301" t="s">
        <v>5431</v>
      </c>
      <c r="H429" s="297" t="s">
        <v>5</v>
      </c>
      <c r="I429" s="297" t="s">
        <v>79</v>
      </c>
      <c r="J429" s="299">
        <v>43237</v>
      </c>
      <c r="K429" s="300">
        <v>43221</v>
      </c>
      <c r="L429" s="301" t="s">
        <v>800</v>
      </c>
      <c r="M429" s="297" t="s">
        <v>5</v>
      </c>
      <c r="N429" s="297" t="s">
        <v>107</v>
      </c>
      <c r="O429" s="299">
        <v>43486</v>
      </c>
      <c r="P429" s="302">
        <v>43486</v>
      </c>
      <c r="Q429" s="301" t="s">
        <v>8026</v>
      </c>
      <c r="R429" s="297" t="s">
        <v>503</v>
      </c>
      <c r="S429" s="297" t="s">
        <v>8028</v>
      </c>
      <c r="T429" s="299"/>
      <c r="U429" s="300"/>
      <c r="V429" s="301"/>
      <c r="W429" s="297"/>
      <c r="X429" s="297"/>
      <c r="Y429" s="299"/>
      <c r="Z429" s="300"/>
      <c r="AA429" s="301"/>
      <c r="AB429" s="297"/>
      <c r="AC429" s="297"/>
      <c r="AD429" s="299"/>
      <c r="AE429" s="300"/>
      <c r="AF429" s="301"/>
      <c r="AG429" s="297"/>
      <c r="AH429" s="297"/>
      <c r="AI429" s="322"/>
      <c r="AJ429" s="300"/>
      <c r="AK429" s="301"/>
      <c r="AL429" s="297"/>
      <c r="AM429" s="297"/>
      <c r="AN429" s="297"/>
      <c r="AO429" s="473"/>
      <c r="AP429" s="297"/>
      <c r="AQ429" s="301" t="s">
        <v>5432</v>
      </c>
      <c r="AR429" s="297" t="s">
        <v>66</v>
      </c>
      <c r="AS429" s="299">
        <v>42750</v>
      </c>
      <c r="AT429" s="299">
        <v>40054</v>
      </c>
      <c r="AU429" s="297" t="s">
        <v>5433</v>
      </c>
      <c r="AV429" s="297"/>
      <c r="AW429" s="297" t="s">
        <v>92</v>
      </c>
      <c r="AX429" s="297" t="s">
        <v>5434</v>
      </c>
      <c r="AY429" s="299">
        <v>42625</v>
      </c>
      <c r="AZ429" s="297" t="s">
        <v>67</v>
      </c>
      <c r="BA429" s="297" t="s">
        <v>67</v>
      </c>
      <c r="BB429" s="382">
        <v>42825</v>
      </c>
      <c r="BC429" s="297" t="s">
        <v>95</v>
      </c>
      <c r="BD429" s="297" t="s">
        <v>566</v>
      </c>
      <c r="BE429" s="297"/>
      <c r="BF429" s="301"/>
      <c r="BG429" s="301"/>
      <c r="BH429" s="301" t="s">
        <v>5435</v>
      </c>
      <c r="BI429" s="301"/>
      <c r="BJ429" s="312">
        <v>45345712</v>
      </c>
      <c r="BK429" s="312">
        <v>45345712</v>
      </c>
      <c r="BL429" s="313" t="s">
        <v>5436</v>
      </c>
      <c r="BM429" s="299">
        <v>43115</v>
      </c>
      <c r="BN429" s="300">
        <v>43101</v>
      </c>
      <c r="BO429" s="434" t="s">
        <v>5437</v>
      </c>
      <c r="BP429" s="396">
        <v>6337400</v>
      </c>
      <c r="BQ429" s="336" t="s">
        <v>7467</v>
      </c>
      <c r="BR429" s="320"/>
      <c r="BS429" s="301"/>
      <c r="BT429" s="301"/>
      <c r="BU429" s="301"/>
      <c r="BV429" s="301"/>
      <c r="BW429" s="316"/>
      <c r="BX429" s="304"/>
      <c r="BY429" s="299"/>
      <c r="BZ429" s="317"/>
    </row>
    <row r="430" spans="1:555" ht="270">
      <c r="A430" s="296">
        <v>656</v>
      </c>
      <c r="B430" s="297" t="s">
        <v>5613</v>
      </c>
      <c r="C430" s="298">
        <v>88154887</v>
      </c>
      <c r="D430" s="354" t="s">
        <v>5614</v>
      </c>
      <c r="E430" s="299">
        <v>41975</v>
      </c>
      <c r="F430" s="300">
        <v>41974</v>
      </c>
      <c r="G430" s="301" t="s">
        <v>5615</v>
      </c>
      <c r="H430" s="297" t="s">
        <v>195</v>
      </c>
      <c r="I430" s="297" t="s">
        <v>551</v>
      </c>
      <c r="J430" s="299">
        <v>43026</v>
      </c>
      <c r="K430" s="300">
        <v>43009</v>
      </c>
      <c r="L430" s="301" t="s">
        <v>5616</v>
      </c>
      <c r="M430" s="297" t="s">
        <v>208</v>
      </c>
      <c r="N430" s="297" t="s">
        <v>1114</v>
      </c>
      <c r="O430" s="299">
        <v>43027</v>
      </c>
      <c r="P430" s="302">
        <v>43009</v>
      </c>
      <c r="Q430" s="301" t="s">
        <v>5617</v>
      </c>
      <c r="R430" s="297" t="s">
        <v>208</v>
      </c>
      <c r="S430" s="297" t="s">
        <v>107</v>
      </c>
      <c r="T430" s="299">
        <v>43104</v>
      </c>
      <c r="U430" s="300">
        <v>43101</v>
      </c>
      <c r="V430" s="301" t="s">
        <v>5618</v>
      </c>
      <c r="W430" s="297" t="s">
        <v>5619</v>
      </c>
      <c r="X430" s="297" t="s">
        <v>3939</v>
      </c>
      <c r="Y430" s="299">
        <v>43164</v>
      </c>
      <c r="Z430" s="300">
        <v>43160</v>
      </c>
      <c r="AA430" s="301" t="s">
        <v>5620</v>
      </c>
      <c r="AB430" s="297" t="s">
        <v>208</v>
      </c>
      <c r="AC430" s="297" t="s">
        <v>3939</v>
      </c>
      <c r="AD430" s="299" t="s">
        <v>5621</v>
      </c>
      <c r="AE430" s="300" t="s">
        <v>5622</v>
      </c>
      <c r="AF430" s="301" t="s">
        <v>5623</v>
      </c>
      <c r="AG430" s="297" t="s">
        <v>5624</v>
      </c>
      <c r="AH430" s="297" t="s">
        <v>5625</v>
      </c>
      <c r="AI430" s="299">
        <v>43372</v>
      </c>
      <c r="AJ430" s="300">
        <v>43372</v>
      </c>
      <c r="AK430" s="315" t="s">
        <v>5626</v>
      </c>
      <c r="AL430" s="297" t="s">
        <v>5</v>
      </c>
      <c r="AM430" s="297" t="s">
        <v>107</v>
      </c>
      <c r="AN430" s="297" t="s">
        <v>908</v>
      </c>
      <c r="AO430" s="473"/>
      <c r="AP430" s="297"/>
      <c r="AQ430" s="301" t="s">
        <v>5627</v>
      </c>
      <c r="AR430" s="297" t="s">
        <v>66</v>
      </c>
      <c r="AS430" s="299" t="s">
        <v>5628</v>
      </c>
      <c r="AT430" s="299">
        <v>39813</v>
      </c>
      <c r="AU430" s="297" t="s">
        <v>5629</v>
      </c>
      <c r="AV430" s="297"/>
      <c r="AW430" s="297" t="s">
        <v>92</v>
      </c>
      <c r="AX430" s="297" t="s">
        <v>5630</v>
      </c>
      <c r="AY430" s="299">
        <v>41472</v>
      </c>
      <c r="AZ430" s="297" t="s">
        <v>5631</v>
      </c>
      <c r="BA430" s="299">
        <v>41900</v>
      </c>
      <c r="BB430" s="382">
        <v>41913</v>
      </c>
      <c r="BC430" s="297" t="s">
        <v>95</v>
      </c>
      <c r="BD430" s="297" t="s">
        <v>566</v>
      </c>
      <c r="BE430" s="297"/>
      <c r="BF430" s="301"/>
      <c r="BG430" s="301"/>
      <c r="BH430" s="301" t="s">
        <v>5632</v>
      </c>
      <c r="BI430" s="301"/>
      <c r="BJ430" s="312">
        <v>85085404</v>
      </c>
      <c r="BK430" s="312">
        <v>85085404</v>
      </c>
      <c r="BL430" s="313">
        <v>160820218</v>
      </c>
      <c r="BM430" s="299">
        <v>43250</v>
      </c>
      <c r="BN430" s="300">
        <v>43221</v>
      </c>
      <c r="BO430" s="434" t="s">
        <v>5633</v>
      </c>
      <c r="BP430" s="397"/>
      <c r="BQ430" s="398"/>
      <c r="BR430" s="320"/>
      <c r="BS430" s="301"/>
      <c r="BT430" s="301"/>
      <c r="BU430" s="301"/>
      <c r="BV430" s="301"/>
      <c r="BW430" s="316"/>
      <c r="BX430" s="304"/>
      <c r="BY430" s="299"/>
      <c r="BZ430" s="317"/>
    </row>
    <row r="431" spans="1:555" ht="409.5">
      <c r="A431" s="296">
        <v>660</v>
      </c>
      <c r="B431" s="297" t="s">
        <v>8498</v>
      </c>
      <c r="C431" s="298" t="s">
        <v>8559</v>
      </c>
      <c r="D431" s="354" t="s">
        <v>5659</v>
      </c>
      <c r="E431" s="299">
        <v>43012</v>
      </c>
      <c r="F431" s="300">
        <v>43009</v>
      </c>
      <c r="G431" s="301" t="s">
        <v>5660</v>
      </c>
      <c r="H431" s="297" t="s">
        <v>5</v>
      </c>
      <c r="I431" s="297" t="s">
        <v>5661</v>
      </c>
      <c r="J431" s="299">
        <v>43053</v>
      </c>
      <c r="K431" s="300">
        <v>43040</v>
      </c>
      <c r="L431" s="301" t="s">
        <v>5662</v>
      </c>
      <c r="M431" s="297" t="s">
        <v>5</v>
      </c>
      <c r="N431" s="297" t="s">
        <v>5663</v>
      </c>
      <c r="O431" s="299">
        <v>43131</v>
      </c>
      <c r="P431" s="302">
        <v>43101</v>
      </c>
      <c r="Q431" s="301" t="s">
        <v>5664</v>
      </c>
      <c r="R431" s="297" t="s">
        <v>5</v>
      </c>
      <c r="S431" s="297" t="s">
        <v>5665</v>
      </c>
      <c r="T431" s="299">
        <v>43207</v>
      </c>
      <c r="U431" s="300">
        <v>43191</v>
      </c>
      <c r="V431" s="301" t="s">
        <v>5666</v>
      </c>
      <c r="W431" s="297" t="s">
        <v>5</v>
      </c>
      <c r="X431" s="297" t="s">
        <v>107</v>
      </c>
      <c r="Y431" s="305">
        <v>43312</v>
      </c>
      <c r="Z431" s="300">
        <v>43312</v>
      </c>
      <c r="AA431" s="315" t="s">
        <v>5667</v>
      </c>
      <c r="AB431" s="297" t="s">
        <v>208</v>
      </c>
      <c r="AC431" s="315" t="s">
        <v>85</v>
      </c>
      <c r="AD431" s="305">
        <v>43420</v>
      </c>
      <c r="AE431" s="300">
        <v>43420</v>
      </c>
      <c r="AF431" s="301" t="s">
        <v>7429</v>
      </c>
      <c r="AG431" s="297" t="s">
        <v>5</v>
      </c>
      <c r="AH431" s="297" t="s">
        <v>107</v>
      </c>
      <c r="AI431" s="299">
        <v>43438</v>
      </c>
      <c r="AJ431" s="300">
        <v>43438</v>
      </c>
      <c r="AK431" s="301" t="s">
        <v>7931</v>
      </c>
      <c r="AL431" s="297" t="s">
        <v>5</v>
      </c>
      <c r="AM431" s="297" t="s">
        <v>85</v>
      </c>
      <c r="AN431" s="297" t="s">
        <v>430</v>
      </c>
      <c r="AO431" s="479">
        <v>43012</v>
      </c>
      <c r="AP431" s="297"/>
      <c r="AQ431" s="301" t="s">
        <v>5668</v>
      </c>
      <c r="AR431" s="297" t="s">
        <v>161</v>
      </c>
      <c r="AS431" s="299" t="s">
        <v>67</v>
      </c>
      <c r="AT431" s="299" t="s">
        <v>67</v>
      </c>
      <c r="AU431" s="297" t="s">
        <v>7932</v>
      </c>
      <c r="AV431" s="297"/>
      <c r="AW431" s="297" t="s">
        <v>92</v>
      </c>
      <c r="AX431" s="297" t="s">
        <v>5669</v>
      </c>
      <c r="AY431" s="299">
        <v>41717</v>
      </c>
      <c r="AZ431" s="297" t="s">
        <v>8210</v>
      </c>
      <c r="BA431" s="299">
        <v>41759</v>
      </c>
      <c r="BB431" s="382">
        <v>41922</v>
      </c>
      <c r="BC431" s="303" t="s">
        <v>561</v>
      </c>
      <c r="BD431" s="303" t="s">
        <v>566</v>
      </c>
      <c r="BE431" s="297" t="s">
        <v>5670</v>
      </c>
      <c r="BF431" s="301" t="s">
        <v>8739</v>
      </c>
      <c r="BG431" s="301"/>
      <c r="BH431" s="301" t="s">
        <v>8834</v>
      </c>
      <c r="BI431" s="301"/>
      <c r="BJ431" s="312">
        <f>+[78]MATRIZ!$J$27</f>
        <v>736555418.58903086</v>
      </c>
      <c r="BK431" s="312">
        <v>755209409</v>
      </c>
      <c r="BL431" s="313">
        <v>151349719</v>
      </c>
      <c r="BM431" s="299">
        <v>43630</v>
      </c>
      <c r="BN431" s="300">
        <v>43630</v>
      </c>
      <c r="BO431" s="460" t="s">
        <v>8835</v>
      </c>
      <c r="BP431" s="390"/>
      <c r="BQ431" s="297"/>
      <c r="BR431" s="303"/>
      <c r="BS431" s="301"/>
      <c r="BT431" s="301"/>
      <c r="BU431" s="301"/>
      <c r="BV431" s="301"/>
      <c r="BW431" s="316"/>
      <c r="BX431" s="304"/>
      <c r="BY431" s="299"/>
      <c r="BZ431" s="317"/>
    </row>
    <row r="432" spans="1:555" ht="94.5">
      <c r="A432" s="296">
        <v>666</v>
      </c>
      <c r="B432" s="297" t="s">
        <v>5704</v>
      </c>
      <c r="C432" s="298">
        <v>72149771</v>
      </c>
      <c r="D432" s="354" t="s">
        <v>667</v>
      </c>
      <c r="E432" s="299">
        <v>43089</v>
      </c>
      <c r="F432" s="300">
        <v>43070</v>
      </c>
      <c r="G432" s="301" t="s">
        <v>5705</v>
      </c>
      <c r="H432" s="297" t="s">
        <v>5</v>
      </c>
      <c r="I432" s="297" t="s">
        <v>3375</v>
      </c>
      <c r="J432" s="299">
        <v>43150</v>
      </c>
      <c r="K432" s="300">
        <v>43132</v>
      </c>
      <c r="L432" s="301" t="s">
        <v>1142</v>
      </c>
      <c r="M432" s="297" t="s">
        <v>63</v>
      </c>
      <c r="N432" s="297" t="s">
        <v>107</v>
      </c>
      <c r="O432" s="299">
        <v>43160</v>
      </c>
      <c r="P432" s="302">
        <v>43160</v>
      </c>
      <c r="Q432" s="301" t="s">
        <v>2259</v>
      </c>
      <c r="R432" s="297" t="s">
        <v>5</v>
      </c>
      <c r="S432" s="297" t="s">
        <v>107</v>
      </c>
      <c r="T432" s="299"/>
      <c r="U432" s="300"/>
      <c r="V432" s="301"/>
      <c r="W432" s="297"/>
      <c r="X432" s="297"/>
      <c r="Y432" s="299"/>
      <c r="Z432" s="300"/>
      <c r="AA432" s="301"/>
      <c r="AB432" s="297"/>
      <c r="AC432" s="297"/>
      <c r="AD432" s="299"/>
      <c r="AE432" s="300"/>
      <c r="AF432" s="301"/>
      <c r="AG432" s="297"/>
      <c r="AH432" s="297"/>
      <c r="AI432" s="322"/>
      <c r="AJ432" s="300"/>
      <c r="AK432" s="301"/>
      <c r="AL432" s="297"/>
      <c r="AM432" s="297"/>
      <c r="AN432" s="297" t="s">
        <v>5706</v>
      </c>
      <c r="AO432" s="479">
        <v>43151</v>
      </c>
      <c r="AP432" s="297" t="s">
        <v>2558</v>
      </c>
      <c r="AQ432" s="301" t="s">
        <v>5707</v>
      </c>
      <c r="AR432" s="297" t="s">
        <v>161</v>
      </c>
      <c r="AS432" s="299">
        <v>38777</v>
      </c>
      <c r="AT432" s="299">
        <v>40614</v>
      </c>
      <c r="AU432" s="297" t="s">
        <v>5708</v>
      </c>
      <c r="AV432" s="297"/>
      <c r="AW432" s="297" t="s">
        <v>92</v>
      </c>
      <c r="AX432" s="297" t="s">
        <v>5709</v>
      </c>
      <c r="AY432" s="299">
        <v>41789</v>
      </c>
      <c r="AZ432" s="297" t="s">
        <v>67</v>
      </c>
      <c r="BA432" s="299" t="s">
        <v>67</v>
      </c>
      <c r="BB432" s="382">
        <v>41837</v>
      </c>
      <c r="BC432" s="297" t="s">
        <v>95</v>
      </c>
      <c r="BD432" s="297" t="s">
        <v>566</v>
      </c>
      <c r="BE432" s="297"/>
      <c r="BF432" s="301" t="s">
        <v>4972</v>
      </c>
      <c r="BG432" s="301"/>
      <c r="BH432" s="301" t="s">
        <v>8345</v>
      </c>
      <c r="BI432" s="301"/>
      <c r="BJ432" s="312">
        <f>+[79]MATRIZ!$J$72</f>
        <v>148000990.17107144</v>
      </c>
      <c r="BK432" s="312">
        <v>148000990</v>
      </c>
      <c r="BL432" s="313">
        <v>66745019</v>
      </c>
      <c r="BM432" s="299">
        <v>43553</v>
      </c>
      <c r="BN432" s="300">
        <v>43553</v>
      </c>
      <c r="BO432" s="460"/>
      <c r="BP432" s="390">
        <v>19851634</v>
      </c>
      <c r="BQ432" s="297" t="s">
        <v>9123</v>
      </c>
      <c r="BR432" s="303"/>
      <c r="BS432" s="301"/>
      <c r="BT432" s="301"/>
      <c r="BU432" s="301"/>
      <c r="BV432" s="301"/>
      <c r="BW432" s="316"/>
      <c r="BX432" s="304"/>
      <c r="BY432" s="299"/>
      <c r="BZ432" s="317"/>
    </row>
    <row r="433" spans="1:78" ht="54">
      <c r="A433" s="296">
        <v>671</v>
      </c>
      <c r="B433" s="297" t="s">
        <v>5733</v>
      </c>
      <c r="C433" s="298" t="s">
        <v>5734</v>
      </c>
      <c r="D433" s="354"/>
      <c r="E433" s="299">
        <v>43486</v>
      </c>
      <c r="F433" s="300">
        <v>43486</v>
      </c>
      <c r="G433" s="301" t="s">
        <v>8026</v>
      </c>
      <c r="H433" s="297" t="s">
        <v>503</v>
      </c>
      <c r="I433" s="297" t="s">
        <v>8028</v>
      </c>
      <c r="J433" s="299"/>
      <c r="K433" s="300"/>
      <c r="L433" s="301"/>
      <c r="M433" s="297"/>
      <c r="N433" s="297"/>
      <c r="O433" s="299"/>
      <c r="P433" s="302"/>
      <c r="Q433" s="301"/>
      <c r="R433" s="297"/>
      <c r="S433" s="297"/>
      <c r="T433" s="299"/>
      <c r="U433" s="300"/>
      <c r="V433" s="301"/>
      <c r="W433" s="297"/>
      <c r="X433" s="297"/>
      <c r="Y433" s="299"/>
      <c r="Z433" s="300"/>
      <c r="AA433" s="301"/>
      <c r="AB433" s="297"/>
      <c r="AC433" s="297"/>
      <c r="AD433" s="299"/>
      <c r="AE433" s="300"/>
      <c r="AF433" s="301"/>
      <c r="AG433" s="297"/>
      <c r="AH433" s="297"/>
      <c r="AI433" s="322"/>
      <c r="AJ433" s="300"/>
      <c r="AK433" s="301"/>
      <c r="AL433" s="297"/>
      <c r="AM433" s="297"/>
      <c r="AN433" s="297"/>
      <c r="AO433" s="473"/>
      <c r="AP433" s="297"/>
      <c r="AQ433" s="301" t="s">
        <v>5735</v>
      </c>
      <c r="AR433" s="297" t="s">
        <v>66</v>
      </c>
      <c r="AS433" s="299" t="s">
        <v>67</v>
      </c>
      <c r="AT433" s="299" t="s">
        <v>67</v>
      </c>
      <c r="AU433" s="297" t="s">
        <v>5736</v>
      </c>
      <c r="AV433" s="297"/>
      <c r="AW433" s="297" t="s">
        <v>69</v>
      </c>
      <c r="AX433" s="297" t="s">
        <v>5737</v>
      </c>
      <c r="AY433" s="299">
        <v>43061</v>
      </c>
      <c r="AZ433" s="297" t="s">
        <v>67</v>
      </c>
      <c r="BA433" s="297" t="s">
        <v>67</v>
      </c>
      <c r="BB433" s="382"/>
      <c r="BC433" s="297" t="s">
        <v>5736</v>
      </c>
      <c r="BD433" s="297"/>
      <c r="BE433" s="297"/>
      <c r="BF433" s="301"/>
      <c r="BG433" s="301"/>
      <c r="BH433" s="301" t="s">
        <v>5738</v>
      </c>
      <c r="BI433" s="301"/>
      <c r="BJ433" s="312">
        <v>215193856</v>
      </c>
      <c r="BK433" s="312">
        <v>215193856</v>
      </c>
      <c r="BL433" s="313">
        <v>7808818</v>
      </c>
      <c r="BM433" s="299">
        <v>43122</v>
      </c>
      <c r="BN433" s="300">
        <v>43101</v>
      </c>
      <c r="BO433" s="434" t="s">
        <v>7928</v>
      </c>
      <c r="BP433" s="397"/>
      <c r="BQ433" s="398"/>
      <c r="BR433" s="320"/>
      <c r="BS433" s="301"/>
      <c r="BT433" s="301"/>
      <c r="BU433" s="301"/>
      <c r="BV433" s="301"/>
      <c r="BW433" s="316"/>
      <c r="BX433" s="304"/>
      <c r="BY433" s="299"/>
      <c r="BZ433" s="317"/>
    </row>
    <row r="434" spans="1:78" ht="54">
      <c r="A434" s="296">
        <v>672</v>
      </c>
      <c r="B434" s="297" t="s">
        <v>5739</v>
      </c>
      <c r="C434" s="298" t="s">
        <v>5740</v>
      </c>
      <c r="D434" s="354"/>
      <c r="E434" s="299">
        <v>43151</v>
      </c>
      <c r="F434" s="300">
        <v>43132</v>
      </c>
      <c r="G434" s="301" t="s">
        <v>271</v>
      </c>
      <c r="H434" s="297" t="s">
        <v>171</v>
      </c>
      <c r="I434" s="297" t="s">
        <v>1690</v>
      </c>
      <c r="J434" s="299"/>
      <c r="K434" s="300"/>
      <c r="L434" s="301"/>
      <c r="M434" s="297"/>
      <c r="N434" s="297"/>
      <c r="O434" s="299"/>
      <c r="P434" s="302"/>
      <c r="Q434" s="301"/>
      <c r="R434" s="297"/>
      <c r="S434" s="297"/>
      <c r="T434" s="299"/>
      <c r="U434" s="300"/>
      <c r="V434" s="301"/>
      <c r="W434" s="297"/>
      <c r="X434" s="297"/>
      <c r="Y434" s="299"/>
      <c r="Z434" s="300"/>
      <c r="AA434" s="301"/>
      <c r="AB434" s="297"/>
      <c r="AC434" s="297"/>
      <c r="AD434" s="299"/>
      <c r="AE434" s="300"/>
      <c r="AF434" s="301"/>
      <c r="AG434" s="297"/>
      <c r="AH434" s="297"/>
      <c r="AI434" s="322"/>
      <c r="AJ434" s="300"/>
      <c r="AK434" s="301"/>
      <c r="AL434" s="297"/>
      <c r="AM434" s="297"/>
      <c r="AN434" s="297"/>
      <c r="AO434" s="473"/>
      <c r="AP434" s="297"/>
      <c r="AQ434" s="301" t="s">
        <v>5741</v>
      </c>
      <c r="AR434" s="297" t="s">
        <v>66</v>
      </c>
      <c r="AS434" s="299" t="s">
        <v>67</v>
      </c>
      <c r="AT434" s="299" t="s">
        <v>67</v>
      </c>
      <c r="AU434" s="297" t="s">
        <v>5736</v>
      </c>
      <c r="AV434" s="297"/>
      <c r="AW434" s="297" t="s">
        <v>69</v>
      </c>
      <c r="AX434" s="297" t="s">
        <v>5742</v>
      </c>
      <c r="AY434" s="299" t="s">
        <v>5743</v>
      </c>
      <c r="AZ434" s="297" t="s">
        <v>67</v>
      </c>
      <c r="BA434" s="297" t="s">
        <v>67</v>
      </c>
      <c r="BB434" s="382"/>
      <c r="BC434" s="297" t="s">
        <v>5736</v>
      </c>
      <c r="BD434" s="297"/>
      <c r="BE434" s="297"/>
      <c r="BF434" s="301"/>
      <c r="BG434" s="301"/>
      <c r="BH434" s="301" t="s">
        <v>5744</v>
      </c>
      <c r="BI434" s="301"/>
      <c r="BJ434" s="312">
        <v>1685861080</v>
      </c>
      <c r="BK434" s="312">
        <v>1685861080</v>
      </c>
      <c r="BL434" s="313">
        <v>7766718</v>
      </c>
      <c r="BM434" s="299">
        <v>43122</v>
      </c>
      <c r="BN434" s="300">
        <v>43101</v>
      </c>
      <c r="BO434" s="434" t="s">
        <v>7928</v>
      </c>
      <c r="BP434" s="397"/>
      <c r="BQ434" s="398"/>
      <c r="BR434" s="320"/>
      <c r="BS434" s="301"/>
      <c r="BT434" s="301"/>
      <c r="BU434" s="301"/>
      <c r="BV434" s="301"/>
      <c r="BW434" s="316"/>
      <c r="BX434" s="304"/>
      <c r="BY434" s="299"/>
      <c r="BZ434" s="317"/>
    </row>
    <row r="435" spans="1:78" ht="78" customHeight="1">
      <c r="A435" s="296">
        <v>686</v>
      </c>
      <c r="B435" s="297" t="s">
        <v>5839</v>
      </c>
      <c r="C435" s="298">
        <v>25289397</v>
      </c>
      <c r="D435" s="354"/>
      <c r="E435" s="299"/>
      <c r="F435" s="300"/>
      <c r="G435" s="301"/>
      <c r="H435" s="297"/>
      <c r="I435" s="297"/>
      <c r="J435" s="299"/>
      <c r="K435" s="300"/>
      <c r="L435" s="301"/>
      <c r="M435" s="297"/>
      <c r="N435" s="297"/>
      <c r="O435" s="299"/>
      <c r="P435" s="302"/>
      <c r="Q435" s="301"/>
      <c r="R435" s="297"/>
      <c r="S435" s="297"/>
      <c r="T435" s="299"/>
      <c r="U435" s="300"/>
      <c r="V435" s="301"/>
      <c r="W435" s="297"/>
      <c r="X435" s="297"/>
      <c r="Y435" s="299"/>
      <c r="Z435" s="300"/>
      <c r="AA435" s="301"/>
      <c r="AB435" s="297"/>
      <c r="AC435" s="297"/>
      <c r="AD435" s="299"/>
      <c r="AE435" s="300"/>
      <c r="AF435" s="301"/>
      <c r="AG435" s="297"/>
      <c r="AH435" s="297"/>
      <c r="AI435" s="322"/>
      <c r="AJ435" s="300"/>
      <c r="AK435" s="301"/>
      <c r="AL435" s="297"/>
      <c r="AM435" s="297"/>
      <c r="AN435" s="297"/>
      <c r="AO435" s="473"/>
      <c r="AP435" s="297"/>
      <c r="AQ435" s="301" t="s">
        <v>7795</v>
      </c>
      <c r="AR435" s="297" t="s">
        <v>66</v>
      </c>
      <c r="AS435" s="299" t="s">
        <v>67</v>
      </c>
      <c r="AT435" s="299" t="s">
        <v>67</v>
      </c>
      <c r="AU435" s="297" t="s">
        <v>3827</v>
      </c>
      <c r="AV435" s="297"/>
      <c r="AW435" s="297" t="s">
        <v>69</v>
      </c>
      <c r="AX435" s="297" t="s">
        <v>7796</v>
      </c>
      <c r="AY435" s="299">
        <v>42996</v>
      </c>
      <c r="AZ435" s="297" t="s">
        <v>67</v>
      </c>
      <c r="BA435" s="297" t="s">
        <v>67</v>
      </c>
      <c r="BB435" s="382" t="s">
        <v>5840</v>
      </c>
      <c r="BC435" s="297" t="s">
        <v>3829</v>
      </c>
      <c r="BD435" s="297" t="s">
        <v>6447</v>
      </c>
      <c r="BE435" s="297"/>
      <c r="BF435" s="301"/>
      <c r="BG435" s="301"/>
      <c r="BH435" s="301" t="s">
        <v>5841</v>
      </c>
      <c r="BI435" s="301"/>
      <c r="BJ435" s="312">
        <v>90574</v>
      </c>
      <c r="BK435" s="312">
        <v>90574</v>
      </c>
      <c r="BL435" s="313">
        <v>6712518</v>
      </c>
      <c r="BM435" s="299">
        <v>43119</v>
      </c>
      <c r="BN435" s="300">
        <v>43101</v>
      </c>
      <c r="BO435" s="434" t="s">
        <v>7797</v>
      </c>
      <c r="BP435" s="390"/>
      <c r="BQ435" s="297"/>
      <c r="BR435" s="303"/>
      <c r="BS435" s="301"/>
      <c r="BT435" s="301"/>
      <c r="BU435" s="301"/>
      <c r="BV435" s="301"/>
      <c r="BW435" s="316"/>
      <c r="BX435" s="304"/>
      <c r="BY435" s="299"/>
      <c r="BZ435" s="317"/>
    </row>
    <row r="436" spans="1:78" ht="54">
      <c r="A436" s="296">
        <v>687</v>
      </c>
      <c r="B436" s="297" t="s">
        <v>5710</v>
      </c>
      <c r="C436" s="298">
        <v>71666066</v>
      </c>
      <c r="D436" s="354"/>
      <c r="E436" s="299"/>
      <c r="F436" s="300"/>
      <c r="G436" s="301"/>
      <c r="H436" s="297"/>
      <c r="I436" s="297"/>
      <c r="J436" s="299"/>
      <c r="K436" s="300"/>
      <c r="L436" s="301"/>
      <c r="M436" s="297"/>
      <c r="N436" s="297"/>
      <c r="O436" s="299"/>
      <c r="P436" s="302"/>
      <c r="Q436" s="301"/>
      <c r="R436" s="297"/>
      <c r="S436" s="297"/>
      <c r="T436" s="299"/>
      <c r="U436" s="300"/>
      <c r="V436" s="301"/>
      <c r="W436" s="297"/>
      <c r="X436" s="297"/>
      <c r="Y436" s="299"/>
      <c r="Z436" s="300"/>
      <c r="AA436" s="301"/>
      <c r="AB436" s="297"/>
      <c r="AC436" s="297"/>
      <c r="AD436" s="299"/>
      <c r="AE436" s="300"/>
      <c r="AF436" s="301"/>
      <c r="AG436" s="297"/>
      <c r="AH436" s="297"/>
      <c r="AI436" s="322"/>
      <c r="AJ436" s="300"/>
      <c r="AK436" s="301"/>
      <c r="AL436" s="297"/>
      <c r="AM436" s="297"/>
      <c r="AN436" s="297"/>
      <c r="AO436" s="473"/>
      <c r="AP436" s="297"/>
      <c r="AQ436" s="301" t="s">
        <v>7680</v>
      </c>
      <c r="AR436" s="297" t="s">
        <v>66</v>
      </c>
      <c r="AS436" s="299" t="s">
        <v>67</v>
      </c>
      <c r="AT436" s="299" t="s">
        <v>67</v>
      </c>
      <c r="AU436" s="297" t="s">
        <v>3827</v>
      </c>
      <c r="AV436" s="297"/>
      <c r="AW436" s="297" t="s">
        <v>69</v>
      </c>
      <c r="AX436" s="297" t="s">
        <v>7613</v>
      </c>
      <c r="AY436" s="299">
        <v>43075</v>
      </c>
      <c r="AZ436" s="297" t="s">
        <v>67</v>
      </c>
      <c r="BA436" s="297" t="s">
        <v>67</v>
      </c>
      <c r="BB436" s="382" t="s">
        <v>5842</v>
      </c>
      <c r="BC436" s="297" t="s">
        <v>3829</v>
      </c>
      <c r="BD436" s="297" t="s">
        <v>6447</v>
      </c>
      <c r="BE436" s="297"/>
      <c r="BF436" s="301"/>
      <c r="BG436" s="301"/>
      <c r="BH436" s="301" t="s">
        <v>5843</v>
      </c>
      <c r="BI436" s="301"/>
      <c r="BJ436" s="312">
        <v>1355711</v>
      </c>
      <c r="BK436" s="312">
        <v>1355711</v>
      </c>
      <c r="BL436" s="313">
        <v>6708318</v>
      </c>
      <c r="BM436" s="299">
        <v>43119</v>
      </c>
      <c r="BN436" s="300">
        <v>43101</v>
      </c>
      <c r="BO436" s="434" t="s">
        <v>5844</v>
      </c>
      <c r="BP436" s="397"/>
      <c r="BQ436" s="398"/>
      <c r="BR436" s="320"/>
      <c r="BS436" s="301"/>
      <c r="BT436" s="301"/>
      <c r="BU436" s="301"/>
      <c r="BV436" s="301"/>
      <c r="BW436" s="316"/>
      <c r="BX436" s="304"/>
      <c r="BY436" s="299"/>
      <c r="BZ436" s="317"/>
    </row>
    <row r="437" spans="1:78" ht="40.5">
      <c r="A437" s="296">
        <v>688</v>
      </c>
      <c r="B437" s="297" t="s">
        <v>5845</v>
      </c>
      <c r="C437" s="298">
        <v>3199219</v>
      </c>
      <c r="D437" s="354"/>
      <c r="E437" s="299"/>
      <c r="F437" s="300"/>
      <c r="G437" s="301"/>
      <c r="H437" s="297"/>
      <c r="I437" s="297"/>
      <c r="J437" s="299"/>
      <c r="K437" s="300"/>
      <c r="L437" s="301"/>
      <c r="M437" s="297"/>
      <c r="N437" s="297"/>
      <c r="O437" s="299"/>
      <c r="P437" s="302"/>
      <c r="Q437" s="301"/>
      <c r="R437" s="297"/>
      <c r="S437" s="297"/>
      <c r="T437" s="299"/>
      <c r="U437" s="300"/>
      <c r="V437" s="301"/>
      <c r="W437" s="297"/>
      <c r="X437" s="297"/>
      <c r="Y437" s="299"/>
      <c r="Z437" s="300"/>
      <c r="AA437" s="301"/>
      <c r="AB437" s="297"/>
      <c r="AC437" s="297"/>
      <c r="AD437" s="299"/>
      <c r="AE437" s="300"/>
      <c r="AF437" s="301"/>
      <c r="AG437" s="297"/>
      <c r="AH437" s="297"/>
      <c r="AI437" s="322"/>
      <c r="AJ437" s="300"/>
      <c r="AK437" s="301"/>
      <c r="AL437" s="297"/>
      <c r="AM437" s="297"/>
      <c r="AN437" s="297"/>
      <c r="AO437" s="473"/>
      <c r="AP437" s="297"/>
      <c r="AQ437" s="301" t="s">
        <v>7655</v>
      </c>
      <c r="AR437" s="297" t="s">
        <v>66</v>
      </c>
      <c r="AS437" s="299" t="s">
        <v>67</v>
      </c>
      <c r="AT437" s="299" t="s">
        <v>67</v>
      </c>
      <c r="AU437" s="297" t="s">
        <v>3827</v>
      </c>
      <c r="AV437" s="297"/>
      <c r="AW437" s="297" t="s">
        <v>69</v>
      </c>
      <c r="AX437" s="297" t="s">
        <v>7656</v>
      </c>
      <c r="AY437" s="299">
        <v>43061</v>
      </c>
      <c r="AZ437" s="297" t="s">
        <v>67</v>
      </c>
      <c r="BA437" s="297" t="s">
        <v>67</v>
      </c>
      <c r="BB437" s="382" t="s">
        <v>5842</v>
      </c>
      <c r="BC437" s="297" t="s">
        <v>3829</v>
      </c>
      <c r="BD437" s="297" t="s">
        <v>6447</v>
      </c>
      <c r="BE437" s="297"/>
      <c r="BF437" s="301"/>
      <c r="BG437" s="301"/>
      <c r="BH437" s="301" t="s">
        <v>5846</v>
      </c>
      <c r="BI437" s="301"/>
      <c r="BJ437" s="312">
        <v>3118134</v>
      </c>
      <c r="BK437" s="312">
        <v>3118134</v>
      </c>
      <c r="BL437" s="313">
        <v>2433218</v>
      </c>
      <c r="BM437" s="299">
        <v>43112</v>
      </c>
      <c r="BN437" s="300">
        <v>43101</v>
      </c>
      <c r="BO437" s="434" t="s">
        <v>5847</v>
      </c>
      <c r="BP437" s="397"/>
      <c r="BQ437" s="398"/>
      <c r="BR437" s="320"/>
      <c r="BS437" s="301"/>
      <c r="BT437" s="301"/>
      <c r="BU437" s="301"/>
      <c r="BV437" s="301"/>
      <c r="BW437" s="316"/>
      <c r="BX437" s="304"/>
      <c r="BY437" s="299"/>
      <c r="BZ437" s="317"/>
    </row>
    <row r="438" spans="1:78" ht="54">
      <c r="A438" s="296">
        <v>689</v>
      </c>
      <c r="B438" s="297" t="s">
        <v>5848</v>
      </c>
      <c r="C438" s="298">
        <v>79304300</v>
      </c>
      <c r="D438" s="354"/>
      <c r="E438" s="299"/>
      <c r="F438" s="300"/>
      <c r="G438" s="301"/>
      <c r="H438" s="297"/>
      <c r="I438" s="297"/>
      <c r="J438" s="299"/>
      <c r="K438" s="300"/>
      <c r="L438" s="301"/>
      <c r="M438" s="297"/>
      <c r="N438" s="297"/>
      <c r="O438" s="299"/>
      <c r="P438" s="302"/>
      <c r="Q438" s="301"/>
      <c r="R438" s="297"/>
      <c r="S438" s="297"/>
      <c r="T438" s="299"/>
      <c r="U438" s="300"/>
      <c r="V438" s="301"/>
      <c r="W438" s="297"/>
      <c r="X438" s="297"/>
      <c r="Y438" s="299"/>
      <c r="Z438" s="300"/>
      <c r="AA438" s="301"/>
      <c r="AB438" s="297"/>
      <c r="AC438" s="297"/>
      <c r="AD438" s="299"/>
      <c r="AE438" s="300"/>
      <c r="AF438" s="301"/>
      <c r="AG438" s="297"/>
      <c r="AH438" s="297"/>
      <c r="AI438" s="322"/>
      <c r="AJ438" s="300"/>
      <c r="AK438" s="301"/>
      <c r="AL438" s="297"/>
      <c r="AM438" s="297"/>
      <c r="AN438" s="297"/>
      <c r="AO438" s="473"/>
      <c r="AP438" s="297"/>
      <c r="AQ438" s="301" t="s">
        <v>7833</v>
      </c>
      <c r="AR438" s="297" t="s">
        <v>66</v>
      </c>
      <c r="AS438" s="299" t="s">
        <v>67</v>
      </c>
      <c r="AT438" s="299" t="s">
        <v>67</v>
      </c>
      <c r="AU438" s="297" t="s">
        <v>3827</v>
      </c>
      <c r="AV438" s="297"/>
      <c r="AW438" s="297" t="s">
        <v>69</v>
      </c>
      <c r="AX438" s="297" t="s">
        <v>7834</v>
      </c>
      <c r="AY438" s="299">
        <v>42282</v>
      </c>
      <c r="AZ438" s="297" t="s">
        <v>67</v>
      </c>
      <c r="BA438" s="297" t="s">
        <v>67</v>
      </c>
      <c r="BB438" s="382" t="s">
        <v>5850</v>
      </c>
      <c r="BC438" s="297" t="s">
        <v>3829</v>
      </c>
      <c r="BD438" s="297" t="s">
        <v>6447</v>
      </c>
      <c r="BE438" s="297"/>
      <c r="BF438" s="301"/>
      <c r="BG438" s="301"/>
      <c r="BH438" s="301" t="s">
        <v>5851</v>
      </c>
      <c r="BI438" s="301"/>
      <c r="BJ438" s="312">
        <v>1423496</v>
      </c>
      <c r="BK438" s="312">
        <v>1423496</v>
      </c>
      <c r="BL438" s="313">
        <v>2430818</v>
      </c>
      <c r="BM438" s="299">
        <v>43112</v>
      </c>
      <c r="BN438" s="300">
        <v>43101</v>
      </c>
      <c r="BO438" s="434" t="s">
        <v>7835</v>
      </c>
      <c r="BP438" s="390"/>
      <c r="BQ438" s="297"/>
      <c r="BR438" s="303"/>
      <c r="BS438" s="301"/>
      <c r="BT438" s="301"/>
      <c r="BU438" s="301"/>
      <c r="BV438" s="301"/>
      <c r="BW438" s="316"/>
      <c r="BX438" s="304"/>
      <c r="BY438" s="299"/>
      <c r="BZ438" s="317"/>
    </row>
    <row r="439" spans="1:78" ht="54">
      <c r="A439" s="296">
        <v>690</v>
      </c>
      <c r="B439" s="297" t="s">
        <v>5852</v>
      </c>
      <c r="C439" s="298">
        <v>71526397</v>
      </c>
      <c r="D439" s="354"/>
      <c r="E439" s="299"/>
      <c r="F439" s="300"/>
      <c r="G439" s="301"/>
      <c r="H439" s="297"/>
      <c r="I439" s="297"/>
      <c r="J439" s="299"/>
      <c r="K439" s="300"/>
      <c r="L439" s="301"/>
      <c r="M439" s="297"/>
      <c r="N439" s="297"/>
      <c r="O439" s="299"/>
      <c r="P439" s="302"/>
      <c r="Q439" s="301"/>
      <c r="R439" s="297"/>
      <c r="S439" s="297"/>
      <c r="T439" s="299"/>
      <c r="U439" s="300"/>
      <c r="V439" s="301"/>
      <c r="W439" s="297"/>
      <c r="X439" s="297"/>
      <c r="Y439" s="299"/>
      <c r="Z439" s="300"/>
      <c r="AA439" s="301"/>
      <c r="AB439" s="297"/>
      <c r="AC439" s="297"/>
      <c r="AD439" s="299"/>
      <c r="AE439" s="300"/>
      <c r="AF439" s="301"/>
      <c r="AG439" s="297"/>
      <c r="AH439" s="297"/>
      <c r="AI439" s="322"/>
      <c r="AJ439" s="300"/>
      <c r="AK439" s="301"/>
      <c r="AL439" s="297"/>
      <c r="AM439" s="297"/>
      <c r="AN439" s="297"/>
      <c r="AO439" s="473"/>
      <c r="AP439" s="297"/>
      <c r="AQ439" s="301" t="s">
        <v>5853</v>
      </c>
      <c r="AR439" s="297" t="s">
        <v>66</v>
      </c>
      <c r="AS439" s="299" t="s">
        <v>67</v>
      </c>
      <c r="AT439" s="299" t="s">
        <v>67</v>
      </c>
      <c r="AU439" s="297" t="s">
        <v>3827</v>
      </c>
      <c r="AV439" s="297"/>
      <c r="AW439" s="297" t="s">
        <v>69</v>
      </c>
      <c r="AX439" s="297" t="s">
        <v>7596</v>
      </c>
      <c r="AY439" s="299">
        <v>43068</v>
      </c>
      <c r="AZ439" s="297" t="s">
        <v>67</v>
      </c>
      <c r="BA439" s="297" t="s">
        <v>67</v>
      </c>
      <c r="BB439" s="382" t="s">
        <v>5854</v>
      </c>
      <c r="BC439" s="297" t="s">
        <v>3829</v>
      </c>
      <c r="BD439" s="297" t="s">
        <v>6447</v>
      </c>
      <c r="BE439" s="297"/>
      <c r="BF439" s="301"/>
      <c r="BG439" s="301"/>
      <c r="BH439" s="301" t="s">
        <v>5855</v>
      </c>
      <c r="BI439" s="301"/>
      <c r="BJ439" s="312">
        <v>1762424</v>
      </c>
      <c r="BK439" s="312">
        <v>1762424</v>
      </c>
      <c r="BL439" s="313">
        <v>2422818</v>
      </c>
      <c r="BM439" s="299">
        <v>43112</v>
      </c>
      <c r="BN439" s="300">
        <v>43101</v>
      </c>
      <c r="BO439" s="434" t="s">
        <v>4412</v>
      </c>
      <c r="BP439" s="390"/>
      <c r="BQ439" s="297"/>
      <c r="BR439" s="303"/>
      <c r="BS439" s="301"/>
      <c r="BT439" s="301"/>
      <c r="BU439" s="301"/>
      <c r="BV439" s="301"/>
      <c r="BW439" s="316"/>
      <c r="BX439" s="304"/>
      <c r="BY439" s="299"/>
      <c r="BZ439" s="317"/>
    </row>
    <row r="440" spans="1:78" ht="40.5">
      <c r="A440" s="296">
        <v>691</v>
      </c>
      <c r="B440" s="297" t="s">
        <v>5856</v>
      </c>
      <c r="C440" s="298">
        <v>19437688</v>
      </c>
      <c r="D440" s="354"/>
      <c r="E440" s="299"/>
      <c r="F440" s="300"/>
      <c r="G440" s="301"/>
      <c r="H440" s="297"/>
      <c r="I440" s="297"/>
      <c r="J440" s="299"/>
      <c r="K440" s="300"/>
      <c r="L440" s="301"/>
      <c r="M440" s="297"/>
      <c r="N440" s="297"/>
      <c r="O440" s="299"/>
      <c r="P440" s="302"/>
      <c r="Q440" s="301"/>
      <c r="R440" s="297"/>
      <c r="S440" s="297"/>
      <c r="T440" s="299"/>
      <c r="U440" s="300"/>
      <c r="V440" s="301"/>
      <c r="W440" s="297"/>
      <c r="X440" s="297"/>
      <c r="Y440" s="299"/>
      <c r="Z440" s="300"/>
      <c r="AA440" s="301"/>
      <c r="AB440" s="297"/>
      <c r="AC440" s="297"/>
      <c r="AD440" s="299"/>
      <c r="AE440" s="300"/>
      <c r="AF440" s="301"/>
      <c r="AG440" s="297"/>
      <c r="AH440" s="297"/>
      <c r="AI440" s="322"/>
      <c r="AJ440" s="300"/>
      <c r="AK440" s="301"/>
      <c r="AL440" s="297"/>
      <c r="AM440" s="297"/>
      <c r="AN440" s="297"/>
      <c r="AO440" s="473"/>
      <c r="AP440" s="297"/>
      <c r="AQ440" s="301" t="s">
        <v>7696</v>
      </c>
      <c r="AR440" s="297" t="s">
        <v>66</v>
      </c>
      <c r="AS440" s="299" t="s">
        <v>67</v>
      </c>
      <c r="AT440" s="299" t="s">
        <v>67</v>
      </c>
      <c r="AU440" s="297" t="s">
        <v>3827</v>
      </c>
      <c r="AV440" s="297"/>
      <c r="AW440" s="297" t="s">
        <v>69</v>
      </c>
      <c r="AX440" s="297" t="s">
        <v>5857</v>
      </c>
      <c r="AY440" s="299">
        <v>43018</v>
      </c>
      <c r="AZ440" s="297" t="s">
        <v>67</v>
      </c>
      <c r="BA440" s="297" t="s">
        <v>67</v>
      </c>
      <c r="BB440" s="382" t="s">
        <v>5858</v>
      </c>
      <c r="BC440" s="297" t="s">
        <v>3829</v>
      </c>
      <c r="BD440" s="297" t="s">
        <v>6447</v>
      </c>
      <c r="BE440" s="297"/>
      <c r="BF440" s="301"/>
      <c r="BG440" s="301"/>
      <c r="BH440" s="301" t="s">
        <v>5859</v>
      </c>
      <c r="BI440" s="301"/>
      <c r="BJ440" s="312">
        <v>1965780</v>
      </c>
      <c r="BK440" s="312">
        <v>1965780</v>
      </c>
      <c r="BL440" s="313">
        <v>2413918</v>
      </c>
      <c r="BM440" s="299">
        <v>43112</v>
      </c>
      <c r="BN440" s="300">
        <v>43101</v>
      </c>
      <c r="BO440" s="434" t="s">
        <v>5860</v>
      </c>
      <c r="BP440" s="397"/>
      <c r="BQ440" s="398"/>
      <c r="BR440" s="320"/>
      <c r="BS440" s="301"/>
      <c r="BT440" s="301"/>
      <c r="BU440" s="301"/>
      <c r="BV440" s="301"/>
      <c r="BW440" s="316"/>
      <c r="BX440" s="304"/>
      <c r="BY440" s="299"/>
      <c r="BZ440" s="317"/>
    </row>
    <row r="441" spans="1:78" ht="54">
      <c r="A441" s="296">
        <v>692</v>
      </c>
      <c r="B441" s="297" t="s">
        <v>5861</v>
      </c>
      <c r="C441" s="298">
        <v>18493684</v>
      </c>
      <c r="D441" s="354"/>
      <c r="E441" s="299"/>
      <c r="F441" s="300"/>
      <c r="G441" s="301"/>
      <c r="H441" s="297"/>
      <c r="I441" s="297"/>
      <c r="J441" s="299"/>
      <c r="K441" s="300"/>
      <c r="L441" s="301"/>
      <c r="M441" s="297"/>
      <c r="N441" s="297"/>
      <c r="O441" s="299"/>
      <c r="P441" s="302"/>
      <c r="Q441" s="301"/>
      <c r="R441" s="297"/>
      <c r="S441" s="297"/>
      <c r="T441" s="299"/>
      <c r="U441" s="300"/>
      <c r="V441" s="301"/>
      <c r="W441" s="297"/>
      <c r="X441" s="297"/>
      <c r="Y441" s="299"/>
      <c r="Z441" s="300"/>
      <c r="AA441" s="301"/>
      <c r="AB441" s="297"/>
      <c r="AC441" s="297"/>
      <c r="AD441" s="299"/>
      <c r="AE441" s="300"/>
      <c r="AF441" s="301"/>
      <c r="AG441" s="297"/>
      <c r="AH441" s="297"/>
      <c r="AI441" s="322"/>
      <c r="AJ441" s="300"/>
      <c r="AK441" s="301"/>
      <c r="AL441" s="297"/>
      <c r="AM441" s="297"/>
      <c r="AN441" s="297"/>
      <c r="AO441" s="473"/>
      <c r="AP441" s="297"/>
      <c r="AQ441" s="301" t="s">
        <v>5862</v>
      </c>
      <c r="AR441" s="297" t="s">
        <v>66</v>
      </c>
      <c r="AS441" s="299" t="s">
        <v>67</v>
      </c>
      <c r="AT441" s="299" t="s">
        <v>67</v>
      </c>
      <c r="AU441" s="297" t="s">
        <v>3827</v>
      </c>
      <c r="AV441" s="297"/>
      <c r="AW441" s="297" t="s">
        <v>69</v>
      </c>
      <c r="AX441" s="297" t="s">
        <v>7596</v>
      </c>
      <c r="AY441" s="299">
        <v>42999</v>
      </c>
      <c r="AZ441" s="297" t="s">
        <v>67</v>
      </c>
      <c r="BA441" s="297" t="s">
        <v>67</v>
      </c>
      <c r="BB441" s="382" t="s">
        <v>5863</v>
      </c>
      <c r="BC441" s="297" t="s">
        <v>3829</v>
      </c>
      <c r="BD441" s="297" t="s">
        <v>6447</v>
      </c>
      <c r="BE441" s="297"/>
      <c r="BF441" s="301"/>
      <c r="BG441" s="301"/>
      <c r="BH441" s="301" t="s">
        <v>5864</v>
      </c>
      <c r="BI441" s="301"/>
      <c r="BJ441" s="312">
        <v>709880</v>
      </c>
      <c r="BK441" s="312">
        <v>709880</v>
      </c>
      <c r="BL441" s="313">
        <v>2420018</v>
      </c>
      <c r="BM441" s="299">
        <v>43112</v>
      </c>
      <c r="BN441" s="300">
        <v>43101</v>
      </c>
      <c r="BO441" s="434" t="s">
        <v>5865</v>
      </c>
      <c r="BP441" s="397"/>
      <c r="BQ441" s="398"/>
      <c r="BR441" s="320"/>
      <c r="BS441" s="301"/>
      <c r="BT441" s="301"/>
      <c r="BU441" s="301"/>
      <c r="BV441" s="301"/>
      <c r="BW441" s="316"/>
      <c r="BX441" s="304"/>
      <c r="BY441" s="299"/>
      <c r="BZ441" s="317"/>
    </row>
    <row r="442" spans="1:78" ht="54">
      <c r="A442" s="296">
        <v>693</v>
      </c>
      <c r="B442" s="297" t="s">
        <v>5866</v>
      </c>
      <c r="C442" s="298">
        <v>9175820</v>
      </c>
      <c r="D442" s="354"/>
      <c r="E442" s="299"/>
      <c r="F442" s="300"/>
      <c r="G442" s="301"/>
      <c r="H442" s="297"/>
      <c r="I442" s="297"/>
      <c r="J442" s="299"/>
      <c r="K442" s="300"/>
      <c r="L442" s="301"/>
      <c r="M442" s="297"/>
      <c r="N442" s="297"/>
      <c r="O442" s="299"/>
      <c r="P442" s="302"/>
      <c r="Q442" s="301"/>
      <c r="R442" s="297"/>
      <c r="S442" s="297"/>
      <c r="T442" s="299"/>
      <c r="U442" s="300"/>
      <c r="V442" s="301"/>
      <c r="W442" s="297"/>
      <c r="X442" s="297"/>
      <c r="Y442" s="299"/>
      <c r="Z442" s="300"/>
      <c r="AA442" s="301"/>
      <c r="AB442" s="297"/>
      <c r="AC442" s="297"/>
      <c r="AD442" s="299"/>
      <c r="AE442" s="300"/>
      <c r="AF442" s="301"/>
      <c r="AG442" s="297"/>
      <c r="AH442" s="297"/>
      <c r="AI442" s="322"/>
      <c r="AJ442" s="300"/>
      <c r="AK442" s="301"/>
      <c r="AL442" s="297"/>
      <c r="AM442" s="297"/>
      <c r="AN442" s="297"/>
      <c r="AO442" s="473"/>
      <c r="AP442" s="297"/>
      <c r="AQ442" s="301" t="s">
        <v>7687</v>
      </c>
      <c r="AR442" s="297" t="s">
        <v>66</v>
      </c>
      <c r="AS442" s="299" t="s">
        <v>67</v>
      </c>
      <c r="AT442" s="299" t="s">
        <v>67</v>
      </c>
      <c r="AU442" s="297" t="s">
        <v>3827</v>
      </c>
      <c r="AV442" s="297"/>
      <c r="AW442" s="297" t="s">
        <v>69</v>
      </c>
      <c r="AX442" s="297" t="s">
        <v>7628</v>
      </c>
      <c r="AY442" s="299">
        <v>43069</v>
      </c>
      <c r="AZ442" s="297" t="s">
        <v>67</v>
      </c>
      <c r="BA442" s="297" t="s">
        <v>67</v>
      </c>
      <c r="BB442" s="382" t="s">
        <v>5867</v>
      </c>
      <c r="BC442" s="297" t="s">
        <v>3829</v>
      </c>
      <c r="BD442" s="297" t="s">
        <v>6447</v>
      </c>
      <c r="BE442" s="297"/>
      <c r="BF442" s="301"/>
      <c r="BG442" s="301"/>
      <c r="BH442" s="301" t="s">
        <v>5868</v>
      </c>
      <c r="BI442" s="301"/>
      <c r="BJ442" s="312">
        <v>1990024</v>
      </c>
      <c r="BK442" s="312">
        <v>1990024</v>
      </c>
      <c r="BL442" s="313">
        <v>2417918</v>
      </c>
      <c r="BM442" s="299">
        <v>43112</v>
      </c>
      <c r="BN442" s="300">
        <v>43101</v>
      </c>
      <c r="BO442" s="434" t="s">
        <v>5869</v>
      </c>
      <c r="BP442" s="397"/>
      <c r="BQ442" s="398"/>
      <c r="BR442" s="320"/>
      <c r="BS442" s="301"/>
      <c r="BT442" s="301"/>
      <c r="BU442" s="301"/>
      <c r="BV442" s="301"/>
      <c r="BW442" s="316"/>
      <c r="BX442" s="304"/>
      <c r="BY442" s="299"/>
      <c r="BZ442" s="317"/>
    </row>
    <row r="443" spans="1:78" ht="67.5">
      <c r="A443" s="296">
        <v>694</v>
      </c>
      <c r="B443" s="297" t="s">
        <v>5103</v>
      </c>
      <c r="C443" s="298">
        <v>79855009</v>
      </c>
      <c r="D443" s="354"/>
      <c r="E443" s="299"/>
      <c r="F443" s="300"/>
      <c r="G443" s="301"/>
      <c r="H443" s="297"/>
      <c r="I443" s="297"/>
      <c r="J443" s="299"/>
      <c r="K443" s="300"/>
      <c r="L443" s="301"/>
      <c r="M443" s="297"/>
      <c r="N443" s="297"/>
      <c r="O443" s="299"/>
      <c r="P443" s="302"/>
      <c r="Q443" s="301"/>
      <c r="R443" s="297"/>
      <c r="S443" s="297"/>
      <c r="T443" s="299"/>
      <c r="U443" s="300"/>
      <c r="V443" s="301"/>
      <c r="W443" s="297"/>
      <c r="X443" s="297"/>
      <c r="Y443" s="299"/>
      <c r="Z443" s="300"/>
      <c r="AA443" s="301"/>
      <c r="AB443" s="297"/>
      <c r="AC443" s="297"/>
      <c r="AD443" s="299"/>
      <c r="AE443" s="300"/>
      <c r="AF443" s="301"/>
      <c r="AG443" s="297"/>
      <c r="AH443" s="297"/>
      <c r="AI443" s="322"/>
      <c r="AJ443" s="300"/>
      <c r="AK443" s="301"/>
      <c r="AL443" s="297"/>
      <c r="AM443" s="297"/>
      <c r="AN443" s="297"/>
      <c r="AO443" s="473"/>
      <c r="AP443" s="297"/>
      <c r="AQ443" s="301" t="s">
        <v>7873</v>
      </c>
      <c r="AR443" s="297" t="s">
        <v>66</v>
      </c>
      <c r="AS443" s="299" t="s">
        <v>67</v>
      </c>
      <c r="AT443" s="299" t="s">
        <v>67</v>
      </c>
      <c r="AU443" s="297" t="s">
        <v>3827</v>
      </c>
      <c r="AV443" s="297"/>
      <c r="AW443" s="297" t="s">
        <v>69</v>
      </c>
      <c r="AX443" s="297" t="s">
        <v>7874</v>
      </c>
      <c r="AY443" s="299">
        <v>43021</v>
      </c>
      <c r="AZ443" s="297" t="s">
        <v>67</v>
      </c>
      <c r="BA443" s="297" t="s">
        <v>67</v>
      </c>
      <c r="BB443" s="382" t="s">
        <v>5870</v>
      </c>
      <c r="BC443" s="297" t="s">
        <v>3829</v>
      </c>
      <c r="BD443" s="297" t="s">
        <v>6447</v>
      </c>
      <c r="BE443" s="297"/>
      <c r="BF443" s="301"/>
      <c r="BG443" s="301"/>
      <c r="BH443" s="301" t="s">
        <v>5871</v>
      </c>
      <c r="BI443" s="301"/>
      <c r="BJ443" s="312">
        <v>567899</v>
      </c>
      <c r="BK443" s="312">
        <v>567899</v>
      </c>
      <c r="BL443" s="313">
        <v>2852318</v>
      </c>
      <c r="BM443" s="299">
        <v>43115</v>
      </c>
      <c r="BN443" s="300">
        <v>43101</v>
      </c>
      <c r="BO443" s="434" t="s">
        <v>7875</v>
      </c>
      <c r="BP443" s="390"/>
      <c r="BQ443" s="297"/>
      <c r="BR443" s="303"/>
      <c r="BS443" s="301"/>
      <c r="BT443" s="301"/>
      <c r="BU443" s="301"/>
      <c r="BV443" s="301"/>
      <c r="BW443" s="316"/>
      <c r="BX443" s="304"/>
      <c r="BY443" s="299"/>
      <c r="BZ443" s="317"/>
    </row>
    <row r="444" spans="1:78" ht="54">
      <c r="A444" s="296">
        <v>695</v>
      </c>
      <c r="B444" s="297" t="s">
        <v>5872</v>
      </c>
      <c r="C444" s="298">
        <v>98612040</v>
      </c>
      <c r="D444" s="354"/>
      <c r="E444" s="299"/>
      <c r="F444" s="300"/>
      <c r="G444" s="301"/>
      <c r="H444" s="297"/>
      <c r="I444" s="297"/>
      <c r="J444" s="299"/>
      <c r="K444" s="300"/>
      <c r="L444" s="301"/>
      <c r="M444" s="297"/>
      <c r="N444" s="297"/>
      <c r="O444" s="299"/>
      <c r="P444" s="302"/>
      <c r="Q444" s="301"/>
      <c r="R444" s="297"/>
      <c r="S444" s="297"/>
      <c r="T444" s="299"/>
      <c r="U444" s="300"/>
      <c r="V444" s="301"/>
      <c r="W444" s="297"/>
      <c r="X444" s="297"/>
      <c r="Y444" s="299"/>
      <c r="Z444" s="300"/>
      <c r="AA444" s="301"/>
      <c r="AB444" s="297"/>
      <c r="AC444" s="297"/>
      <c r="AD444" s="299"/>
      <c r="AE444" s="300"/>
      <c r="AF444" s="301"/>
      <c r="AG444" s="297"/>
      <c r="AH444" s="297"/>
      <c r="AI444" s="322"/>
      <c r="AJ444" s="300"/>
      <c r="AK444" s="301"/>
      <c r="AL444" s="297"/>
      <c r="AM444" s="297"/>
      <c r="AN444" s="297"/>
      <c r="AO444" s="473"/>
      <c r="AP444" s="297"/>
      <c r="AQ444" s="301" t="s">
        <v>7709</v>
      </c>
      <c r="AR444" s="297" t="s">
        <v>66</v>
      </c>
      <c r="AS444" s="299" t="s">
        <v>67</v>
      </c>
      <c r="AT444" s="299" t="s">
        <v>67</v>
      </c>
      <c r="AU444" s="297" t="s">
        <v>3827</v>
      </c>
      <c r="AV444" s="297"/>
      <c r="AW444" s="297" t="s">
        <v>69</v>
      </c>
      <c r="AX444" s="297" t="s">
        <v>7695</v>
      </c>
      <c r="AY444" s="299"/>
      <c r="AZ444" s="297" t="s">
        <v>67</v>
      </c>
      <c r="BA444" s="297" t="s">
        <v>67</v>
      </c>
      <c r="BB444" s="382" t="s">
        <v>5873</v>
      </c>
      <c r="BC444" s="297" t="s">
        <v>3829</v>
      </c>
      <c r="BD444" s="297" t="s">
        <v>6447</v>
      </c>
      <c r="BE444" s="297"/>
      <c r="BF444" s="301"/>
      <c r="BG444" s="301"/>
      <c r="BH444" s="301" t="s">
        <v>5874</v>
      </c>
      <c r="BI444" s="301"/>
      <c r="BJ444" s="312">
        <v>881212</v>
      </c>
      <c r="BK444" s="312">
        <v>881212</v>
      </c>
      <c r="BL444" s="313">
        <v>2853818</v>
      </c>
      <c r="BM444" s="299">
        <v>43115</v>
      </c>
      <c r="BN444" s="300">
        <v>43101</v>
      </c>
      <c r="BO444" s="434" t="s">
        <v>7710</v>
      </c>
      <c r="BP444" s="390"/>
      <c r="BQ444" s="297"/>
      <c r="BR444" s="303"/>
      <c r="BS444" s="301"/>
      <c r="BT444" s="301"/>
      <c r="BU444" s="301"/>
      <c r="BV444" s="301"/>
      <c r="BW444" s="316"/>
      <c r="BX444" s="304"/>
      <c r="BY444" s="299"/>
      <c r="BZ444" s="317"/>
    </row>
    <row r="445" spans="1:78" ht="40.5">
      <c r="A445" s="296">
        <v>696</v>
      </c>
      <c r="B445" s="297" t="s">
        <v>5875</v>
      </c>
      <c r="C445" s="298">
        <v>79516115</v>
      </c>
      <c r="D445" s="354"/>
      <c r="E445" s="299"/>
      <c r="F445" s="300"/>
      <c r="G445" s="301"/>
      <c r="H445" s="297"/>
      <c r="I445" s="297"/>
      <c r="J445" s="299"/>
      <c r="K445" s="300"/>
      <c r="L445" s="301"/>
      <c r="M445" s="297"/>
      <c r="N445" s="297"/>
      <c r="O445" s="299"/>
      <c r="P445" s="302"/>
      <c r="Q445" s="301"/>
      <c r="R445" s="297"/>
      <c r="S445" s="297"/>
      <c r="T445" s="299"/>
      <c r="U445" s="300"/>
      <c r="V445" s="301"/>
      <c r="W445" s="297"/>
      <c r="X445" s="297"/>
      <c r="Y445" s="299"/>
      <c r="Z445" s="300"/>
      <c r="AA445" s="301"/>
      <c r="AB445" s="297"/>
      <c r="AC445" s="297"/>
      <c r="AD445" s="299"/>
      <c r="AE445" s="300"/>
      <c r="AF445" s="301"/>
      <c r="AG445" s="297"/>
      <c r="AH445" s="297"/>
      <c r="AI445" s="322"/>
      <c r="AJ445" s="300"/>
      <c r="AK445" s="301"/>
      <c r="AL445" s="297"/>
      <c r="AM445" s="297"/>
      <c r="AN445" s="297"/>
      <c r="AO445" s="473"/>
      <c r="AP445" s="297"/>
      <c r="AQ445" s="301" t="s">
        <v>7880</v>
      </c>
      <c r="AR445" s="297" t="s">
        <v>66</v>
      </c>
      <c r="AS445" s="299" t="s">
        <v>67</v>
      </c>
      <c r="AT445" s="299" t="s">
        <v>67</v>
      </c>
      <c r="AU445" s="297" t="s">
        <v>3827</v>
      </c>
      <c r="AV445" s="297"/>
      <c r="AW445" s="297" t="s">
        <v>69</v>
      </c>
      <c r="AX445" s="297" t="s">
        <v>5849</v>
      </c>
      <c r="AY445" s="299"/>
      <c r="AZ445" s="297" t="s">
        <v>67</v>
      </c>
      <c r="BA445" s="297" t="s">
        <v>67</v>
      </c>
      <c r="BB445" s="382">
        <v>43006</v>
      </c>
      <c r="BC445" s="297" t="s">
        <v>3829</v>
      </c>
      <c r="BD445" s="297" t="s">
        <v>6447</v>
      </c>
      <c r="BE445" s="297"/>
      <c r="BF445" s="301"/>
      <c r="BG445" s="301"/>
      <c r="BH445" s="301" t="s">
        <v>5876</v>
      </c>
      <c r="BI445" s="301"/>
      <c r="BJ445" s="312">
        <v>788756</v>
      </c>
      <c r="BK445" s="312">
        <v>788756</v>
      </c>
      <c r="BL445" s="313">
        <v>2403818</v>
      </c>
      <c r="BM445" s="299">
        <v>43112</v>
      </c>
      <c r="BN445" s="300">
        <v>43101</v>
      </c>
      <c r="BO445" s="434" t="s">
        <v>7881</v>
      </c>
      <c r="BP445" s="390"/>
      <c r="BQ445" s="297"/>
      <c r="BR445" s="303"/>
      <c r="BS445" s="301"/>
      <c r="BT445" s="301"/>
      <c r="BU445" s="301"/>
      <c r="BV445" s="301"/>
      <c r="BW445" s="316"/>
      <c r="BX445" s="304"/>
      <c r="BY445" s="299"/>
      <c r="BZ445" s="317"/>
    </row>
    <row r="446" spans="1:78" ht="54">
      <c r="A446" s="296">
        <v>697</v>
      </c>
      <c r="B446" s="297" t="s">
        <v>4543</v>
      </c>
      <c r="C446" s="298">
        <v>6208995</v>
      </c>
      <c r="D446" s="354"/>
      <c r="E446" s="299"/>
      <c r="F446" s="300"/>
      <c r="G446" s="301"/>
      <c r="H446" s="297"/>
      <c r="I446" s="297"/>
      <c r="J446" s="299"/>
      <c r="K446" s="300"/>
      <c r="L446" s="301"/>
      <c r="M446" s="297"/>
      <c r="N446" s="297"/>
      <c r="O446" s="299"/>
      <c r="P446" s="302"/>
      <c r="Q446" s="301"/>
      <c r="R446" s="297"/>
      <c r="S446" s="297"/>
      <c r="T446" s="299"/>
      <c r="U446" s="300"/>
      <c r="V446" s="301"/>
      <c r="W446" s="297"/>
      <c r="X446" s="297"/>
      <c r="Y446" s="299"/>
      <c r="Z446" s="300"/>
      <c r="AA446" s="301"/>
      <c r="AB446" s="297"/>
      <c r="AC446" s="297"/>
      <c r="AD446" s="299"/>
      <c r="AE446" s="300"/>
      <c r="AF446" s="301"/>
      <c r="AG446" s="297"/>
      <c r="AH446" s="297"/>
      <c r="AI446" s="322"/>
      <c r="AJ446" s="300"/>
      <c r="AK446" s="301"/>
      <c r="AL446" s="297"/>
      <c r="AM446" s="297"/>
      <c r="AN446" s="297"/>
      <c r="AO446" s="473"/>
      <c r="AP446" s="297"/>
      <c r="AQ446" s="301" t="s">
        <v>7877</v>
      </c>
      <c r="AR446" s="297" t="s">
        <v>66</v>
      </c>
      <c r="AS446" s="299" t="s">
        <v>67</v>
      </c>
      <c r="AT446" s="299" t="s">
        <v>67</v>
      </c>
      <c r="AU446" s="297" t="s">
        <v>3827</v>
      </c>
      <c r="AV446" s="297"/>
      <c r="AW446" s="297" t="s">
        <v>69</v>
      </c>
      <c r="AX446" s="297" t="s">
        <v>7878</v>
      </c>
      <c r="AY446" s="299">
        <v>42965</v>
      </c>
      <c r="AZ446" s="297" t="s">
        <v>67</v>
      </c>
      <c r="BA446" s="297" t="s">
        <v>67</v>
      </c>
      <c r="BB446" s="382">
        <v>42965</v>
      </c>
      <c r="BC446" s="297" t="s">
        <v>3829</v>
      </c>
      <c r="BD446" s="297" t="s">
        <v>6447</v>
      </c>
      <c r="BE446" s="297"/>
      <c r="BF446" s="301"/>
      <c r="BG446" s="301"/>
      <c r="BH446" s="301" t="s">
        <v>5877</v>
      </c>
      <c r="BI446" s="301"/>
      <c r="BJ446" s="312">
        <v>1830209</v>
      </c>
      <c r="BK446" s="312">
        <v>1830209</v>
      </c>
      <c r="BL446" s="313">
        <v>2408418</v>
      </c>
      <c r="BM446" s="299">
        <v>43112</v>
      </c>
      <c r="BN446" s="300">
        <v>43101</v>
      </c>
      <c r="BO446" s="434" t="s">
        <v>7879</v>
      </c>
      <c r="BP446" s="390"/>
      <c r="BQ446" s="297"/>
      <c r="BR446" s="303"/>
      <c r="BS446" s="301"/>
      <c r="BT446" s="301"/>
      <c r="BU446" s="301"/>
      <c r="BV446" s="301"/>
      <c r="BW446" s="316"/>
      <c r="BX446" s="304"/>
      <c r="BY446" s="299"/>
      <c r="BZ446" s="317"/>
    </row>
    <row r="447" spans="1:78" ht="40.5">
      <c r="A447" s="296">
        <v>698</v>
      </c>
      <c r="B447" s="297" t="s">
        <v>5878</v>
      </c>
      <c r="C447" s="298">
        <v>98499232</v>
      </c>
      <c r="D447" s="354"/>
      <c r="E447" s="299"/>
      <c r="F447" s="300"/>
      <c r="G447" s="301"/>
      <c r="H447" s="297"/>
      <c r="I447" s="297"/>
      <c r="J447" s="299"/>
      <c r="K447" s="300"/>
      <c r="L447" s="301"/>
      <c r="M447" s="297"/>
      <c r="N447" s="297"/>
      <c r="O447" s="299"/>
      <c r="P447" s="302"/>
      <c r="Q447" s="301"/>
      <c r="R447" s="297"/>
      <c r="S447" s="297"/>
      <c r="T447" s="299"/>
      <c r="U447" s="300"/>
      <c r="V447" s="301"/>
      <c r="W447" s="297"/>
      <c r="X447" s="297"/>
      <c r="Y447" s="299"/>
      <c r="Z447" s="300"/>
      <c r="AA447" s="301"/>
      <c r="AB447" s="297"/>
      <c r="AC447" s="297"/>
      <c r="AD447" s="299"/>
      <c r="AE447" s="300"/>
      <c r="AF447" s="301"/>
      <c r="AG447" s="297"/>
      <c r="AH447" s="297"/>
      <c r="AI447" s="322"/>
      <c r="AJ447" s="300"/>
      <c r="AK447" s="301"/>
      <c r="AL447" s="297"/>
      <c r="AM447" s="297"/>
      <c r="AN447" s="297"/>
      <c r="AO447" s="473"/>
      <c r="AP447" s="297"/>
      <c r="AQ447" s="301" t="s">
        <v>7790</v>
      </c>
      <c r="AR447" s="297" t="s">
        <v>66</v>
      </c>
      <c r="AS447" s="299" t="s">
        <v>67</v>
      </c>
      <c r="AT447" s="299" t="s">
        <v>67</v>
      </c>
      <c r="AU447" s="297" t="s">
        <v>3827</v>
      </c>
      <c r="AV447" s="297"/>
      <c r="AW447" s="297" t="s">
        <v>69</v>
      </c>
      <c r="AX447" s="297" t="s">
        <v>4782</v>
      </c>
      <c r="AY447" s="299">
        <v>42642</v>
      </c>
      <c r="AZ447" s="297" t="s">
        <v>67</v>
      </c>
      <c r="BA447" s="297" t="s">
        <v>67</v>
      </c>
      <c r="BB447" s="382" t="s">
        <v>5879</v>
      </c>
      <c r="BC447" s="297" t="s">
        <v>3829</v>
      </c>
      <c r="BD447" s="297" t="s">
        <v>6447</v>
      </c>
      <c r="BE447" s="297"/>
      <c r="BF447" s="301"/>
      <c r="BG447" s="301"/>
      <c r="BH447" s="301" t="s">
        <v>5880</v>
      </c>
      <c r="BI447" s="301"/>
      <c r="BJ447" s="312">
        <v>1559068</v>
      </c>
      <c r="BK447" s="312">
        <v>1559068</v>
      </c>
      <c r="BL447" s="313">
        <v>2415818</v>
      </c>
      <c r="BM447" s="299">
        <v>43112</v>
      </c>
      <c r="BN447" s="300">
        <v>43101</v>
      </c>
      <c r="BO447" s="434" t="s">
        <v>5881</v>
      </c>
      <c r="BP447" s="397"/>
      <c r="BQ447" s="453"/>
      <c r="BR447" s="454"/>
      <c r="BS447" s="301"/>
      <c r="BT447" s="301"/>
      <c r="BU447" s="301"/>
      <c r="BV447" s="301"/>
      <c r="BW447" s="316"/>
      <c r="BX447" s="304"/>
      <c r="BY447" s="299"/>
      <c r="BZ447" s="317"/>
    </row>
    <row r="448" spans="1:78" ht="54">
      <c r="A448" s="296">
        <v>699</v>
      </c>
      <c r="B448" s="297" t="s">
        <v>5882</v>
      </c>
      <c r="C448" s="298">
        <v>8648866</v>
      </c>
      <c r="D448" s="354"/>
      <c r="E448" s="299"/>
      <c r="F448" s="300"/>
      <c r="G448" s="301"/>
      <c r="H448" s="297"/>
      <c r="I448" s="297"/>
      <c r="J448" s="299"/>
      <c r="K448" s="300"/>
      <c r="L448" s="301"/>
      <c r="M448" s="297"/>
      <c r="N448" s="297"/>
      <c r="O448" s="299"/>
      <c r="P448" s="302"/>
      <c r="Q448" s="301"/>
      <c r="R448" s="297"/>
      <c r="S448" s="297"/>
      <c r="T448" s="299"/>
      <c r="U448" s="300"/>
      <c r="V448" s="301"/>
      <c r="W448" s="297"/>
      <c r="X448" s="297"/>
      <c r="Y448" s="299"/>
      <c r="Z448" s="300"/>
      <c r="AA448" s="301"/>
      <c r="AB448" s="297"/>
      <c r="AC448" s="297"/>
      <c r="AD448" s="299"/>
      <c r="AE448" s="300"/>
      <c r="AF448" s="301"/>
      <c r="AG448" s="297"/>
      <c r="AH448" s="297"/>
      <c r="AI448" s="322"/>
      <c r="AJ448" s="300"/>
      <c r="AK448" s="301"/>
      <c r="AL448" s="297"/>
      <c r="AM448" s="297"/>
      <c r="AN448" s="297"/>
      <c r="AO448" s="473"/>
      <c r="AP448" s="297"/>
      <c r="AQ448" s="301" t="s">
        <v>7799</v>
      </c>
      <c r="AR448" s="297" t="s">
        <v>66</v>
      </c>
      <c r="AS448" s="299" t="s">
        <v>67</v>
      </c>
      <c r="AT448" s="299" t="s">
        <v>67</v>
      </c>
      <c r="AU448" s="297" t="s">
        <v>3827</v>
      </c>
      <c r="AV448" s="297"/>
      <c r="AW448" s="297" t="s">
        <v>69</v>
      </c>
      <c r="AX448" s="297" t="s">
        <v>7596</v>
      </c>
      <c r="AY448" s="299">
        <v>42944</v>
      </c>
      <c r="AZ448" s="297" t="s">
        <v>67</v>
      </c>
      <c r="BA448" s="297" t="s">
        <v>67</v>
      </c>
      <c r="BB448" s="382" t="s">
        <v>5883</v>
      </c>
      <c r="BC448" s="297" t="s">
        <v>3829</v>
      </c>
      <c r="BD448" s="297" t="s">
        <v>6447</v>
      </c>
      <c r="BE448" s="297"/>
      <c r="BF448" s="301"/>
      <c r="BG448" s="301"/>
      <c r="BH448" s="301" t="s">
        <v>5884</v>
      </c>
      <c r="BI448" s="301"/>
      <c r="BJ448" s="312">
        <v>759900</v>
      </c>
      <c r="BK448" s="312">
        <v>759900</v>
      </c>
      <c r="BL448" s="313">
        <v>2891218</v>
      </c>
      <c r="BM448" s="299">
        <v>43115</v>
      </c>
      <c r="BN448" s="300">
        <v>43101</v>
      </c>
      <c r="BO448" s="434" t="s">
        <v>7800</v>
      </c>
      <c r="BP448" s="390"/>
      <c r="BQ448" s="297"/>
      <c r="BR448" s="303"/>
      <c r="BS448" s="301"/>
      <c r="BT448" s="301"/>
      <c r="BU448" s="301"/>
      <c r="BV448" s="301"/>
      <c r="BW448" s="316"/>
      <c r="BX448" s="304"/>
      <c r="BY448" s="299"/>
      <c r="BZ448" s="317"/>
    </row>
    <row r="449" spans="1:555" ht="54">
      <c r="A449" s="296">
        <v>700</v>
      </c>
      <c r="B449" s="297" t="s">
        <v>5327</v>
      </c>
      <c r="C449" s="298">
        <v>79636351</v>
      </c>
      <c r="D449" s="354"/>
      <c r="E449" s="299"/>
      <c r="F449" s="300"/>
      <c r="G449" s="301"/>
      <c r="H449" s="297"/>
      <c r="I449" s="297"/>
      <c r="J449" s="299"/>
      <c r="K449" s="300"/>
      <c r="L449" s="301"/>
      <c r="M449" s="297"/>
      <c r="N449" s="297"/>
      <c r="O449" s="299"/>
      <c r="P449" s="302"/>
      <c r="Q449" s="301"/>
      <c r="R449" s="297"/>
      <c r="S449" s="297"/>
      <c r="T449" s="299"/>
      <c r="U449" s="300"/>
      <c r="V449" s="301"/>
      <c r="W449" s="297"/>
      <c r="X449" s="297"/>
      <c r="Y449" s="299"/>
      <c r="Z449" s="300"/>
      <c r="AA449" s="301"/>
      <c r="AB449" s="297"/>
      <c r="AC449" s="297"/>
      <c r="AD449" s="299"/>
      <c r="AE449" s="300"/>
      <c r="AF449" s="301"/>
      <c r="AG449" s="297"/>
      <c r="AH449" s="297"/>
      <c r="AI449" s="322"/>
      <c r="AJ449" s="300"/>
      <c r="AK449" s="301"/>
      <c r="AL449" s="297"/>
      <c r="AM449" s="297"/>
      <c r="AN449" s="297"/>
      <c r="AO449" s="473"/>
      <c r="AP449" s="297"/>
      <c r="AQ449" s="301" t="s">
        <v>7821</v>
      </c>
      <c r="AR449" s="297" t="s">
        <v>66</v>
      </c>
      <c r="AS449" s="299" t="s">
        <v>67</v>
      </c>
      <c r="AT449" s="299" t="s">
        <v>67</v>
      </c>
      <c r="AU449" s="297" t="s">
        <v>3827</v>
      </c>
      <c r="AV449" s="297"/>
      <c r="AW449" s="297" t="s">
        <v>69</v>
      </c>
      <c r="AX449" s="297" t="s">
        <v>7796</v>
      </c>
      <c r="AY449" s="299">
        <v>42901</v>
      </c>
      <c r="AZ449" s="297" t="s">
        <v>67</v>
      </c>
      <c r="BA449" s="297" t="s">
        <v>67</v>
      </c>
      <c r="BB449" s="382" t="s">
        <v>5141</v>
      </c>
      <c r="BC449" s="297" t="s">
        <v>3829</v>
      </c>
      <c r="BD449" s="297" t="s">
        <v>6447</v>
      </c>
      <c r="BE449" s="297"/>
      <c r="BF449" s="301"/>
      <c r="BG449" s="301"/>
      <c r="BH449" s="301" t="s">
        <v>5885</v>
      </c>
      <c r="BI449" s="301"/>
      <c r="BJ449" s="312">
        <v>3050349</v>
      </c>
      <c r="BK449" s="312">
        <v>3050349</v>
      </c>
      <c r="BL449" s="313">
        <v>2892418</v>
      </c>
      <c r="BM449" s="299">
        <v>43115</v>
      </c>
      <c r="BN449" s="300">
        <v>43101</v>
      </c>
      <c r="BO449" s="434" t="s">
        <v>7822</v>
      </c>
      <c r="BP449" s="390"/>
      <c r="BQ449" s="297"/>
      <c r="BR449" s="303"/>
      <c r="BS449" s="301"/>
      <c r="BT449" s="301"/>
      <c r="BU449" s="301"/>
      <c r="BV449" s="301"/>
      <c r="BW449" s="316"/>
      <c r="BX449" s="304"/>
      <c r="BY449" s="299"/>
      <c r="BZ449" s="317"/>
    </row>
    <row r="450" spans="1:555" ht="97.5" customHeight="1">
      <c r="A450" s="296">
        <v>701</v>
      </c>
      <c r="B450" s="297" t="s">
        <v>5886</v>
      </c>
      <c r="C450" s="298">
        <v>70557187</v>
      </c>
      <c r="D450" s="354"/>
      <c r="E450" s="299"/>
      <c r="F450" s="300"/>
      <c r="G450" s="301"/>
      <c r="H450" s="297"/>
      <c r="I450" s="297"/>
      <c r="J450" s="299"/>
      <c r="K450" s="300"/>
      <c r="L450" s="301"/>
      <c r="M450" s="297"/>
      <c r="N450" s="297"/>
      <c r="O450" s="299"/>
      <c r="P450" s="302"/>
      <c r="Q450" s="301"/>
      <c r="R450" s="297"/>
      <c r="S450" s="297"/>
      <c r="T450" s="299"/>
      <c r="U450" s="300"/>
      <c r="V450" s="301"/>
      <c r="W450" s="297"/>
      <c r="X450" s="297"/>
      <c r="Y450" s="299"/>
      <c r="Z450" s="300"/>
      <c r="AA450" s="301"/>
      <c r="AB450" s="297"/>
      <c r="AC450" s="297"/>
      <c r="AD450" s="299"/>
      <c r="AE450" s="300"/>
      <c r="AF450" s="301"/>
      <c r="AG450" s="297"/>
      <c r="AH450" s="297"/>
      <c r="AI450" s="322"/>
      <c r="AJ450" s="300"/>
      <c r="AK450" s="301"/>
      <c r="AL450" s="297"/>
      <c r="AM450" s="297"/>
      <c r="AN450" s="297"/>
      <c r="AO450" s="473"/>
      <c r="AP450" s="297"/>
      <c r="AQ450" s="301" t="s">
        <v>7765</v>
      </c>
      <c r="AR450" s="297" t="s">
        <v>66</v>
      </c>
      <c r="AS450" s="299" t="s">
        <v>67</v>
      </c>
      <c r="AT450" s="299" t="s">
        <v>67</v>
      </c>
      <c r="AU450" s="297" t="s">
        <v>3827</v>
      </c>
      <c r="AV450" s="297"/>
      <c r="AW450" s="297" t="s">
        <v>69</v>
      </c>
      <c r="AX450" s="297" t="s">
        <v>7766</v>
      </c>
      <c r="AY450" s="299">
        <v>42942</v>
      </c>
      <c r="AZ450" s="297" t="s">
        <v>67</v>
      </c>
      <c r="BA450" s="297" t="s">
        <v>67</v>
      </c>
      <c r="BB450" s="382" t="s">
        <v>5887</v>
      </c>
      <c r="BC450" s="297" t="s">
        <v>3829</v>
      </c>
      <c r="BD450" s="297" t="s">
        <v>6447</v>
      </c>
      <c r="BE450" s="297"/>
      <c r="BF450" s="301"/>
      <c r="BG450" s="301"/>
      <c r="BH450" s="301" t="s">
        <v>5888</v>
      </c>
      <c r="BI450" s="301"/>
      <c r="BJ450" s="312">
        <v>2062066</v>
      </c>
      <c r="BK450" s="312">
        <v>2062066</v>
      </c>
      <c r="BL450" s="313">
        <v>2791418</v>
      </c>
      <c r="BM450" s="299">
        <v>43115</v>
      </c>
      <c r="BN450" s="300">
        <v>43101</v>
      </c>
      <c r="BO450" s="434" t="s">
        <v>7767</v>
      </c>
      <c r="BP450" s="390"/>
      <c r="BQ450" s="297"/>
      <c r="BR450" s="303"/>
      <c r="BS450" s="301"/>
      <c r="BT450" s="301"/>
      <c r="BU450" s="301"/>
      <c r="BV450" s="301"/>
      <c r="BW450" s="316"/>
      <c r="BX450" s="304"/>
      <c r="BY450" s="299"/>
      <c r="BZ450" s="317"/>
    </row>
    <row r="451" spans="1:555" s="259" customFormat="1" ht="91.5" customHeight="1">
      <c r="A451" s="296">
        <v>702</v>
      </c>
      <c r="B451" s="297" t="s">
        <v>5454</v>
      </c>
      <c r="C451" s="298">
        <v>86049861</v>
      </c>
      <c r="D451" s="354"/>
      <c r="E451" s="299"/>
      <c r="F451" s="300"/>
      <c r="G451" s="301"/>
      <c r="H451" s="297"/>
      <c r="I451" s="297"/>
      <c r="J451" s="299"/>
      <c r="K451" s="300"/>
      <c r="L451" s="301"/>
      <c r="M451" s="297"/>
      <c r="N451" s="297"/>
      <c r="O451" s="299"/>
      <c r="P451" s="302"/>
      <c r="Q451" s="301"/>
      <c r="R451" s="297"/>
      <c r="S451" s="297"/>
      <c r="T451" s="299"/>
      <c r="U451" s="300"/>
      <c r="V451" s="301"/>
      <c r="W451" s="297"/>
      <c r="X451" s="297"/>
      <c r="Y451" s="299"/>
      <c r="Z451" s="300"/>
      <c r="AA451" s="301"/>
      <c r="AB451" s="297"/>
      <c r="AC451" s="297"/>
      <c r="AD451" s="299"/>
      <c r="AE451" s="300"/>
      <c r="AF451" s="301"/>
      <c r="AG451" s="297"/>
      <c r="AH451" s="297"/>
      <c r="AI451" s="322"/>
      <c r="AJ451" s="300"/>
      <c r="AK451" s="301"/>
      <c r="AL451" s="297"/>
      <c r="AM451" s="297"/>
      <c r="AN451" s="297"/>
      <c r="AO451" s="473"/>
      <c r="AP451" s="297"/>
      <c r="AQ451" s="301" t="s">
        <v>5889</v>
      </c>
      <c r="AR451" s="297" t="s">
        <v>66</v>
      </c>
      <c r="AS451" s="299" t="s">
        <v>67</v>
      </c>
      <c r="AT451" s="299" t="s">
        <v>67</v>
      </c>
      <c r="AU451" s="297" t="s">
        <v>3827</v>
      </c>
      <c r="AV451" s="297"/>
      <c r="AW451" s="297" t="s">
        <v>69</v>
      </c>
      <c r="AX451" s="297" t="s">
        <v>7596</v>
      </c>
      <c r="AY451" s="299">
        <v>42961</v>
      </c>
      <c r="AZ451" s="297" t="s">
        <v>67</v>
      </c>
      <c r="BA451" s="297" t="s">
        <v>67</v>
      </c>
      <c r="BB451" s="382" t="s">
        <v>5890</v>
      </c>
      <c r="BC451" s="297" t="s">
        <v>3829</v>
      </c>
      <c r="BD451" s="297" t="s">
        <v>6447</v>
      </c>
      <c r="BE451" s="297"/>
      <c r="BF451" s="301"/>
      <c r="BG451" s="301"/>
      <c r="BH451" s="301" t="s">
        <v>5891</v>
      </c>
      <c r="BI451" s="301"/>
      <c r="BJ451" s="312">
        <v>614385</v>
      </c>
      <c r="BK451" s="312">
        <v>614385</v>
      </c>
      <c r="BL451" s="313">
        <v>2817318</v>
      </c>
      <c r="BM451" s="299">
        <v>43115</v>
      </c>
      <c r="BN451" s="300">
        <v>43101</v>
      </c>
      <c r="BO451" s="434" t="s">
        <v>5892</v>
      </c>
      <c r="BP451" s="397"/>
      <c r="BQ451" s="398"/>
      <c r="BR451" s="320"/>
      <c r="BS451" s="301"/>
      <c r="BT451" s="301"/>
      <c r="BU451" s="301"/>
      <c r="BV451" s="301"/>
      <c r="BW451" s="316"/>
      <c r="BX451" s="304"/>
      <c r="BY451" s="299"/>
      <c r="BZ451" s="317"/>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c r="JW451" s="1"/>
      <c r="JX451" s="1"/>
      <c r="JY451" s="1"/>
      <c r="JZ451" s="1"/>
      <c r="KA451" s="1"/>
      <c r="KB451" s="1"/>
      <c r="KC451" s="1"/>
      <c r="KD451" s="1"/>
      <c r="KE451" s="1"/>
      <c r="KF451" s="1"/>
      <c r="KG451" s="1"/>
      <c r="KH451" s="1"/>
      <c r="KI451" s="1"/>
      <c r="KJ451" s="1"/>
      <c r="KK451" s="1"/>
      <c r="KL451" s="1"/>
      <c r="KM451" s="1"/>
      <c r="KN451" s="1"/>
      <c r="KO451" s="1"/>
      <c r="KP451" s="1"/>
      <c r="KQ451" s="1"/>
      <c r="KR451" s="1"/>
      <c r="KS451" s="1"/>
      <c r="KT451" s="1"/>
      <c r="KU451" s="1"/>
      <c r="KV451" s="1"/>
      <c r="KW451" s="1"/>
      <c r="KX451" s="1"/>
      <c r="KY451" s="1"/>
      <c r="KZ451" s="1"/>
      <c r="LA451" s="1"/>
      <c r="LB451" s="1"/>
      <c r="LC451" s="1"/>
      <c r="LD451" s="1"/>
      <c r="LE451" s="1"/>
      <c r="LF451" s="1"/>
      <c r="LG451" s="1"/>
      <c r="LH451" s="1"/>
      <c r="LI451" s="1"/>
      <c r="LJ451" s="1"/>
      <c r="LK451" s="1"/>
      <c r="LL451" s="1"/>
      <c r="LM451" s="1"/>
      <c r="LN451" s="1"/>
      <c r="LO451" s="1"/>
      <c r="LP451" s="1"/>
      <c r="LQ451" s="1"/>
      <c r="LR451" s="1"/>
      <c r="LS451" s="1"/>
      <c r="LT451" s="1"/>
      <c r="LU451" s="1"/>
      <c r="LV451" s="1"/>
      <c r="LW451" s="1"/>
      <c r="LX451" s="1"/>
      <c r="LY451" s="1"/>
      <c r="LZ451" s="1"/>
      <c r="MA451" s="1"/>
      <c r="MB451" s="1"/>
      <c r="MC451" s="1"/>
      <c r="MD451" s="1"/>
      <c r="ME451" s="1"/>
      <c r="MF451" s="1"/>
      <c r="MG451" s="1"/>
      <c r="MH451" s="1"/>
      <c r="MI451" s="1"/>
      <c r="MJ451" s="1"/>
      <c r="MK451" s="1"/>
      <c r="ML451" s="1"/>
      <c r="MM451" s="1"/>
      <c r="MN451" s="1"/>
      <c r="MO451" s="1"/>
      <c r="MP451" s="1"/>
      <c r="MQ451" s="1"/>
      <c r="MR451" s="1"/>
      <c r="MS451" s="1"/>
      <c r="MT451" s="1"/>
      <c r="MU451" s="1"/>
      <c r="MV451" s="1"/>
      <c r="MW451" s="1"/>
      <c r="MX451" s="1"/>
      <c r="MY451" s="1"/>
      <c r="MZ451" s="1"/>
      <c r="NA451" s="1"/>
      <c r="NB451" s="1"/>
      <c r="NC451" s="1"/>
      <c r="ND451" s="1"/>
      <c r="NE451" s="1"/>
      <c r="NF451" s="1"/>
      <c r="NG451" s="1"/>
      <c r="NH451" s="1"/>
      <c r="NI451" s="1"/>
      <c r="NJ451" s="1"/>
      <c r="NK451" s="1"/>
      <c r="NL451" s="1"/>
      <c r="NM451" s="1"/>
      <c r="NN451" s="1"/>
      <c r="NO451" s="1"/>
      <c r="NP451" s="1"/>
      <c r="NQ451" s="1"/>
      <c r="NR451" s="1"/>
      <c r="NS451" s="1"/>
      <c r="NT451" s="1"/>
      <c r="NU451" s="1"/>
      <c r="NV451" s="1"/>
      <c r="NW451" s="1"/>
      <c r="NX451" s="1"/>
      <c r="NY451" s="1"/>
      <c r="NZ451" s="1"/>
      <c r="OA451" s="1"/>
      <c r="OB451" s="1"/>
      <c r="OC451" s="1"/>
      <c r="OD451" s="1"/>
      <c r="OE451" s="1"/>
      <c r="OF451" s="1"/>
      <c r="OG451" s="1"/>
      <c r="OH451" s="1"/>
      <c r="OI451" s="1"/>
      <c r="OJ451" s="1"/>
      <c r="OK451" s="1"/>
      <c r="OL451" s="1"/>
      <c r="OM451" s="1"/>
      <c r="ON451" s="1"/>
      <c r="OO451" s="1"/>
      <c r="OP451" s="1"/>
      <c r="OQ451" s="1"/>
      <c r="OR451" s="1"/>
      <c r="OS451" s="1"/>
      <c r="OT451" s="1"/>
      <c r="OU451" s="1"/>
      <c r="OV451" s="1"/>
      <c r="OW451" s="1"/>
      <c r="OX451" s="1"/>
      <c r="OY451" s="1"/>
      <c r="OZ451" s="1"/>
      <c r="PA451" s="1"/>
      <c r="PB451" s="1"/>
      <c r="PC451" s="1"/>
      <c r="PD451" s="1"/>
      <c r="PE451" s="1"/>
      <c r="PF451" s="1"/>
      <c r="PG451" s="1"/>
      <c r="PH451" s="1"/>
      <c r="PI451" s="1"/>
      <c r="PJ451" s="1"/>
      <c r="PK451" s="1"/>
      <c r="PL451" s="1"/>
      <c r="PM451" s="1"/>
      <c r="PN451" s="1"/>
      <c r="PO451" s="1"/>
      <c r="PP451" s="1"/>
      <c r="PQ451" s="1"/>
      <c r="PR451" s="1"/>
      <c r="PS451" s="1"/>
      <c r="PT451" s="1"/>
      <c r="PU451" s="1"/>
      <c r="PV451" s="1"/>
      <c r="PW451" s="1"/>
      <c r="PX451" s="1"/>
      <c r="PY451" s="1"/>
      <c r="PZ451" s="1"/>
      <c r="QA451" s="1"/>
      <c r="QB451" s="1"/>
      <c r="QC451" s="1"/>
      <c r="QD451" s="1"/>
      <c r="QE451" s="1"/>
      <c r="QF451" s="1"/>
      <c r="QG451" s="1"/>
      <c r="QH451" s="1"/>
      <c r="QI451" s="1"/>
      <c r="QJ451" s="1"/>
      <c r="QK451" s="1"/>
      <c r="QL451" s="1"/>
      <c r="QM451" s="1"/>
      <c r="QN451" s="1"/>
      <c r="QO451" s="1"/>
      <c r="QP451" s="1"/>
      <c r="QQ451" s="1"/>
      <c r="QR451" s="1"/>
      <c r="QS451" s="1"/>
      <c r="QT451" s="1"/>
      <c r="QU451" s="1"/>
      <c r="QV451" s="1"/>
      <c r="QW451" s="1"/>
      <c r="QX451" s="1"/>
      <c r="QY451" s="1"/>
      <c r="QZ451" s="1"/>
      <c r="RA451" s="1"/>
      <c r="RB451" s="1"/>
      <c r="RC451" s="1"/>
      <c r="RD451" s="1"/>
      <c r="RE451" s="1"/>
      <c r="RF451" s="1"/>
      <c r="RG451" s="1"/>
      <c r="RH451" s="1"/>
      <c r="RI451" s="1"/>
      <c r="RJ451" s="1"/>
      <c r="RK451" s="1"/>
      <c r="RL451" s="1"/>
      <c r="RM451" s="1"/>
      <c r="RN451" s="1"/>
      <c r="RO451" s="1"/>
      <c r="RP451" s="1"/>
      <c r="RQ451" s="1"/>
      <c r="RR451" s="1"/>
      <c r="RS451" s="1"/>
      <c r="RT451" s="1"/>
      <c r="RU451" s="1"/>
      <c r="RV451" s="1"/>
      <c r="RW451" s="1"/>
      <c r="RX451" s="1"/>
      <c r="RY451" s="1"/>
      <c r="RZ451" s="1"/>
      <c r="SA451" s="1"/>
      <c r="SB451" s="1"/>
      <c r="SC451" s="1"/>
      <c r="SD451" s="1"/>
      <c r="SE451" s="1"/>
      <c r="SF451" s="1"/>
      <c r="SG451" s="1"/>
      <c r="SH451" s="1"/>
      <c r="SI451" s="1"/>
      <c r="SJ451" s="1"/>
      <c r="SK451" s="1"/>
      <c r="SL451" s="1"/>
      <c r="SM451" s="1"/>
      <c r="SN451" s="1"/>
      <c r="SO451" s="1"/>
      <c r="SP451" s="1"/>
      <c r="SQ451" s="1"/>
      <c r="SR451" s="1"/>
      <c r="SS451" s="1"/>
      <c r="ST451" s="1"/>
      <c r="SU451" s="1"/>
      <c r="SV451" s="1"/>
      <c r="SW451" s="1"/>
      <c r="SX451" s="1"/>
      <c r="SY451" s="1"/>
      <c r="SZ451" s="1"/>
      <c r="TA451" s="1"/>
      <c r="TB451" s="1"/>
      <c r="TC451" s="1"/>
      <c r="TD451" s="1"/>
      <c r="TE451" s="1"/>
      <c r="TF451" s="1"/>
      <c r="TG451" s="1"/>
      <c r="TH451" s="1"/>
      <c r="TI451" s="1"/>
      <c r="TJ451" s="1"/>
      <c r="TK451" s="1"/>
      <c r="TL451" s="1"/>
      <c r="TM451" s="1"/>
      <c r="TN451" s="1"/>
      <c r="TO451" s="1"/>
      <c r="TP451" s="1"/>
      <c r="TQ451" s="1"/>
      <c r="TR451" s="1"/>
      <c r="TS451" s="1"/>
      <c r="TT451" s="1"/>
      <c r="TU451" s="1"/>
      <c r="TV451" s="1"/>
      <c r="TW451" s="1"/>
      <c r="TX451" s="1"/>
      <c r="TY451" s="1"/>
      <c r="TZ451" s="1"/>
      <c r="UA451" s="1"/>
      <c r="UB451" s="1"/>
      <c r="UC451" s="1"/>
      <c r="UD451" s="1"/>
      <c r="UE451" s="1"/>
      <c r="UF451" s="1"/>
      <c r="UG451" s="1"/>
      <c r="UH451" s="1"/>
      <c r="UI451" s="1"/>
    </row>
    <row r="452" spans="1:555" s="685" customFormat="1" ht="30" customHeight="1">
      <c r="A452" s="296">
        <v>703</v>
      </c>
      <c r="B452" s="297" t="s">
        <v>5893</v>
      </c>
      <c r="C452" s="298">
        <v>79963249</v>
      </c>
      <c r="D452" s="354"/>
      <c r="E452" s="299"/>
      <c r="F452" s="300"/>
      <c r="G452" s="301"/>
      <c r="H452" s="297"/>
      <c r="I452" s="297"/>
      <c r="J452" s="299"/>
      <c r="K452" s="300"/>
      <c r="L452" s="301"/>
      <c r="M452" s="297"/>
      <c r="N452" s="297"/>
      <c r="O452" s="299"/>
      <c r="P452" s="302"/>
      <c r="Q452" s="301"/>
      <c r="R452" s="297"/>
      <c r="S452" s="297"/>
      <c r="T452" s="299"/>
      <c r="U452" s="300"/>
      <c r="V452" s="301"/>
      <c r="W452" s="297"/>
      <c r="X452" s="297"/>
      <c r="Y452" s="299"/>
      <c r="Z452" s="300"/>
      <c r="AA452" s="301"/>
      <c r="AB452" s="297"/>
      <c r="AC452" s="297"/>
      <c r="AD452" s="299"/>
      <c r="AE452" s="300"/>
      <c r="AF452" s="301"/>
      <c r="AG452" s="297"/>
      <c r="AH452" s="297"/>
      <c r="AI452" s="322"/>
      <c r="AJ452" s="300"/>
      <c r="AK452" s="301"/>
      <c r="AL452" s="297"/>
      <c r="AM452" s="297"/>
      <c r="AN452" s="297"/>
      <c r="AO452" s="473"/>
      <c r="AP452" s="297"/>
      <c r="AQ452" s="301" t="s">
        <v>7729</v>
      </c>
      <c r="AR452" s="297" t="s">
        <v>66</v>
      </c>
      <c r="AS452" s="299" t="s">
        <v>67</v>
      </c>
      <c r="AT452" s="299" t="s">
        <v>67</v>
      </c>
      <c r="AU452" s="297" t="s">
        <v>3827</v>
      </c>
      <c r="AV452" s="297"/>
      <c r="AW452" s="297" t="s">
        <v>69</v>
      </c>
      <c r="AX452" s="297" t="s">
        <v>5894</v>
      </c>
      <c r="AY452" s="299">
        <v>42949</v>
      </c>
      <c r="AZ452" s="297" t="s">
        <v>67</v>
      </c>
      <c r="BA452" s="297" t="s">
        <v>67</v>
      </c>
      <c r="BB452" s="382" t="s">
        <v>5895</v>
      </c>
      <c r="BC452" s="297" t="s">
        <v>3829</v>
      </c>
      <c r="BD452" s="297" t="s">
        <v>6447</v>
      </c>
      <c r="BE452" s="297"/>
      <c r="BF452" s="301"/>
      <c r="BG452" s="301"/>
      <c r="BH452" s="301" t="s">
        <v>5896</v>
      </c>
      <c r="BI452" s="301"/>
      <c r="BJ452" s="312">
        <v>1830209</v>
      </c>
      <c r="BK452" s="312">
        <v>1830209</v>
      </c>
      <c r="BL452" s="313">
        <v>2889518</v>
      </c>
      <c r="BM452" s="299">
        <v>43115</v>
      </c>
      <c r="BN452" s="300">
        <v>43101</v>
      </c>
      <c r="BO452" s="434" t="s">
        <v>5897</v>
      </c>
      <c r="BP452" s="397"/>
      <c r="BQ452" s="398"/>
      <c r="BR452" s="320"/>
      <c r="BS452" s="301"/>
      <c r="BT452" s="301"/>
      <c r="BU452" s="301"/>
      <c r="BV452" s="301"/>
      <c r="BW452" s="316"/>
      <c r="BX452" s="304"/>
      <c r="BY452" s="299"/>
      <c r="BZ452" s="317"/>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c r="JW452" s="1"/>
      <c r="JX452" s="1"/>
      <c r="JY452" s="1"/>
      <c r="JZ452" s="1"/>
      <c r="KA452" s="1"/>
      <c r="KB452" s="1"/>
      <c r="KC452" s="1"/>
      <c r="KD452" s="1"/>
      <c r="KE452" s="1"/>
      <c r="KF452" s="1"/>
      <c r="KG452" s="1"/>
      <c r="KH452" s="1"/>
      <c r="KI452" s="1"/>
      <c r="KJ452" s="1"/>
      <c r="KK452" s="1"/>
      <c r="KL452" s="1"/>
      <c r="KM452" s="1"/>
      <c r="KN452" s="1"/>
      <c r="KO452" s="1"/>
      <c r="KP452" s="1"/>
      <c r="KQ452" s="1"/>
      <c r="KR452" s="1"/>
      <c r="KS452" s="1"/>
      <c r="KT452" s="1"/>
      <c r="KU452" s="1"/>
      <c r="KV452" s="1"/>
      <c r="KW452" s="1"/>
      <c r="KX452" s="1"/>
      <c r="KY452" s="1"/>
      <c r="KZ452" s="1"/>
      <c r="LA452" s="1"/>
      <c r="LB452" s="1"/>
      <c r="LC452" s="1"/>
      <c r="LD452" s="1"/>
      <c r="LE452" s="1"/>
      <c r="LF452" s="1"/>
      <c r="LG452" s="1"/>
      <c r="LH452" s="1"/>
      <c r="LI452" s="1"/>
      <c r="LJ452" s="1"/>
      <c r="LK452" s="1"/>
      <c r="LL452" s="1"/>
      <c r="LM452" s="1"/>
      <c r="LN452" s="1"/>
      <c r="LO452" s="1"/>
      <c r="LP452" s="1"/>
      <c r="LQ452" s="1"/>
      <c r="LR452" s="1"/>
      <c r="LS452" s="1"/>
      <c r="LT452" s="1"/>
      <c r="LU452" s="1"/>
      <c r="LV452" s="1"/>
      <c r="LW452" s="1"/>
      <c r="LX452" s="1"/>
      <c r="LY452" s="1"/>
      <c r="LZ452" s="1"/>
      <c r="MA452" s="1"/>
      <c r="MB452" s="1"/>
      <c r="MC452" s="1"/>
      <c r="MD452" s="1"/>
      <c r="ME452" s="1"/>
      <c r="MF452" s="1"/>
      <c r="MG452" s="1"/>
      <c r="MH452" s="1"/>
      <c r="MI452" s="1"/>
      <c r="MJ452" s="1"/>
      <c r="MK452" s="1"/>
      <c r="ML452" s="1"/>
      <c r="MM452" s="1"/>
      <c r="MN452" s="1"/>
      <c r="MO452" s="1"/>
      <c r="MP452" s="1"/>
      <c r="MQ452" s="1"/>
      <c r="MR452" s="1"/>
      <c r="MS452" s="1"/>
      <c r="MT452" s="1"/>
      <c r="MU452" s="1"/>
      <c r="MV452" s="1"/>
      <c r="MW452" s="1"/>
      <c r="MX452" s="1"/>
      <c r="MY452" s="1"/>
      <c r="MZ452" s="1"/>
      <c r="NA452" s="1"/>
      <c r="NB452" s="1"/>
      <c r="NC452" s="1"/>
      <c r="ND452" s="1"/>
      <c r="NE452" s="1"/>
      <c r="NF452" s="1"/>
      <c r="NG452" s="1"/>
      <c r="NH452" s="1"/>
      <c r="NI452" s="1"/>
      <c r="NJ452" s="1"/>
      <c r="NK452" s="1"/>
      <c r="NL452" s="1"/>
      <c r="NM452" s="1"/>
      <c r="NN452" s="1"/>
      <c r="NO452" s="1"/>
      <c r="NP452" s="1"/>
      <c r="NQ452" s="1"/>
      <c r="NR452" s="1"/>
      <c r="NS452" s="1"/>
      <c r="NT452" s="1"/>
      <c r="NU452" s="1"/>
      <c r="NV452" s="1"/>
      <c r="NW452" s="1"/>
      <c r="NX452" s="1"/>
      <c r="NY452" s="1"/>
      <c r="NZ452" s="1"/>
      <c r="OA452" s="1"/>
      <c r="OB452" s="1"/>
      <c r="OC452" s="1"/>
      <c r="OD452" s="1"/>
      <c r="OE452" s="1"/>
      <c r="OF452" s="1"/>
      <c r="OG452" s="1"/>
      <c r="OH452" s="1"/>
      <c r="OI452" s="1"/>
      <c r="OJ452" s="1"/>
      <c r="OK452" s="1"/>
      <c r="OL452" s="1"/>
      <c r="OM452" s="1"/>
      <c r="ON452" s="1"/>
      <c r="OO452" s="1"/>
      <c r="OP452" s="1"/>
      <c r="OQ452" s="1"/>
      <c r="OR452" s="1"/>
      <c r="OS452" s="1"/>
      <c r="OT452" s="1"/>
      <c r="OU452" s="1"/>
      <c r="OV452" s="1"/>
      <c r="OW452" s="1"/>
      <c r="OX452" s="1"/>
      <c r="OY452" s="1"/>
      <c r="OZ452" s="1"/>
      <c r="PA452" s="1"/>
      <c r="PB452" s="1"/>
      <c r="PC452" s="1"/>
      <c r="PD452" s="1"/>
      <c r="PE452" s="1"/>
      <c r="PF452" s="1"/>
      <c r="PG452" s="1"/>
      <c r="PH452" s="1"/>
      <c r="PI452" s="1"/>
      <c r="PJ452" s="1"/>
      <c r="PK452" s="1"/>
      <c r="PL452" s="1"/>
      <c r="PM452" s="1"/>
      <c r="PN452" s="1"/>
      <c r="PO452" s="1"/>
      <c r="PP452" s="1"/>
      <c r="PQ452" s="1"/>
      <c r="PR452" s="1"/>
      <c r="PS452" s="1"/>
      <c r="PT452" s="1"/>
      <c r="PU452" s="1"/>
      <c r="PV452" s="1"/>
      <c r="PW452" s="1"/>
      <c r="PX452" s="1"/>
      <c r="PY452" s="1"/>
      <c r="PZ452" s="1"/>
      <c r="QA452" s="1"/>
      <c r="QB452" s="1"/>
      <c r="QC452" s="1"/>
      <c r="QD452" s="1"/>
      <c r="QE452" s="1"/>
      <c r="QF452" s="1"/>
      <c r="QG452" s="1"/>
      <c r="QH452" s="1"/>
      <c r="QI452" s="1"/>
      <c r="QJ452" s="1"/>
      <c r="QK452" s="1"/>
      <c r="QL452" s="1"/>
      <c r="QM452" s="1"/>
      <c r="QN452" s="1"/>
      <c r="QO452" s="1"/>
      <c r="QP452" s="1"/>
      <c r="QQ452" s="1"/>
      <c r="QR452" s="1"/>
      <c r="QS452" s="1"/>
      <c r="QT452" s="1"/>
      <c r="QU452" s="1"/>
      <c r="QV452" s="1"/>
      <c r="QW452" s="1"/>
      <c r="QX452" s="1"/>
      <c r="QY452" s="1"/>
      <c r="QZ452" s="1"/>
      <c r="RA452" s="1"/>
      <c r="RB452" s="1"/>
      <c r="RC452" s="1"/>
      <c r="RD452" s="1"/>
      <c r="RE452" s="1"/>
      <c r="RF452" s="1"/>
      <c r="RG452" s="1"/>
      <c r="RH452" s="1"/>
      <c r="RI452" s="1"/>
      <c r="RJ452" s="1"/>
      <c r="RK452" s="1"/>
      <c r="RL452" s="1"/>
      <c r="RM452" s="1"/>
      <c r="RN452" s="1"/>
      <c r="RO452" s="1"/>
      <c r="RP452" s="1"/>
      <c r="RQ452" s="1"/>
      <c r="RR452" s="1"/>
      <c r="RS452" s="1"/>
      <c r="RT452" s="1"/>
      <c r="RU452" s="1"/>
      <c r="RV452" s="1"/>
      <c r="RW452" s="1"/>
      <c r="RX452" s="1"/>
      <c r="RY452" s="1"/>
      <c r="RZ452" s="1"/>
      <c r="SA452" s="1"/>
      <c r="SB452" s="1"/>
      <c r="SC452" s="1"/>
      <c r="SD452" s="1"/>
      <c r="SE452" s="1"/>
      <c r="SF452" s="1"/>
      <c r="SG452" s="1"/>
      <c r="SH452" s="1"/>
      <c r="SI452" s="1"/>
      <c r="SJ452" s="1"/>
      <c r="SK452" s="1"/>
      <c r="SL452" s="1"/>
      <c r="SM452" s="1"/>
      <c r="SN452" s="1"/>
      <c r="SO452" s="1"/>
      <c r="SP452" s="1"/>
      <c r="SQ452" s="1"/>
      <c r="SR452" s="1"/>
      <c r="SS452" s="1"/>
      <c r="ST452" s="1"/>
      <c r="SU452" s="1"/>
      <c r="SV452" s="1"/>
      <c r="SW452" s="1"/>
      <c r="SX452" s="1"/>
      <c r="SY452" s="1"/>
      <c r="SZ452" s="1"/>
      <c r="TA452" s="1"/>
      <c r="TB452" s="1"/>
      <c r="TC452" s="1"/>
      <c r="TD452" s="1"/>
      <c r="TE452" s="1"/>
      <c r="TF452" s="1"/>
      <c r="TG452" s="1"/>
      <c r="TH452" s="1"/>
      <c r="TI452" s="1"/>
      <c r="TJ452" s="1"/>
      <c r="TK452" s="1"/>
      <c r="TL452" s="1"/>
      <c r="TM452" s="1"/>
      <c r="TN452" s="1"/>
      <c r="TO452" s="1"/>
      <c r="TP452" s="1"/>
      <c r="TQ452" s="1"/>
      <c r="TR452" s="1"/>
      <c r="TS452" s="1"/>
      <c r="TT452" s="1"/>
      <c r="TU452" s="1"/>
      <c r="TV452" s="1"/>
      <c r="TW452" s="1"/>
      <c r="TX452" s="1"/>
      <c r="TY452" s="1"/>
      <c r="TZ452" s="1"/>
      <c r="UA452" s="1"/>
      <c r="UB452" s="1"/>
      <c r="UC452" s="1"/>
      <c r="UD452" s="1"/>
      <c r="UE452" s="1"/>
      <c r="UF452" s="1"/>
      <c r="UG452" s="1"/>
      <c r="UH452" s="1"/>
      <c r="UI452" s="1"/>
    </row>
    <row r="453" spans="1:555" ht="78" customHeight="1">
      <c r="A453" s="296">
        <v>704</v>
      </c>
      <c r="B453" s="297" t="s">
        <v>5898</v>
      </c>
      <c r="C453" s="298">
        <v>98580393</v>
      </c>
      <c r="D453" s="354"/>
      <c r="E453" s="299"/>
      <c r="F453" s="300"/>
      <c r="G453" s="301"/>
      <c r="H453" s="297"/>
      <c r="I453" s="297"/>
      <c r="J453" s="299"/>
      <c r="K453" s="300"/>
      <c r="L453" s="301"/>
      <c r="M453" s="297"/>
      <c r="N453" s="297"/>
      <c r="O453" s="299"/>
      <c r="P453" s="302"/>
      <c r="Q453" s="301"/>
      <c r="R453" s="297"/>
      <c r="S453" s="297"/>
      <c r="T453" s="299"/>
      <c r="U453" s="300"/>
      <c r="V453" s="301"/>
      <c r="W453" s="297"/>
      <c r="X453" s="297"/>
      <c r="Y453" s="299"/>
      <c r="Z453" s="300"/>
      <c r="AA453" s="301"/>
      <c r="AB453" s="297"/>
      <c r="AC453" s="297"/>
      <c r="AD453" s="299"/>
      <c r="AE453" s="300"/>
      <c r="AF453" s="301"/>
      <c r="AG453" s="297"/>
      <c r="AH453" s="297"/>
      <c r="AI453" s="322"/>
      <c r="AJ453" s="300"/>
      <c r="AK453" s="301"/>
      <c r="AL453" s="297"/>
      <c r="AM453" s="297"/>
      <c r="AN453" s="297"/>
      <c r="AO453" s="473"/>
      <c r="AP453" s="297"/>
      <c r="AQ453" s="301" t="s">
        <v>7591</v>
      </c>
      <c r="AR453" s="297" t="s">
        <v>66</v>
      </c>
      <c r="AS453" s="299" t="s">
        <v>67</v>
      </c>
      <c r="AT453" s="299" t="s">
        <v>67</v>
      </c>
      <c r="AU453" s="297" t="s">
        <v>3827</v>
      </c>
      <c r="AV453" s="297"/>
      <c r="AW453" s="297" t="s">
        <v>69</v>
      </c>
      <c r="AX453" s="297" t="s">
        <v>5899</v>
      </c>
      <c r="AY453" s="299">
        <v>42907</v>
      </c>
      <c r="AZ453" s="297" t="s">
        <v>67</v>
      </c>
      <c r="BA453" s="297" t="s">
        <v>67</v>
      </c>
      <c r="BB453" s="382" t="s">
        <v>5900</v>
      </c>
      <c r="BC453" s="297" t="s">
        <v>3829</v>
      </c>
      <c r="BD453" s="297" t="s">
        <v>6447</v>
      </c>
      <c r="BE453" s="297"/>
      <c r="BF453" s="301"/>
      <c r="BG453" s="301"/>
      <c r="BH453" s="301" t="s">
        <v>5901</v>
      </c>
      <c r="BI453" s="301"/>
      <c r="BJ453" s="312">
        <v>1220140</v>
      </c>
      <c r="BK453" s="312">
        <v>1220140</v>
      </c>
      <c r="BL453" s="313">
        <v>2885418</v>
      </c>
      <c r="BM453" s="299">
        <v>43115</v>
      </c>
      <c r="BN453" s="300">
        <v>43101</v>
      </c>
      <c r="BO453" s="434" t="s">
        <v>5902</v>
      </c>
      <c r="BP453" s="397"/>
      <c r="BQ453" s="398"/>
      <c r="BR453" s="320"/>
      <c r="BS453" s="301"/>
      <c r="BT453" s="301"/>
      <c r="BU453" s="301"/>
      <c r="BV453" s="301"/>
      <c r="BW453" s="316"/>
      <c r="BX453" s="304"/>
      <c r="BY453" s="299"/>
      <c r="BZ453" s="317"/>
    </row>
    <row r="454" spans="1:555" ht="54">
      <c r="A454" s="296">
        <v>705</v>
      </c>
      <c r="B454" s="297" t="s">
        <v>5903</v>
      </c>
      <c r="C454" s="298">
        <v>80720715</v>
      </c>
      <c r="D454" s="354"/>
      <c r="E454" s="299"/>
      <c r="F454" s="300"/>
      <c r="G454" s="301"/>
      <c r="H454" s="297"/>
      <c r="I454" s="297"/>
      <c r="J454" s="299"/>
      <c r="K454" s="300"/>
      <c r="L454" s="301"/>
      <c r="M454" s="297"/>
      <c r="N454" s="297"/>
      <c r="O454" s="299"/>
      <c r="P454" s="302"/>
      <c r="Q454" s="301"/>
      <c r="R454" s="297"/>
      <c r="S454" s="297"/>
      <c r="T454" s="299"/>
      <c r="U454" s="300"/>
      <c r="V454" s="301"/>
      <c r="W454" s="297"/>
      <c r="X454" s="297"/>
      <c r="Y454" s="299"/>
      <c r="Z454" s="300"/>
      <c r="AA454" s="301"/>
      <c r="AB454" s="297"/>
      <c r="AC454" s="297"/>
      <c r="AD454" s="299"/>
      <c r="AE454" s="300"/>
      <c r="AF454" s="301"/>
      <c r="AG454" s="297"/>
      <c r="AH454" s="297"/>
      <c r="AI454" s="322"/>
      <c r="AJ454" s="300"/>
      <c r="AK454" s="301"/>
      <c r="AL454" s="297"/>
      <c r="AM454" s="297"/>
      <c r="AN454" s="297"/>
      <c r="AO454" s="473"/>
      <c r="AP454" s="297"/>
      <c r="AQ454" s="301" t="s">
        <v>5904</v>
      </c>
      <c r="AR454" s="297" t="s">
        <v>66</v>
      </c>
      <c r="AS454" s="299" t="s">
        <v>67</v>
      </c>
      <c r="AT454" s="299" t="s">
        <v>67</v>
      </c>
      <c r="AU454" s="297" t="s">
        <v>3827</v>
      </c>
      <c r="AV454" s="297"/>
      <c r="AW454" s="297" t="s">
        <v>69</v>
      </c>
      <c r="AX454" s="297" t="s">
        <v>7737</v>
      </c>
      <c r="AY454" s="299">
        <v>42872</v>
      </c>
      <c r="AZ454" s="297" t="s">
        <v>67</v>
      </c>
      <c r="BA454" s="297" t="s">
        <v>67</v>
      </c>
      <c r="BB454" s="382" t="s">
        <v>5905</v>
      </c>
      <c r="BC454" s="297" t="s">
        <v>3829</v>
      </c>
      <c r="BD454" s="297" t="s">
        <v>6447</v>
      </c>
      <c r="BE454" s="297"/>
      <c r="BF454" s="301"/>
      <c r="BG454" s="301"/>
      <c r="BH454" s="301" t="s">
        <v>5906</v>
      </c>
      <c r="BI454" s="301"/>
      <c r="BJ454" s="312">
        <v>1830210</v>
      </c>
      <c r="BK454" s="312">
        <v>1830210</v>
      </c>
      <c r="BL454" s="313">
        <v>2883818</v>
      </c>
      <c r="BM454" s="299">
        <v>43115</v>
      </c>
      <c r="BN454" s="300">
        <v>43101</v>
      </c>
      <c r="BO454" s="434" t="s">
        <v>5907</v>
      </c>
      <c r="BP454" s="397"/>
      <c r="BQ454" s="453"/>
      <c r="BR454" s="454"/>
      <c r="BS454" s="301"/>
      <c r="BT454" s="301"/>
      <c r="BU454" s="301"/>
      <c r="BV454" s="301"/>
      <c r="BW454" s="316"/>
      <c r="BX454" s="304"/>
      <c r="BY454" s="299"/>
      <c r="BZ454" s="317"/>
    </row>
    <row r="455" spans="1:555" ht="73.5" customHeight="1">
      <c r="A455" s="296">
        <v>706</v>
      </c>
      <c r="B455" s="297" t="s">
        <v>5908</v>
      </c>
      <c r="C455" s="298">
        <v>94385508</v>
      </c>
      <c r="D455" s="354"/>
      <c r="E455" s="299"/>
      <c r="F455" s="300"/>
      <c r="G455" s="301"/>
      <c r="H455" s="297"/>
      <c r="I455" s="297"/>
      <c r="J455" s="299"/>
      <c r="K455" s="300"/>
      <c r="L455" s="301"/>
      <c r="M455" s="297"/>
      <c r="N455" s="297"/>
      <c r="O455" s="299"/>
      <c r="P455" s="302"/>
      <c r="Q455" s="301"/>
      <c r="R455" s="297"/>
      <c r="S455" s="297"/>
      <c r="T455" s="299"/>
      <c r="U455" s="300"/>
      <c r="V455" s="301"/>
      <c r="W455" s="297"/>
      <c r="X455" s="297"/>
      <c r="Y455" s="299"/>
      <c r="Z455" s="300"/>
      <c r="AA455" s="301"/>
      <c r="AB455" s="297"/>
      <c r="AC455" s="297"/>
      <c r="AD455" s="299"/>
      <c r="AE455" s="300"/>
      <c r="AF455" s="301"/>
      <c r="AG455" s="297"/>
      <c r="AH455" s="297"/>
      <c r="AI455" s="322"/>
      <c r="AJ455" s="300"/>
      <c r="AK455" s="301"/>
      <c r="AL455" s="297"/>
      <c r="AM455" s="297"/>
      <c r="AN455" s="297"/>
      <c r="AO455" s="473"/>
      <c r="AP455" s="297"/>
      <c r="AQ455" s="301" t="s">
        <v>7650</v>
      </c>
      <c r="AR455" s="297" t="s">
        <v>66</v>
      </c>
      <c r="AS455" s="299" t="s">
        <v>67</v>
      </c>
      <c r="AT455" s="299" t="s">
        <v>67</v>
      </c>
      <c r="AU455" s="297" t="s">
        <v>3827</v>
      </c>
      <c r="AV455" s="297"/>
      <c r="AW455" s="297" t="s">
        <v>69</v>
      </c>
      <c r="AX455" s="297" t="s">
        <v>7651</v>
      </c>
      <c r="AY455" s="299">
        <v>42989</v>
      </c>
      <c r="AZ455" s="297" t="s">
        <v>67</v>
      </c>
      <c r="BA455" s="297" t="s">
        <v>67</v>
      </c>
      <c r="BB455" s="382" t="s">
        <v>5910</v>
      </c>
      <c r="BC455" s="297" t="s">
        <v>3829</v>
      </c>
      <c r="BD455" s="297" t="s">
        <v>6447</v>
      </c>
      <c r="BE455" s="297"/>
      <c r="BF455" s="301"/>
      <c r="BG455" s="301"/>
      <c r="BH455" s="301" t="s">
        <v>5911</v>
      </c>
      <c r="BI455" s="301"/>
      <c r="BJ455" s="312">
        <v>5016132</v>
      </c>
      <c r="BK455" s="312">
        <v>5016132</v>
      </c>
      <c r="BL455" s="313">
        <v>2880118</v>
      </c>
      <c r="BM455" s="299">
        <v>43115</v>
      </c>
      <c r="BN455" s="300">
        <v>43101</v>
      </c>
      <c r="BO455" s="434" t="s">
        <v>5912</v>
      </c>
      <c r="BP455" s="397"/>
      <c r="BQ455" s="398"/>
      <c r="BR455" s="320"/>
      <c r="BS455" s="301"/>
      <c r="BT455" s="301"/>
      <c r="BU455" s="301"/>
      <c r="BV455" s="301"/>
      <c r="BW455" s="316"/>
      <c r="BX455" s="304"/>
      <c r="BY455" s="299"/>
      <c r="BZ455" s="317"/>
    </row>
    <row r="456" spans="1:555" ht="54">
      <c r="A456" s="296">
        <v>707</v>
      </c>
      <c r="B456" s="297" t="s">
        <v>5913</v>
      </c>
      <c r="C456" s="298">
        <v>8698359</v>
      </c>
      <c r="D456" s="354"/>
      <c r="E456" s="299"/>
      <c r="F456" s="300"/>
      <c r="G456" s="301"/>
      <c r="H456" s="297"/>
      <c r="I456" s="297"/>
      <c r="J456" s="299"/>
      <c r="K456" s="300"/>
      <c r="L456" s="301"/>
      <c r="M456" s="297"/>
      <c r="N456" s="297"/>
      <c r="O456" s="299"/>
      <c r="P456" s="302"/>
      <c r="Q456" s="301"/>
      <c r="R456" s="297"/>
      <c r="S456" s="297"/>
      <c r="T456" s="299"/>
      <c r="U456" s="300"/>
      <c r="V456" s="301"/>
      <c r="W456" s="297"/>
      <c r="X456" s="297"/>
      <c r="Y456" s="299"/>
      <c r="Z456" s="300"/>
      <c r="AA456" s="301"/>
      <c r="AB456" s="297"/>
      <c r="AC456" s="297"/>
      <c r="AD456" s="299"/>
      <c r="AE456" s="300"/>
      <c r="AF456" s="301"/>
      <c r="AG456" s="297"/>
      <c r="AH456" s="297"/>
      <c r="AI456" s="322"/>
      <c r="AJ456" s="300"/>
      <c r="AK456" s="301"/>
      <c r="AL456" s="297"/>
      <c r="AM456" s="297"/>
      <c r="AN456" s="297"/>
      <c r="AO456" s="473"/>
      <c r="AP456" s="297"/>
      <c r="AQ456" s="301" t="s">
        <v>7727</v>
      </c>
      <c r="AR456" s="297" t="s">
        <v>66</v>
      </c>
      <c r="AS456" s="299" t="s">
        <v>67</v>
      </c>
      <c r="AT456" s="299" t="s">
        <v>67</v>
      </c>
      <c r="AU456" s="297" t="s">
        <v>3827</v>
      </c>
      <c r="AV456" s="297"/>
      <c r="AW456" s="297" t="s">
        <v>69</v>
      </c>
      <c r="AX456" s="297" t="s">
        <v>7728</v>
      </c>
      <c r="AY456" s="299">
        <v>42933</v>
      </c>
      <c r="AZ456" s="297" t="s">
        <v>67</v>
      </c>
      <c r="BA456" s="297" t="s">
        <v>67</v>
      </c>
      <c r="BB456" s="382" t="s">
        <v>5914</v>
      </c>
      <c r="BC456" s="297" t="s">
        <v>3829</v>
      </c>
      <c r="BD456" s="297" t="s">
        <v>6447</v>
      </c>
      <c r="BE456" s="297"/>
      <c r="BF456" s="301"/>
      <c r="BG456" s="301"/>
      <c r="BH456" s="301" t="s">
        <v>5915</v>
      </c>
      <c r="BI456" s="301"/>
      <c r="BJ456" s="312">
        <v>2830135</v>
      </c>
      <c r="BK456" s="312">
        <v>2830135</v>
      </c>
      <c r="BL456" s="313">
        <v>2879018</v>
      </c>
      <c r="BM456" s="299">
        <v>43115</v>
      </c>
      <c r="BN456" s="300">
        <v>43101</v>
      </c>
      <c r="BO456" s="434" t="s">
        <v>5916</v>
      </c>
      <c r="BP456" s="397"/>
      <c r="BQ456" s="398"/>
      <c r="BR456" s="320"/>
      <c r="BS456" s="301"/>
      <c r="BT456" s="301"/>
      <c r="BU456" s="301"/>
      <c r="BV456" s="301"/>
      <c r="BW456" s="316"/>
      <c r="BX456" s="304"/>
      <c r="BY456" s="299"/>
      <c r="BZ456" s="317"/>
    </row>
    <row r="457" spans="1:555" ht="54">
      <c r="A457" s="296">
        <v>708</v>
      </c>
      <c r="B457" s="297" t="s">
        <v>5917</v>
      </c>
      <c r="C457" s="298">
        <v>79790737</v>
      </c>
      <c r="D457" s="354"/>
      <c r="E457" s="299"/>
      <c r="F457" s="300"/>
      <c r="G457" s="301"/>
      <c r="H457" s="297"/>
      <c r="I457" s="297"/>
      <c r="J457" s="299"/>
      <c r="K457" s="300"/>
      <c r="L457" s="301"/>
      <c r="M457" s="297"/>
      <c r="N457" s="297"/>
      <c r="O457" s="299"/>
      <c r="P457" s="302"/>
      <c r="Q457" s="301"/>
      <c r="R457" s="297"/>
      <c r="S457" s="297"/>
      <c r="T457" s="299"/>
      <c r="U457" s="300"/>
      <c r="V457" s="301"/>
      <c r="W457" s="297"/>
      <c r="X457" s="297"/>
      <c r="Y457" s="299"/>
      <c r="Z457" s="300"/>
      <c r="AA457" s="301"/>
      <c r="AB457" s="297"/>
      <c r="AC457" s="297"/>
      <c r="AD457" s="299"/>
      <c r="AE457" s="300"/>
      <c r="AF457" s="301"/>
      <c r="AG457" s="297"/>
      <c r="AH457" s="297"/>
      <c r="AI457" s="322"/>
      <c r="AJ457" s="300"/>
      <c r="AK457" s="301"/>
      <c r="AL457" s="297"/>
      <c r="AM457" s="297"/>
      <c r="AN457" s="297"/>
      <c r="AO457" s="473"/>
      <c r="AP457" s="297"/>
      <c r="AQ457" s="301" t="s">
        <v>7667</v>
      </c>
      <c r="AR457" s="297" t="s">
        <v>66</v>
      </c>
      <c r="AS457" s="299" t="s">
        <v>67</v>
      </c>
      <c r="AT457" s="299" t="s">
        <v>67</v>
      </c>
      <c r="AU457" s="297" t="s">
        <v>3827</v>
      </c>
      <c r="AV457" s="297"/>
      <c r="AW457" s="297" t="s">
        <v>69</v>
      </c>
      <c r="AX457" s="297" t="s">
        <v>7668</v>
      </c>
      <c r="AY457" s="299">
        <v>42913</v>
      </c>
      <c r="AZ457" s="297" t="s">
        <v>67</v>
      </c>
      <c r="BA457" s="297" t="s">
        <v>67</v>
      </c>
      <c r="BB457" s="382">
        <v>42913</v>
      </c>
      <c r="BC457" s="297" t="s">
        <v>3829</v>
      </c>
      <c r="BD457" s="297" t="s">
        <v>6447</v>
      </c>
      <c r="BE457" s="297"/>
      <c r="BF457" s="301"/>
      <c r="BG457" s="301"/>
      <c r="BH457" s="301" t="s">
        <v>5918</v>
      </c>
      <c r="BI457" s="301"/>
      <c r="BJ457" s="312">
        <v>2846992</v>
      </c>
      <c r="BK457" s="312">
        <v>2846992</v>
      </c>
      <c r="BL457" s="313">
        <v>2876818</v>
      </c>
      <c r="BM457" s="299">
        <v>43115</v>
      </c>
      <c r="BN457" s="300">
        <v>43101</v>
      </c>
      <c r="BO457" s="434" t="s">
        <v>5919</v>
      </c>
      <c r="BP457" s="397"/>
      <c r="BQ457" s="398"/>
      <c r="BR457" s="320"/>
      <c r="BS457" s="301"/>
      <c r="BT457" s="301"/>
      <c r="BU457" s="301"/>
      <c r="BV457" s="301"/>
      <c r="BW457" s="316"/>
      <c r="BX457" s="304"/>
      <c r="BY457" s="299"/>
      <c r="BZ457" s="317"/>
    </row>
    <row r="458" spans="1:555" ht="78" customHeight="1">
      <c r="A458" s="296">
        <v>709</v>
      </c>
      <c r="B458" s="297" t="s">
        <v>5920</v>
      </c>
      <c r="C458" s="298">
        <v>91013856</v>
      </c>
      <c r="D458" s="354"/>
      <c r="E458" s="299"/>
      <c r="F458" s="300"/>
      <c r="G458" s="301"/>
      <c r="H458" s="297"/>
      <c r="I458" s="297"/>
      <c r="J458" s="299"/>
      <c r="K458" s="300"/>
      <c r="L458" s="301"/>
      <c r="M458" s="297"/>
      <c r="N458" s="297"/>
      <c r="O458" s="299"/>
      <c r="P458" s="302"/>
      <c r="Q458" s="301"/>
      <c r="R458" s="297"/>
      <c r="S458" s="297"/>
      <c r="T458" s="299"/>
      <c r="U458" s="300"/>
      <c r="V458" s="301"/>
      <c r="W458" s="297"/>
      <c r="X458" s="297"/>
      <c r="Y458" s="299"/>
      <c r="Z458" s="300"/>
      <c r="AA458" s="301"/>
      <c r="AB458" s="297"/>
      <c r="AC458" s="297"/>
      <c r="AD458" s="299"/>
      <c r="AE458" s="300"/>
      <c r="AF458" s="301"/>
      <c r="AG458" s="297"/>
      <c r="AH458" s="297"/>
      <c r="AI458" s="322"/>
      <c r="AJ458" s="300"/>
      <c r="AK458" s="301"/>
      <c r="AL458" s="297"/>
      <c r="AM458" s="297"/>
      <c r="AN458" s="297"/>
      <c r="AO458" s="473"/>
      <c r="AP458" s="297"/>
      <c r="AQ458" s="301" t="s">
        <v>7605</v>
      </c>
      <c r="AR458" s="297" t="s">
        <v>66</v>
      </c>
      <c r="AS458" s="299" t="s">
        <v>67</v>
      </c>
      <c r="AT458" s="299" t="s">
        <v>67</v>
      </c>
      <c r="AU458" s="297" t="s">
        <v>3827</v>
      </c>
      <c r="AV458" s="297"/>
      <c r="AW458" s="297" t="s">
        <v>69</v>
      </c>
      <c r="AX458" s="297" t="s">
        <v>5899</v>
      </c>
      <c r="AY458" s="299">
        <v>42907</v>
      </c>
      <c r="AZ458" s="297" t="s">
        <v>67</v>
      </c>
      <c r="BA458" s="297" t="s">
        <v>67</v>
      </c>
      <c r="BB458" s="382" t="s">
        <v>5900</v>
      </c>
      <c r="BC458" s="297" t="s">
        <v>3829</v>
      </c>
      <c r="BD458" s="297" t="s">
        <v>6447</v>
      </c>
      <c r="BE458" s="297"/>
      <c r="BF458" s="301"/>
      <c r="BG458" s="301"/>
      <c r="BH458" s="301" t="s">
        <v>5921</v>
      </c>
      <c r="BI458" s="301"/>
      <c r="BJ458" s="312">
        <v>1025383</v>
      </c>
      <c r="BK458" s="312">
        <v>1025383</v>
      </c>
      <c r="BL458" s="313">
        <v>2874218</v>
      </c>
      <c r="BM458" s="299">
        <v>43115</v>
      </c>
      <c r="BN458" s="300">
        <v>43101</v>
      </c>
      <c r="BO458" s="434" t="s">
        <v>5922</v>
      </c>
      <c r="BP458" s="397"/>
      <c r="BQ458" s="398"/>
      <c r="BR458" s="320"/>
      <c r="BS458" s="301"/>
      <c r="BT458" s="301"/>
      <c r="BU458" s="301"/>
      <c r="BV458" s="301"/>
      <c r="BW458" s="316"/>
      <c r="BX458" s="304"/>
      <c r="BY458" s="299"/>
      <c r="BZ458" s="317"/>
    </row>
    <row r="459" spans="1:555" s="259" customFormat="1" ht="78" customHeight="1">
      <c r="A459" s="296">
        <v>710</v>
      </c>
      <c r="B459" s="297" t="s">
        <v>5923</v>
      </c>
      <c r="C459" s="298">
        <v>17642682</v>
      </c>
      <c r="D459" s="354"/>
      <c r="E459" s="299"/>
      <c r="F459" s="300"/>
      <c r="G459" s="301"/>
      <c r="H459" s="297"/>
      <c r="I459" s="297"/>
      <c r="J459" s="299"/>
      <c r="K459" s="300"/>
      <c r="L459" s="301"/>
      <c r="M459" s="297"/>
      <c r="N459" s="297"/>
      <c r="O459" s="299"/>
      <c r="P459" s="302"/>
      <c r="Q459" s="301"/>
      <c r="R459" s="297"/>
      <c r="S459" s="297"/>
      <c r="T459" s="299"/>
      <c r="U459" s="300"/>
      <c r="V459" s="301"/>
      <c r="W459" s="297"/>
      <c r="X459" s="297"/>
      <c r="Y459" s="299"/>
      <c r="Z459" s="300"/>
      <c r="AA459" s="301"/>
      <c r="AB459" s="297"/>
      <c r="AC459" s="297"/>
      <c r="AD459" s="299"/>
      <c r="AE459" s="300"/>
      <c r="AF459" s="301"/>
      <c r="AG459" s="297"/>
      <c r="AH459" s="297"/>
      <c r="AI459" s="322"/>
      <c r="AJ459" s="300"/>
      <c r="AK459" s="301"/>
      <c r="AL459" s="297"/>
      <c r="AM459" s="297"/>
      <c r="AN459" s="297"/>
      <c r="AO459" s="473"/>
      <c r="AP459" s="297"/>
      <c r="AQ459" s="301" t="s">
        <v>7711</v>
      </c>
      <c r="AR459" s="297" t="s">
        <v>66</v>
      </c>
      <c r="AS459" s="299" t="s">
        <v>67</v>
      </c>
      <c r="AT459" s="299" t="s">
        <v>67</v>
      </c>
      <c r="AU459" s="297" t="s">
        <v>3827</v>
      </c>
      <c r="AV459" s="297"/>
      <c r="AW459" s="297" t="s">
        <v>69</v>
      </c>
      <c r="AX459" s="297" t="s">
        <v>7633</v>
      </c>
      <c r="AY459" s="299">
        <v>42916</v>
      </c>
      <c r="AZ459" s="297" t="s">
        <v>67</v>
      </c>
      <c r="BA459" s="297" t="s">
        <v>67</v>
      </c>
      <c r="BB459" s="382" t="s">
        <v>5924</v>
      </c>
      <c r="BC459" s="297" t="s">
        <v>3829</v>
      </c>
      <c r="BD459" s="297" t="s">
        <v>6447</v>
      </c>
      <c r="BE459" s="297"/>
      <c r="BF459" s="301"/>
      <c r="BG459" s="301"/>
      <c r="BH459" s="301" t="s">
        <v>5925</v>
      </c>
      <c r="BI459" s="301"/>
      <c r="BJ459" s="312">
        <v>1493496</v>
      </c>
      <c r="BK459" s="312">
        <v>1493496</v>
      </c>
      <c r="BL459" s="313">
        <v>2869618</v>
      </c>
      <c r="BM459" s="299">
        <v>43115</v>
      </c>
      <c r="BN459" s="300">
        <v>43101</v>
      </c>
      <c r="BO459" s="434" t="s">
        <v>5926</v>
      </c>
      <c r="BP459" s="397"/>
      <c r="BQ459" s="398"/>
      <c r="BR459" s="320"/>
      <c r="BS459" s="301"/>
      <c r="BT459" s="301"/>
      <c r="BU459" s="301"/>
      <c r="BV459" s="301"/>
      <c r="BW459" s="316"/>
      <c r="BX459" s="304"/>
      <c r="BY459" s="299"/>
      <c r="BZ459" s="317"/>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c r="JW459" s="1"/>
      <c r="JX459" s="1"/>
      <c r="JY459" s="1"/>
      <c r="JZ459" s="1"/>
      <c r="KA459" s="1"/>
      <c r="KB459" s="1"/>
      <c r="KC459" s="1"/>
      <c r="KD459" s="1"/>
      <c r="KE459" s="1"/>
      <c r="KF459" s="1"/>
      <c r="KG459" s="1"/>
      <c r="KH459" s="1"/>
      <c r="KI459" s="1"/>
      <c r="KJ459" s="1"/>
      <c r="KK459" s="1"/>
      <c r="KL459" s="1"/>
      <c r="KM459" s="1"/>
      <c r="KN459" s="1"/>
      <c r="KO459" s="1"/>
      <c r="KP459" s="1"/>
      <c r="KQ459" s="1"/>
      <c r="KR459" s="1"/>
      <c r="KS459" s="1"/>
      <c r="KT459" s="1"/>
      <c r="KU459" s="1"/>
      <c r="KV459" s="1"/>
      <c r="KW459" s="1"/>
      <c r="KX459" s="1"/>
      <c r="KY459" s="1"/>
      <c r="KZ459" s="1"/>
      <c r="LA459" s="1"/>
      <c r="LB459" s="1"/>
      <c r="LC459" s="1"/>
      <c r="LD459" s="1"/>
      <c r="LE459" s="1"/>
      <c r="LF459" s="1"/>
      <c r="LG459" s="1"/>
      <c r="LH459" s="1"/>
      <c r="LI459" s="1"/>
      <c r="LJ459" s="1"/>
      <c r="LK459" s="1"/>
      <c r="LL459" s="1"/>
      <c r="LM459" s="1"/>
      <c r="LN459" s="1"/>
      <c r="LO459" s="1"/>
      <c r="LP459" s="1"/>
      <c r="LQ459" s="1"/>
      <c r="LR459" s="1"/>
      <c r="LS459" s="1"/>
      <c r="LT459" s="1"/>
      <c r="LU459" s="1"/>
      <c r="LV459" s="1"/>
      <c r="LW459" s="1"/>
      <c r="LX459" s="1"/>
      <c r="LY459" s="1"/>
      <c r="LZ459" s="1"/>
      <c r="MA459" s="1"/>
      <c r="MB459" s="1"/>
      <c r="MC459" s="1"/>
      <c r="MD459" s="1"/>
      <c r="ME459" s="1"/>
      <c r="MF459" s="1"/>
      <c r="MG459" s="1"/>
      <c r="MH459" s="1"/>
      <c r="MI459" s="1"/>
      <c r="MJ459" s="1"/>
      <c r="MK459" s="1"/>
      <c r="ML459" s="1"/>
      <c r="MM459" s="1"/>
      <c r="MN459" s="1"/>
      <c r="MO459" s="1"/>
      <c r="MP459" s="1"/>
      <c r="MQ459" s="1"/>
      <c r="MR459" s="1"/>
      <c r="MS459" s="1"/>
      <c r="MT459" s="1"/>
      <c r="MU459" s="1"/>
      <c r="MV459" s="1"/>
      <c r="MW459" s="1"/>
      <c r="MX459" s="1"/>
      <c r="MY459" s="1"/>
      <c r="MZ459" s="1"/>
      <c r="NA459" s="1"/>
      <c r="NB459" s="1"/>
      <c r="NC459" s="1"/>
      <c r="ND459" s="1"/>
      <c r="NE459" s="1"/>
      <c r="NF459" s="1"/>
      <c r="NG459" s="1"/>
      <c r="NH459" s="1"/>
      <c r="NI459" s="1"/>
      <c r="NJ459" s="1"/>
      <c r="NK459" s="1"/>
      <c r="NL459" s="1"/>
      <c r="NM459" s="1"/>
      <c r="NN459" s="1"/>
      <c r="NO459" s="1"/>
      <c r="NP459" s="1"/>
      <c r="NQ459" s="1"/>
      <c r="NR459" s="1"/>
      <c r="NS459" s="1"/>
      <c r="NT459" s="1"/>
      <c r="NU459" s="1"/>
      <c r="NV459" s="1"/>
      <c r="NW459" s="1"/>
      <c r="NX459" s="1"/>
      <c r="NY459" s="1"/>
      <c r="NZ459" s="1"/>
      <c r="OA459" s="1"/>
      <c r="OB459" s="1"/>
      <c r="OC459" s="1"/>
      <c r="OD459" s="1"/>
      <c r="OE459" s="1"/>
      <c r="OF459" s="1"/>
      <c r="OG459" s="1"/>
      <c r="OH459" s="1"/>
      <c r="OI459" s="1"/>
      <c r="OJ459" s="1"/>
      <c r="OK459" s="1"/>
      <c r="OL459" s="1"/>
      <c r="OM459" s="1"/>
      <c r="ON459" s="1"/>
      <c r="OO459" s="1"/>
      <c r="OP459" s="1"/>
      <c r="OQ459" s="1"/>
      <c r="OR459" s="1"/>
      <c r="OS459" s="1"/>
      <c r="OT459" s="1"/>
      <c r="OU459" s="1"/>
      <c r="OV459" s="1"/>
      <c r="OW459" s="1"/>
      <c r="OX459" s="1"/>
      <c r="OY459" s="1"/>
      <c r="OZ459" s="1"/>
      <c r="PA459" s="1"/>
      <c r="PB459" s="1"/>
      <c r="PC459" s="1"/>
      <c r="PD459" s="1"/>
      <c r="PE459" s="1"/>
      <c r="PF459" s="1"/>
      <c r="PG459" s="1"/>
      <c r="PH459" s="1"/>
      <c r="PI459" s="1"/>
      <c r="PJ459" s="1"/>
      <c r="PK459" s="1"/>
      <c r="PL459" s="1"/>
      <c r="PM459" s="1"/>
      <c r="PN459" s="1"/>
      <c r="PO459" s="1"/>
      <c r="PP459" s="1"/>
      <c r="PQ459" s="1"/>
      <c r="PR459" s="1"/>
      <c r="PS459" s="1"/>
      <c r="PT459" s="1"/>
      <c r="PU459" s="1"/>
      <c r="PV459" s="1"/>
      <c r="PW459" s="1"/>
      <c r="PX459" s="1"/>
      <c r="PY459" s="1"/>
      <c r="PZ459" s="1"/>
      <c r="QA459" s="1"/>
      <c r="QB459" s="1"/>
      <c r="QC459" s="1"/>
      <c r="QD459" s="1"/>
      <c r="QE459" s="1"/>
      <c r="QF459" s="1"/>
      <c r="QG459" s="1"/>
      <c r="QH459" s="1"/>
      <c r="QI459" s="1"/>
      <c r="QJ459" s="1"/>
      <c r="QK459" s="1"/>
      <c r="QL459" s="1"/>
      <c r="QM459" s="1"/>
      <c r="QN459" s="1"/>
      <c r="QO459" s="1"/>
      <c r="QP459" s="1"/>
      <c r="QQ459" s="1"/>
      <c r="QR459" s="1"/>
      <c r="QS459" s="1"/>
      <c r="QT459" s="1"/>
      <c r="QU459" s="1"/>
      <c r="QV459" s="1"/>
      <c r="QW459" s="1"/>
      <c r="QX459" s="1"/>
      <c r="QY459" s="1"/>
      <c r="QZ459" s="1"/>
      <c r="RA459" s="1"/>
      <c r="RB459" s="1"/>
      <c r="RC459" s="1"/>
      <c r="RD459" s="1"/>
      <c r="RE459" s="1"/>
      <c r="RF459" s="1"/>
      <c r="RG459" s="1"/>
      <c r="RH459" s="1"/>
      <c r="RI459" s="1"/>
      <c r="RJ459" s="1"/>
      <c r="RK459" s="1"/>
      <c r="RL459" s="1"/>
      <c r="RM459" s="1"/>
      <c r="RN459" s="1"/>
      <c r="RO459" s="1"/>
      <c r="RP459" s="1"/>
      <c r="RQ459" s="1"/>
      <c r="RR459" s="1"/>
      <c r="RS459" s="1"/>
      <c r="RT459" s="1"/>
      <c r="RU459" s="1"/>
      <c r="RV459" s="1"/>
      <c r="RW459" s="1"/>
      <c r="RX459" s="1"/>
      <c r="RY459" s="1"/>
      <c r="RZ459" s="1"/>
      <c r="SA459" s="1"/>
      <c r="SB459" s="1"/>
      <c r="SC459" s="1"/>
      <c r="SD459" s="1"/>
      <c r="SE459" s="1"/>
      <c r="SF459" s="1"/>
      <c r="SG459" s="1"/>
      <c r="SH459" s="1"/>
      <c r="SI459" s="1"/>
      <c r="SJ459" s="1"/>
      <c r="SK459" s="1"/>
      <c r="SL459" s="1"/>
      <c r="SM459" s="1"/>
      <c r="SN459" s="1"/>
      <c r="SO459" s="1"/>
      <c r="SP459" s="1"/>
      <c r="SQ459" s="1"/>
      <c r="SR459" s="1"/>
      <c r="SS459" s="1"/>
      <c r="ST459" s="1"/>
      <c r="SU459" s="1"/>
      <c r="SV459" s="1"/>
      <c r="SW459" s="1"/>
      <c r="SX459" s="1"/>
      <c r="SY459" s="1"/>
      <c r="SZ459" s="1"/>
      <c r="TA459" s="1"/>
      <c r="TB459" s="1"/>
      <c r="TC459" s="1"/>
      <c r="TD459" s="1"/>
      <c r="TE459" s="1"/>
      <c r="TF459" s="1"/>
      <c r="TG459" s="1"/>
      <c r="TH459" s="1"/>
      <c r="TI459" s="1"/>
      <c r="TJ459" s="1"/>
      <c r="TK459" s="1"/>
      <c r="TL459" s="1"/>
      <c r="TM459" s="1"/>
      <c r="TN459" s="1"/>
      <c r="TO459" s="1"/>
      <c r="TP459" s="1"/>
      <c r="TQ459" s="1"/>
      <c r="TR459" s="1"/>
      <c r="TS459" s="1"/>
      <c r="TT459" s="1"/>
      <c r="TU459" s="1"/>
      <c r="TV459" s="1"/>
      <c r="TW459" s="1"/>
      <c r="TX459" s="1"/>
      <c r="TY459" s="1"/>
      <c r="TZ459" s="1"/>
      <c r="UA459" s="1"/>
      <c r="UB459" s="1"/>
      <c r="UC459" s="1"/>
      <c r="UD459" s="1"/>
      <c r="UE459" s="1"/>
      <c r="UF459" s="1"/>
      <c r="UG459" s="1"/>
      <c r="UH459" s="1"/>
      <c r="UI459" s="1"/>
    </row>
    <row r="460" spans="1:555" ht="68.25" customHeight="1">
      <c r="A460" s="296">
        <v>711</v>
      </c>
      <c r="B460" s="297" t="s">
        <v>5927</v>
      </c>
      <c r="C460" s="298">
        <v>80401391</v>
      </c>
      <c r="D460" s="354"/>
      <c r="E460" s="299"/>
      <c r="F460" s="300"/>
      <c r="G460" s="301"/>
      <c r="H460" s="297"/>
      <c r="I460" s="297"/>
      <c r="J460" s="299"/>
      <c r="K460" s="300"/>
      <c r="L460" s="301"/>
      <c r="M460" s="297"/>
      <c r="N460" s="297"/>
      <c r="O460" s="299"/>
      <c r="P460" s="302"/>
      <c r="Q460" s="301"/>
      <c r="R460" s="297"/>
      <c r="S460" s="297"/>
      <c r="T460" s="299"/>
      <c r="U460" s="300"/>
      <c r="V460" s="301"/>
      <c r="W460" s="297"/>
      <c r="X460" s="297"/>
      <c r="Y460" s="299"/>
      <c r="Z460" s="300"/>
      <c r="AA460" s="301"/>
      <c r="AB460" s="297"/>
      <c r="AC460" s="297"/>
      <c r="AD460" s="299"/>
      <c r="AE460" s="300"/>
      <c r="AF460" s="301"/>
      <c r="AG460" s="297"/>
      <c r="AH460" s="297"/>
      <c r="AI460" s="322"/>
      <c r="AJ460" s="300"/>
      <c r="AK460" s="301"/>
      <c r="AL460" s="297"/>
      <c r="AM460" s="297"/>
      <c r="AN460" s="297"/>
      <c r="AO460" s="473"/>
      <c r="AP460" s="297"/>
      <c r="AQ460" s="301" t="s">
        <v>7758</v>
      </c>
      <c r="AR460" s="297" t="s">
        <v>66</v>
      </c>
      <c r="AS460" s="299" t="s">
        <v>67</v>
      </c>
      <c r="AT460" s="299" t="s">
        <v>67</v>
      </c>
      <c r="AU460" s="297" t="s">
        <v>3827</v>
      </c>
      <c r="AV460" s="297"/>
      <c r="AW460" s="297" t="s">
        <v>69</v>
      </c>
      <c r="AX460" s="297" t="s">
        <v>7759</v>
      </c>
      <c r="AY460" s="299">
        <v>42978</v>
      </c>
      <c r="AZ460" s="297" t="s">
        <v>67</v>
      </c>
      <c r="BA460" s="297" t="s">
        <v>67</v>
      </c>
      <c r="BB460" s="382" t="s">
        <v>5928</v>
      </c>
      <c r="BC460" s="297" t="s">
        <v>3829</v>
      </c>
      <c r="BD460" s="297" t="s">
        <v>6447</v>
      </c>
      <c r="BE460" s="297"/>
      <c r="BF460" s="301"/>
      <c r="BG460" s="301"/>
      <c r="BH460" s="301" t="s">
        <v>5929</v>
      </c>
      <c r="BI460" s="301"/>
      <c r="BJ460" s="312">
        <v>1194559</v>
      </c>
      <c r="BK460" s="312">
        <v>1194559</v>
      </c>
      <c r="BL460" s="313">
        <v>2869218</v>
      </c>
      <c r="BM460" s="299">
        <v>43115</v>
      </c>
      <c r="BN460" s="300">
        <v>43101</v>
      </c>
      <c r="BO460" s="434" t="s">
        <v>5930</v>
      </c>
      <c r="BP460" s="397"/>
      <c r="BQ460" s="453"/>
      <c r="BR460" s="454"/>
      <c r="BS460" s="301"/>
      <c r="BT460" s="301"/>
      <c r="BU460" s="301"/>
      <c r="BV460" s="301"/>
      <c r="BW460" s="316"/>
      <c r="BX460" s="304"/>
      <c r="BY460" s="299"/>
      <c r="BZ460" s="317"/>
    </row>
    <row r="461" spans="1:555" ht="54.75" thickBot="1">
      <c r="A461" s="296">
        <v>712</v>
      </c>
      <c r="B461" s="297" t="s">
        <v>7791</v>
      </c>
      <c r="C461" s="298">
        <v>52935969</v>
      </c>
      <c r="D461" s="354"/>
      <c r="E461" s="299"/>
      <c r="F461" s="300"/>
      <c r="G461" s="301"/>
      <c r="H461" s="297"/>
      <c r="I461" s="297"/>
      <c r="J461" s="299"/>
      <c r="K461" s="300"/>
      <c r="L461" s="301"/>
      <c r="M461" s="297"/>
      <c r="N461" s="297"/>
      <c r="O461" s="299"/>
      <c r="P461" s="302"/>
      <c r="Q461" s="301"/>
      <c r="R461" s="297"/>
      <c r="S461" s="297"/>
      <c r="T461" s="299"/>
      <c r="U461" s="300"/>
      <c r="V461" s="301"/>
      <c r="W461" s="297"/>
      <c r="X461" s="297"/>
      <c r="Y461" s="299"/>
      <c r="Z461" s="300"/>
      <c r="AA461" s="301"/>
      <c r="AB461" s="297"/>
      <c r="AC461" s="297"/>
      <c r="AD461" s="299"/>
      <c r="AE461" s="300"/>
      <c r="AF461" s="301"/>
      <c r="AG461" s="297"/>
      <c r="AH461" s="297"/>
      <c r="AI461" s="322"/>
      <c r="AJ461" s="300"/>
      <c r="AK461" s="301"/>
      <c r="AL461" s="297"/>
      <c r="AM461" s="297"/>
      <c r="AN461" s="297"/>
      <c r="AO461" s="473"/>
      <c r="AP461" s="297"/>
      <c r="AQ461" s="301" t="s">
        <v>7792</v>
      </c>
      <c r="AR461" s="297" t="s">
        <v>66</v>
      </c>
      <c r="AS461" s="299" t="s">
        <v>67</v>
      </c>
      <c r="AT461" s="299" t="s">
        <v>67</v>
      </c>
      <c r="AU461" s="297" t="s">
        <v>3827</v>
      </c>
      <c r="AV461" s="297"/>
      <c r="AW461" s="297" t="s">
        <v>69</v>
      </c>
      <c r="AX461" s="297" t="s">
        <v>7793</v>
      </c>
      <c r="AY461" s="299">
        <v>42965</v>
      </c>
      <c r="AZ461" s="297" t="s">
        <v>67</v>
      </c>
      <c r="BA461" s="297" t="s">
        <v>67</v>
      </c>
      <c r="BB461" s="382" t="s">
        <v>5931</v>
      </c>
      <c r="BC461" s="297" t="s">
        <v>3829</v>
      </c>
      <c r="BD461" s="297" t="s">
        <v>6447</v>
      </c>
      <c r="BE461" s="297"/>
      <c r="BF461" s="301"/>
      <c r="BG461" s="301"/>
      <c r="BH461" s="301" t="s">
        <v>5932</v>
      </c>
      <c r="BI461" s="301"/>
      <c r="BJ461" s="312">
        <v>884641</v>
      </c>
      <c r="BK461" s="312">
        <v>884641</v>
      </c>
      <c r="BL461" s="313">
        <v>2868218</v>
      </c>
      <c r="BM461" s="299">
        <v>43115</v>
      </c>
      <c r="BN461" s="300">
        <v>43101</v>
      </c>
      <c r="BO461" s="452" t="s">
        <v>7794</v>
      </c>
      <c r="BP461" s="390"/>
      <c r="BQ461" s="299"/>
      <c r="BR461" s="305"/>
      <c r="BS461" s="301"/>
      <c r="BT461" s="301"/>
      <c r="BU461" s="301"/>
      <c r="BV461" s="301"/>
      <c r="BW461" s="316"/>
      <c r="BX461" s="304"/>
      <c r="BY461" s="299"/>
      <c r="BZ461" s="317"/>
    </row>
    <row r="462" spans="1:555" ht="67.5">
      <c r="A462" s="296">
        <v>713</v>
      </c>
      <c r="B462" s="297" t="s">
        <v>3392</v>
      </c>
      <c r="C462" s="298">
        <v>71637704</v>
      </c>
      <c r="D462" s="354"/>
      <c r="E462" s="299"/>
      <c r="F462" s="300"/>
      <c r="G462" s="301"/>
      <c r="H462" s="297"/>
      <c r="I462" s="297"/>
      <c r="J462" s="299"/>
      <c r="K462" s="300"/>
      <c r="L462" s="301"/>
      <c r="M462" s="297"/>
      <c r="N462" s="297"/>
      <c r="O462" s="299"/>
      <c r="P462" s="302"/>
      <c r="Q462" s="301"/>
      <c r="R462" s="297"/>
      <c r="S462" s="297"/>
      <c r="T462" s="299"/>
      <c r="U462" s="300"/>
      <c r="V462" s="301"/>
      <c r="W462" s="297"/>
      <c r="X462" s="297"/>
      <c r="Y462" s="299"/>
      <c r="Z462" s="300"/>
      <c r="AA462" s="301"/>
      <c r="AB462" s="297"/>
      <c r="AC462" s="297"/>
      <c r="AD462" s="299"/>
      <c r="AE462" s="300"/>
      <c r="AF462" s="301"/>
      <c r="AG462" s="297"/>
      <c r="AH462" s="297"/>
      <c r="AI462" s="322"/>
      <c r="AJ462" s="300"/>
      <c r="AK462" s="301"/>
      <c r="AL462" s="297"/>
      <c r="AM462" s="297"/>
      <c r="AN462" s="297"/>
      <c r="AO462" s="473"/>
      <c r="AP462" s="297"/>
      <c r="AQ462" s="301" t="s">
        <v>7735</v>
      </c>
      <c r="AR462" s="297" t="s">
        <v>66</v>
      </c>
      <c r="AS462" s="299" t="s">
        <v>67</v>
      </c>
      <c r="AT462" s="299" t="s">
        <v>67</v>
      </c>
      <c r="AU462" s="297" t="s">
        <v>3827</v>
      </c>
      <c r="AV462" s="297"/>
      <c r="AW462" s="297" t="s">
        <v>69</v>
      </c>
      <c r="AX462" s="297" t="s">
        <v>7736</v>
      </c>
      <c r="AY462" s="299">
        <v>43019</v>
      </c>
      <c r="AZ462" s="297" t="s">
        <v>67</v>
      </c>
      <c r="BA462" s="297" t="s">
        <v>67</v>
      </c>
      <c r="BB462" s="382" t="s">
        <v>5933</v>
      </c>
      <c r="BC462" s="297" t="s">
        <v>3829</v>
      </c>
      <c r="BD462" s="297" t="s">
        <v>6447</v>
      </c>
      <c r="BE462" s="297"/>
      <c r="BF462" s="301"/>
      <c r="BG462" s="301"/>
      <c r="BH462" s="301" t="s">
        <v>5934</v>
      </c>
      <c r="BI462" s="301"/>
      <c r="BJ462" s="312">
        <v>2846992</v>
      </c>
      <c r="BK462" s="312">
        <v>2846992</v>
      </c>
      <c r="BL462" s="313">
        <v>2867718</v>
      </c>
      <c r="BM462" s="299">
        <v>43115</v>
      </c>
      <c r="BN462" s="300">
        <v>43101</v>
      </c>
      <c r="BO462" s="434" t="s">
        <v>5935</v>
      </c>
      <c r="BP462" s="397"/>
      <c r="BQ462" s="398"/>
      <c r="BR462" s="320"/>
      <c r="BS462" s="301"/>
      <c r="BT462" s="301"/>
      <c r="BU462" s="301"/>
      <c r="BV462" s="301"/>
      <c r="BW462" s="316"/>
      <c r="BX462" s="304"/>
      <c r="BY462" s="299"/>
      <c r="BZ462" s="317"/>
    </row>
    <row r="463" spans="1:555" ht="40.5">
      <c r="A463" s="296">
        <v>714</v>
      </c>
      <c r="B463" s="297" t="s">
        <v>5936</v>
      </c>
      <c r="C463" s="298">
        <v>79535952</v>
      </c>
      <c r="D463" s="354"/>
      <c r="E463" s="299"/>
      <c r="F463" s="300"/>
      <c r="G463" s="301"/>
      <c r="H463" s="297"/>
      <c r="I463" s="297"/>
      <c r="J463" s="299"/>
      <c r="K463" s="300"/>
      <c r="L463" s="301"/>
      <c r="M463" s="297"/>
      <c r="N463" s="297"/>
      <c r="O463" s="299"/>
      <c r="P463" s="302"/>
      <c r="Q463" s="301"/>
      <c r="R463" s="297"/>
      <c r="S463" s="297"/>
      <c r="T463" s="299"/>
      <c r="U463" s="300"/>
      <c r="V463" s="301"/>
      <c r="W463" s="297"/>
      <c r="X463" s="297"/>
      <c r="Y463" s="299"/>
      <c r="Z463" s="300"/>
      <c r="AA463" s="301"/>
      <c r="AB463" s="297"/>
      <c r="AC463" s="297"/>
      <c r="AD463" s="299"/>
      <c r="AE463" s="300"/>
      <c r="AF463" s="301"/>
      <c r="AG463" s="297"/>
      <c r="AH463" s="297"/>
      <c r="AI463" s="322"/>
      <c r="AJ463" s="300"/>
      <c r="AK463" s="301"/>
      <c r="AL463" s="297"/>
      <c r="AM463" s="297"/>
      <c r="AN463" s="297"/>
      <c r="AO463" s="473"/>
      <c r="AP463" s="297"/>
      <c r="AQ463" s="301" t="s">
        <v>5937</v>
      </c>
      <c r="AR463" s="297" t="s">
        <v>66</v>
      </c>
      <c r="AS463" s="299" t="s">
        <v>67</v>
      </c>
      <c r="AT463" s="299" t="s">
        <v>67</v>
      </c>
      <c r="AU463" s="297" t="s">
        <v>3827</v>
      </c>
      <c r="AV463" s="297"/>
      <c r="AW463" s="297" t="s">
        <v>69</v>
      </c>
      <c r="AX463" s="297" t="s">
        <v>4782</v>
      </c>
      <c r="AY463" s="299">
        <v>42986</v>
      </c>
      <c r="AZ463" s="297" t="s">
        <v>67</v>
      </c>
      <c r="BA463" s="297" t="s">
        <v>67</v>
      </c>
      <c r="BB463" s="382" t="s">
        <v>5938</v>
      </c>
      <c r="BC463" s="297" t="s">
        <v>3829</v>
      </c>
      <c r="BD463" s="297" t="s">
        <v>6447</v>
      </c>
      <c r="BE463" s="297"/>
      <c r="BF463" s="301"/>
      <c r="BG463" s="301"/>
      <c r="BH463" s="301" t="s">
        <v>5939</v>
      </c>
      <c r="BI463" s="301"/>
      <c r="BJ463" s="312">
        <v>1016783</v>
      </c>
      <c r="BK463" s="312">
        <v>1016783</v>
      </c>
      <c r="BL463" s="313">
        <v>2867118</v>
      </c>
      <c r="BM463" s="299">
        <v>43115</v>
      </c>
      <c r="BN463" s="300">
        <v>43101</v>
      </c>
      <c r="BO463" s="434" t="s">
        <v>5940</v>
      </c>
      <c r="BP463" s="397"/>
      <c r="BQ463" s="398"/>
      <c r="BR463" s="320"/>
      <c r="BS463" s="301"/>
      <c r="BT463" s="301"/>
      <c r="BU463" s="301"/>
      <c r="BV463" s="301"/>
      <c r="BW463" s="316"/>
      <c r="BX463" s="304"/>
      <c r="BY463" s="299"/>
      <c r="BZ463" s="317"/>
    </row>
    <row r="464" spans="1:555" ht="81.75" thickBot="1">
      <c r="A464" s="296">
        <v>715</v>
      </c>
      <c r="B464" s="297" t="s">
        <v>5941</v>
      </c>
      <c r="C464" s="298">
        <v>79528775</v>
      </c>
      <c r="D464" s="354"/>
      <c r="E464" s="299"/>
      <c r="F464" s="300"/>
      <c r="G464" s="301"/>
      <c r="H464" s="297"/>
      <c r="I464" s="297"/>
      <c r="J464" s="299"/>
      <c r="K464" s="300"/>
      <c r="L464" s="301"/>
      <c r="M464" s="297"/>
      <c r="N464" s="297"/>
      <c r="O464" s="299"/>
      <c r="P464" s="302"/>
      <c r="Q464" s="301"/>
      <c r="R464" s="297"/>
      <c r="S464" s="297"/>
      <c r="T464" s="299"/>
      <c r="U464" s="300"/>
      <c r="V464" s="301"/>
      <c r="W464" s="297"/>
      <c r="X464" s="297"/>
      <c r="Y464" s="299"/>
      <c r="Z464" s="300"/>
      <c r="AA464" s="301"/>
      <c r="AB464" s="297"/>
      <c r="AC464" s="297"/>
      <c r="AD464" s="299"/>
      <c r="AE464" s="300"/>
      <c r="AF464" s="301"/>
      <c r="AG464" s="297"/>
      <c r="AH464" s="297"/>
      <c r="AI464" s="322"/>
      <c r="AJ464" s="300"/>
      <c r="AK464" s="301"/>
      <c r="AL464" s="297"/>
      <c r="AM464" s="297"/>
      <c r="AN464" s="297"/>
      <c r="AO464" s="473"/>
      <c r="AP464" s="297"/>
      <c r="AQ464" s="301" t="s">
        <v>7607</v>
      </c>
      <c r="AR464" s="297" t="s">
        <v>66</v>
      </c>
      <c r="AS464" s="299" t="s">
        <v>67</v>
      </c>
      <c r="AT464" s="299" t="s">
        <v>67</v>
      </c>
      <c r="AU464" s="297" t="s">
        <v>3827</v>
      </c>
      <c r="AV464" s="297"/>
      <c r="AW464" s="297" t="s">
        <v>69</v>
      </c>
      <c r="AX464" s="297" t="s">
        <v>7608</v>
      </c>
      <c r="AY464" s="299">
        <v>42950</v>
      </c>
      <c r="AZ464" s="297" t="s">
        <v>67</v>
      </c>
      <c r="BA464" s="297" t="s">
        <v>67</v>
      </c>
      <c r="BB464" s="382" t="s">
        <v>5942</v>
      </c>
      <c r="BC464" s="297" t="s">
        <v>3829</v>
      </c>
      <c r="BD464" s="297" t="s">
        <v>6447</v>
      </c>
      <c r="BE464" s="297"/>
      <c r="BF464" s="301"/>
      <c r="BG464" s="301"/>
      <c r="BH464" s="301" t="s">
        <v>5943</v>
      </c>
      <c r="BI464" s="301"/>
      <c r="BJ464" s="312">
        <v>1423496</v>
      </c>
      <c r="BK464" s="312">
        <v>1423496</v>
      </c>
      <c r="BL464" s="313">
        <v>2866718</v>
      </c>
      <c r="BM464" s="299">
        <v>43115</v>
      </c>
      <c r="BN464" s="300">
        <v>43101</v>
      </c>
      <c r="BO464" s="452" t="s">
        <v>5944</v>
      </c>
      <c r="BP464" s="397"/>
      <c r="BQ464" s="398"/>
      <c r="BR464" s="320"/>
      <c r="BS464" s="301"/>
      <c r="BT464" s="301"/>
      <c r="BU464" s="301"/>
      <c r="BV464" s="301"/>
      <c r="BW464" s="316"/>
      <c r="BX464" s="304"/>
      <c r="BY464" s="299"/>
      <c r="BZ464" s="317"/>
    </row>
    <row r="465" spans="1:555" ht="54">
      <c r="A465" s="296">
        <v>716</v>
      </c>
      <c r="B465" s="297" t="s">
        <v>5945</v>
      </c>
      <c r="C465" s="298">
        <v>478628</v>
      </c>
      <c r="D465" s="354"/>
      <c r="E465" s="299"/>
      <c r="F465" s="300"/>
      <c r="G465" s="301"/>
      <c r="H465" s="297"/>
      <c r="I465" s="297"/>
      <c r="J465" s="299"/>
      <c r="K465" s="300"/>
      <c r="L465" s="301"/>
      <c r="M465" s="297"/>
      <c r="N465" s="297"/>
      <c r="O465" s="299"/>
      <c r="P465" s="302"/>
      <c r="Q465" s="301"/>
      <c r="R465" s="297"/>
      <c r="S465" s="297"/>
      <c r="T465" s="299"/>
      <c r="U465" s="300"/>
      <c r="V465" s="301"/>
      <c r="W465" s="297"/>
      <c r="X465" s="297"/>
      <c r="Y465" s="299"/>
      <c r="Z465" s="300"/>
      <c r="AA465" s="301"/>
      <c r="AB465" s="297"/>
      <c r="AC465" s="297"/>
      <c r="AD465" s="299"/>
      <c r="AE465" s="300"/>
      <c r="AF465" s="301"/>
      <c r="AG465" s="297"/>
      <c r="AH465" s="297"/>
      <c r="AI465" s="322"/>
      <c r="AJ465" s="300"/>
      <c r="AK465" s="301"/>
      <c r="AL465" s="297"/>
      <c r="AM465" s="297"/>
      <c r="AN465" s="297"/>
      <c r="AO465" s="473"/>
      <c r="AP465" s="297"/>
      <c r="AQ465" s="301" t="s">
        <v>7609</v>
      </c>
      <c r="AR465" s="297" t="s">
        <v>66</v>
      </c>
      <c r="AS465" s="299" t="s">
        <v>67</v>
      </c>
      <c r="AT465" s="299" t="s">
        <v>67</v>
      </c>
      <c r="AU465" s="297" t="s">
        <v>3827</v>
      </c>
      <c r="AV465" s="297"/>
      <c r="AW465" s="297" t="s">
        <v>69</v>
      </c>
      <c r="AX465" s="297" t="s">
        <v>5909</v>
      </c>
      <c r="AY465" s="299">
        <v>43021</v>
      </c>
      <c r="AZ465" s="297" t="s">
        <v>67</v>
      </c>
      <c r="BA465" s="297" t="s">
        <v>67</v>
      </c>
      <c r="BB465" s="382" t="s">
        <v>5946</v>
      </c>
      <c r="BC465" s="297" t="s">
        <v>3829</v>
      </c>
      <c r="BD465" s="297" t="s">
        <v>6447</v>
      </c>
      <c r="BE465" s="297"/>
      <c r="BF465" s="301"/>
      <c r="BG465" s="301"/>
      <c r="BH465" s="301" t="s">
        <v>5947</v>
      </c>
      <c r="BI465" s="301"/>
      <c r="BJ465" s="312">
        <v>1355711</v>
      </c>
      <c r="BK465" s="312">
        <v>1355711</v>
      </c>
      <c r="BL465" s="313">
        <v>2851218</v>
      </c>
      <c r="BM465" s="299">
        <v>43115</v>
      </c>
      <c r="BN465" s="300">
        <v>43101</v>
      </c>
      <c r="BO465" s="434" t="s">
        <v>5948</v>
      </c>
      <c r="BP465" s="397"/>
      <c r="BQ465" s="398"/>
      <c r="BR465" s="320"/>
      <c r="BS465" s="301"/>
      <c r="BT465" s="301"/>
      <c r="BU465" s="301"/>
      <c r="BV465" s="301"/>
      <c r="BW465" s="316"/>
      <c r="BX465" s="304"/>
      <c r="BY465" s="299"/>
      <c r="BZ465" s="317"/>
    </row>
    <row r="466" spans="1:555" ht="40.5">
      <c r="A466" s="296">
        <v>717</v>
      </c>
      <c r="B466" s="297" t="s">
        <v>5949</v>
      </c>
      <c r="C466" s="298">
        <v>34555670</v>
      </c>
      <c r="D466" s="354"/>
      <c r="E466" s="299"/>
      <c r="F466" s="300"/>
      <c r="G466" s="301"/>
      <c r="H466" s="297"/>
      <c r="I466" s="297"/>
      <c r="J466" s="299"/>
      <c r="K466" s="300"/>
      <c r="L466" s="301"/>
      <c r="M466" s="297"/>
      <c r="N466" s="297"/>
      <c r="O466" s="299"/>
      <c r="P466" s="302"/>
      <c r="Q466" s="301"/>
      <c r="R466" s="297"/>
      <c r="S466" s="297"/>
      <c r="T466" s="299"/>
      <c r="U466" s="300"/>
      <c r="V466" s="301"/>
      <c r="W466" s="297"/>
      <c r="X466" s="297"/>
      <c r="Y466" s="299"/>
      <c r="Z466" s="300"/>
      <c r="AA466" s="301"/>
      <c r="AB466" s="297"/>
      <c r="AC466" s="297"/>
      <c r="AD466" s="299"/>
      <c r="AE466" s="300"/>
      <c r="AF466" s="301"/>
      <c r="AG466" s="297"/>
      <c r="AH466" s="297"/>
      <c r="AI466" s="322"/>
      <c r="AJ466" s="300"/>
      <c r="AK466" s="301"/>
      <c r="AL466" s="297"/>
      <c r="AM466" s="297"/>
      <c r="AN466" s="297"/>
      <c r="AO466" s="473"/>
      <c r="AP466" s="297"/>
      <c r="AQ466" s="301" t="s">
        <v>7888</v>
      </c>
      <c r="AR466" s="297" t="s">
        <v>66</v>
      </c>
      <c r="AS466" s="299" t="s">
        <v>67</v>
      </c>
      <c r="AT466" s="299" t="s">
        <v>67</v>
      </c>
      <c r="AU466" s="297" t="s">
        <v>3827</v>
      </c>
      <c r="AV466" s="297"/>
      <c r="AW466" s="297" t="s">
        <v>69</v>
      </c>
      <c r="AX466" s="297" t="s">
        <v>5950</v>
      </c>
      <c r="AY466" s="299">
        <v>42969</v>
      </c>
      <c r="AZ466" s="297" t="s">
        <v>67</v>
      </c>
      <c r="BA466" s="297" t="s">
        <v>67</v>
      </c>
      <c r="BB466" s="382" t="s">
        <v>5951</v>
      </c>
      <c r="BC466" s="297" t="s">
        <v>3829</v>
      </c>
      <c r="BD466" s="297" t="s">
        <v>6447</v>
      </c>
      <c r="BE466" s="297"/>
      <c r="BF466" s="301"/>
      <c r="BG466" s="301"/>
      <c r="BH466" s="301" t="s">
        <v>5952</v>
      </c>
      <c r="BI466" s="301"/>
      <c r="BJ466" s="312">
        <v>203357</v>
      </c>
      <c r="BK466" s="312">
        <v>203357</v>
      </c>
      <c r="BL466" s="313">
        <v>2818518</v>
      </c>
      <c r="BM466" s="299">
        <v>43115</v>
      </c>
      <c r="BN466" s="300">
        <v>43101</v>
      </c>
      <c r="BO466" s="434" t="s">
        <v>7889</v>
      </c>
      <c r="BP466" s="390"/>
      <c r="BQ466" s="297"/>
      <c r="BR466" s="303"/>
      <c r="BS466" s="301"/>
      <c r="BT466" s="301"/>
      <c r="BU466" s="301"/>
      <c r="BV466" s="301"/>
      <c r="BW466" s="316"/>
      <c r="BX466" s="304"/>
      <c r="BY466" s="299"/>
      <c r="BZ466" s="317"/>
    </row>
    <row r="467" spans="1:555" ht="54">
      <c r="A467" s="296">
        <v>718</v>
      </c>
      <c r="B467" s="297" t="s">
        <v>5953</v>
      </c>
      <c r="C467" s="298">
        <v>4525589</v>
      </c>
      <c r="D467" s="354"/>
      <c r="E467" s="299"/>
      <c r="F467" s="300"/>
      <c r="G467" s="301"/>
      <c r="H467" s="297"/>
      <c r="I467" s="297"/>
      <c r="J467" s="299"/>
      <c r="K467" s="300"/>
      <c r="L467" s="301"/>
      <c r="M467" s="297"/>
      <c r="N467" s="297"/>
      <c r="O467" s="299"/>
      <c r="P467" s="302"/>
      <c r="Q467" s="301"/>
      <c r="R467" s="297"/>
      <c r="S467" s="297"/>
      <c r="T467" s="299"/>
      <c r="U467" s="300"/>
      <c r="V467" s="301"/>
      <c r="W467" s="297"/>
      <c r="X467" s="297"/>
      <c r="Y467" s="299"/>
      <c r="Z467" s="300"/>
      <c r="AA467" s="301"/>
      <c r="AB467" s="297"/>
      <c r="AC467" s="297"/>
      <c r="AD467" s="299"/>
      <c r="AE467" s="300"/>
      <c r="AF467" s="301"/>
      <c r="AG467" s="297"/>
      <c r="AH467" s="297"/>
      <c r="AI467" s="322"/>
      <c r="AJ467" s="300"/>
      <c r="AK467" s="301"/>
      <c r="AL467" s="297"/>
      <c r="AM467" s="297"/>
      <c r="AN467" s="297"/>
      <c r="AO467" s="473"/>
      <c r="AP467" s="297"/>
      <c r="AQ467" s="301" t="s">
        <v>7661</v>
      </c>
      <c r="AR467" s="297" t="s">
        <v>66</v>
      </c>
      <c r="AS467" s="299" t="s">
        <v>67</v>
      </c>
      <c r="AT467" s="299" t="s">
        <v>67</v>
      </c>
      <c r="AU467" s="297" t="s">
        <v>3827</v>
      </c>
      <c r="AV467" s="297"/>
      <c r="AW467" s="297" t="s">
        <v>69</v>
      </c>
      <c r="AX467" s="297" t="s">
        <v>7662</v>
      </c>
      <c r="AY467" s="299">
        <v>43082</v>
      </c>
      <c r="AZ467" s="297" t="s">
        <v>67</v>
      </c>
      <c r="BA467" s="297" t="s">
        <v>67</v>
      </c>
      <c r="BB467" s="382" t="s">
        <v>5951</v>
      </c>
      <c r="BC467" s="297" t="s">
        <v>3829</v>
      </c>
      <c r="BD467" s="297" t="s">
        <v>6447</v>
      </c>
      <c r="BE467" s="297"/>
      <c r="BF467" s="301"/>
      <c r="BG467" s="301"/>
      <c r="BH467" s="301" t="s">
        <v>5954</v>
      </c>
      <c r="BI467" s="301"/>
      <c r="BJ467" s="312">
        <v>2622300</v>
      </c>
      <c r="BK467" s="312">
        <v>2622300</v>
      </c>
      <c r="BL467" s="313">
        <v>6703918</v>
      </c>
      <c r="BM467" s="299">
        <v>43119</v>
      </c>
      <c r="BN467" s="300">
        <v>43101</v>
      </c>
      <c r="BO467" s="434" t="s">
        <v>5955</v>
      </c>
      <c r="BP467" s="397"/>
      <c r="BQ467" s="398"/>
      <c r="BR467" s="320"/>
      <c r="BS467" s="301"/>
      <c r="BT467" s="301"/>
      <c r="BU467" s="301"/>
      <c r="BV467" s="301"/>
      <c r="BW467" s="316"/>
      <c r="BX467" s="304"/>
      <c r="BY467" s="299"/>
      <c r="BZ467" s="317"/>
    </row>
    <row r="468" spans="1:555" ht="54">
      <c r="A468" s="296">
        <v>719</v>
      </c>
      <c r="B468" s="297" t="s">
        <v>5956</v>
      </c>
      <c r="C468" s="298">
        <v>1033693765</v>
      </c>
      <c r="D468" s="354"/>
      <c r="E468" s="299"/>
      <c r="F468" s="300"/>
      <c r="G468" s="301"/>
      <c r="H468" s="297"/>
      <c r="I468" s="297"/>
      <c r="J468" s="299"/>
      <c r="K468" s="300"/>
      <c r="L468" s="301"/>
      <c r="M468" s="297"/>
      <c r="N468" s="297"/>
      <c r="O468" s="299"/>
      <c r="P468" s="302"/>
      <c r="Q468" s="301"/>
      <c r="R468" s="297"/>
      <c r="S468" s="297"/>
      <c r="T468" s="299"/>
      <c r="U468" s="300"/>
      <c r="V468" s="301"/>
      <c r="W468" s="297"/>
      <c r="X468" s="297"/>
      <c r="Y468" s="299"/>
      <c r="Z468" s="300"/>
      <c r="AA468" s="301"/>
      <c r="AB468" s="297"/>
      <c r="AC468" s="297"/>
      <c r="AD468" s="299"/>
      <c r="AE468" s="300"/>
      <c r="AF468" s="301"/>
      <c r="AG468" s="297"/>
      <c r="AH468" s="297"/>
      <c r="AI468" s="322"/>
      <c r="AJ468" s="300"/>
      <c r="AK468" s="301"/>
      <c r="AL468" s="297"/>
      <c r="AM468" s="297"/>
      <c r="AN468" s="297"/>
      <c r="AO468" s="473"/>
      <c r="AP468" s="297"/>
      <c r="AQ468" s="301" t="s">
        <v>7898</v>
      </c>
      <c r="AR468" s="297" t="s">
        <v>66</v>
      </c>
      <c r="AS468" s="299" t="s">
        <v>67</v>
      </c>
      <c r="AT468" s="299" t="s">
        <v>67</v>
      </c>
      <c r="AU468" s="297" t="s">
        <v>3827</v>
      </c>
      <c r="AV468" s="297"/>
      <c r="AW468" s="297" t="s">
        <v>69</v>
      </c>
      <c r="AX468" s="297" t="s">
        <v>7728</v>
      </c>
      <c r="AY468" s="299">
        <v>43046</v>
      </c>
      <c r="AZ468" s="297" t="s">
        <v>67</v>
      </c>
      <c r="BA468" s="297" t="s">
        <v>67</v>
      </c>
      <c r="BB468" s="382" t="s">
        <v>5957</v>
      </c>
      <c r="BC468" s="297" t="s">
        <v>3829</v>
      </c>
      <c r="BD468" s="297" t="s">
        <v>6447</v>
      </c>
      <c r="BE468" s="297"/>
      <c r="BF468" s="301"/>
      <c r="BG468" s="301"/>
      <c r="BH468" s="301" t="s">
        <v>5958</v>
      </c>
      <c r="BI468" s="301"/>
      <c r="BJ468" s="312">
        <v>552129</v>
      </c>
      <c r="BK468" s="312">
        <v>552129</v>
      </c>
      <c r="BL468" s="313">
        <v>2854718</v>
      </c>
      <c r="BM468" s="299">
        <v>43115</v>
      </c>
      <c r="BN468" s="300">
        <v>43101</v>
      </c>
      <c r="BO468" s="434" t="s">
        <v>7899</v>
      </c>
      <c r="BP468" s="390"/>
      <c r="BQ468" s="297"/>
      <c r="BR468" s="303"/>
      <c r="BS468" s="301"/>
      <c r="BT468" s="301"/>
      <c r="BU468" s="301"/>
      <c r="BV468" s="301"/>
      <c r="BW468" s="316"/>
      <c r="BX468" s="304"/>
      <c r="BY468" s="299"/>
      <c r="BZ468" s="317"/>
    </row>
    <row r="469" spans="1:555" ht="54">
      <c r="A469" s="296">
        <v>720</v>
      </c>
      <c r="B469" s="297" t="s">
        <v>5959</v>
      </c>
      <c r="C469" s="298">
        <v>86074559</v>
      </c>
      <c r="D469" s="354"/>
      <c r="E469" s="299"/>
      <c r="F469" s="300"/>
      <c r="G469" s="301"/>
      <c r="H469" s="297"/>
      <c r="I469" s="297"/>
      <c r="J469" s="299"/>
      <c r="K469" s="300"/>
      <c r="L469" s="301"/>
      <c r="M469" s="297"/>
      <c r="N469" s="297"/>
      <c r="O469" s="299"/>
      <c r="P469" s="302"/>
      <c r="Q469" s="301"/>
      <c r="R469" s="297"/>
      <c r="S469" s="297"/>
      <c r="T469" s="299"/>
      <c r="U469" s="300"/>
      <c r="V469" s="301"/>
      <c r="W469" s="297"/>
      <c r="X469" s="297"/>
      <c r="Y469" s="299"/>
      <c r="Z469" s="300"/>
      <c r="AA469" s="301"/>
      <c r="AB469" s="297"/>
      <c r="AC469" s="297"/>
      <c r="AD469" s="299"/>
      <c r="AE469" s="300"/>
      <c r="AF469" s="301"/>
      <c r="AG469" s="297"/>
      <c r="AH469" s="297"/>
      <c r="AI469" s="322"/>
      <c r="AJ469" s="300"/>
      <c r="AK469" s="301"/>
      <c r="AL469" s="297"/>
      <c r="AM469" s="297"/>
      <c r="AN469" s="297"/>
      <c r="AO469" s="473"/>
      <c r="AP469" s="297"/>
      <c r="AQ469" s="301" t="s">
        <v>7622</v>
      </c>
      <c r="AR469" s="297" t="s">
        <v>66</v>
      </c>
      <c r="AS469" s="299" t="s">
        <v>67</v>
      </c>
      <c r="AT469" s="299" t="s">
        <v>67</v>
      </c>
      <c r="AU469" s="297" t="s">
        <v>3827</v>
      </c>
      <c r="AV469" s="297"/>
      <c r="AW469" s="297" t="s">
        <v>69</v>
      </c>
      <c r="AX469" s="297" t="s">
        <v>7623</v>
      </c>
      <c r="AY469" s="299"/>
      <c r="AZ469" s="297" t="s">
        <v>67</v>
      </c>
      <c r="BA469" s="297" t="s">
        <v>67</v>
      </c>
      <c r="BB469" s="382">
        <v>43042</v>
      </c>
      <c r="BC469" s="297" t="s">
        <v>3829</v>
      </c>
      <c r="BD469" s="297" t="s">
        <v>6447</v>
      </c>
      <c r="BE469" s="297"/>
      <c r="BF469" s="301"/>
      <c r="BG469" s="301"/>
      <c r="BH469" s="301" t="s">
        <v>5960</v>
      </c>
      <c r="BI469" s="301"/>
      <c r="BJ469" s="312">
        <v>338928</v>
      </c>
      <c r="BK469" s="312">
        <v>338928</v>
      </c>
      <c r="BL469" s="313">
        <v>2854318</v>
      </c>
      <c r="BM469" s="299">
        <v>43115</v>
      </c>
      <c r="BN469" s="300">
        <v>43101</v>
      </c>
      <c r="BO469" s="434" t="s">
        <v>5961</v>
      </c>
      <c r="BP469" s="397"/>
      <c r="BQ469" s="398"/>
      <c r="BR469" s="320"/>
      <c r="BS469" s="301"/>
      <c r="BT469" s="301"/>
      <c r="BU469" s="301"/>
      <c r="BV469" s="301"/>
      <c r="BW469" s="316"/>
      <c r="BX469" s="304"/>
      <c r="BY469" s="299"/>
      <c r="BZ469" s="317"/>
    </row>
    <row r="470" spans="1:555" ht="54">
      <c r="A470" s="296">
        <v>721</v>
      </c>
      <c r="B470" s="297" t="s">
        <v>5962</v>
      </c>
      <c r="C470" s="298">
        <v>92513564</v>
      </c>
      <c r="D470" s="354"/>
      <c r="E470" s="299"/>
      <c r="F470" s="300"/>
      <c r="G470" s="301"/>
      <c r="H470" s="297"/>
      <c r="I470" s="297"/>
      <c r="J470" s="299"/>
      <c r="K470" s="300"/>
      <c r="L470" s="301"/>
      <c r="M470" s="297"/>
      <c r="N470" s="297"/>
      <c r="O470" s="299"/>
      <c r="P470" s="302"/>
      <c r="Q470" s="301"/>
      <c r="R470" s="297"/>
      <c r="S470" s="297"/>
      <c r="T470" s="299"/>
      <c r="U470" s="300"/>
      <c r="V470" s="301"/>
      <c r="W470" s="297"/>
      <c r="X470" s="297"/>
      <c r="Y470" s="299"/>
      <c r="Z470" s="300"/>
      <c r="AA470" s="301"/>
      <c r="AB470" s="297"/>
      <c r="AC470" s="297"/>
      <c r="AD470" s="299"/>
      <c r="AE470" s="300"/>
      <c r="AF470" s="301"/>
      <c r="AG470" s="297"/>
      <c r="AH470" s="297"/>
      <c r="AI470" s="322"/>
      <c r="AJ470" s="300"/>
      <c r="AK470" s="301"/>
      <c r="AL470" s="297"/>
      <c r="AM470" s="297"/>
      <c r="AN470" s="297"/>
      <c r="AO470" s="473"/>
      <c r="AP470" s="297"/>
      <c r="AQ470" s="301" t="s">
        <v>7902</v>
      </c>
      <c r="AR470" s="297" t="s">
        <v>66</v>
      </c>
      <c r="AS470" s="299" t="s">
        <v>67</v>
      </c>
      <c r="AT470" s="299" t="s">
        <v>67</v>
      </c>
      <c r="AU470" s="297" t="s">
        <v>3827</v>
      </c>
      <c r="AV470" s="297"/>
      <c r="AW470" s="297" t="s">
        <v>69</v>
      </c>
      <c r="AX470" s="297" t="s">
        <v>7903</v>
      </c>
      <c r="AY470" s="299">
        <v>43063</v>
      </c>
      <c r="AZ470" s="297" t="s">
        <v>67</v>
      </c>
      <c r="BA470" s="297" t="s">
        <v>67</v>
      </c>
      <c r="BB470" s="382" t="s">
        <v>5963</v>
      </c>
      <c r="BC470" s="297" t="s">
        <v>3829</v>
      </c>
      <c r="BD470" s="297" t="s">
        <v>6447</v>
      </c>
      <c r="BE470" s="297"/>
      <c r="BF470" s="301"/>
      <c r="BG470" s="301"/>
      <c r="BH470" s="301" t="s">
        <v>5964</v>
      </c>
      <c r="BI470" s="301"/>
      <c r="BJ470" s="312">
        <v>1732568</v>
      </c>
      <c r="BK470" s="312">
        <v>1732568</v>
      </c>
      <c r="BL470" s="313">
        <v>2853218</v>
      </c>
      <c r="BM470" s="299">
        <v>43115</v>
      </c>
      <c r="BN470" s="300">
        <v>43101</v>
      </c>
      <c r="BO470" s="434" t="s">
        <v>7912</v>
      </c>
      <c r="BP470" s="390"/>
      <c r="BQ470" s="297"/>
      <c r="BR470" s="303"/>
      <c r="BS470" s="301"/>
      <c r="BT470" s="301"/>
      <c r="BU470" s="301"/>
      <c r="BV470" s="301"/>
      <c r="BW470" s="316"/>
      <c r="BX470" s="304"/>
      <c r="BY470" s="299"/>
      <c r="BZ470" s="317"/>
    </row>
    <row r="471" spans="1:555" s="259" customFormat="1" ht="75.75" customHeight="1">
      <c r="A471" s="296">
        <v>722</v>
      </c>
      <c r="B471" s="297" t="s">
        <v>5418</v>
      </c>
      <c r="C471" s="298">
        <v>79394415</v>
      </c>
      <c r="D471" s="354"/>
      <c r="E471" s="299"/>
      <c r="F471" s="300"/>
      <c r="G471" s="301"/>
      <c r="H471" s="297"/>
      <c r="I471" s="297"/>
      <c r="J471" s="299"/>
      <c r="K471" s="300"/>
      <c r="L471" s="301"/>
      <c r="M471" s="297"/>
      <c r="N471" s="297"/>
      <c r="O471" s="299"/>
      <c r="P471" s="302"/>
      <c r="Q471" s="301"/>
      <c r="R471" s="297"/>
      <c r="S471" s="297"/>
      <c r="T471" s="299"/>
      <c r="U471" s="300"/>
      <c r="V471" s="301"/>
      <c r="W471" s="297"/>
      <c r="X471" s="297"/>
      <c r="Y471" s="299"/>
      <c r="Z471" s="300"/>
      <c r="AA471" s="301"/>
      <c r="AB471" s="297"/>
      <c r="AC471" s="297"/>
      <c r="AD471" s="299"/>
      <c r="AE471" s="300"/>
      <c r="AF471" s="301"/>
      <c r="AG471" s="297"/>
      <c r="AH471" s="297"/>
      <c r="AI471" s="322"/>
      <c r="AJ471" s="300"/>
      <c r="AK471" s="301"/>
      <c r="AL471" s="297"/>
      <c r="AM471" s="297"/>
      <c r="AN471" s="297"/>
      <c r="AO471" s="473"/>
      <c r="AP471" s="297"/>
      <c r="AQ471" s="301" t="s">
        <v>7853</v>
      </c>
      <c r="AR471" s="297" t="s">
        <v>66</v>
      </c>
      <c r="AS471" s="299" t="s">
        <v>67</v>
      </c>
      <c r="AT471" s="299" t="s">
        <v>67</v>
      </c>
      <c r="AU471" s="297" t="s">
        <v>3827</v>
      </c>
      <c r="AV471" s="297"/>
      <c r="AW471" s="297" t="s">
        <v>69</v>
      </c>
      <c r="AX471" s="297" t="s">
        <v>7651</v>
      </c>
      <c r="AY471" s="299"/>
      <c r="AZ471" s="297" t="s">
        <v>67</v>
      </c>
      <c r="BA471" s="297" t="s">
        <v>67</v>
      </c>
      <c r="BB471" s="382">
        <v>42918</v>
      </c>
      <c r="BC471" s="297" t="s">
        <v>3829</v>
      </c>
      <c r="BD471" s="297" t="s">
        <v>6447</v>
      </c>
      <c r="BE471" s="297"/>
      <c r="BF471" s="301"/>
      <c r="BG471" s="301"/>
      <c r="BH471" s="301" t="s">
        <v>5965</v>
      </c>
      <c r="BI471" s="301"/>
      <c r="BJ471" s="312">
        <v>1830210</v>
      </c>
      <c r="BK471" s="312">
        <v>1830210</v>
      </c>
      <c r="BL471" s="313">
        <v>2851718</v>
      </c>
      <c r="BM471" s="299">
        <v>43115</v>
      </c>
      <c r="BN471" s="300">
        <v>43101</v>
      </c>
      <c r="BO471" s="434" t="s">
        <v>7854</v>
      </c>
      <c r="BP471" s="390"/>
      <c r="BQ471" s="297"/>
      <c r="BR471" s="303"/>
      <c r="BS471" s="301"/>
      <c r="BT471" s="301"/>
      <c r="BU471" s="301"/>
      <c r="BV471" s="301"/>
      <c r="BW471" s="316"/>
      <c r="BX471" s="304"/>
      <c r="BY471" s="299"/>
      <c r="BZ471" s="317"/>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c r="JW471" s="1"/>
      <c r="JX471" s="1"/>
      <c r="JY471" s="1"/>
      <c r="JZ471" s="1"/>
      <c r="KA471" s="1"/>
      <c r="KB471" s="1"/>
      <c r="KC471" s="1"/>
      <c r="KD471" s="1"/>
      <c r="KE471" s="1"/>
      <c r="KF471" s="1"/>
      <c r="KG471" s="1"/>
      <c r="KH471" s="1"/>
      <c r="KI471" s="1"/>
      <c r="KJ471" s="1"/>
      <c r="KK471" s="1"/>
      <c r="KL471" s="1"/>
      <c r="KM471" s="1"/>
      <c r="KN471" s="1"/>
      <c r="KO471" s="1"/>
      <c r="KP471" s="1"/>
      <c r="KQ471" s="1"/>
      <c r="KR471" s="1"/>
      <c r="KS471" s="1"/>
      <c r="KT471" s="1"/>
      <c r="KU471" s="1"/>
      <c r="KV471" s="1"/>
      <c r="KW471" s="1"/>
      <c r="KX471" s="1"/>
      <c r="KY471" s="1"/>
      <c r="KZ471" s="1"/>
      <c r="LA471" s="1"/>
      <c r="LB471" s="1"/>
      <c r="LC471" s="1"/>
      <c r="LD471" s="1"/>
      <c r="LE471" s="1"/>
      <c r="LF471" s="1"/>
      <c r="LG471" s="1"/>
      <c r="LH471" s="1"/>
      <c r="LI471" s="1"/>
      <c r="LJ471" s="1"/>
      <c r="LK471" s="1"/>
      <c r="LL471" s="1"/>
      <c r="LM471" s="1"/>
      <c r="LN471" s="1"/>
      <c r="LO471" s="1"/>
      <c r="LP471" s="1"/>
      <c r="LQ471" s="1"/>
      <c r="LR471" s="1"/>
      <c r="LS471" s="1"/>
      <c r="LT471" s="1"/>
      <c r="LU471" s="1"/>
      <c r="LV471" s="1"/>
      <c r="LW471" s="1"/>
      <c r="LX471" s="1"/>
      <c r="LY471" s="1"/>
      <c r="LZ471" s="1"/>
      <c r="MA471" s="1"/>
      <c r="MB471" s="1"/>
      <c r="MC471" s="1"/>
      <c r="MD471" s="1"/>
      <c r="ME471" s="1"/>
      <c r="MF471" s="1"/>
      <c r="MG471" s="1"/>
      <c r="MH471" s="1"/>
      <c r="MI471" s="1"/>
      <c r="MJ471" s="1"/>
      <c r="MK471" s="1"/>
      <c r="ML471" s="1"/>
      <c r="MM471" s="1"/>
      <c r="MN471" s="1"/>
      <c r="MO471" s="1"/>
      <c r="MP471" s="1"/>
      <c r="MQ471" s="1"/>
      <c r="MR471" s="1"/>
      <c r="MS471" s="1"/>
      <c r="MT471" s="1"/>
      <c r="MU471" s="1"/>
      <c r="MV471" s="1"/>
      <c r="MW471" s="1"/>
      <c r="MX471" s="1"/>
      <c r="MY471" s="1"/>
      <c r="MZ471" s="1"/>
      <c r="NA471" s="1"/>
      <c r="NB471" s="1"/>
      <c r="NC471" s="1"/>
      <c r="ND471" s="1"/>
      <c r="NE471" s="1"/>
      <c r="NF471" s="1"/>
      <c r="NG471" s="1"/>
      <c r="NH471" s="1"/>
      <c r="NI471" s="1"/>
      <c r="NJ471" s="1"/>
      <c r="NK471" s="1"/>
      <c r="NL471" s="1"/>
      <c r="NM471" s="1"/>
      <c r="NN471" s="1"/>
      <c r="NO471" s="1"/>
      <c r="NP471" s="1"/>
      <c r="NQ471" s="1"/>
      <c r="NR471" s="1"/>
      <c r="NS471" s="1"/>
      <c r="NT471" s="1"/>
      <c r="NU471" s="1"/>
      <c r="NV471" s="1"/>
      <c r="NW471" s="1"/>
      <c r="NX471" s="1"/>
      <c r="NY471" s="1"/>
      <c r="NZ471" s="1"/>
      <c r="OA471" s="1"/>
      <c r="OB471" s="1"/>
      <c r="OC471" s="1"/>
      <c r="OD471" s="1"/>
      <c r="OE471" s="1"/>
      <c r="OF471" s="1"/>
      <c r="OG471" s="1"/>
      <c r="OH471" s="1"/>
      <c r="OI471" s="1"/>
      <c r="OJ471" s="1"/>
      <c r="OK471" s="1"/>
      <c r="OL471" s="1"/>
      <c r="OM471" s="1"/>
      <c r="ON471" s="1"/>
      <c r="OO471" s="1"/>
      <c r="OP471" s="1"/>
      <c r="OQ471" s="1"/>
      <c r="OR471" s="1"/>
      <c r="OS471" s="1"/>
      <c r="OT471" s="1"/>
      <c r="OU471" s="1"/>
      <c r="OV471" s="1"/>
      <c r="OW471" s="1"/>
      <c r="OX471" s="1"/>
      <c r="OY471" s="1"/>
      <c r="OZ471" s="1"/>
      <c r="PA471" s="1"/>
      <c r="PB471" s="1"/>
      <c r="PC471" s="1"/>
      <c r="PD471" s="1"/>
      <c r="PE471" s="1"/>
      <c r="PF471" s="1"/>
      <c r="PG471" s="1"/>
      <c r="PH471" s="1"/>
      <c r="PI471" s="1"/>
      <c r="PJ471" s="1"/>
      <c r="PK471" s="1"/>
      <c r="PL471" s="1"/>
      <c r="PM471" s="1"/>
      <c r="PN471" s="1"/>
      <c r="PO471" s="1"/>
      <c r="PP471" s="1"/>
      <c r="PQ471" s="1"/>
      <c r="PR471" s="1"/>
      <c r="PS471" s="1"/>
      <c r="PT471" s="1"/>
      <c r="PU471" s="1"/>
      <c r="PV471" s="1"/>
      <c r="PW471" s="1"/>
      <c r="PX471" s="1"/>
      <c r="PY471" s="1"/>
      <c r="PZ471" s="1"/>
      <c r="QA471" s="1"/>
      <c r="QB471" s="1"/>
      <c r="QC471" s="1"/>
      <c r="QD471" s="1"/>
      <c r="QE471" s="1"/>
      <c r="QF471" s="1"/>
      <c r="QG471" s="1"/>
      <c r="QH471" s="1"/>
      <c r="QI471" s="1"/>
      <c r="QJ471" s="1"/>
      <c r="QK471" s="1"/>
      <c r="QL471" s="1"/>
      <c r="QM471" s="1"/>
      <c r="QN471" s="1"/>
      <c r="QO471" s="1"/>
      <c r="QP471" s="1"/>
      <c r="QQ471" s="1"/>
      <c r="QR471" s="1"/>
      <c r="QS471" s="1"/>
      <c r="QT471" s="1"/>
      <c r="QU471" s="1"/>
      <c r="QV471" s="1"/>
      <c r="QW471" s="1"/>
      <c r="QX471" s="1"/>
      <c r="QY471" s="1"/>
      <c r="QZ471" s="1"/>
      <c r="RA471" s="1"/>
      <c r="RB471" s="1"/>
      <c r="RC471" s="1"/>
      <c r="RD471" s="1"/>
      <c r="RE471" s="1"/>
      <c r="RF471" s="1"/>
      <c r="RG471" s="1"/>
      <c r="RH471" s="1"/>
      <c r="RI471" s="1"/>
      <c r="RJ471" s="1"/>
      <c r="RK471" s="1"/>
      <c r="RL471" s="1"/>
      <c r="RM471" s="1"/>
      <c r="RN471" s="1"/>
      <c r="RO471" s="1"/>
      <c r="RP471" s="1"/>
      <c r="RQ471" s="1"/>
      <c r="RR471" s="1"/>
      <c r="RS471" s="1"/>
      <c r="RT471" s="1"/>
      <c r="RU471" s="1"/>
      <c r="RV471" s="1"/>
      <c r="RW471" s="1"/>
      <c r="RX471" s="1"/>
      <c r="RY471" s="1"/>
      <c r="RZ471" s="1"/>
      <c r="SA471" s="1"/>
      <c r="SB471" s="1"/>
      <c r="SC471" s="1"/>
      <c r="SD471" s="1"/>
      <c r="SE471" s="1"/>
      <c r="SF471" s="1"/>
      <c r="SG471" s="1"/>
      <c r="SH471" s="1"/>
      <c r="SI471" s="1"/>
      <c r="SJ471" s="1"/>
      <c r="SK471" s="1"/>
      <c r="SL471" s="1"/>
      <c r="SM471" s="1"/>
      <c r="SN471" s="1"/>
      <c r="SO471" s="1"/>
      <c r="SP471" s="1"/>
      <c r="SQ471" s="1"/>
      <c r="SR471" s="1"/>
      <c r="SS471" s="1"/>
      <c r="ST471" s="1"/>
      <c r="SU471" s="1"/>
      <c r="SV471" s="1"/>
      <c r="SW471" s="1"/>
      <c r="SX471" s="1"/>
      <c r="SY471" s="1"/>
      <c r="SZ471" s="1"/>
      <c r="TA471" s="1"/>
      <c r="TB471" s="1"/>
      <c r="TC471" s="1"/>
      <c r="TD471" s="1"/>
      <c r="TE471" s="1"/>
      <c r="TF471" s="1"/>
      <c r="TG471" s="1"/>
      <c r="TH471" s="1"/>
      <c r="TI471" s="1"/>
      <c r="TJ471" s="1"/>
      <c r="TK471" s="1"/>
      <c r="TL471" s="1"/>
      <c r="TM471" s="1"/>
      <c r="TN471" s="1"/>
      <c r="TO471" s="1"/>
      <c r="TP471" s="1"/>
      <c r="TQ471" s="1"/>
      <c r="TR471" s="1"/>
      <c r="TS471" s="1"/>
      <c r="TT471" s="1"/>
      <c r="TU471" s="1"/>
      <c r="TV471" s="1"/>
      <c r="TW471" s="1"/>
      <c r="TX471" s="1"/>
      <c r="TY471" s="1"/>
      <c r="TZ471" s="1"/>
      <c r="UA471" s="1"/>
      <c r="UB471" s="1"/>
      <c r="UC471" s="1"/>
      <c r="UD471" s="1"/>
      <c r="UE471" s="1"/>
      <c r="UF471" s="1"/>
      <c r="UG471" s="1"/>
      <c r="UH471" s="1"/>
      <c r="UI471" s="1"/>
    </row>
    <row r="472" spans="1:555" s="259" customFormat="1" ht="81" customHeight="1">
      <c r="A472" s="296">
        <v>723</v>
      </c>
      <c r="B472" s="297" t="s">
        <v>5966</v>
      </c>
      <c r="C472" s="298">
        <v>92028472</v>
      </c>
      <c r="D472" s="354"/>
      <c r="E472" s="299"/>
      <c r="F472" s="300"/>
      <c r="G472" s="301"/>
      <c r="H472" s="297"/>
      <c r="I472" s="297"/>
      <c r="J472" s="299"/>
      <c r="K472" s="300"/>
      <c r="L472" s="301"/>
      <c r="M472" s="297"/>
      <c r="N472" s="297"/>
      <c r="O472" s="299"/>
      <c r="P472" s="302"/>
      <c r="Q472" s="301"/>
      <c r="R472" s="297"/>
      <c r="S472" s="297"/>
      <c r="T472" s="299"/>
      <c r="U472" s="300"/>
      <c r="V472" s="301"/>
      <c r="W472" s="297"/>
      <c r="X472" s="297"/>
      <c r="Y472" s="299"/>
      <c r="Z472" s="300"/>
      <c r="AA472" s="301"/>
      <c r="AB472" s="297"/>
      <c r="AC472" s="297"/>
      <c r="AD472" s="299"/>
      <c r="AE472" s="300"/>
      <c r="AF472" s="301"/>
      <c r="AG472" s="297"/>
      <c r="AH472" s="297"/>
      <c r="AI472" s="322"/>
      <c r="AJ472" s="300"/>
      <c r="AK472" s="301"/>
      <c r="AL472" s="297"/>
      <c r="AM472" s="297"/>
      <c r="AN472" s="297"/>
      <c r="AO472" s="473"/>
      <c r="AP472" s="297"/>
      <c r="AQ472" s="301" t="s">
        <v>5967</v>
      </c>
      <c r="AR472" s="297" t="s">
        <v>66</v>
      </c>
      <c r="AS472" s="299" t="s">
        <v>67</v>
      </c>
      <c r="AT472" s="299" t="s">
        <v>67</v>
      </c>
      <c r="AU472" s="297" t="s">
        <v>3827</v>
      </c>
      <c r="AV472" s="297"/>
      <c r="AW472" s="297" t="s">
        <v>69</v>
      </c>
      <c r="AX472" s="297" t="s">
        <v>7617</v>
      </c>
      <c r="AY472" s="299">
        <v>43046</v>
      </c>
      <c r="AZ472" s="297" t="s">
        <v>67</v>
      </c>
      <c r="BA472" s="297" t="s">
        <v>67</v>
      </c>
      <c r="BB472" s="382">
        <v>43046</v>
      </c>
      <c r="BC472" s="297" t="s">
        <v>3829</v>
      </c>
      <c r="BD472" s="297" t="s">
        <v>6447</v>
      </c>
      <c r="BE472" s="297"/>
      <c r="BF472" s="301"/>
      <c r="BG472" s="301"/>
      <c r="BH472" s="301" t="s">
        <v>5968</v>
      </c>
      <c r="BI472" s="301"/>
      <c r="BJ472" s="312">
        <v>1084569</v>
      </c>
      <c r="BK472" s="312">
        <v>1084569</v>
      </c>
      <c r="BL472" s="313">
        <v>2852918</v>
      </c>
      <c r="BM472" s="299">
        <v>43115</v>
      </c>
      <c r="BN472" s="300">
        <v>43101</v>
      </c>
      <c r="BO472" s="434" t="s">
        <v>5969</v>
      </c>
      <c r="BP472" s="397"/>
      <c r="BQ472" s="398"/>
      <c r="BR472" s="320"/>
      <c r="BS472" s="301"/>
      <c r="BT472" s="301"/>
      <c r="BU472" s="301"/>
      <c r="BV472" s="301"/>
      <c r="BW472" s="316"/>
      <c r="BX472" s="304"/>
      <c r="BY472" s="299"/>
      <c r="BZ472" s="317"/>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c r="JW472" s="1"/>
      <c r="JX472" s="1"/>
      <c r="JY472" s="1"/>
      <c r="JZ472" s="1"/>
      <c r="KA472" s="1"/>
      <c r="KB472" s="1"/>
      <c r="KC472" s="1"/>
      <c r="KD472" s="1"/>
      <c r="KE472" s="1"/>
      <c r="KF472" s="1"/>
      <c r="KG472" s="1"/>
      <c r="KH472" s="1"/>
      <c r="KI472" s="1"/>
      <c r="KJ472" s="1"/>
      <c r="KK472" s="1"/>
      <c r="KL472" s="1"/>
      <c r="KM472" s="1"/>
      <c r="KN472" s="1"/>
      <c r="KO472" s="1"/>
      <c r="KP472" s="1"/>
      <c r="KQ472" s="1"/>
      <c r="KR472" s="1"/>
      <c r="KS472" s="1"/>
      <c r="KT472" s="1"/>
      <c r="KU472" s="1"/>
      <c r="KV472" s="1"/>
      <c r="KW472" s="1"/>
      <c r="KX472" s="1"/>
      <c r="KY472" s="1"/>
      <c r="KZ472" s="1"/>
      <c r="LA472" s="1"/>
      <c r="LB472" s="1"/>
      <c r="LC472" s="1"/>
      <c r="LD472" s="1"/>
      <c r="LE472" s="1"/>
      <c r="LF472" s="1"/>
      <c r="LG472" s="1"/>
      <c r="LH472" s="1"/>
      <c r="LI472" s="1"/>
      <c r="LJ472" s="1"/>
      <c r="LK472" s="1"/>
      <c r="LL472" s="1"/>
      <c r="LM472" s="1"/>
      <c r="LN472" s="1"/>
      <c r="LO472" s="1"/>
      <c r="LP472" s="1"/>
      <c r="LQ472" s="1"/>
      <c r="LR472" s="1"/>
      <c r="LS472" s="1"/>
      <c r="LT472" s="1"/>
      <c r="LU472" s="1"/>
      <c r="LV472" s="1"/>
      <c r="LW472" s="1"/>
      <c r="LX472" s="1"/>
      <c r="LY472" s="1"/>
      <c r="LZ472" s="1"/>
      <c r="MA472" s="1"/>
      <c r="MB472" s="1"/>
      <c r="MC472" s="1"/>
      <c r="MD472" s="1"/>
      <c r="ME472" s="1"/>
      <c r="MF472" s="1"/>
      <c r="MG472" s="1"/>
      <c r="MH472" s="1"/>
      <c r="MI472" s="1"/>
      <c r="MJ472" s="1"/>
      <c r="MK472" s="1"/>
      <c r="ML472" s="1"/>
      <c r="MM472" s="1"/>
      <c r="MN472" s="1"/>
      <c r="MO472" s="1"/>
      <c r="MP472" s="1"/>
      <c r="MQ472" s="1"/>
      <c r="MR472" s="1"/>
      <c r="MS472" s="1"/>
      <c r="MT472" s="1"/>
      <c r="MU472" s="1"/>
      <c r="MV472" s="1"/>
      <c r="MW472" s="1"/>
      <c r="MX472" s="1"/>
      <c r="MY472" s="1"/>
      <c r="MZ472" s="1"/>
      <c r="NA472" s="1"/>
      <c r="NB472" s="1"/>
      <c r="NC472" s="1"/>
      <c r="ND472" s="1"/>
      <c r="NE472" s="1"/>
      <c r="NF472" s="1"/>
      <c r="NG472" s="1"/>
      <c r="NH472" s="1"/>
      <c r="NI472" s="1"/>
      <c r="NJ472" s="1"/>
      <c r="NK472" s="1"/>
      <c r="NL472" s="1"/>
      <c r="NM472" s="1"/>
      <c r="NN472" s="1"/>
      <c r="NO472" s="1"/>
      <c r="NP472" s="1"/>
      <c r="NQ472" s="1"/>
      <c r="NR472" s="1"/>
      <c r="NS472" s="1"/>
      <c r="NT472" s="1"/>
      <c r="NU472" s="1"/>
      <c r="NV472" s="1"/>
      <c r="NW472" s="1"/>
      <c r="NX472" s="1"/>
      <c r="NY472" s="1"/>
      <c r="NZ472" s="1"/>
      <c r="OA472" s="1"/>
      <c r="OB472" s="1"/>
      <c r="OC472" s="1"/>
      <c r="OD472" s="1"/>
      <c r="OE472" s="1"/>
      <c r="OF472" s="1"/>
      <c r="OG472" s="1"/>
      <c r="OH472" s="1"/>
      <c r="OI472" s="1"/>
      <c r="OJ472" s="1"/>
      <c r="OK472" s="1"/>
      <c r="OL472" s="1"/>
      <c r="OM472" s="1"/>
      <c r="ON472" s="1"/>
      <c r="OO472" s="1"/>
      <c r="OP472" s="1"/>
      <c r="OQ472" s="1"/>
      <c r="OR472" s="1"/>
      <c r="OS472" s="1"/>
      <c r="OT472" s="1"/>
      <c r="OU472" s="1"/>
      <c r="OV472" s="1"/>
      <c r="OW472" s="1"/>
      <c r="OX472" s="1"/>
      <c r="OY472" s="1"/>
      <c r="OZ472" s="1"/>
      <c r="PA472" s="1"/>
      <c r="PB472" s="1"/>
      <c r="PC472" s="1"/>
      <c r="PD472" s="1"/>
      <c r="PE472" s="1"/>
      <c r="PF472" s="1"/>
      <c r="PG472" s="1"/>
      <c r="PH472" s="1"/>
      <c r="PI472" s="1"/>
      <c r="PJ472" s="1"/>
      <c r="PK472" s="1"/>
      <c r="PL472" s="1"/>
      <c r="PM472" s="1"/>
      <c r="PN472" s="1"/>
      <c r="PO472" s="1"/>
      <c r="PP472" s="1"/>
      <c r="PQ472" s="1"/>
      <c r="PR472" s="1"/>
      <c r="PS472" s="1"/>
      <c r="PT472" s="1"/>
      <c r="PU472" s="1"/>
      <c r="PV472" s="1"/>
      <c r="PW472" s="1"/>
      <c r="PX472" s="1"/>
      <c r="PY472" s="1"/>
      <c r="PZ472" s="1"/>
      <c r="QA472" s="1"/>
      <c r="QB472" s="1"/>
      <c r="QC472" s="1"/>
      <c r="QD472" s="1"/>
      <c r="QE472" s="1"/>
      <c r="QF472" s="1"/>
      <c r="QG472" s="1"/>
      <c r="QH472" s="1"/>
      <c r="QI472" s="1"/>
      <c r="QJ472" s="1"/>
      <c r="QK472" s="1"/>
      <c r="QL472" s="1"/>
      <c r="QM472" s="1"/>
      <c r="QN472" s="1"/>
      <c r="QO472" s="1"/>
      <c r="QP472" s="1"/>
      <c r="QQ472" s="1"/>
      <c r="QR472" s="1"/>
      <c r="QS472" s="1"/>
      <c r="QT472" s="1"/>
      <c r="QU472" s="1"/>
      <c r="QV472" s="1"/>
      <c r="QW472" s="1"/>
      <c r="QX472" s="1"/>
      <c r="QY472" s="1"/>
      <c r="QZ472" s="1"/>
      <c r="RA472" s="1"/>
      <c r="RB472" s="1"/>
      <c r="RC472" s="1"/>
      <c r="RD472" s="1"/>
      <c r="RE472" s="1"/>
      <c r="RF472" s="1"/>
      <c r="RG472" s="1"/>
      <c r="RH472" s="1"/>
      <c r="RI472" s="1"/>
      <c r="RJ472" s="1"/>
      <c r="RK472" s="1"/>
      <c r="RL472" s="1"/>
      <c r="RM472" s="1"/>
      <c r="RN472" s="1"/>
      <c r="RO472" s="1"/>
      <c r="RP472" s="1"/>
      <c r="RQ472" s="1"/>
      <c r="RR472" s="1"/>
      <c r="RS472" s="1"/>
      <c r="RT472" s="1"/>
      <c r="RU472" s="1"/>
      <c r="RV472" s="1"/>
      <c r="RW472" s="1"/>
      <c r="RX472" s="1"/>
      <c r="RY472" s="1"/>
      <c r="RZ472" s="1"/>
      <c r="SA472" s="1"/>
      <c r="SB472" s="1"/>
      <c r="SC472" s="1"/>
      <c r="SD472" s="1"/>
      <c r="SE472" s="1"/>
      <c r="SF472" s="1"/>
      <c r="SG472" s="1"/>
      <c r="SH472" s="1"/>
      <c r="SI472" s="1"/>
      <c r="SJ472" s="1"/>
      <c r="SK472" s="1"/>
      <c r="SL472" s="1"/>
      <c r="SM472" s="1"/>
      <c r="SN472" s="1"/>
      <c r="SO472" s="1"/>
      <c r="SP472" s="1"/>
      <c r="SQ472" s="1"/>
      <c r="SR472" s="1"/>
      <c r="SS472" s="1"/>
      <c r="ST472" s="1"/>
      <c r="SU472" s="1"/>
      <c r="SV472" s="1"/>
      <c r="SW472" s="1"/>
      <c r="SX472" s="1"/>
      <c r="SY472" s="1"/>
      <c r="SZ472" s="1"/>
      <c r="TA472" s="1"/>
      <c r="TB472" s="1"/>
      <c r="TC472" s="1"/>
      <c r="TD472" s="1"/>
      <c r="TE472" s="1"/>
      <c r="TF472" s="1"/>
      <c r="TG472" s="1"/>
      <c r="TH472" s="1"/>
      <c r="TI472" s="1"/>
      <c r="TJ472" s="1"/>
      <c r="TK472" s="1"/>
      <c r="TL472" s="1"/>
      <c r="TM472" s="1"/>
      <c r="TN472" s="1"/>
      <c r="TO472" s="1"/>
      <c r="TP472" s="1"/>
      <c r="TQ472" s="1"/>
      <c r="TR472" s="1"/>
      <c r="TS472" s="1"/>
      <c r="TT472" s="1"/>
      <c r="TU472" s="1"/>
      <c r="TV472" s="1"/>
      <c r="TW472" s="1"/>
      <c r="TX472" s="1"/>
      <c r="TY472" s="1"/>
      <c r="TZ472" s="1"/>
      <c r="UA472" s="1"/>
      <c r="UB472" s="1"/>
      <c r="UC472" s="1"/>
      <c r="UD472" s="1"/>
      <c r="UE472" s="1"/>
      <c r="UF472" s="1"/>
      <c r="UG472" s="1"/>
      <c r="UH472" s="1"/>
      <c r="UI472" s="1"/>
    </row>
    <row r="473" spans="1:555" s="259" customFormat="1" ht="40.5">
      <c r="A473" s="296">
        <v>733</v>
      </c>
      <c r="B473" s="297" t="s">
        <v>6021</v>
      </c>
      <c r="C473" s="298" t="s">
        <v>7580</v>
      </c>
      <c r="D473" s="354" t="s">
        <v>6022</v>
      </c>
      <c r="E473" s="299">
        <v>43091</v>
      </c>
      <c r="F473" s="300">
        <v>43070</v>
      </c>
      <c r="G473" s="301" t="s">
        <v>6023</v>
      </c>
      <c r="H473" s="297" t="s">
        <v>63</v>
      </c>
      <c r="I473" s="297" t="s">
        <v>79</v>
      </c>
      <c r="J473" s="299">
        <v>43145</v>
      </c>
      <c r="K473" s="300">
        <v>43132</v>
      </c>
      <c r="L473" s="301" t="s">
        <v>6024</v>
      </c>
      <c r="M473" s="297" t="s">
        <v>63</v>
      </c>
      <c r="N473" s="297" t="s">
        <v>1114</v>
      </c>
      <c r="O473" s="299"/>
      <c r="P473" s="302"/>
      <c r="Q473" s="301"/>
      <c r="R473" s="297"/>
      <c r="S473" s="297"/>
      <c r="T473" s="299"/>
      <c r="U473" s="300"/>
      <c r="V473" s="301"/>
      <c r="W473" s="297"/>
      <c r="X473" s="297"/>
      <c r="Y473" s="299"/>
      <c r="Z473" s="300"/>
      <c r="AA473" s="301"/>
      <c r="AB473" s="297"/>
      <c r="AC473" s="297"/>
      <c r="AD473" s="299"/>
      <c r="AE473" s="300"/>
      <c r="AF473" s="301"/>
      <c r="AG473" s="297"/>
      <c r="AH473" s="297"/>
      <c r="AI473" s="322"/>
      <c r="AJ473" s="300"/>
      <c r="AK473" s="301"/>
      <c r="AL473" s="297"/>
      <c r="AM473" s="297"/>
      <c r="AN473" s="297"/>
      <c r="AO473" s="473"/>
      <c r="AP473" s="297"/>
      <c r="AQ473" s="301"/>
      <c r="AR473" s="297" t="s">
        <v>66</v>
      </c>
      <c r="AS473" s="299" t="s">
        <v>67</v>
      </c>
      <c r="AT473" s="299" t="s">
        <v>67</v>
      </c>
      <c r="AU473" s="297" t="s">
        <v>5736</v>
      </c>
      <c r="AV473" s="297"/>
      <c r="AW473" s="297" t="s">
        <v>69</v>
      </c>
      <c r="AX473" s="297"/>
      <c r="AY473" s="299"/>
      <c r="AZ473" s="297" t="s">
        <v>67</v>
      </c>
      <c r="BA473" s="297" t="s">
        <v>67</v>
      </c>
      <c r="BB473" s="382">
        <v>43100</v>
      </c>
      <c r="BC473" s="297" t="s">
        <v>5736</v>
      </c>
      <c r="BD473" s="297"/>
      <c r="BE473" s="297"/>
      <c r="BF473" s="301"/>
      <c r="BG473" s="301"/>
      <c r="BH473" s="301" t="s">
        <v>6025</v>
      </c>
      <c r="BI473" s="301"/>
      <c r="BJ473" s="312">
        <v>19236397</v>
      </c>
      <c r="BK473" s="312">
        <v>19236397</v>
      </c>
      <c r="BL473" s="313">
        <v>110114518</v>
      </c>
      <c r="BM473" s="299">
        <v>43213</v>
      </c>
      <c r="BN473" s="300">
        <v>43191</v>
      </c>
      <c r="BO473" s="434" t="s">
        <v>7927</v>
      </c>
      <c r="BP473" s="397"/>
      <c r="BQ473" s="398"/>
      <c r="BR473" s="320"/>
      <c r="BS473" s="301"/>
      <c r="BT473" s="301"/>
      <c r="BU473" s="301"/>
      <c r="BV473" s="301"/>
      <c r="BW473" s="316"/>
      <c r="BX473" s="304"/>
      <c r="BY473" s="299"/>
      <c r="BZ473" s="317"/>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c r="JW473" s="1"/>
      <c r="JX473" s="1"/>
      <c r="JY473" s="1"/>
      <c r="JZ473" s="1"/>
      <c r="KA473" s="1"/>
      <c r="KB473" s="1"/>
      <c r="KC473" s="1"/>
      <c r="KD473" s="1"/>
      <c r="KE473" s="1"/>
      <c r="KF473" s="1"/>
      <c r="KG473" s="1"/>
      <c r="KH473" s="1"/>
      <c r="KI473" s="1"/>
      <c r="KJ473" s="1"/>
      <c r="KK473" s="1"/>
      <c r="KL473" s="1"/>
      <c r="KM473" s="1"/>
      <c r="KN473" s="1"/>
      <c r="KO473" s="1"/>
      <c r="KP473" s="1"/>
      <c r="KQ473" s="1"/>
      <c r="KR473" s="1"/>
      <c r="KS473" s="1"/>
      <c r="KT473" s="1"/>
      <c r="KU473" s="1"/>
      <c r="KV473" s="1"/>
      <c r="KW473" s="1"/>
      <c r="KX473" s="1"/>
      <c r="KY473" s="1"/>
      <c r="KZ473" s="1"/>
      <c r="LA473" s="1"/>
      <c r="LB473" s="1"/>
      <c r="LC473" s="1"/>
      <c r="LD473" s="1"/>
      <c r="LE473" s="1"/>
      <c r="LF473" s="1"/>
      <c r="LG473" s="1"/>
      <c r="LH473" s="1"/>
      <c r="LI473" s="1"/>
      <c r="LJ473" s="1"/>
      <c r="LK473" s="1"/>
      <c r="LL473" s="1"/>
      <c r="LM473" s="1"/>
      <c r="LN473" s="1"/>
      <c r="LO473" s="1"/>
      <c r="LP473" s="1"/>
      <c r="LQ473" s="1"/>
      <c r="LR473" s="1"/>
      <c r="LS473" s="1"/>
      <c r="LT473" s="1"/>
      <c r="LU473" s="1"/>
      <c r="LV473" s="1"/>
      <c r="LW473" s="1"/>
      <c r="LX473" s="1"/>
      <c r="LY473" s="1"/>
      <c r="LZ473" s="1"/>
      <c r="MA473" s="1"/>
      <c r="MB473" s="1"/>
      <c r="MC473" s="1"/>
      <c r="MD473" s="1"/>
      <c r="ME473" s="1"/>
      <c r="MF473" s="1"/>
      <c r="MG473" s="1"/>
      <c r="MH473" s="1"/>
      <c r="MI473" s="1"/>
      <c r="MJ473" s="1"/>
      <c r="MK473" s="1"/>
      <c r="ML473" s="1"/>
      <c r="MM473" s="1"/>
      <c r="MN473" s="1"/>
      <c r="MO473" s="1"/>
      <c r="MP473" s="1"/>
      <c r="MQ473" s="1"/>
      <c r="MR473" s="1"/>
      <c r="MS473" s="1"/>
      <c r="MT473" s="1"/>
      <c r="MU473" s="1"/>
      <c r="MV473" s="1"/>
      <c r="MW473" s="1"/>
      <c r="MX473" s="1"/>
      <c r="MY473" s="1"/>
      <c r="MZ473" s="1"/>
      <c r="NA473" s="1"/>
      <c r="NB473" s="1"/>
      <c r="NC473" s="1"/>
      <c r="ND473" s="1"/>
      <c r="NE473" s="1"/>
      <c r="NF473" s="1"/>
      <c r="NG473" s="1"/>
      <c r="NH473" s="1"/>
      <c r="NI473" s="1"/>
      <c r="NJ473" s="1"/>
      <c r="NK473" s="1"/>
      <c r="NL473" s="1"/>
      <c r="NM473" s="1"/>
      <c r="NN473" s="1"/>
      <c r="NO473" s="1"/>
      <c r="NP473" s="1"/>
      <c r="NQ473" s="1"/>
      <c r="NR473" s="1"/>
      <c r="NS473" s="1"/>
      <c r="NT473" s="1"/>
      <c r="NU473" s="1"/>
      <c r="NV473" s="1"/>
      <c r="NW473" s="1"/>
      <c r="NX473" s="1"/>
      <c r="NY473" s="1"/>
      <c r="NZ473" s="1"/>
      <c r="OA473" s="1"/>
      <c r="OB473" s="1"/>
      <c r="OC473" s="1"/>
      <c r="OD473" s="1"/>
      <c r="OE473" s="1"/>
      <c r="OF473" s="1"/>
      <c r="OG473" s="1"/>
      <c r="OH473" s="1"/>
      <c r="OI473" s="1"/>
      <c r="OJ473" s="1"/>
      <c r="OK473" s="1"/>
      <c r="OL473" s="1"/>
      <c r="OM473" s="1"/>
      <c r="ON473" s="1"/>
      <c r="OO473" s="1"/>
      <c r="OP473" s="1"/>
      <c r="OQ473" s="1"/>
      <c r="OR473" s="1"/>
      <c r="OS473" s="1"/>
      <c r="OT473" s="1"/>
      <c r="OU473" s="1"/>
      <c r="OV473" s="1"/>
      <c r="OW473" s="1"/>
      <c r="OX473" s="1"/>
      <c r="OY473" s="1"/>
      <c r="OZ473" s="1"/>
      <c r="PA473" s="1"/>
      <c r="PB473" s="1"/>
      <c r="PC473" s="1"/>
      <c r="PD473" s="1"/>
      <c r="PE473" s="1"/>
      <c r="PF473" s="1"/>
      <c r="PG473" s="1"/>
      <c r="PH473" s="1"/>
      <c r="PI473" s="1"/>
      <c r="PJ473" s="1"/>
      <c r="PK473" s="1"/>
      <c r="PL473" s="1"/>
      <c r="PM473" s="1"/>
      <c r="PN473" s="1"/>
      <c r="PO473" s="1"/>
      <c r="PP473" s="1"/>
      <c r="PQ473" s="1"/>
      <c r="PR473" s="1"/>
      <c r="PS473" s="1"/>
      <c r="PT473" s="1"/>
      <c r="PU473" s="1"/>
      <c r="PV473" s="1"/>
      <c r="PW473" s="1"/>
      <c r="PX473" s="1"/>
      <c r="PY473" s="1"/>
      <c r="PZ473" s="1"/>
      <c r="QA473" s="1"/>
      <c r="QB473" s="1"/>
      <c r="QC473" s="1"/>
      <c r="QD473" s="1"/>
      <c r="QE473" s="1"/>
      <c r="QF473" s="1"/>
      <c r="QG473" s="1"/>
      <c r="QH473" s="1"/>
      <c r="QI473" s="1"/>
      <c r="QJ473" s="1"/>
      <c r="QK473" s="1"/>
      <c r="QL473" s="1"/>
      <c r="QM473" s="1"/>
      <c r="QN473" s="1"/>
      <c r="QO473" s="1"/>
      <c r="QP473" s="1"/>
      <c r="QQ473" s="1"/>
      <c r="QR473" s="1"/>
      <c r="QS473" s="1"/>
      <c r="QT473" s="1"/>
      <c r="QU473" s="1"/>
      <c r="QV473" s="1"/>
      <c r="QW473" s="1"/>
      <c r="QX473" s="1"/>
      <c r="QY473" s="1"/>
      <c r="QZ473" s="1"/>
      <c r="RA473" s="1"/>
      <c r="RB473" s="1"/>
      <c r="RC473" s="1"/>
      <c r="RD473" s="1"/>
      <c r="RE473" s="1"/>
      <c r="RF473" s="1"/>
      <c r="RG473" s="1"/>
      <c r="RH473" s="1"/>
      <c r="RI473" s="1"/>
      <c r="RJ473" s="1"/>
      <c r="RK473" s="1"/>
      <c r="RL473" s="1"/>
      <c r="RM473" s="1"/>
      <c r="RN473" s="1"/>
      <c r="RO473" s="1"/>
      <c r="RP473" s="1"/>
      <c r="RQ473" s="1"/>
      <c r="RR473" s="1"/>
      <c r="RS473" s="1"/>
      <c r="RT473" s="1"/>
      <c r="RU473" s="1"/>
      <c r="RV473" s="1"/>
      <c r="RW473" s="1"/>
      <c r="RX473" s="1"/>
      <c r="RY473" s="1"/>
      <c r="RZ473" s="1"/>
      <c r="SA473" s="1"/>
      <c r="SB473" s="1"/>
      <c r="SC473" s="1"/>
      <c r="SD473" s="1"/>
      <c r="SE473" s="1"/>
      <c r="SF473" s="1"/>
      <c r="SG473" s="1"/>
      <c r="SH473" s="1"/>
      <c r="SI473" s="1"/>
      <c r="SJ473" s="1"/>
      <c r="SK473" s="1"/>
      <c r="SL473" s="1"/>
      <c r="SM473" s="1"/>
      <c r="SN473" s="1"/>
      <c r="SO473" s="1"/>
      <c r="SP473" s="1"/>
      <c r="SQ473" s="1"/>
      <c r="SR473" s="1"/>
      <c r="SS473" s="1"/>
      <c r="ST473" s="1"/>
      <c r="SU473" s="1"/>
      <c r="SV473" s="1"/>
      <c r="SW473" s="1"/>
      <c r="SX473" s="1"/>
      <c r="SY473" s="1"/>
      <c r="SZ473" s="1"/>
      <c r="TA473" s="1"/>
      <c r="TB473" s="1"/>
      <c r="TC473" s="1"/>
      <c r="TD473" s="1"/>
      <c r="TE473" s="1"/>
      <c r="TF473" s="1"/>
      <c r="TG473" s="1"/>
      <c r="TH473" s="1"/>
      <c r="TI473" s="1"/>
      <c r="TJ473" s="1"/>
      <c r="TK473" s="1"/>
      <c r="TL473" s="1"/>
      <c r="TM473" s="1"/>
      <c r="TN473" s="1"/>
      <c r="TO473" s="1"/>
      <c r="TP473" s="1"/>
      <c r="TQ473" s="1"/>
      <c r="TR473" s="1"/>
      <c r="TS473" s="1"/>
      <c r="TT473" s="1"/>
      <c r="TU473" s="1"/>
      <c r="TV473" s="1"/>
      <c r="TW473" s="1"/>
      <c r="TX473" s="1"/>
      <c r="TY473" s="1"/>
      <c r="TZ473" s="1"/>
      <c r="UA473" s="1"/>
      <c r="UB473" s="1"/>
      <c r="UC473" s="1"/>
      <c r="UD473" s="1"/>
      <c r="UE473" s="1"/>
      <c r="UF473" s="1"/>
      <c r="UG473" s="1"/>
      <c r="UH473" s="1"/>
      <c r="UI473" s="1"/>
    </row>
    <row r="474" spans="1:555" ht="54">
      <c r="A474" s="296">
        <v>736</v>
      </c>
      <c r="B474" s="297" t="s">
        <v>6038</v>
      </c>
      <c r="C474" s="298">
        <v>21533197</v>
      </c>
      <c r="D474" s="354"/>
      <c r="E474" s="299"/>
      <c r="F474" s="300"/>
      <c r="G474" s="301"/>
      <c r="H474" s="297"/>
      <c r="I474" s="297"/>
      <c r="J474" s="299"/>
      <c r="K474" s="300"/>
      <c r="L474" s="301"/>
      <c r="M474" s="297"/>
      <c r="N474" s="297"/>
      <c r="O474" s="299"/>
      <c r="P474" s="302"/>
      <c r="Q474" s="301"/>
      <c r="R474" s="297"/>
      <c r="S474" s="297"/>
      <c r="T474" s="299"/>
      <c r="U474" s="300"/>
      <c r="V474" s="301"/>
      <c r="W474" s="297"/>
      <c r="X474" s="297"/>
      <c r="Y474" s="299"/>
      <c r="Z474" s="300"/>
      <c r="AA474" s="301"/>
      <c r="AB474" s="297"/>
      <c r="AC474" s="297"/>
      <c r="AD474" s="299"/>
      <c r="AE474" s="300"/>
      <c r="AF474" s="301"/>
      <c r="AG474" s="297"/>
      <c r="AH474" s="297"/>
      <c r="AI474" s="322"/>
      <c r="AJ474" s="300"/>
      <c r="AK474" s="301"/>
      <c r="AL474" s="297"/>
      <c r="AM474" s="297"/>
      <c r="AN474" s="297"/>
      <c r="AO474" s="473"/>
      <c r="AP474" s="297"/>
      <c r="AQ474" s="301" t="s">
        <v>7814</v>
      </c>
      <c r="AR474" s="297" t="s">
        <v>66</v>
      </c>
      <c r="AS474" s="299" t="s">
        <v>67</v>
      </c>
      <c r="AT474" s="299" t="s">
        <v>67</v>
      </c>
      <c r="AU474" s="297" t="s">
        <v>3827</v>
      </c>
      <c r="AV474" s="297"/>
      <c r="AW474" s="297" t="s">
        <v>69</v>
      </c>
      <c r="AX474" s="297" t="s">
        <v>6039</v>
      </c>
      <c r="AY474" s="299">
        <v>43124</v>
      </c>
      <c r="AZ474" s="297" t="s">
        <v>67</v>
      </c>
      <c r="BA474" s="299" t="s">
        <v>67</v>
      </c>
      <c r="BB474" s="382" t="s">
        <v>6040</v>
      </c>
      <c r="BC474" s="297" t="s">
        <v>3829</v>
      </c>
      <c r="BD474" s="297" t="s">
        <v>6447</v>
      </c>
      <c r="BE474" s="297"/>
      <c r="BF474" s="301"/>
      <c r="BG474" s="301"/>
      <c r="BH474" s="301" t="s">
        <v>6041</v>
      </c>
      <c r="BI474" s="301"/>
      <c r="BJ474" s="312">
        <v>627155</v>
      </c>
      <c r="BK474" s="312">
        <v>627155</v>
      </c>
      <c r="BL474" s="313">
        <v>42846118</v>
      </c>
      <c r="BM474" s="299">
        <v>43158</v>
      </c>
      <c r="BN474" s="300">
        <v>43132</v>
      </c>
      <c r="BO474" s="434" t="s">
        <v>7815</v>
      </c>
      <c r="BP474" s="390"/>
      <c r="BQ474" s="297"/>
      <c r="BR474" s="303"/>
      <c r="BS474" s="301"/>
      <c r="BT474" s="301"/>
      <c r="BU474" s="301"/>
      <c r="BV474" s="301"/>
      <c r="BW474" s="316"/>
      <c r="BX474" s="304"/>
      <c r="BY474" s="299"/>
      <c r="BZ474" s="317"/>
    </row>
    <row r="475" spans="1:555" ht="54.75" thickBot="1">
      <c r="A475" s="296">
        <v>738</v>
      </c>
      <c r="B475" s="297" t="s">
        <v>6049</v>
      </c>
      <c r="C475" s="298">
        <v>91237023</v>
      </c>
      <c r="D475" s="354"/>
      <c r="E475" s="299"/>
      <c r="F475" s="300"/>
      <c r="G475" s="301"/>
      <c r="H475" s="297"/>
      <c r="I475" s="297"/>
      <c r="J475" s="299"/>
      <c r="K475" s="300"/>
      <c r="L475" s="301"/>
      <c r="M475" s="297"/>
      <c r="N475" s="297"/>
      <c r="O475" s="299"/>
      <c r="P475" s="302"/>
      <c r="Q475" s="301"/>
      <c r="R475" s="297"/>
      <c r="S475" s="297"/>
      <c r="T475" s="299"/>
      <c r="U475" s="300"/>
      <c r="V475" s="301"/>
      <c r="W475" s="297"/>
      <c r="X475" s="297"/>
      <c r="Y475" s="299"/>
      <c r="Z475" s="300"/>
      <c r="AA475" s="301"/>
      <c r="AB475" s="297"/>
      <c r="AC475" s="297"/>
      <c r="AD475" s="299"/>
      <c r="AE475" s="300"/>
      <c r="AF475" s="301"/>
      <c r="AG475" s="297"/>
      <c r="AH475" s="297"/>
      <c r="AI475" s="322"/>
      <c r="AJ475" s="300"/>
      <c r="AK475" s="301"/>
      <c r="AL475" s="297"/>
      <c r="AM475" s="297"/>
      <c r="AN475" s="297"/>
      <c r="AO475" s="473"/>
      <c r="AP475" s="297"/>
      <c r="AQ475" s="301" t="s">
        <v>7831</v>
      </c>
      <c r="AR475" s="297" t="s">
        <v>66</v>
      </c>
      <c r="AS475" s="299" t="s">
        <v>67</v>
      </c>
      <c r="AT475" s="299" t="s">
        <v>67</v>
      </c>
      <c r="AU475" s="297" t="s">
        <v>3827</v>
      </c>
      <c r="AV475" s="297"/>
      <c r="AW475" s="297" t="s">
        <v>69</v>
      </c>
      <c r="AX475" s="297" t="s">
        <v>6050</v>
      </c>
      <c r="AY475" s="299">
        <v>43125</v>
      </c>
      <c r="AZ475" s="297" t="s">
        <v>67</v>
      </c>
      <c r="BA475" s="299" t="s">
        <v>67</v>
      </c>
      <c r="BB475" s="382" t="s">
        <v>6051</v>
      </c>
      <c r="BC475" s="297" t="s">
        <v>3829</v>
      </c>
      <c r="BD475" s="297" t="s">
        <v>6447</v>
      </c>
      <c r="BE475" s="297"/>
      <c r="BF475" s="301"/>
      <c r="BG475" s="301"/>
      <c r="BH475" s="301" t="s">
        <v>6052</v>
      </c>
      <c r="BI475" s="301"/>
      <c r="BJ475" s="312">
        <v>203357</v>
      </c>
      <c r="BK475" s="312">
        <v>203357</v>
      </c>
      <c r="BL475" s="313">
        <v>55638018</v>
      </c>
      <c r="BM475" s="299">
        <v>43165</v>
      </c>
      <c r="BN475" s="300">
        <v>43160</v>
      </c>
      <c r="BO475" s="452" t="s">
        <v>7832</v>
      </c>
      <c r="BP475" s="390"/>
      <c r="BQ475" s="297"/>
      <c r="BR475" s="303"/>
      <c r="BS475" s="301"/>
      <c r="BT475" s="301"/>
      <c r="BU475" s="301"/>
      <c r="BV475" s="301"/>
      <c r="BW475" s="316"/>
      <c r="BX475" s="304"/>
      <c r="BY475" s="299"/>
      <c r="BZ475" s="317"/>
    </row>
    <row r="476" spans="1:555" ht="54">
      <c r="A476" s="296">
        <v>739</v>
      </c>
      <c r="B476" s="297" t="s">
        <v>6053</v>
      </c>
      <c r="C476" s="298">
        <v>91287008</v>
      </c>
      <c r="D476" s="354"/>
      <c r="E476" s="299">
        <v>43159</v>
      </c>
      <c r="F476" s="300">
        <v>43132</v>
      </c>
      <c r="G476" s="301" t="s">
        <v>6054</v>
      </c>
      <c r="H476" s="297" t="s">
        <v>171</v>
      </c>
      <c r="I476" s="297"/>
      <c r="J476" s="299"/>
      <c r="K476" s="300"/>
      <c r="L476" s="301"/>
      <c r="M476" s="297"/>
      <c r="N476" s="297"/>
      <c r="O476" s="299"/>
      <c r="P476" s="302"/>
      <c r="Q476" s="301"/>
      <c r="R476" s="297"/>
      <c r="S476" s="297"/>
      <c r="T476" s="299"/>
      <c r="U476" s="300"/>
      <c r="V476" s="301"/>
      <c r="W476" s="297"/>
      <c r="X476" s="297"/>
      <c r="Y476" s="299"/>
      <c r="Z476" s="300"/>
      <c r="AA476" s="301"/>
      <c r="AB476" s="297"/>
      <c r="AC476" s="297"/>
      <c r="AD476" s="299"/>
      <c r="AE476" s="300"/>
      <c r="AF476" s="301"/>
      <c r="AG476" s="297"/>
      <c r="AH476" s="297"/>
      <c r="AI476" s="322"/>
      <c r="AJ476" s="300"/>
      <c r="AK476" s="301"/>
      <c r="AL476" s="297"/>
      <c r="AM476" s="297"/>
      <c r="AN476" s="297"/>
      <c r="AO476" s="473"/>
      <c r="AP476" s="297"/>
      <c r="AQ476" s="301" t="s">
        <v>7618</v>
      </c>
      <c r="AR476" s="297" t="s">
        <v>66</v>
      </c>
      <c r="AS476" s="299" t="s">
        <v>67</v>
      </c>
      <c r="AT476" s="299" t="s">
        <v>67</v>
      </c>
      <c r="AU476" s="297" t="s">
        <v>3827</v>
      </c>
      <c r="AV476" s="297"/>
      <c r="AW476" s="297" t="s">
        <v>69</v>
      </c>
      <c r="AX476" s="297" t="s">
        <v>7619</v>
      </c>
      <c r="AY476" s="299">
        <v>43129</v>
      </c>
      <c r="AZ476" s="297" t="s">
        <v>67</v>
      </c>
      <c r="BA476" s="299" t="s">
        <v>67</v>
      </c>
      <c r="BB476" s="382">
        <v>43133</v>
      </c>
      <c r="BC476" s="297" t="s">
        <v>3829</v>
      </c>
      <c r="BD476" s="297" t="s">
        <v>6447</v>
      </c>
      <c r="BE476" s="297"/>
      <c r="BF476" s="301"/>
      <c r="BG476" s="301"/>
      <c r="BH476" s="301" t="s">
        <v>6056</v>
      </c>
      <c r="BI476" s="301"/>
      <c r="BJ476" s="312">
        <v>700070</v>
      </c>
      <c r="BK476" s="312">
        <v>700070</v>
      </c>
      <c r="BL476" s="313">
        <v>55510618</v>
      </c>
      <c r="BM476" s="299">
        <v>43165</v>
      </c>
      <c r="BN476" s="300">
        <v>43160</v>
      </c>
      <c r="BO476" s="434" t="s">
        <v>6057</v>
      </c>
      <c r="BP476" s="397"/>
      <c r="BQ476" s="398"/>
      <c r="BR476" s="320"/>
      <c r="BS476" s="301"/>
      <c r="BT476" s="301"/>
      <c r="BU476" s="301"/>
      <c r="BV476" s="301"/>
      <c r="BW476" s="316"/>
      <c r="BX476" s="304"/>
      <c r="BY476" s="299"/>
      <c r="BZ476" s="317"/>
    </row>
    <row r="477" spans="1:555" ht="67.5">
      <c r="A477" s="296">
        <v>740</v>
      </c>
      <c r="B477" s="297" t="s">
        <v>6058</v>
      </c>
      <c r="C477" s="298">
        <v>79648845</v>
      </c>
      <c r="D477" s="354"/>
      <c r="E477" s="299"/>
      <c r="F477" s="300"/>
      <c r="G477" s="301"/>
      <c r="H477" s="297"/>
      <c r="I477" s="297"/>
      <c r="J477" s="299"/>
      <c r="K477" s="300"/>
      <c r="L477" s="301"/>
      <c r="M477" s="297"/>
      <c r="N477" s="297"/>
      <c r="O477" s="299"/>
      <c r="P477" s="302"/>
      <c r="Q477" s="301"/>
      <c r="R477" s="297"/>
      <c r="S477" s="297"/>
      <c r="T477" s="299"/>
      <c r="U477" s="300"/>
      <c r="V477" s="301"/>
      <c r="W477" s="297"/>
      <c r="X477" s="297"/>
      <c r="Y477" s="299"/>
      <c r="Z477" s="300"/>
      <c r="AA477" s="301"/>
      <c r="AB477" s="297"/>
      <c r="AC477" s="297"/>
      <c r="AD477" s="299"/>
      <c r="AE477" s="300"/>
      <c r="AF477" s="301"/>
      <c r="AG477" s="297"/>
      <c r="AH477" s="297"/>
      <c r="AI477" s="322"/>
      <c r="AJ477" s="300"/>
      <c r="AK477" s="301"/>
      <c r="AL477" s="297"/>
      <c r="AM477" s="297"/>
      <c r="AN477" s="297"/>
      <c r="AO477" s="473"/>
      <c r="AP477" s="297"/>
      <c r="AQ477" s="301" t="s">
        <v>7780</v>
      </c>
      <c r="AR477" s="297" t="s">
        <v>66</v>
      </c>
      <c r="AS477" s="299" t="s">
        <v>67</v>
      </c>
      <c r="AT477" s="299" t="s">
        <v>67</v>
      </c>
      <c r="AU477" s="297" t="s">
        <v>3827</v>
      </c>
      <c r="AV477" s="297"/>
      <c r="AW477" s="297" t="s">
        <v>69</v>
      </c>
      <c r="AX477" s="297" t="s">
        <v>7712</v>
      </c>
      <c r="AY477" s="299">
        <v>43131</v>
      </c>
      <c r="AZ477" s="297" t="s">
        <v>67</v>
      </c>
      <c r="BA477" s="299" t="s">
        <v>67</v>
      </c>
      <c r="BB477" s="382" t="s">
        <v>6059</v>
      </c>
      <c r="BC477" s="297" t="s">
        <v>3829</v>
      </c>
      <c r="BD477" s="297" t="s">
        <v>6447</v>
      </c>
      <c r="BE477" s="297"/>
      <c r="BF477" s="301"/>
      <c r="BG477" s="301"/>
      <c r="BH477" s="301" t="s">
        <v>6060</v>
      </c>
      <c r="BI477" s="301"/>
      <c r="BJ477" s="312">
        <v>203357</v>
      </c>
      <c r="BK477" s="312">
        <v>203357</v>
      </c>
      <c r="BL477" s="313">
        <v>55648318</v>
      </c>
      <c r="BM477" s="299">
        <v>43165</v>
      </c>
      <c r="BN477" s="300">
        <v>43160</v>
      </c>
      <c r="BO477" s="460" t="s">
        <v>5012</v>
      </c>
      <c r="BP477" s="390"/>
      <c r="BQ477" s="297"/>
      <c r="BR477" s="303"/>
      <c r="BS477" s="301"/>
      <c r="BT477" s="301"/>
      <c r="BU477" s="301"/>
      <c r="BV477" s="301"/>
      <c r="BW477" s="316"/>
      <c r="BX477" s="304"/>
      <c r="BY477" s="299"/>
      <c r="BZ477" s="317"/>
    </row>
    <row r="478" spans="1:555" ht="67.5">
      <c r="A478" s="296">
        <v>751</v>
      </c>
      <c r="B478" s="297" t="s">
        <v>6140</v>
      </c>
      <c r="C478" s="298">
        <v>66961168</v>
      </c>
      <c r="D478" s="354"/>
      <c r="E478" s="299"/>
      <c r="F478" s="300"/>
      <c r="G478" s="301"/>
      <c r="H478" s="297"/>
      <c r="I478" s="297"/>
      <c r="J478" s="299"/>
      <c r="K478" s="300"/>
      <c r="L478" s="301"/>
      <c r="M478" s="297"/>
      <c r="N478" s="297"/>
      <c r="O478" s="299"/>
      <c r="P478" s="302"/>
      <c r="Q478" s="301"/>
      <c r="R478" s="297"/>
      <c r="S478" s="297"/>
      <c r="T478" s="299"/>
      <c r="U478" s="300"/>
      <c r="V478" s="301"/>
      <c r="W478" s="297"/>
      <c r="X478" s="297"/>
      <c r="Y478" s="299"/>
      <c r="Z478" s="300"/>
      <c r="AA478" s="301"/>
      <c r="AB478" s="297"/>
      <c r="AC478" s="297"/>
      <c r="AD478" s="299"/>
      <c r="AE478" s="300"/>
      <c r="AF478" s="301"/>
      <c r="AG478" s="297"/>
      <c r="AH478" s="297"/>
      <c r="AI478" s="322"/>
      <c r="AJ478" s="300"/>
      <c r="AK478" s="301"/>
      <c r="AL478" s="297"/>
      <c r="AM478" s="297"/>
      <c r="AN478" s="297"/>
      <c r="AO478" s="473"/>
      <c r="AP478" s="297"/>
      <c r="AQ478" s="301" t="s">
        <v>7648</v>
      </c>
      <c r="AR478" s="297" t="s">
        <v>66</v>
      </c>
      <c r="AS478" s="299" t="s">
        <v>67</v>
      </c>
      <c r="AT478" s="299" t="s">
        <v>67</v>
      </c>
      <c r="AU478" s="297" t="s">
        <v>3827</v>
      </c>
      <c r="AV478" s="297"/>
      <c r="AW478" s="297" t="s">
        <v>69</v>
      </c>
      <c r="AX478" s="297" t="s">
        <v>6141</v>
      </c>
      <c r="AY478" s="299">
        <v>43133</v>
      </c>
      <c r="AZ478" s="297" t="s">
        <v>67</v>
      </c>
      <c r="BA478" s="297" t="s">
        <v>67</v>
      </c>
      <c r="BB478" s="382">
        <v>43133</v>
      </c>
      <c r="BC478" s="297" t="s">
        <v>3829</v>
      </c>
      <c r="BD478" s="297" t="s">
        <v>6447</v>
      </c>
      <c r="BE478" s="297"/>
      <c r="BF478" s="301"/>
      <c r="BG478" s="301"/>
      <c r="BH478" s="301" t="s">
        <v>6142</v>
      </c>
      <c r="BI478" s="301"/>
      <c r="BJ478" s="312">
        <v>1437926</v>
      </c>
      <c r="BK478" s="312">
        <v>1437926</v>
      </c>
      <c r="BL478" s="313">
        <v>55539618</v>
      </c>
      <c r="BM478" s="299">
        <v>43165</v>
      </c>
      <c r="BN478" s="300">
        <v>43160</v>
      </c>
      <c r="BO478" s="434" t="s">
        <v>7649</v>
      </c>
      <c r="BP478" s="390"/>
      <c r="BQ478" s="297"/>
      <c r="BR478" s="303"/>
      <c r="BS478" s="301"/>
      <c r="BT478" s="301"/>
      <c r="BU478" s="301"/>
      <c r="BV478" s="301"/>
      <c r="BW478" s="316"/>
      <c r="BX478" s="304"/>
      <c r="BY478" s="299"/>
      <c r="BZ478" s="317"/>
    </row>
    <row r="479" spans="1:555" ht="75" customHeight="1">
      <c r="A479" s="296">
        <v>752</v>
      </c>
      <c r="B479" s="297" t="s">
        <v>6143</v>
      </c>
      <c r="C479" s="298">
        <v>15295238</v>
      </c>
      <c r="D479" s="354"/>
      <c r="E479" s="299"/>
      <c r="F479" s="300"/>
      <c r="G479" s="301"/>
      <c r="H479" s="297"/>
      <c r="I479" s="297"/>
      <c r="J479" s="299"/>
      <c r="K479" s="300"/>
      <c r="L479" s="301"/>
      <c r="M479" s="297"/>
      <c r="N479" s="297"/>
      <c r="O479" s="299"/>
      <c r="P479" s="302"/>
      <c r="Q479" s="301"/>
      <c r="R479" s="297"/>
      <c r="S479" s="297"/>
      <c r="T479" s="299"/>
      <c r="U479" s="300"/>
      <c r="V479" s="301"/>
      <c r="W479" s="297"/>
      <c r="X479" s="297"/>
      <c r="Y479" s="299"/>
      <c r="Z479" s="300"/>
      <c r="AA479" s="301"/>
      <c r="AB479" s="297"/>
      <c r="AC479" s="297"/>
      <c r="AD479" s="299"/>
      <c r="AE479" s="300"/>
      <c r="AF479" s="301"/>
      <c r="AG479" s="297"/>
      <c r="AH479" s="297"/>
      <c r="AI479" s="322"/>
      <c r="AJ479" s="300"/>
      <c r="AK479" s="301"/>
      <c r="AL479" s="297"/>
      <c r="AM479" s="297"/>
      <c r="AN479" s="297"/>
      <c r="AO479" s="473"/>
      <c r="AP479" s="297"/>
      <c r="AQ479" s="301" t="s">
        <v>6144</v>
      </c>
      <c r="AR479" s="297" t="s">
        <v>66</v>
      </c>
      <c r="AS479" s="299" t="s">
        <v>67</v>
      </c>
      <c r="AT479" s="299" t="s">
        <v>67</v>
      </c>
      <c r="AU479" s="297" t="s">
        <v>3827</v>
      </c>
      <c r="AV479" s="297"/>
      <c r="AW479" s="297" t="s">
        <v>69</v>
      </c>
      <c r="AX479" s="297" t="s">
        <v>6145</v>
      </c>
      <c r="AY479" s="299">
        <v>43131</v>
      </c>
      <c r="AZ479" s="297" t="s">
        <v>67</v>
      </c>
      <c r="BA479" s="297" t="s">
        <v>67</v>
      </c>
      <c r="BB479" s="382" t="s">
        <v>6059</v>
      </c>
      <c r="BC479" s="297" t="s">
        <v>3829</v>
      </c>
      <c r="BD479" s="297" t="s">
        <v>6447</v>
      </c>
      <c r="BE479" s="297"/>
      <c r="BF479" s="301"/>
      <c r="BG479" s="301"/>
      <c r="BH479" s="301" t="s">
        <v>6146</v>
      </c>
      <c r="BI479" s="301"/>
      <c r="BJ479" s="312">
        <v>3389278</v>
      </c>
      <c r="BK479" s="312">
        <v>3389278</v>
      </c>
      <c r="BL479" s="313">
        <v>55618618</v>
      </c>
      <c r="BM479" s="299">
        <v>43165</v>
      </c>
      <c r="BN479" s="300">
        <v>43160</v>
      </c>
      <c r="BO479" s="434" t="s">
        <v>7764</v>
      </c>
      <c r="BP479" s="390"/>
      <c r="BQ479" s="297"/>
      <c r="BR479" s="303"/>
      <c r="BS479" s="301"/>
      <c r="BT479" s="301"/>
      <c r="BU479" s="301"/>
      <c r="BV479" s="301"/>
      <c r="BW479" s="316"/>
      <c r="BX479" s="304"/>
      <c r="BY479" s="299"/>
      <c r="BZ479" s="317"/>
    </row>
    <row r="480" spans="1:555" s="259" customFormat="1" ht="74.25" customHeight="1">
      <c r="A480" s="296">
        <v>753</v>
      </c>
      <c r="B480" s="297" t="s">
        <v>6147</v>
      </c>
      <c r="C480" s="298">
        <v>19424814</v>
      </c>
      <c r="D480" s="354"/>
      <c r="E480" s="299"/>
      <c r="F480" s="300"/>
      <c r="G480" s="301"/>
      <c r="H480" s="297"/>
      <c r="I480" s="297"/>
      <c r="J480" s="299"/>
      <c r="K480" s="300"/>
      <c r="L480" s="301"/>
      <c r="M480" s="297"/>
      <c r="N480" s="297"/>
      <c r="O480" s="299"/>
      <c r="P480" s="302"/>
      <c r="Q480" s="301"/>
      <c r="R480" s="297"/>
      <c r="S480" s="297"/>
      <c r="T480" s="299"/>
      <c r="U480" s="300"/>
      <c r="V480" s="301"/>
      <c r="W480" s="297"/>
      <c r="X480" s="297"/>
      <c r="Y480" s="299"/>
      <c r="Z480" s="300"/>
      <c r="AA480" s="301"/>
      <c r="AB480" s="297"/>
      <c r="AC480" s="297"/>
      <c r="AD480" s="299"/>
      <c r="AE480" s="300"/>
      <c r="AF480" s="301"/>
      <c r="AG480" s="297"/>
      <c r="AH480" s="297"/>
      <c r="AI480" s="322"/>
      <c r="AJ480" s="300"/>
      <c r="AK480" s="301"/>
      <c r="AL480" s="297"/>
      <c r="AM480" s="297"/>
      <c r="AN480" s="297"/>
      <c r="AO480" s="473"/>
      <c r="AP480" s="297"/>
      <c r="AQ480" s="301" t="s">
        <v>7624</v>
      </c>
      <c r="AR480" s="297" t="s">
        <v>66</v>
      </c>
      <c r="AS480" s="299" t="s">
        <v>67</v>
      </c>
      <c r="AT480" s="299" t="s">
        <v>67</v>
      </c>
      <c r="AU480" s="297" t="s">
        <v>3827</v>
      </c>
      <c r="AV480" s="297"/>
      <c r="AW480" s="297" t="s">
        <v>69</v>
      </c>
      <c r="AX480" s="297" t="s">
        <v>7625</v>
      </c>
      <c r="AY480" s="299">
        <v>43115</v>
      </c>
      <c r="AZ480" s="297" t="s">
        <v>67</v>
      </c>
      <c r="BA480" s="297" t="s">
        <v>67</v>
      </c>
      <c r="BB480" s="382" t="s">
        <v>6149</v>
      </c>
      <c r="BC480" s="297" t="s">
        <v>3829</v>
      </c>
      <c r="BD480" s="297" t="s">
        <v>6447</v>
      </c>
      <c r="BE480" s="297"/>
      <c r="BF480" s="301"/>
      <c r="BG480" s="301"/>
      <c r="BH480" s="301" t="s">
        <v>6150</v>
      </c>
      <c r="BI480" s="301"/>
      <c r="BJ480" s="312">
        <v>2440279</v>
      </c>
      <c r="BK480" s="312">
        <v>2440279</v>
      </c>
      <c r="BL480" s="313">
        <v>55691218</v>
      </c>
      <c r="BM480" s="299">
        <v>43165</v>
      </c>
      <c r="BN480" s="300">
        <v>43160</v>
      </c>
      <c r="BO480" s="434" t="s">
        <v>7626</v>
      </c>
      <c r="BP480" s="390"/>
      <c r="BQ480" s="297"/>
      <c r="BR480" s="303"/>
      <c r="BS480" s="301"/>
      <c r="BT480" s="301"/>
      <c r="BU480" s="301"/>
      <c r="BV480" s="301"/>
      <c r="BW480" s="316"/>
      <c r="BX480" s="304"/>
      <c r="BY480" s="299"/>
      <c r="BZ480" s="317"/>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c r="JW480" s="1"/>
      <c r="JX480" s="1"/>
      <c r="JY480" s="1"/>
      <c r="JZ480" s="1"/>
      <c r="KA480" s="1"/>
      <c r="KB480" s="1"/>
      <c r="KC480" s="1"/>
      <c r="KD480" s="1"/>
      <c r="KE480" s="1"/>
      <c r="KF480" s="1"/>
      <c r="KG480" s="1"/>
      <c r="KH480" s="1"/>
      <c r="KI480" s="1"/>
      <c r="KJ480" s="1"/>
      <c r="KK480" s="1"/>
      <c r="KL480" s="1"/>
      <c r="KM480" s="1"/>
      <c r="KN480" s="1"/>
      <c r="KO480" s="1"/>
      <c r="KP480" s="1"/>
      <c r="KQ480" s="1"/>
      <c r="KR480" s="1"/>
      <c r="KS480" s="1"/>
      <c r="KT480" s="1"/>
      <c r="KU480" s="1"/>
      <c r="KV480" s="1"/>
      <c r="KW480" s="1"/>
      <c r="KX480" s="1"/>
      <c r="KY480" s="1"/>
      <c r="KZ480" s="1"/>
      <c r="LA480" s="1"/>
      <c r="LB480" s="1"/>
      <c r="LC480" s="1"/>
      <c r="LD480" s="1"/>
      <c r="LE480" s="1"/>
      <c r="LF480" s="1"/>
      <c r="LG480" s="1"/>
      <c r="LH480" s="1"/>
      <c r="LI480" s="1"/>
      <c r="LJ480" s="1"/>
      <c r="LK480" s="1"/>
      <c r="LL480" s="1"/>
      <c r="LM480" s="1"/>
      <c r="LN480" s="1"/>
      <c r="LO480" s="1"/>
      <c r="LP480" s="1"/>
      <c r="LQ480" s="1"/>
      <c r="LR480" s="1"/>
      <c r="LS480" s="1"/>
      <c r="LT480" s="1"/>
      <c r="LU480" s="1"/>
      <c r="LV480" s="1"/>
      <c r="LW480" s="1"/>
      <c r="LX480" s="1"/>
      <c r="LY480" s="1"/>
      <c r="LZ480" s="1"/>
      <c r="MA480" s="1"/>
      <c r="MB480" s="1"/>
      <c r="MC480" s="1"/>
      <c r="MD480" s="1"/>
      <c r="ME480" s="1"/>
      <c r="MF480" s="1"/>
      <c r="MG480" s="1"/>
      <c r="MH480" s="1"/>
      <c r="MI480" s="1"/>
      <c r="MJ480" s="1"/>
      <c r="MK480" s="1"/>
      <c r="ML480" s="1"/>
      <c r="MM480" s="1"/>
      <c r="MN480" s="1"/>
      <c r="MO480" s="1"/>
      <c r="MP480" s="1"/>
      <c r="MQ480" s="1"/>
      <c r="MR480" s="1"/>
      <c r="MS480" s="1"/>
      <c r="MT480" s="1"/>
      <c r="MU480" s="1"/>
      <c r="MV480" s="1"/>
      <c r="MW480" s="1"/>
      <c r="MX480" s="1"/>
      <c r="MY480" s="1"/>
      <c r="MZ480" s="1"/>
      <c r="NA480" s="1"/>
      <c r="NB480" s="1"/>
      <c r="NC480" s="1"/>
      <c r="ND480" s="1"/>
      <c r="NE480" s="1"/>
      <c r="NF480" s="1"/>
      <c r="NG480" s="1"/>
      <c r="NH480" s="1"/>
      <c r="NI480" s="1"/>
      <c r="NJ480" s="1"/>
      <c r="NK480" s="1"/>
      <c r="NL480" s="1"/>
      <c r="NM480" s="1"/>
      <c r="NN480" s="1"/>
      <c r="NO480" s="1"/>
      <c r="NP480" s="1"/>
      <c r="NQ480" s="1"/>
      <c r="NR480" s="1"/>
      <c r="NS480" s="1"/>
      <c r="NT480" s="1"/>
      <c r="NU480" s="1"/>
      <c r="NV480" s="1"/>
      <c r="NW480" s="1"/>
      <c r="NX480" s="1"/>
      <c r="NY480" s="1"/>
      <c r="NZ480" s="1"/>
      <c r="OA480" s="1"/>
      <c r="OB480" s="1"/>
      <c r="OC480" s="1"/>
      <c r="OD480" s="1"/>
      <c r="OE480" s="1"/>
      <c r="OF480" s="1"/>
      <c r="OG480" s="1"/>
      <c r="OH480" s="1"/>
      <c r="OI480" s="1"/>
      <c r="OJ480" s="1"/>
      <c r="OK480" s="1"/>
      <c r="OL480" s="1"/>
      <c r="OM480" s="1"/>
      <c r="ON480" s="1"/>
      <c r="OO480" s="1"/>
      <c r="OP480" s="1"/>
      <c r="OQ480" s="1"/>
      <c r="OR480" s="1"/>
      <c r="OS480" s="1"/>
      <c r="OT480" s="1"/>
      <c r="OU480" s="1"/>
      <c r="OV480" s="1"/>
      <c r="OW480" s="1"/>
      <c r="OX480" s="1"/>
      <c r="OY480" s="1"/>
      <c r="OZ480" s="1"/>
      <c r="PA480" s="1"/>
      <c r="PB480" s="1"/>
      <c r="PC480" s="1"/>
      <c r="PD480" s="1"/>
      <c r="PE480" s="1"/>
      <c r="PF480" s="1"/>
      <c r="PG480" s="1"/>
      <c r="PH480" s="1"/>
      <c r="PI480" s="1"/>
      <c r="PJ480" s="1"/>
      <c r="PK480" s="1"/>
      <c r="PL480" s="1"/>
      <c r="PM480" s="1"/>
      <c r="PN480" s="1"/>
      <c r="PO480" s="1"/>
      <c r="PP480" s="1"/>
      <c r="PQ480" s="1"/>
      <c r="PR480" s="1"/>
      <c r="PS480" s="1"/>
      <c r="PT480" s="1"/>
      <c r="PU480" s="1"/>
      <c r="PV480" s="1"/>
      <c r="PW480" s="1"/>
      <c r="PX480" s="1"/>
      <c r="PY480" s="1"/>
      <c r="PZ480" s="1"/>
      <c r="QA480" s="1"/>
      <c r="QB480" s="1"/>
      <c r="QC480" s="1"/>
      <c r="QD480" s="1"/>
      <c r="QE480" s="1"/>
      <c r="QF480" s="1"/>
      <c r="QG480" s="1"/>
      <c r="QH480" s="1"/>
      <c r="QI480" s="1"/>
      <c r="QJ480" s="1"/>
      <c r="QK480" s="1"/>
      <c r="QL480" s="1"/>
      <c r="QM480" s="1"/>
      <c r="QN480" s="1"/>
      <c r="QO480" s="1"/>
      <c r="QP480" s="1"/>
      <c r="QQ480" s="1"/>
      <c r="QR480" s="1"/>
      <c r="QS480" s="1"/>
      <c r="QT480" s="1"/>
      <c r="QU480" s="1"/>
      <c r="QV480" s="1"/>
      <c r="QW480" s="1"/>
      <c r="QX480" s="1"/>
      <c r="QY480" s="1"/>
      <c r="QZ480" s="1"/>
      <c r="RA480" s="1"/>
      <c r="RB480" s="1"/>
      <c r="RC480" s="1"/>
      <c r="RD480" s="1"/>
      <c r="RE480" s="1"/>
      <c r="RF480" s="1"/>
      <c r="RG480" s="1"/>
      <c r="RH480" s="1"/>
      <c r="RI480" s="1"/>
      <c r="RJ480" s="1"/>
      <c r="RK480" s="1"/>
      <c r="RL480" s="1"/>
      <c r="RM480" s="1"/>
      <c r="RN480" s="1"/>
      <c r="RO480" s="1"/>
      <c r="RP480" s="1"/>
      <c r="RQ480" s="1"/>
      <c r="RR480" s="1"/>
      <c r="RS480" s="1"/>
      <c r="RT480" s="1"/>
      <c r="RU480" s="1"/>
      <c r="RV480" s="1"/>
      <c r="RW480" s="1"/>
      <c r="RX480" s="1"/>
      <c r="RY480" s="1"/>
      <c r="RZ480" s="1"/>
      <c r="SA480" s="1"/>
      <c r="SB480" s="1"/>
      <c r="SC480" s="1"/>
      <c r="SD480" s="1"/>
      <c r="SE480" s="1"/>
      <c r="SF480" s="1"/>
      <c r="SG480" s="1"/>
      <c r="SH480" s="1"/>
      <c r="SI480" s="1"/>
      <c r="SJ480" s="1"/>
      <c r="SK480" s="1"/>
      <c r="SL480" s="1"/>
      <c r="SM480" s="1"/>
      <c r="SN480" s="1"/>
      <c r="SO480" s="1"/>
      <c r="SP480" s="1"/>
      <c r="SQ480" s="1"/>
      <c r="SR480" s="1"/>
      <c r="SS480" s="1"/>
      <c r="ST480" s="1"/>
      <c r="SU480" s="1"/>
      <c r="SV480" s="1"/>
      <c r="SW480" s="1"/>
      <c r="SX480" s="1"/>
      <c r="SY480" s="1"/>
      <c r="SZ480" s="1"/>
      <c r="TA480" s="1"/>
      <c r="TB480" s="1"/>
      <c r="TC480" s="1"/>
      <c r="TD480" s="1"/>
      <c r="TE480" s="1"/>
      <c r="TF480" s="1"/>
      <c r="TG480" s="1"/>
      <c r="TH480" s="1"/>
      <c r="TI480" s="1"/>
      <c r="TJ480" s="1"/>
      <c r="TK480" s="1"/>
      <c r="TL480" s="1"/>
      <c r="TM480" s="1"/>
      <c r="TN480" s="1"/>
      <c r="TO480" s="1"/>
      <c r="TP480" s="1"/>
      <c r="TQ480" s="1"/>
      <c r="TR480" s="1"/>
      <c r="TS480" s="1"/>
      <c r="TT480" s="1"/>
      <c r="TU480" s="1"/>
      <c r="TV480" s="1"/>
      <c r="TW480" s="1"/>
      <c r="TX480" s="1"/>
      <c r="TY480" s="1"/>
      <c r="TZ480" s="1"/>
      <c r="UA480" s="1"/>
      <c r="UB480" s="1"/>
      <c r="UC480" s="1"/>
      <c r="UD480" s="1"/>
      <c r="UE480" s="1"/>
      <c r="UF480" s="1"/>
      <c r="UG480" s="1"/>
      <c r="UH480" s="1"/>
      <c r="UI480" s="1"/>
    </row>
    <row r="481" spans="1:555" ht="54.75" thickBot="1">
      <c r="A481" s="296">
        <v>754</v>
      </c>
      <c r="B481" s="297" t="s">
        <v>6151</v>
      </c>
      <c r="C481" s="298">
        <v>80227582</v>
      </c>
      <c r="D481" s="354"/>
      <c r="E481" s="299"/>
      <c r="F481" s="300"/>
      <c r="G481" s="301"/>
      <c r="H481" s="297"/>
      <c r="I481" s="297"/>
      <c r="J481" s="299"/>
      <c r="K481" s="300"/>
      <c r="L481" s="301"/>
      <c r="M481" s="297"/>
      <c r="N481" s="297"/>
      <c r="O481" s="299"/>
      <c r="P481" s="302"/>
      <c r="Q481" s="301"/>
      <c r="R481" s="297"/>
      <c r="S481" s="297"/>
      <c r="T481" s="299"/>
      <c r="U481" s="300"/>
      <c r="V481" s="301"/>
      <c r="W481" s="297"/>
      <c r="X481" s="297"/>
      <c r="Y481" s="299"/>
      <c r="Z481" s="300"/>
      <c r="AA481" s="301"/>
      <c r="AB481" s="297"/>
      <c r="AC481" s="297"/>
      <c r="AD481" s="299"/>
      <c r="AE481" s="300"/>
      <c r="AF481" s="301"/>
      <c r="AG481" s="297"/>
      <c r="AH481" s="297"/>
      <c r="AI481" s="322"/>
      <c r="AJ481" s="300"/>
      <c r="AK481" s="301"/>
      <c r="AL481" s="297"/>
      <c r="AM481" s="297"/>
      <c r="AN481" s="297"/>
      <c r="AO481" s="473"/>
      <c r="AP481" s="297"/>
      <c r="AQ481" s="301" t="s">
        <v>7850</v>
      </c>
      <c r="AR481" s="297" t="s">
        <v>66</v>
      </c>
      <c r="AS481" s="299" t="s">
        <v>67</v>
      </c>
      <c r="AT481" s="299" t="s">
        <v>67</v>
      </c>
      <c r="AU481" s="297" t="s">
        <v>3827</v>
      </c>
      <c r="AV481" s="297"/>
      <c r="AW481" s="297" t="s">
        <v>69</v>
      </c>
      <c r="AX481" s="297" t="s">
        <v>6050</v>
      </c>
      <c r="AY481" s="299">
        <v>43125</v>
      </c>
      <c r="AZ481" s="297" t="s">
        <v>67</v>
      </c>
      <c r="BA481" s="297" t="s">
        <v>67</v>
      </c>
      <c r="BB481" s="382" t="s">
        <v>6152</v>
      </c>
      <c r="BC481" s="297" t="s">
        <v>3829</v>
      </c>
      <c r="BD481" s="297" t="s">
        <v>6447</v>
      </c>
      <c r="BE481" s="297"/>
      <c r="BF481" s="301"/>
      <c r="BG481" s="301"/>
      <c r="BH481" s="301" t="s">
        <v>6153</v>
      </c>
      <c r="BI481" s="301"/>
      <c r="BJ481" s="312">
        <v>5487271</v>
      </c>
      <c r="BK481" s="312">
        <v>5487271</v>
      </c>
      <c r="BL481" s="313">
        <v>55680918</v>
      </c>
      <c r="BM481" s="299">
        <v>43165</v>
      </c>
      <c r="BN481" s="300">
        <v>43160</v>
      </c>
      <c r="BO481" s="872" t="s">
        <v>6154</v>
      </c>
      <c r="BP481" s="390"/>
      <c r="BQ481" s="297"/>
      <c r="BR481" s="303"/>
      <c r="BS481" s="301"/>
      <c r="BT481" s="301"/>
      <c r="BU481" s="301"/>
      <c r="BV481" s="301"/>
      <c r="BW481" s="316"/>
      <c r="BX481" s="304"/>
      <c r="BY481" s="299"/>
      <c r="BZ481" s="317"/>
    </row>
    <row r="482" spans="1:555" ht="67.5">
      <c r="A482" s="296">
        <v>756</v>
      </c>
      <c r="B482" s="297" t="s">
        <v>6169</v>
      </c>
      <c r="C482" s="298">
        <v>79738084</v>
      </c>
      <c r="D482" s="354"/>
      <c r="E482" s="299"/>
      <c r="F482" s="300"/>
      <c r="G482" s="301"/>
      <c r="H482" s="297"/>
      <c r="I482" s="297"/>
      <c r="J482" s="299"/>
      <c r="K482" s="300"/>
      <c r="L482" s="301"/>
      <c r="M482" s="297"/>
      <c r="N482" s="297"/>
      <c r="O482" s="299"/>
      <c r="P482" s="302"/>
      <c r="Q482" s="301"/>
      <c r="R482" s="297"/>
      <c r="S482" s="297"/>
      <c r="T482" s="299"/>
      <c r="U482" s="300"/>
      <c r="V482" s="301"/>
      <c r="W482" s="297"/>
      <c r="X482" s="297"/>
      <c r="Y482" s="299"/>
      <c r="Z482" s="300"/>
      <c r="AA482" s="301"/>
      <c r="AB482" s="297"/>
      <c r="AC482" s="297"/>
      <c r="AD482" s="299"/>
      <c r="AE482" s="300"/>
      <c r="AF482" s="301"/>
      <c r="AG482" s="297"/>
      <c r="AH482" s="297"/>
      <c r="AI482" s="322"/>
      <c r="AJ482" s="300"/>
      <c r="AK482" s="301"/>
      <c r="AL482" s="297"/>
      <c r="AM482" s="297"/>
      <c r="AN482" s="297"/>
      <c r="AO482" s="473"/>
      <c r="AP482" s="297"/>
      <c r="AQ482" s="301" t="s">
        <v>7640</v>
      </c>
      <c r="AR482" s="297" t="s">
        <v>66</v>
      </c>
      <c r="AS482" s="299" t="s">
        <v>67</v>
      </c>
      <c r="AT482" s="299" t="s">
        <v>67</v>
      </c>
      <c r="AU482" s="297" t="s">
        <v>3827</v>
      </c>
      <c r="AV482" s="297"/>
      <c r="AW482" s="297" t="s">
        <v>69</v>
      </c>
      <c r="AX482" s="297" t="s">
        <v>7641</v>
      </c>
      <c r="AY482" s="299">
        <v>42920</v>
      </c>
      <c r="AZ482" s="297" t="s">
        <v>67</v>
      </c>
      <c r="BA482" s="299" t="s">
        <v>67</v>
      </c>
      <c r="BB482" s="382">
        <v>42920</v>
      </c>
      <c r="BC482" s="297" t="s">
        <v>3829</v>
      </c>
      <c r="BD482" s="297" t="s">
        <v>6447</v>
      </c>
      <c r="BE482" s="297"/>
      <c r="BF482" s="301"/>
      <c r="BG482" s="301"/>
      <c r="BH482" s="301" t="s">
        <v>6170</v>
      </c>
      <c r="BI482" s="301"/>
      <c r="BJ482" s="312">
        <v>2304708</v>
      </c>
      <c r="BK482" s="312">
        <v>2304708</v>
      </c>
      <c r="BL482" s="307">
        <v>17304418</v>
      </c>
      <c r="BM482" s="305">
        <v>43131</v>
      </c>
      <c r="BN482" s="314">
        <v>43101</v>
      </c>
      <c r="BO482" s="434" t="s">
        <v>6171</v>
      </c>
      <c r="BP482" s="397"/>
      <c r="BQ482" s="398"/>
      <c r="BR482" s="320"/>
      <c r="BS482" s="301"/>
      <c r="BT482" s="301"/>
      <c r="BU482" s="301"/>
      <c r="BV482" s="301"/>
      <c r="BW482" s="316"/>
      <c r="BX482" s="304"/>
      <c r="BY482" s="299"/>
      <c r="BZ482" s="317"/>
    </row>
    <row r="483" spans="1:555" ht="54.75" thickBot="1">
      <c r="A483" s="296">
        <v>766</v>
      </c>
      <c r="B483" s="297" t="s">
        <v>6229</v>
      </c>
      <c r="C483" s="298">
        <v>17343137</v>
      </c>
      <c r="D483" s="354" t="s">
        <v>167</v>
      </c>
      <c r="E483" s="299">
        <v>43215</v>
      </c>
      <c r="F483" s="300">
        <v>43191</v>
      </c>
      <c r="G483" s="301" t="s">
        <v>6230</v>
      </c>
      <c r="H483" s="297" t="s">
        <v>171</v>
      </c>
      <c r="I483" s="297" t="s">
        <v>3520</v>
      </c>
      <c r="J483" s="299">
        <v>43363</v>
      </c>
      <c r="K483" s="300">
        <v>43363</v>
      </c>
      <c r="L483" s="301" t="s">
        <v>6231</v>
      </c>
      <c r="M483" s="297" t="s">
        <v>171</v>
      </c>
      <c r="N483" s="297" t="s">
        <v>6232</v>
      </c>
      <c r="O483" s="299">
        <v>43397</v>
      </c>
      <c r="P483" s="302">
        <v>43397</v>
      </c>
      <c r="Q483" s="301" t="s">
        <v>6233</v>
      </c>
      <c r="R483" s="297" t="s">
        <v>171</v>
      </c>
      <c r="S483" s="297" t="s">
        <v>274</v>
      </c>
      <c r="T483" s="299">
        <v>43410</v>
      </c>
      <c r="U483" s="300">
        <v>43410</v>
      </c>
      <c r="V483" s="301" t="s">
        <v>7508</v>
      </c>
      <c r="W483" s="297" t="s">
        <v>171</v>
      </c>
      <c r="X483" s="297" t="s">
        <v>7509</v>
      </c>
      <c r="Y483" s="299"/>
      <c r="Z483" s="300"/>
      <c r="AA483" s="301"/>
      <c r="AB483" s="297"/>
      <c r="AC483" s="297"/>
      <c r="AD483" s="299"/>
      <c r="AE483" s="300"/>
      <c r="AF483" s="301"/>
      <c r="AG483" s="297"/>
      <c r="AH483" s="297"/>
      <c r="AI483" s="322"/>
      <c r="AJ483" s="300"/>
      <c r="AK483" s="301"/>
      <c r="AL483" s="297"/>
      <c r="AM483" s="297"/>
      <c r="AN483" s="297"/>
      <c r="AO483" s="540">
        <v>41506</v>
      </c>
      <c r="AP483" s="297"/>
      <c r="AQ483" s="301" t="s">
        <v>7343</v>
      </c>
      <c r="AR483" s="297" t="s">
        <v>66</v>
      </c>
      <c r="AS483" s="299">
        <v>37426</v>
      </c>
      <c r="AT483" s="299">
        <v>39794</v>
      </c>
      <c r="AU483" s="297" t="s">
        <v>8011</v>
      </c>
      <c r="AV483" s="297"/>
      <c r="AW483" s="297" t="s">
        <v>92</v>
      </c>
      <c r="AX483" s="297" t="s">
        <v>6234</v>
      </c>
      <c r="AY483" s="299">
        <v>40896</v>
      </c>
      <c r="AZ483" s="297" t="s">
        <v>67</v>
      </c>
      <c r="BA483" s="297" t="s">
        <v>67</v>
      </c>
      <c r="BB483" s="382">
        <v>41029</v>
      </c>
      <c r="BC483" s="297" t="s">
        <v>95</v>
      </c>
      <c r="BD483" s="297" t="s">
        <v>566</v>
      </c>
      <c r="BE483" s="297"/>
      <c r="BF483" s="301" t="s">
        <v>8206</v>
      </c>
      <c r="BG483" s="301"/>
      <c r="BH483" s="301" t="s">
        <v>9330</v>
      </c>
      <c r="BI483" s="301"/>
      <c r="BJ483" s="312">
        <f>+[80]MATRIZ!$N$80</f>
        <v>154291654.25717771</v>
      </c>
      <c r="BK483" s="312">
        <v>156199150</v>
      </c>
      <c r="BL483" s="313">
        <v>411271119</v>
      </c>
      <c r="BM483" s="299">
        <v>43822</v>
      </c>
      <c r="BN483" s="300">
        <v>43800</v>
      </c>
      <c r="BO483" s="871" t="s">
        <v>9331</v>
      </c>
      <c r="BP483" s="390"/>
      <c r="BQ483" s="297"/>
      <c r="BR483" s="303"/>
      <c r="BS483" s="301" t="s">
        <v>6235</v>
      </c>
      <c r="BT483" s="301"/>
      <c r="BU483" s="301"/>
      <c r="BV483" s="301"/>
      <c r="BW483" s="316"/>
      <c r="BX483" s="304"/>
      <c r="BY483" s="299"/>
      <c r="BZ483" s="317"/>
    </row>
    <row r="484" spans="1:555" ht="54">
      <c r="A484" s="296">
        <v>775</v>
      </c>
      <c r="B484" s="297" t="s">
        <v>6275</v>
      </c>
      <c r="C484" s="298">
        <v>8734890</v>
      </c>
      <c r="D484" s="354"/>
      <c r="E484" s="299"/>
      <c r="F484" s="300"/>
      <c r="G484" s="301"/>
      <c r="H484" s="297"/>
      <c r="I484" s="297"/>
      <c r="J484" s="299"/>
      <c r="K484" s="300"/>
      <c r="L484" s="301"/>
      <c r="M484" s="297"/>
      <c r="N484" s="297"/>
      <c r="O484" s="299"/>
      <c r="P484" s="302"/>
      <c r="Q484" s="301"/>
      <c r="R484" s="297"/>
      <c r="S484" s="297"/>
      <c r="T484" s="299"/>
      <c r="U484" s="300"/>
      <c r="V484" s="301"/>
      <c r="W484" s="297"/>
      <c r="X484" s="297"/>
      <c r="Y484" s="299"/>
      <c r="Z484" s="300"/>
      <c r="AA484" s="301"/>
      <c r="AB484" s="297"/>
      <c r="AC484" s="297"/>
      <c r="AD484" s="299"/>
      <c r="AE484" s="300"/>
      <c r="AF484" s="301"/>
      <c r="AG484" s="297"/>
      <c r="AH484" s="297"/>
      <c r="AI484" s="322"/>
      <c r="AJ484" s="300"/>
      <c r="AK484" s="301"/>
      <c r="AL484" s="297"/>
      <c r="AM484" s="297"/>
      <c r="AN484" s="297"/>
      <c r="AO484" s="473"/>
      <c r="AP484" s="297"/>
      <c r="AQ484" s="301" t="s">
        <v>7906</v>
      </c>
      <c r="AR484" s="297" t="s">
        <v>66</v>
      </c>
      <c r="AS484" s="299"/>
      <c r="AT484" s="299"/>
      <c r="AU484" s="297" t="s">
        <v>3827</v>
      </c>
      <c r="AV484" s="297"/>
      <c r="AW484" s="297" t="s">
        <v>69</v>
      </c>
      <c r="AX484" s="297" t="s">
        <v>6276</v>
      </c>
      <c r="AY484" s="299">
        <v>43053</v>
      </c>
      <c r="AZ484" s="297" t="s">
        <v>67</v>
      </c>
      <c r="BA484" s="297" t="s">
        <v>67</v>
      </c>
      <c r="BB484" s="382" t="s">
        <v>6277</v>
      </c>
      <c r="BC484" s="297" t="s">
        <v>3829</v>
      </c>
      <c r="BD484" s="297" t="s">
        <v>6447</v>
      </c>
      <c r="BE484" s="297"/>
      <c r="BF484" s="301"/>
      <c r="BG484" s="301"/>
      <c r="BH484" s="301" t="s">
        <v>6278</v>
      </c>
      <c r="BI484" s="301"/>
      <c r="BJ484" s="312">
        <v>3716448</v>
      </c>
      <c r="BK484" s="312">
        <v>3716448</v>
      </c>
      <c r="BL484" s="313">
        <v>124358918</v>
      </c>
      <c r="BM484" s="299">
        <v>43222</v>
      </c>
      <c r="BN484" s="300">
        <v>43221</v>
      </c>
      <c r="BO484" s="434" t="s">
        <v>7913</v>
      </c>
      <c r="BP484" s="390"/>
      <c r="BQ484" s="297"/>
      <c r="BR484" s="303"/>
      <c r="BS484" s="301"/>
      <c r="BT484" s="301"/>
      <c r="BU484" s="301"/>
      <c r="BV484" s="301"/>
      <c r="BW484" s="316" t="s">
        <v>3082</v>
      </c>
      <c r="BX484" s="304"/>
      <c r="BY484" s="299"/>
      <c r="BZ484" s="317"/>
    </row>
    <row r="485" spans="1:555" ht="57" customHeight="1">
      <c r="A485" s="296">
        <v>777</v>
      </c>
      <c r="B485" s="297" t="s">
        <v>7370</v>
      </c>
      <c r="C485" s="298">
        <v>10017835</v>
      </c>
      <c r="D485" s="443" t="s">
        <v>7361</v>
      </c>
      <c r="E485" s="299">
        <v>41872</v>
      </c>
      <c r="F485" s="300">
        <v>41852</v>
      </c>
      <c r="G485" s="301" t="s">
        <v>7362</v>
      </c>
      <c r="H485" s="297" t="s">
        <v>171</v>
      </c>
      <c r="I485" s="297" t="s">
        <v>7363</v>
      </c>
      <c r="J485" s="299">
        <v>41885</v>
      </c>
      <c r="K485" s="300">
        <v>41883</v>
      </c>
      <c r="L485" s="301" t="s">
        <v>7364</v>
      </c>
      <c r="M485" s="297" t="s">
        <v>171</v>
      </c>
      <c r="N485" s="297" t="s">
        <v>582</v>
      </c>
      <c r="O485" s="299">
        <v>41879</v>
      </c>
      <c r="P485" s="302">
        <v>41852</v>
      </c>
      <c r="Q485" s="301" t="s">
        <v>7365</v>
      </c>
      <c r="R485" s="297" t="s">
        <v>171</v>
      </c>
      <c r="S485" s="297" t="s">
        <v>582</v>
      </c>
      <c r="T485" s="299">
        <v>43190</v>
      </c>
      <c r="U485" s="300">
        <v>43160</v>
      </c>
      <c r="V485" s="301" t="s">
        <v>7366</v>
      </c>
      <c r="W485" s="297" t="s">
        <v>208</v>
      </c>
      <c r="X485" s="297" t="s">
        <v>582</v>
      </c>
      <c r="Y485" s="299">
        <v>43208</v>
      </c>
      <c r="Z485" s="300">
        <v>43191</v>
      </c>
      <c r="AA485" s="301" t="s">
        <v>7367</v>
      </c>
      <c r="AB485" s="297" t="s">
        <v>208</v>
      </c>
      <c r="AC485" s="297" t="s">
        <v>582</v>
      </c>
      <c r="AD485" s="305">
        <v>43265</v>
      </c>
      <c r="AE485" s="300">
        <v>43265</v>
      </c>
      <c r="AF485" s="308" t="s">
        <v>7368</v>
      </c>
      <c r="AG485" s="297" t="s">
        <v>5</v>
      </c>
      <c r="AH485" s="303" t="s">
        <v>85</v>
      </c>
      <c r="AI485" s="305" t="s">
        <v>8603</v>
      </c>
      <c r="AJ485" s="300" t="s">
        <v>8604</v>
      </c>
      <c r="AK485" s="315" t="s">
        <v>8602</v>
      </c>
      <c r="AL485" s="297" t="s">
        <v>8605</v>
      </c>
      <c r="AM485" s="297" t="s">
        <v>8606</v>
      </c>
      <c r="AN485" s="297" t="s">
        <v>5706</v>
      </c>
      <c r="AO485" s="478"/>
      <c r="AP485" s="297" t="s">
        <v>2558</v>
      </c>
      <c r="AQ485" s="301" t="s">
        <v>7369</v>
      </c>
      <c r="AR485" s="297" t="s">
        <v>79</v>
      </c>
      <c r="AS485" s="299">
        <v>39075</v>
      </c>
      <c r="AT485" s="299">
        <v>40694</v>
      </c>
      <c r="AU485" s="297" t="s">
        <v>7983</v>
      </c>
      <c r="AV485" s="297"/>
      <c r="AW485" s="297" t="s">
        <v>92</v>
      </c>
      <c r="AX485" s="297" t="s">
        <v>8218</v>
      </c>
      <c r="AY485" s="299">
        <v>42181</v>
      </c>
      <c r="AZ485" s="297" t="s">
        <v>67</v>
      </c>
      <c r="BA485" s="297" t="s">
        <v>67</v>
      </c>
      <c r="BB485" s="382">
        <v>42199</v>
      </c>
      <c r="BC485" s="297" t="s">
        <v>95</v>
      </c>
      <c r="BD485" s="303" t="s">
        <v>6098</v>
      </c>
      <c r="BE485" s="297"/>
      <c r="BF485" s="301" t="s">
        <v>8266</v>
      </c>
      <c r="BG485" s="301"/>
      <c r="BH485" s="301" t="s">
        <v>8828</v>
      </c>
      <c r="BI485" s="301"/>
      <c r="BJ485" s="312">
        <f>+[81]MATRIZ!$J$70</f>
        <v>117146272.90302528</v>
      </c>
      <c r="BK485" s="312">
        <v>117146273</v>
      </c>
      <c r="BL485" s="313">
        <v>151358819</v>
      </c>
      <c r="BM485" s="299">
        <v>43634</v>
      </c>
      <c r="BN485" s="300">
        <v>43634</v>
      </c>
      <c r="BO485" s="531" t="s">
        <v>8829</v>
      </c>
      <c r="BP485" s="390"/>
      <c r="BQ485" s="297"/>
      <c r="BR485" s="303"/>
      <c r="BS485" s="297"/>
      <c r="BT485" s="301"/>
      <c r="BU485" s="301"/>
      <c r="BV485" s="301"/>
      <c r="BW485" s="316"/>
      <c r="BX485" s="301"/>
      <c r="BY485" s="299"/>
      <c r="BZ485" s="317"/>
    </row>
    <row r="486" spans="1:555" ht="76.5" customHeight="1">
      <c r="A486" s="296">
        <v>786</v>
      </c>
      <c r="B486" s="297" t="s">
        <v>6336</v>
      </c>
      <c r="C486" s="298">
        <v>93361620</v>
      </c>
      <c r="D486" s="354"/>
      <c r="E486" s="299">
        <v>43167</v>
      </c>
      <c r="F486" s="300">
        <v>43160</v>
      </c>
      <c r="G486" s="301" t="s">
        <v>6337</v>
      </c>
      <c r="H486" s="297" t="s">
        <v>625</v>
      </c>
      <c r="I486" s="297" t="s">
        <v>6338</v>
      </c>
      <c r="J486" s="299"/>
      <c r="K486" s="300"/>
      <c r="L486" s="301"/>
      <c r="M486" s="297"/>
      <c r="N486" s="297"/>
      <c r="O486" s="299"/>
      <c r="P486" s="302"/>
      <c r="Q486" s="301"/>
      <c r="R486" s="297"/>
      <c r="S486" s="297"/>
      <c r="T486" s="299"/>
      <c r="U486" s="300"/>
      <c r="V486" s="301"/>
      <c r="W486" s="297"/>
      <c r="X486" s="297"/>
      <c r="Y486" s="299"/>
      <c r="Z486" s="300"/>
      <c r="AA486" s="301"/>
      <c r="AB486" s="297"/>
      <c r="AC486" s="297"/>
      <c r="AD486" s="299"/>
      <c r="AE486" s="300"/>
      <c r="AF486" s="301"/>
      <c r="AG486" s="297"/>
      <c r="AH486" s="297"/>
      <c r="AI486" s="322"/>
      <c r="AJ486" s="300"/>
      <c r="AK486" s="301"/>
      <c r="AL486" s="297"/>
      <c r="AM486" s="297"/>
      <c r="AN486" s="297"/>
      <c r="AO486" s="473"/>
      <c r="AP486" s="297"/>
      <c r="AQ486" s="301" t="s">
        <v>6339</v>
      </c>
      <c r="AR486" s="297" t="s">
        <v>66</v>
      </c>
      <c r="AS486" s="299"/>
      <c r="AT486" s="299"/>
      <c r="AU486" s="297" t="s">
        <v>6340</v>
      </c>
      <c r="AV486" s="297"/>
      <c r="AW486" s="326" t="s">
        <v>69</v>
      </c>
      <c r="AX486" s="297" t="s">
        <v>6341</v>
      </c>
      <c r="AY486" s="344">
        <v>42566</v>
      </c>
      <c r="AZ486" s="297" t="s">
        <v>5996</v>
      </c>
      <c r="BA486" s="299">
        <v>42762</v>
      </c>
      <c r="BB486" s="382">
        <v>42773</v>
      </c>
      <c r="BC486" s="297" t="s">
        <v>6342</v>
      </c>
      <c r="BD486" s="297" t="s">
        <v>8202</v>
      </c>
      <c r="BE486" s="297"/>
      <c r="BF486" s="301"/>
      <c r="BG486" s="301"/>
      <c r="BH486" s="301" t="s">
        <v>6343</v>
      </c>
      <c r="BI486" s="301"/>
      <c r="BJ486" s="312">
        <v>65845</v>
      </c>
      <c r="BK486" s="312" t="s">
        <v>6344</v>
      </c>
      <c r="BL486" s="313" t="s">
        <v>6345</v>
      </c>
      <c r="BM486" s="299" t="s">
        <v>6346</v>
      </c>
      <c r="BN486" s="300">
        <v>43160</v>
      </c>
      <c r="BO486" s="434" t="s">
        <v>6347</v>
      </c>
      <c r="BP486" s="396"/>
      <c r="BQ486" s="336"/>
      <c r="BR486" s="331"/>
      <c r="BS486" s="301"/>
      <c r="BT486" s="301"/>
      <c r="BU486" s="301"/>
      <c r="BV486" s="301"/>
      <c r="BW486" s="316"/>
      <c r="BX486" s="304"/>
      <c r="BY486" s="299"/>
      <c r="BZ486" s="317"/>
    </row>
    <row r="487" spans="1:555" s="259" customFormat="1" ht="40.5">
      <c r="A487" s="296">
        <v>792</v>
      </c>
      <c r="B487" s="297" t="s">
        <v>6378</v>
      </c>
      <c r="C487" s="298">
        <v>73106921</v>
      </c>
      <c r="D487" s="354"/>
      <c r="E487" s="299"/>
      <c r="F487" s="300"/>
      <c r="G487" s="301"/>
      <c r="H487" s="297"/>
      <c r="I487" s="297"/>
      <c r="J487" s="299"/>
      <c r="K487" s="300"/>
      <c r="L487" s="301"/>
      <c r="M487" s="297"/>
      <c r="N487" s="297"/>
      <c r="O487" s="299"/>
      <c r="P487" s="302"/>
      <c r="Q487" s="301"/>
      <c r="R487" s="297"/>
      <c r="S487" s="297"/>
      <c r="T487" s="299"/>
      <c r="U487" s="300"/>
      <c r="V487" s="301"/>
      <c r="W487" s="297"/>
      <c r="X487" s="297"/>
      <c r="Y487" s="299"/>
      <c r="Z487" s="300"/>
      <c r="AA487" s="301"/>
      <c r="AB487" s="297"/>
      <c r="AC487" s="297"/>
      <c r="AD487" s="299"/>
      <c r="AE487" s="300"/>
      <c r="AF487" s="301"/>
      <c r="AG487" s="297"/>
      <c r="AH487" s="297"/>
      <c r="AI487" s="322"/>
      <c r="AJ487" s="300"/>
      <c r="AK487" s="301"/>
      <c r="AL487" s="297"/>
      <c r="AM487" s="297"/>
      <c r="AN487" s="297"/>
      <c r="AO487" s="473"/>
      <c r="AP487" s="297"/>
      <c r="AQ487" s="301" t="s">
        <v>7907</v>
      </c>
      <c r="AR487" s="297" t="s">
        <v>66</v>
      </c>
      <c r="AS487" s="299"/>
      <c r="AT487" s="299"/>
      <c r="AU487" s="297" t="s">
        <v>3829</v>
      </c>
      <c r="AV487" s="297"/>
      <c r="AW487" s="297" t="s">
        <v>69</v>
      </c>
      <c r="AX487" s="297" t="s">
        <v>6379</v>
      </c>
      <c r="AY487" s="299">
        <v>42859</v>
      </c>
      <c r="AZ487" s="297" t="s">
        <v>67</v>
      </c>
      <c r="BA487" s="297" t="s">
        <v>67</v>
      </c>
      <c r="BB487" s="382">
        <v>42859</v>
      </c>
      <c r="BC487" s="297" t="s">
        <v>3829</v>
      </c>
      <c r="BD487" s="297" t="s">
        <v>6447</v>
      </c>
      <c r="BE487" s="297"/>
      <c r="BF487" s="301"/>
      <c r="BG487" s="301"/>
      <c r="BH487" s="301" t="s">
        <v>6380</v>
      </c>
      <c r="BI487" s="301"/>
      <c r="BJ487" s="312">
        <v>3762632</v>
      </c>
      <c r="BK487" s="312">
        <v>3762632</v>
      </c>
      <c r="BL487" s="313">
        <v>163301918</v>
      </c>
      <c r="BM487" s="299">
        <v>43251</v>
      </c>
      <c r="BN487" s="300">
        <v>43221</v>
      </c>
      <c r="BO487" s="434" t="s">
        <v>7914</v>
      </c>
      <c r="BP487" s="390"/>
      <c r="BQ487" s="297"/>
      <c r="BR487" s="303"/>
      <c r="BS487" s="301"/>
      <c r="BT487" s="301"/>
      <c r="BU487" s="301"/>
      <c r="BV487" s="301"/>
      <c r="BW487" s="316"/>
      <c r="BX487" s="304"/>
      <c r="BY487" s="299"/>
      <c r="BZ487" s="317"/>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c r="JW487" s="1"/>
      <c r="JX487" s="1"/>
      <c r="JY487" s="1"/>
      <c r="JZ487" s="1"/>
      <c r="KA487" s="1"/>
      <c r="KB487" s="1"/>
      <c r="KC487" s="1"/>
      <c r="KD487" s="1"/>
      <c r="KE487" s="1"/>
      <c r="KF487" s="1"/>
      <c r="KG487" s="1"/>
      <c r="KH487" s="1"/>
      <c r="KI487" s="1"/>
      <c r="KJ487" s="1"/>
      <c r="KK487" s="1"/>
      <c r="KL487" s="1"/>
      <c r="KM487" s="1"/>
      <c r="KN487" s="1"/>
      <c r="KO487" s="1"/>
      <c r="KP487" s="1"/>
      <c r="KQ487" s="1"/>
      <c r="KR487" s="1"/>
      <c r="KS487" s="1"/>
      <c r="KT487" s="1"/>
      <c r="KU487" s="1"/>
      <c r="KV487" s="1"/>
      <c r="KW487" s="1"/>
      <c r="KX487" s="1"/>
      <c r="KY487" s="1"/>
      <c r="KZ487" s="1"/>
      <c r="LA487" s="1"/>
      <c r="LB487" s="1"/>
      <c r="LC487" s="1"/>
      <c r="LD487" s="1"/>
      <c r="LE487" s="1"/>
      <c r="LF487" s="1"/>
      <c r="LG487" s="1"/>
      <c r="LH487" s="1"/>
      <c r="LI487" s="1"/>
      <c r="LJ487" s="1"/>
      <c r="LK487" s="1"/>
      <c r="LL487" s="1"/>
      <c r="LM487" s="1"/>
      <c r="LN487" s="1"/>
      <c r="LO487" s="1"/>
      <c r="LP487" s="1"/>
      <c r="LQ487" s="1"/>
      <c r="LR487" s="1"/>
      <c r="LS487" s="1"/>
      <c r="LT487" s="1"/>
      <c r="LU487" s="1"/>
      <c r="LV487" s="1"/>
      <c r="LW487" s="1"/>
      <c r="LX487" s="1"/>
      <c r="LY487" s="1"/>
      <c r="LZ487" s="1"/>
      <c r="MA487" s="1"/>
      <c r="MB487" s="1"/>
      <c r="MC487" s="1"/>
      <c r="MD487" s="1"/>
      <c r="ME487" s="1"/>
      <c r="MF487" s="1"/>
      <c r="MG487" s="1"/>
      <c r="MH487" s="1"/>
      <c r="MI487" s="1"/>
      <c r="MJ487" s="1"/>
      <c r="MK487" s="1"/>
      <c r="ML487" s="1"/>
      <c r="MM487" s="1"/>
      <c r="MN487" s="1"/>
      <c r="MO487" s="1"/>
      <c r="MP487" s="1"/>
      <c r="MQ487" s="1"/>
      <c r="MR487" s="1"/>
      <c r="MS487" s="1"/>
      <c r="MT487" s="1"/>
      <c r="MU487" s="1"/>
      <c r="MV487" s="1"/>
      <c r="MW487" s="1"/>
      <c r="MX487" s="1"/>
      <c r="MY487" s="1"/>
      <c r="MZ487" s="1"/>
      <c r="NA487" s="1"/>
      <c r="NB487" s="1"/>
      <c r="NC487" s="1"/>
      <c r="ND487" s="1"/>
      <c r="NE487" s="1"/>
      <c r="NF487" s="1"/>
      <c r="NG487" s="1"/>
      <c r="NH487" s="1"/>
      <c r="NI487" s="1"/>
      <c r="NJ487" s="1"/>
      <c r="NK487" s="1"/>
      <c r="NL487" s="1"/>
      <c r="NM487" s="1"/>
      <c r="NN487" s="1"/>
      <c r="NO487" s="1"/>
      <c r="NP487" s="1"/>
      <c r="NQ487" s="1"/>
      <c r="NR487" s="1"/>
      <c r="NS487" s="1"/>
      <c r="NT487" s="1"/>
      <c r="NU487" s="1"/>
      <c r="NV487" s="1"/>
      <c r="NW487" s="1"/>
      <c r="NX487" s="1"/>
      <c r="NY487" s="1"/>
      <c r="NZ487" s="1"/>
      <c r="OA487" s="1"/>
      <c r="OB487" s="1"/>
      <c r="OC487" s="1"/>
      <c r="OD487" s="1"/>
      <c r="OE487" s="1"/>
      <c r="OF487" s="1"/>
      <c r="OG487" s="1"/>
      <c r="OH487" s="1"/>
      <c r="OI487" s="1"/>
      <c r="OJ487" s="1"/>
      <c r="OK487" s="1"/>
      <c r="OL487" s="1"/>
      <c r="OM487" s="1"/>
      <c r="ON487" s="1"/>
      <c r="OO487" s="1"/>
      <c r="OP487" s="1"/>
      <c r="OQ487" s="1"/>
      <c r="OR487" s="1"/>
      <c r="OS487" s="1"/>
      <c r="OT487" s="1"/>
      <c r="OU487" s="1"/>
      <c r="OV487" s="1"/>
      <c r="OW487" s="1"/>
      <c r="OX487" s="1"/>
      <c r="OY487" s="1"/>
      <c r="OZ487" s="1"/>
      <c r="PA487" s="1"/>
      <c r="PB487" s="1"/>
      <c r="PC487" s="1"/>
      <c r="PD487" s="1"/>
      <c r="PE487" s="1"/>
      <c r="PF487" s="1"/>
      <c r="PG487" s="1"/>
      <c r="PH487" s="1"/>
      <c r="PI487" s="1"/>
      <c r="PJ487" s="1"/>
      <c r="PK487" s="1"/>
      <c r="PL487" s="1"/>
      <c r="PM487" s="1"/>
      <c r="PN487" s="1"/>
      <c r="PO487" s="1"/>
      <c r="PP487" s="1"/>
      <c r="PQ487" s="1"/>
      <c r="PR487" s="1"/>
      <c r="PS487" s="1"/>
      <c r="PT487" s="1"/>
      <c r="PU487" s="1"/>
      <c r="PV487" s="1"/>
      <c r="PW487" s="1"/>
      <c r="PX487" s="1"/>
      <c r="PY487" s="1"/>
      <c r="PZ487" s="1"/>
      <c r="QA487" s="1"/>
      <c r="QB487" s="1"/>
      <c r="QC487" s="1"/>
      <c r="QD487" s="1"/>
      <c r="QE487" s="1"/>
      <c r="QF487" s="1"/>
      <c r="QG487" s="1"/>
      <c r="QH487" s="1"/>
      <c r="QI487" s="1"/>
      <c r="QJ487" s="1"/>
      <c r="QK487" s="1"/>
      <c r="QL487" s="1"/>
      <c r="QM487" s="1"/>
      <c r="QN487" s="1"/>
      <c r="QO487" s="1"/>
      <c r="QP487" s="1"/>
      <c r="QQ487" s="1"/>
      <c r="QR487" s="1"/>
      <c r="QS487" s="1"/>
      <c r="QT487" s="1"/>
      <c r="QU487" s="1"/>
      <c r="QV487" s="1"/>
      <c r="QW487" s="1"/>
      <c r="QX487" s="1"/>
      <c r="QY487" s="1"/>
      <c r="QZ487" s="1"/>
      <c r="RA487" s="1"/>
      <c r="RB487" s="1"/>
      <c r="RC487" s="1"/>
      <c r="RD487" s="1"/>
      <c r="RE487" s="1"/>
      <c r="RF487" s="1"/>
      <c r="RG487" s="1"/>
      <c r="RH487" s="1"/>
      <c r="RI487" s="1"/>
      <c r="RJ487" s="1"/>
      <c r="RK487" s="1"/>
      <c r="RL487" s="1"/>
      <c r="RM487" s="1"/>
      <c r="RN487" s="1"/>
      <c r="RO487" s="1"/>
      <c r="RP487" s="1"/>
      <c r="RQ487" s="1"/>
      <c r="RR487" s="1"/>
      <c r="RS487" s="1"/>
      <c r="RT487" s="1"/>
      <c r="RU487" s="1"/>
      <c r="RV487" s="1"/>
      <c r="RW487" s="1"/>
      <c r="RX487" s="1"/>
      <c r="RY487" s="1"/>
      <c r="RZ487" s="1"/>
      <c r="SA487" s="1"/>
      <c r="SB487" s="1"/>
      <c r="SC487" s="1"/>
      <c r="SD487" s="1"/>
      <c r="SE487" s="1"/>
      <c r="SF487" s="1"/>
      <c r="SG487" s="1"/>
      <c r="SH487" s="1"/>
      <c r="SI487" s="1"/>
      <c r="SJ487" s="1"/>
      <c r="SK487" s="1"/>
      <c r="SL487" s="1"/>
      <c r="SM487" s="1"/>
      <c r="SN487" s="1"/>
      <c r="SO487" s="1"/>
      <c r="SP487" s="1"/>
      <c r="SQ487" s="1"/>
      <c r="SR487" s="1"/>
      <c r="SS487" s="1"/>
      <c r="ST487" s="1"/>
      <c r="SU487" s="1"/>
      <c r="SV487" s="1"/>
      <c r="SW487" s="1"/>
      <c r="SX487" s="1"/>
      <c r="SY487" s="1"/>
      <c r="SZ487" s="1"/>
      <c r="TA487" s="1"/>
      <c r="TB487" s="1"/>
      <c r="TC487" s="1"/>
      <c r="TD487" s="1"/>
      <c r="TE487" s="1"/>
      <c r="TF487" s="1"/>
      <c r="TG487" s="1"/>
      <c r="TH487" s="1"/>
      <c r="TI487" s="1"/>
      <c r="TJ487" s="1"/>
      <c r="TK487" s="1"/>
      <c r="TL487" s="1"/>
      <c r="TM487" s="1"/>
      <c r="TN487" s="1"/>
      <c r="TO487" s="1"/>
      <c r="TP487" s="1"/>
      <c r="TQ487" s="1"/>
      <c r="TR487" s="1"/>
      <c r="TS487" s="1"/>
      <c r="TT487" s="1"/>
      <c r="TU487" s="1"/>
      <c r="TV487" s="1"/>
      <c r="TW487" s="1"/>
      <c r="TX487" s="1"/>
      <c r="TY487" s="1"/>
      <c r="TZ487" s="1"/>
      <c r="UA487" s="1"/>
      <c r="UB487" s="1"/>
      <c r="UC487" s="1"/>
      <c r="UD487" s="1"/>
      <c r="UE487" s="1"/>
      <c r="UF487" s="1"/>
      <c r="UG487" s="1"/>
      <c r="UH487" s="1"/>
      <c r="UI487" s="1"/>
    </row>
    <row r="488" spans="1:555" ht="63.75" customHeight="1">
      <c r="A488" s="296">
        <v>793</v>
      </c>
      <c r="B488" s="297" t="s">
        <v>6381</v>
      </c>
      <c r="C488" s="298">
        <v>79372716</v>
      </c>
      <c r="D488" s="354"/>
      <c r="E488" s="305">
        <v>43438</v>
      </c>
      <c r="F488" s="300">
        <v>43438</v>
      </c>
      <c r="G488" s="315" t="s">
        <v>7988</v>
      </c>
      <c r="H488" s="315" t="s">
        <v>503</v>
      </c>
      <c r="I488" s="315" t="s">
        <v>1302</v>
      </c>
      <c r="J488" s="299"/>
      <c r="K488" s="300"/>
      <c r="L488" s="301"/>
      <c r="M488" s="297"/>
      <c r="N488" s="297"/>
      <c r="O488" s="299"/>
      <c r="P488" s="302"/>
      <c r="Q488" s="301"/>
      <c r="R488" s="297"/>
      <c r="S488" s="297"/>
      <c r="T488" s="299"/>
      <c r="U488" s="300"/>
      <c r="V488" s="301"/>
      <c r="W488" s="297"/>
      <c r="X488" s="297"/>
      <c r="Y488" s="299"/>
      <c r="Z488" s="300"/>
      <c r="AA488" s="301"/>
      <c r="AB488" s="297"/>
      <c r="AC488" s="297"/>
      <c r="AD488" s="299"/>
      <c r="AE488" s="300"/>
      <c r="AF488" s="301"/>
      <c r="AG488" s="297"/>
      <c r="AH488" s="297"/>
      <c r="AI488" s="322"/>
      <c r="AJ488" s="300"/>
      <c r="AK488" s="301"/>
      <c r="AL488" s="297"/>
      <c r="AM488" s="297"/>
      <c r="AN488" s="297"/>
      <c r="AO488" s="473"/>
      <c r="AP488" s="297"/>
      <c r="AQ488" s="301" t="s">
        <v>6382</v>
      </c>
      <c r="AR488" s="297" t="s">
        <v>66</v>
      </c>
      <c r="AS488" s="299"/>
      <c r="AT488" s="299"/>
      <c r="AU488" s="297" t="s">
        <v>3829</v>
      </c>
      <c r="AV488" s="297"/>
      <c r="AW488" s="297" t="s">
        <v>69</v>
      </c>
      <c r="AX488" s="297" t="s">
        <v>7682</v>
      </c>
      <c r="AY488" s="299">
        <v>43124</v>
      </c>
      <c r="AZ488" s="297" t="s">
        <v>67</v>
      </c>
      <c r="BA488" s="297" t="s">
        <v>67</v>
      </c>
      <c r="BB488" s="382" t="s">
        <v>6040</v>
      </c>
      <c r="BC488" s="297" t="s">
        <v>3829</v>
      </c>
      <c r="BD488" s="297" t="s">
        <v>6447</v>
      </c>
      <c r="BE488" s="297"/>
      <c r="BF488" s="301"/>
      <c r="BG488" s="301"/>
      <c r="BH488" s="301" t="s">
        <v>6383</v>
      </c>
      <c r="BI488" s="301"/>
      <c r="BJ488" s="312">
        <v>452870</v>
      </c>
      <c r="BK488" s="312">
        <v>452870</v>
      </c>
      <c r="BL488" s="313">
        <v>159014818</v>
      </c>
      <c r="BM488" s="299">
        <v>43249</v>
      </c>
      <c r="BN488" s="300">
        <v>43221</v>
      </c>
      <c r="BO488" s="434" t="s">
        <v>7683</v>
      </c>
      <c r="BP488" s="390"/>
      <c r="BQ488" s="297"/>
      <c r="BR488" s="303"/>
      <c r="BS488" s="301"/>
      <c r="BT488" s="301"/>
      <c r="BU488" s="301"/>
      <c r="BV488" s="301"/>
      <c r="BW488" s="316"/>
      <c r="BX488" s="304"/>
      <c r="BY488" s="299"/>
      <c r="BZ488" s="317"/>
    </row>
    <row r="489" spans="1:555" ht="54">
      <c r="A489" s="296">
        <v>794</v>
      </c>
      <c r="B489" s="297" t="s">
        <v>4226</v>
      </c>
      <c r="C489" s="298">
        <v>79467834</v>
      </c>
      <c r="D489" s="354"/>
      <c r="E489" s="305">
        <v>43438</v>
      </c>
      <c r="F489" s="300">
        <v>43438</v>
      </c>
      <c r="G489" s="315" t="s">
        <v>7988</v>
      </c>
      <c r="H489" s="315" t="s">
        <v>503</v>
      </c>
      <c r="I489" s="315" t="s">
        <v>1302</v>
      </c>
      <c r="J489" s="299"/>
      <c r="K489" s="300"/>
      <c r="L489" s="301"/>
      <c r="M489" s="297"/>
      <c r="N489" s="297"/>
      <c r="O489" s="299"/>
      <c r="P489" s="302"/>
      <c r="Q489" s="301"/>
      <c r="R489" s="297"/>
      <c r="S489" s="297"/>
      <c r="T489" s="299"/>
      <c r="U489" s="300"/>
      <c r="V489" s="301"/>
      <c r="W489" s="297"/>
      <c r="X489" s="297"/>
      <c r="Y489" s="299"/>
      <c r="Z489" s="300"/>
      <c r="AA489" s="301"/>
      <c r="AB489" s="297"/>
      <c r="AC489" s="297"/>
      <c r="AD489" s="299"/>
      <c r="AE489" s="300"/>
      <c r="AF489" s="301"/>
      <c r="AG489" s="297"/>
      <c r="AH489" s="297"/>
      <c r="AI489" s="322"/>
      <c r="AJ489" s="300"/>
      <c r="AK489" s="301"/>
      <c r="AL489" s="297"/>
      <c r="AM489" s="297"/>
      <c r="AN489" s="297"/>
      <c r="AO489" s="473"/>
      <c r="AP489" s="297"/>
      <c r="AQ489" s="301" t="s">
        <v>7701</v>
      </c>
      <c r="AR489" s="297" t="s">
        <v>66</v>
      </c>
      <c r="AS489" s="299"/>
      <c r="AT489" s="299"/>
      <c r="AU489" s="297" t="s">
        <v>3829</v>
      </c>
      <c r="AV489" s="297"/>
      <c r="AW489" s="297" t="s">
        <v>69</v>
      </c>
      <c r="AX489" s="297" t="s">
        <v>7702</v>
      </c>
      <c r="AY489" s="299">
        <v>43076</v>
      </c>
      <c r="AZ489" s="297" t="s">
        <v>67</v>
      </c>
      <c r="BA489" s="297" t="s">
        <v>67</v>
      </c>
      <c r="BB489" s="382" t="s">
        <v>6384</v>
      </c>
      <c r="BC489" s="297" t="s">
        <v>3829</v>
      </c>
      <c r="BD489" s="297" t="s">
        <v>6447</v>
      </c>
      <c r="BE489" s="297"/>
      <c r="BF489" s="301"/>
      <c r="BG489" s="301"/>
      <c r="BH489" s="301" t="s">
        <v>6385</v>
      </c>
      <c r="BI489" s="301"/>
      <c r="BJ489" s="312">
        <v>867632</v>
      </c>
      <c r="BK489" s="312">
        <v>867632</v>
      </c>
      <c r="BL489" s="313">
        <v>160825418</v>
      </c>
      <c r="BM489" s="299">
        <v>43250</v>
      </c>
      <c r="BN489" s="300">
        <v>43221</v>
      </c>
      <c r="BO489" s="434" t="s">
        <v>7703</v>
      </c>
      <c r="BP489" s="390"/>
      <c r="BQ489" s="297"/>
      <c r="BR489" s="303"/>
      <c r="BS489" s="301"/>
      <c r="BT489" s="301"/>
      <c r="BU489" s="301"/>
      <c r="BV489" s="301"/>
      <c r="BW489" s="316"/>
      <c r="BX489" s="304"/>
      <c r="BY489" s="299"/>
      <c r="BZ489" s="317"/>
    </row>
    <row r="490" spans="1:555" ht="54">
      <c r="A490" s="296">
        <v>795</v>
      </c>
      <c r="B490" s="297" t="s">
        <v>6386</v>
      </c>
      <c r="C490" s="298">
        <v>79885058</v>
      </c>
      <c r="D490" s="354"/>
      <c r="E490" s="305">
        <v>43438</v>
      </c>
      <c r="F490" s="300">
        <v>43438</v>
      </c>
      <c r="G490" s="315" t="s">
        <v>7988</v>
      </c>
      <c r="H490" s="315" t="s">
        <v>503</v>
      </c>
      <c r="I490" s="315" t="s">
        <v>1302</v>
      </c>
      <c r="J490" s="344"/>
      <c r="K490" s="302"/>
      <c r="L490" s="330"/>
      <c r="M490" s="326"/>
      <c r="N490" s="297"/>
      <c r="O490" s="344"/>
      <c r="P490" s="302"/>
      <c r="Q490" s="330"/>
      <c r="R490" s="326"/>
      <c r="S490" s="297"/>
      <c r="T490" s="344"/>
      <c r="U490" s="302"/>
      <c r="V490" s="330"/>
      <c r="W490" s="326"/>
      <c r="X490" s="297"/>
      <c r="Y490" s="344"/>
      <c r="Z490" s="302"/>
      <c r="AA490" s="330"/>
      <c r="AB490" s="326"/>
      <c r="AC490" s="297"/>
      <c r="AD490" s="344"/>
      <c r="AE490" s="302"/>
      <c r="AF490" s="330"/>
      <c r="AG490" s="326"/>
      <c r="AH490" s="297"/>
      <c r="AI490" s="346"/>
      <c r="AJ490" s="302"/>
      <c r="AK490" s="330"/>
      <c r="AL490" s="326"/>
      <c r="AM490" s="297"/>
      <c r="AN490" s="326"/>
      <c r="AO490" s="477"/>
      <c r="AP490" s="326"/>
      <c r="AQ490" s="301" t="s">
        <v>7705</v>
      </c>
      <c r="AR490" s="297" t="s">
        <v>66</v>
      </c>
      <c r="AS490" s="344"/>
      <c r="AT490" s="344"/>
      <c r="AU490" s="297" t="s">
        <v>3829</v>
      </c>
      <c r="AV490" s="297"/>
      <c r="AW490" s="297" t="s">
        <v>69</v>
      </c>
      <c r="AX490" s="297" t="s">
        <v>7706</v>
      </c>
      <c r="AY490" s="344">
        <v>43124</v>
      </c>
      <c r="AZ490" s="297" t="s">
        <v>67</v>
      </c>
      <c r="BA490" s="297" t="s">
        <v>67</v>
      </c>
      <c r="BB490" s="382" t="s">
        <v>6388</v>
      </c>
      <c r="BC490" s="297" t="s">
        <v>3829</v>
      </c>
      <c r="BD490" s="297" t="s">
        <v>6447</v>
      </c>
      <c r="BE490" s="326"/>
      <c r="BF490" s="330"/>
      <c r="BG490" s="330"/>
      <c r="BH490" s="330" t="s">
        <v>6389</v>
      </c>
      <c r="BI490" s="330"/>
      <c r="BJ490" s="312">
        <v>954998</v>
      </c>
      <c r="BK490" s="312">
        <f>948998+6000</f>
        <v>954998</v>
      </c>
      <c r="BL490" s="313">
        <v>158999718</v>
      </c>
      <c r="BM490" s="299">
        <v>43250</v>
      </c>
      <c r="BN490" s="302">
        <v>43221</v>
      </c>
      <c r="BO490" s="434" t="s">
        <v>7707</v>
      </c>
      <c r="BP490" s="390"/>
      <c r="BQ490" s="297"/>
      <c r="BR490" s="303"/>
      <c r="BS490" s="330"/>
      <c r="BT490" s="330"/>
      <c r="BU490" s="330"/>
      <c r="BV490" s="330"/>
      <c r="BW490" s="347"/>
      <c r="BX490" s="348"/>
      <c r="BY490" s="344"/>
      <c r="BZ490" s="349"/>
    </row>
    <row r="491" spans="1:555" ht="54">
      <c r="A491" s="296">
        <v>796</v>
      </c>
      <c r="B491" s="297" t="s">
        <v>6390</v>
      </c>
      <c r="C491" s="298">
        <v>78691770</v>
      </c>
      <c r="D491" s="354"/>
      <c r="E491" s="305">
        <v>43438</v>
      </c>
      <c r="F491" s="300">
        <v>43438</v>
      </c>
      <c r="G491" s="315" t="s">
        <v>7988</v>
      </c>
      <c r="H491" s="315" t="s">
        <v>503</v>
      </c>
      <c r="I491" s="315" t="s">
        <v>1302</v>
      </c>
      <c r="J491" s="344"/>
      <c r="K491" s="302"/>
      <c r="L491" s="330"/>
      <c r="M491" s="297"/>
      <c r="N491" s="297"/>
      <c r="O491" s="344"/>
      <c r="P491" s="302"/>
      <c r="Q491" s="330"/>
      <c r="R491" s="326"/>
      <c r="S491" s="297"/>
      <c r="T491" s="344"/>
      <c r="U491" s="302"/>
      <c r="V491" s="330"/>
      <c r="W491" s="326"/>
      <c r="X491" s="297"/>
      <c r="Y491" s="344"/>
      <c r="Z491" s="302"/>
      <c r="AA491" s="330"/>
      <c r="AB491" s="326"/>
      <c r="AC491" s="297"/>
      <c r="AD491" s="344"/>
      <c r="AE491" s="302"/>
      <c r="AF491" s="330"/>
      <c r="AG491" s="326"/>
      <c r="AH491" s="297"/>
      <c r="AI491" s="346"/>
      <c r="AJ491" s="302"/>
      <c r="AK491" s="330"/>
      <c r="AL491" s="326"/>
      <c r="AM491" s="297"/>
      <c r="AN491" s="326"/>
      <c r="AO491" s="477"/>
      <c r="AP491" s="326"/>
      <c r="AQ491" s="301" t="s">
        <v>7779</v>
      </c>
      <c r="AR491" s="297" t="s">
        <v>66</v>
      </c>
      <c r="AS491" s="344"/>
      <c r="AT491" s="344"/>
      <c r="AU491" s="297" t="s">
        <v>3829</v>
      </c>
      <c r="AV491" s="297"/>
      <c r="AW491" s="297" t="s">
        <v>69</v>
      </c>
      <c r="AX491" s="297" t="s">
        <v>6391</v>
      </c>
      <c r="AY491" s="344">
        <v>43119</v>
      </c>
      <c r="AZ491" s="297" t="s">
        <v>67</v>
      </c>
      <c r="BA491" s="297" t="s">
        <v>67</v>
      </c>
      <c r="BB491" s="382" t="s">
        <v>4680</v>
      </c>
      <c r="BC491" s="297" t="s">
        <v>3829</v>
      </c>
      <c r="BD491" s="297" t="s">
        <v>6447</v>
      </c>
      <c r="BE491" s="326"/>
      <c r="BF491" s="330"/>
      <c r="BG491" s="330"/>
      <c r="BH491" s="330" t="s">
        <v>6392</v>
      </c>
      <c r="BI491" s="330"/>
      <c r="BJ491" s="350">
        <v>1559068</v>
      </c>
      <c r="BK491" s="312">
        <v>1559068</v>
      </c>
      <c r="BL491" s="351">
        <v>158999718</v>
      </c>
      <c r="BM491" s="299">
        <v>43249</v>
      </c>
      <c r="BN491" s="302">
        <v>43221</v>
      </c>
      <c r="BO491" s="460" t="s">
        <v>4682</v>
      </c>
      <c r="BP491" s="390"/>
      <c r="BQ491" s="297"/>
      <c r="BR491" s="303"/>
      <c r="BS491" s="330"/>
      <c r="BT491" s="330"/>
      <c r="BU491" s="330"/>
      <c r="BV491" s="330"/>
      <c r="BW491" s="347"/>
      <c r="BX491" s="348"/>
      <c r="BY491" s="344"/>
      <c r="BZ491" s="349"/>
    </row>
    <row r="492" spans="1:555" ht="67.5">
      <c r="A492" s="296">
        <v>797</v>
      </c>
      <c r="B492" s="297" t="s">
        <v>6393</v>
      </c>
      <c r="C492" s="298">
        <v>80443458</v>
      </c>
      <c r="D492" s="354"/>
      <c r="E492" s="299"/>
      <c r="F492" s="302"/>
      <c r="G492" s="301"/>
      <c r="H492" s="326"/>
      <c r="I492" s="297"/>
      <c r="J492" s="344"/>
      <c r="K492" s="302"/>
      <c r="L492" s="330"/>
      <c r="M492" s="326"/>
      <c r="N492" s="297"/>
      <c r="O492" s="344"/>
      <c r="P492" s="302"/>
      <c r="Q492" s="330"/>
      <c r="R492" s="326"/>
      <c r="S492" s="297"/>
      <c r="T492" s="344"/>
      <c r="U492" s="302"/>
      <c r="V492" s="330"/>
      <c r="W492" s="326"/>
      <c r="X492" s="297"/>
      <c r="Y492" s="344"/>
      <c r="Z492" s="302"/>
      <c r="AA492" s="330"/>
      <c r="AB492" s="326"/>
      <c r="AC492" s="297"/>
      <c r="AD492" s="344"/>
      <c r="AE492" s="302"/>
      <c r="AF492" s="330"/>
      <c r="AG492" s="326"/>
      <c r="AH492" s="297"/>
      <c r="AI492" s="346"/>
      <c r="AJ492" s="302"/>
      <c r="AK492" s="330"/>
      <c r="AL492" s="326"/>
      <c r="AM492" s="297"/>
      <c r="AN492" s="326"/>
      <c r="AO492" s="477"/>
      <c r="AP492" s="326"/>
      <c r="AQ492" s="330" t="s">
        <v>7733</v>
      </c>
      <c r="AR492" s="297" t="s">
        <v>66</v>
      </c>
      <c r="AS492" s="344"/>
      <c r="AT492" s="344"/>
      <c r="AU492" s="297" t="s">
        <v>3829</v>
      </c>
      <c r="AV492" s="297"/>
      <c r="AW492" s="297" t="s">
        <v>69</v>
      </c>
      <c r="AX492" s="297" t="s">
        <v>6394</v>
      </c>
      <c r="AY492" s="344">
        <v>43131</v>
      </c>
      <c r="AZ492" s="297" t="s">
        <v>67</v>
      </c>
      <c r="BA492" s="297" t="s">
        <v>67</v>
      </c>
      <c r="BB492" s="681">
        <v>43131</v>
      </c>
      <c r="BC492" s="297" t="s">
        <v>3829</v>
      </c>
      <c r="BD492" s="297" t="s">
        <v>6447</v>
      </c>
      <c r="BE492" s="326"/>
      <c r="BF492" s="330"/>
      <c r="BG492" s="330"/>
      <c r="BH492" s="330" t="s">
        <v>6395</v>
      </c>
      <c r="BI492" s="330"/>
      <c r="BJ492" s="350">
        <v>817856</v>
      </c>
      <c r="BK492" s="350">
        <v>817856</v>
      </c>
      <c r="BL492" s="351">
        <v>163305918</v>
      </c>
      <c r="BM492" s="299">
        <v>43251</v>
      </c>
      <c r="BN492" s="302">
        <v>43221</v>
      </c>
      <c r="BO492" s="434" t="s">
        <v>7734</v>
      </c>
      <c r="BP492" s="390"/>
      <c r="BQ492" s="297"/>
      <c r="BR492" s="303"/>
      <c r="BS492" s="330"/>
      <c r="BT492" s="330"/>
      <c r="BU492" s="330"/>
      <c r="BV492" s="330"/>
      <c r="BW492" s="347"/>
      <c r="BX492" s="348"/>
      <c r="BY492" s="344"/>
      <c r="BZ492" s="349"/>
    </row>
    <row r="493" spans="1:555" ht="67.5">
      <c r="A493" s="296">
        <v>798</v>
      </c>
      <c r="B493" s="297" t="s">
        <v>6396</v>
      </c>
      <c r="C493" s="298">
        <v>78709617</v>
      </c>
      <c r="D493" s="354"/>
      <c r="E493" s="299"/>
      <c r="F493" s="302"/>
      <c r="G493" s="301"/>
      <c r="H493" s="326"/>
      <c r="I493" s="297"/>
      <c r="J493" s="344"/>
      <c r="K493" s="302"/>
      <c r="L493" s="330"/>
      <c r="M493" s="326"/>
      <c r="N493" s="297"/>
      <c r="O493" s="344"/>
      <c r="P493" s="302"/>
      <c r="Q493" s="330"/>
      <c r="R493" s="326"/>
      <c r="S493" s="297"/>
      <c r="T493" s="344"/>
      <c r="U493" s="302"/>
      <c r="V493" s="330"/>
      <c r="W493" s="326"/>
      <c r="X493" s="297"/>
      <c r="Y493" s="344"/>
      <c r="Z493" s="302"/>
      <c r="AA493" s="330"/>
      <c r="AB493" s="326"/>
      <c r="AC493" s="297"/>
      <c r="AD493" s="344"/>
      <c r="AE493" s="302"/>
      <c r="AF493" s="330"/>
      <c r="AG493" s="326"/>
      <c r="AH493" s="297"/>
      <c r="AI493" s="346"/>
      <c r="AJ493" s="302"/>
      <c r="AK493" s="330"/>
      <c r="AL493" s="326"/>
      <c r="AM493" s="297"/>
      <c r="AN493" s="326"/>
      <c r="AO493" s="477"/>
      <c r="AP493" s="326"/>
      <c r="AQ493" s="330" t="s">
        <v>6397</v>
      </c>
      <c r="AR493" s="297" t="s">
        <v>66</v>
      </c>
      <c r="AS493" s="344"/>
      <c r="AT493" s="344"/>
      <c r="AU493" s="297" t="s">
        <v>3829</v>
      </c>
      <c r="AV493" s="297"/>
      <c r="AW493" s="297" t="s">
        <v>69</v>
      </c>
      <c r="AX493" s="297" t="s">
        <v>7756</v>
      </c>
      <c r="AY493" s="344">
        <v>43131</v>
      </c>
      <c r="AZ493" s="297" t="s">
        <v>67</v>
      </c>
      <c r="BA493" s="297" t="s">
        <v>67</v>
      </c>
      <c r="BB493" s="382" t="s">
        <v>6398</v>
      </c>
      <c r="BC493" s="297" t="s">
        <v>3829</v>
      </c>
      <c r="BD493" s="297" t="s">
        <v>6447</v>
      </c>
      <c r="BE493" s="326"/>
      <c r="BF493" s="330"/>
      <c r="BG493" s="330"/>
      <c r="BH493" s="330" t="s">
        <v>6399</v>
      </c>
      <c r="BI493" s="330"/>
      <c r="BJ493" s="350">
        <v>433378</v>
      </c>
      <c r="BK493" s="350">
        <v>433378</v>
      </c>
      <c r="BL493" s="351">
        <v>160836318</v>
      </c>
      <c r="BM493" s="299">
        <v>43250</v>
      </c>
      <c r="BN493" s="302">
        <v>43221</v>
      </c>
      <c r="BO493" s="434" t="s">
        <v>7757</v>
      </c>
      <c r="BP493" s="390"/>
      <c r="BQ493" s="297"/>
      <c r="BR493" s="303"/>
      <c r="BS493" s="330"/>
      <c r="BT493" s="330"/>
      <c r="BU493" s="330"/>
      <c r="BV493" s="330"/>
      <c r="BW493" s="347"/>
      <c r="BX493" s="348"/>
      <c r="BY493" s="344"/>
      <c r="BZ493" s="349"/>
    </row>
    <row r="494" spans="1:555" s="685" customFormat="1" ht="54">
      <c r="A494" s="296">
        <v>799</v>
      </c>
      <c r="B494" s="297" t="s">
        <v>6400</v>
      </c>
      <c r="C494" s="298">
        <v>91420064</v>
      </c>
      <c r="D494" s="354"/>
      <c r="E494" s="299"/>
      <c r="F494" s="302"/>
      <c r="G494" s="301"/>
      <c r="H494" s="326"/>
      <c r="I494" s="297"/>
      <c r="J494" s="344"/>
      <c r="K494" s="302"/>
      <c r="L494" s="330"/>
      <c r="M494" s="326"/>
      <c r="N494" s="297"/>
      <c r="O494" s="344"/>
      <c r="P494" s="302"/>
      <c r="Q494" s="330"/>
      <c r="R494" s="326"/>
      <c r="S494" s="297"/>
      <c r="T494" s="344"/>
      <c r="U494" s="302"/>
      <c r="V494" s="330"/>
      <c r="W494" s="326"/>
      <c r="X494" s="297"/>
      <c r="Y494" s="344"/>
      <c r="Z494" s="302"/>
      <c r="AA494" s="330"/>
      <c r="AB494" s="326"/>
      <c r="AC494" s="297"/>
      <c r="AD494" s="344"/>
      <c r="AE494" s="302"/>
      <c r="AF494" s="330"/>
      <c r="AG494" s="326"/>
      <c r="AH494" s="297"/>
      <c r="AI494" s="346"/>
      <c r="AJ494" s="302"/>
      <c r="AK494" s="330"/>
      <c r="AL494" s="326"/>
      <c r="AM494" s="297"/>
      <c r="AN494" s="326"/>
      <c r="AO494" s="477"/>
      <c r="AP494" s="326"/>
      <c r="AQ494" s="330" t="s">
        <v>7638</v>
      </c>
      <c r="AR494" s="297" t="s">
        <v>66</v>
      </c>
      <c r="AS494" s="344"/>
      <c r="AT494" s="344"/>
      <c r="AU494" s="297" t="s">
        <v>3829</v>
      </c>
      <c r="AV494" s="297"/>
      <c r="AW494" s="297" t="s">
        <v>69</v>
      </c>
      <c r="AX494" s="297" t="s">
        <v>7619</v>
      </c>
      <c r="AY494" s="344">
        <v>43084</v>
      </c>
      <c r="AZ494" s="297" t="s">
        <v>67</v>
      </c>
      <c r="BA494" s="297" t="s">
        <v>67</v>
      </c>
      <c r="BB494" s="382" t="s">
        <v>6401</v>
      </c>
      <c r="BC494" s="297" t="s">
        <v>3829</v>
      </c>
      <c r="BD494" s="297" t="s">
        <v>6447</v>
      </c>
      <c r="BE494" s="326"/>
      <c r="BF494" s="330"/>
      <c r="BG494" s="330"/>
      <c r="BH494" s="330" t="s">
        <v>6402</v>
      </c>
      <c r="BI494" s="330"/>
      <c r="BJ494" s="350">
        <v>1423497</v>
      </c>
      <c r="BK494" s="350">
        <v>1423497</v>
      </c>
      <c r="BL494" s="351">
        <v>160864618</v>
      </c>
      <c r="BM494" s="299">
        <v>43250</v>
      </c>
      <c r="BN494" s="302">
        <v>43221</v>
      </c>
      <c r="BO494" s="434" t="s">
        <v>7639</v>
      </c>
      <c r="BP494" s="390"/>
      <c r="BQ494" s="297"/>
      <c r="BR494" s="303"/>
      <c r="BS494" s="330"/>
      <c r="BT494" s="330"/>
      <c r="BU494" s="330"/>
      <c r="BV494" s="330"/>
      <c r="BW494" s="347"/>
      <c r="BX494" s="348"/>
      <c r="BY494" s="344"/>
      <c r="BZ494" s="349"/>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c r="JW494" s="1"/>
      <c r="JX494" s="1"/>
      <c r="JY494" s="1"/>
      <c r="JZ494" s="1"/>
      <c r="KA494" s="1"/>
      <c r="KB494" s="1"/>
      <c r="KC494" s="1"/>
      <c r="KD494" s="1"/>
      <c r="KE494" s="1"/>
      <c r="KF494" s="1"/>
      <c r="KG494" s="1"/>
      <c r="KH494" s="1"/>
      <c r="KI494" s="1"/>
      <c r="KJ494" s="1"/>
      <c r="KK494" s="1"/>
      <c r="KL494" s="1"/>
      <c r="KM494" s="1"/>
      <c r="KN494" s="1"/>
      <c r="KO494" s="1"/>
      <c r="KP494" s="1"/>
      <c r="KQ494" s="1"/>
      <c r="KR494" s="1"/>
      <c r="KS494" s="1"/>
      <c r="KT494" s="1"/>
      <c r="KU494" s="1"/>
      <c r="KV494" s="1"/>
      <c r="KW494" s="1"/>
      <c r="KX494" s="1"/>
      <c r="KY494" s="1"/>
      <c r="KZ494" s="1"/>
      <c r="LA494" s="1"/>
      <c r="LB494" s="1"/>
      <c r="LC494" s="1"/>
      <c r="LD494" s="1"/>
      <c r="LE494" s="1"/>
      <c r="LF494" s="1"/>
      <c r="LG494" s="1"/>
      <c r="LH494" s="1"/>
      <c r="LI494" s="1"/>
      <c r="LJ494" s="1"/>
      <c r="LK494" s="1"/>
      <c r="LL494" s="1"/>
      <c r="LM494" s="1"/>
      <c r="LN494" s="1"/>
      <c r="LO494" s="1"/>
      <c r="LP494" s="1"/>
      <c r="LQ494" s="1"/>
      <c r="LR494" s="1"/>
      <c r="LS494" s="1"/>
      <c r="LT494" s="1"/>
      <c r="LU494" s="1"/>
      <c r="LV494" s="1"/>
      <c r="LW494" s="1"/>
      <c r="LX494" s="1"/>
      <c r="LY494" s="1"/>
      <c r="LZ494" s="1"/>
      <c r="MA494" s="1"/>
      <c r="MB494" s="1"/>
      <c r="MC494" s="1"/>
      <c r="MD494" s="1"/>
      <c r="ME494" s="1"/>
      <c r="MF494" s="1"/>
      <c r="MG494" s="1"/>
      <c r="MH494" s="1"/>
      <c r="MI494" s="1"/>
      <c r="MJ494" s="1"/>
      <c r="MK494" s="1"/>
      <c r="ML494" s="1"/>
      <c r="MM494" s="1"/>
      <c r="MN494" s="1"/>
      <c r="MO494" s="1"/>
      <c r="MP494" s="1"/>
      <c r="MQ494" s="1"/>
      <c r="MR494" s="1"/>
      <c r="MS494" s="1"/>
      <c r="MT494" s="1"/>
      <c r="MU494" s="1"/>
      <c r="MV494" s="1"/>
      <c r="MW494" s="1"/>
      <c r="MX494" s="1"/>
      <c r="MY494" s="1"/>
      <c r="MZ494" s="1"/>
      <c r="NA494" s="1"/>
      <c r="NB494" s="1"/>
      <c r="NC494" s="1"/>
      <c r="ND494" s="1"/>
      <c r="NE494" s="1"/>
      <c r="NF494" s="1"/>
      <c r="NG494" s="1"/>
      <c r="NH494" s="1"/>
      <c r="NI494" s="1"/>
      <c r="NJ494" s="1"/>
      <c r="NK494" s="1"/>
      <c r="NL494" s="1"/>
      <c r="NM494" s="1"/>
      <c r="NN494" s="1"/>
      <c r="NO494" s="1"/>
      <c r="NP494" s="1"/>
      <c r="NQ494" s="1"/>
      <c r="NR494" s="1"/>
      <c r="NS494" s="1"/>
      <c r="NT494" s="1"/>
      <c r="NU494" s="1"/>
      <c r="NV494" s="1"/>
      <c r="NW494" s="1"/>
      <c r="NX494" s="1"/>
      <c r="NY494" s="1"/>
      <c r="NZ494" s="1"/>
      <c r="OA494" s="1"/>
      <c r="OB494" s="1"/>
      <c r="OC494" s="1"/>
      <c r="OD494" s="1"/>
      <c r="OE494" s="1"/>
      <c r="OF494" s="1"/>
      <c r="OG494" s="1"/>
      <c r="OH494" s="1"/>
      <c r="OI494" s="1"/>
      <c r="OJ494" s="1"/>
      <c r="OK494" s="1"/>
      <c r="OL494" s="1"/>
      <c r="OM494" s="1"/>
      <c r="ON494" s="1"/>
      <c r="OO494" s="1"/>
      <c r="OP494" s="1"/>
      <c r="OQ494" s="1"/>
      <c r="OR494" s="1"/>
      <c r="OS494" s="1"/>
      <c r="OT494" s="1"/>
      <c r="OU494" s="1"/>
      <c r="OV494" s="1"/>
      <c r="OW494" s="1"/>
      <c r="OX494" s="1"/>
      <c r="OY494" s="1"/>
      <c r="OZ494" s="1"/>
      <c r="PA494" s="1"/>
      <c r="PB494" s="1"/>
      <c r="PC494" s="1"/>
      <c r="PD494" s="1"/>
      <c r="PE494" s="1"/>
      <c r="PF494" s="1"/>
      <c r="PG494" s="1"/>
      <c r="PH494" s="1"/>
      <c r="PI494" s="1"/>
      <c r="PJ494" s="1"/>
      <c r="PK494" s="1"/>
      <c r="PL494" s="1"/>
      <c r="PM494" s="1"/>
      <c r="PN494" s="1"/>
      <c r="PO494" s="1"/>
      <c r="PP494" s="1"/>
      <c r="PQ494" s="1"/>
      <c r="PR494" s="1"/>
      <c r="PS494" s="1"/>
      <c r="PT494" s="1"/>
      <c r="PU494" s="1"/>
      <c r="PV494" s="1"/>
      <c r="PW494" s="1"/>
      <c r="PX494" s="1"/>
      <c r="PY494" s="1"/>
      <c r="PZ494" s="1"/>
      <c r="QA494" s="1"/>
      <c r="QB494" s="1"/>
      <c r="QC494" s="1"/>
      <c r="QD494" s="1"/>
      <c r="QE494" s="1"/>
      <c r="QF494" s="1"/>
      <c r="QG494" s="1"/>
      <c r="QH494" s="1"/>
      <c r="QI494" s="1"/>
      <c r="QJ494" s="1"/>
      <c r="QK494" s="1"/>
      <c r="QL494" s="1"/>
      <c r="QM494" s="1"/>
      <c r="QN494" s="1"/>
      <c r="QO494" s="1"/>
      <c r="QP494" s="1"/>
      <c r="QQ494" s="1"/>
      <c r="QR494" s="1"/>
      <c r="QS494" s="1"/>
      <c r="QT494" s="1"/>
      <c r="QU494" s="1"/>
      <c r="QV494" s="1"/>
      <c r="QW494" s="1"/>
      <c r="QX494" s="1"/>
      <c r="QY494" s="1"/>
      <c r="QZ494" s="1"/>
      <c r="RA494" s="1"/>
      <c r="RB494" s="1"/>
      <c r="RC494" s="1"/>
      <c r="RD494" s="1"/>
      <c r="RE494" s="1"/>
      <c r="RF494" s="1"/>
      <c r="RG494" s="1"/>
      <c r="RH494" s="1"/>
      <c r="RI494" s="1"/>
      <c r="RJ494" s="1"/>
      <c r="RK494" s="1"/>
      <c r="RL494" s="1"/>
      <c r="RM494" s="1"/>
      <c r="RN494" s="1"/>
      <c r="RO494" s="1"/>
      <c r="RP494" s="1"/>
      <c r="RQ494" s="1"/>
      <c r="RR494" s="1"/>
      <c r="RS494" s="1"/>
      <c r="RT494" s="1"/>
      <c r="RU494" s="1"/>
      <c r="RV494" s="1"/>
      <c r="RW494" s="1"/>
      <c r="RX494" s="1"/>
      <c r="RY494" s="1"/>
      <c r="RZ494" s="1"/>
      <c r="SA494" s="1"/>
      <c r="SB494" s="1"/>
      <c r="SC494" s="1"/>
      <c r="SD494" s="1"/>
      <c r="SE494" s="1"/>
      <c r="SF494" s="1"/>
      <c r="SG494" s="1"/>
      <c r="SH494" s="1"/>
      <c r="SI494" s="1"/>
      <c r="SJ494" s="1"/>
      <c r="SK494" s="1"/>
      <c r="SL494" s="1"/>
      <c r="SM494" s="1"/>
      <c r="SN494" s="1"/>
      <c r="SO494" s="1"/>
      <c r="SP494" s="1"/>
      <c r="SQ494" s="1"/>
      <c r="SR494" s="1"/>
      <c r="SS494" s="1"/>
      <c r="ST494" s="1"/>
      <c r="SU494" s="1"/>
      <c r="SV494" s="1"/>
      <c r="SW494" s="1"/>
      <c r="SX494" s="1"/>
      <c r="SY494" s="1"/>
      <c r="SZ494" s="1"/>
      <c r="TA494" s="1"/>
      <c r="TB494" s="1"/>
      <c r="TC494" s="1"/>
      <c r="TD494" s="1"/>
      <c r="TE494" s="1"/>
      <c r="TF494" s="1"/>
      <c r="TG494" s="1"/>
      <c r="TH494" s="1"/>
      <c r="TI494" s="1"/>
      <c r="TJ494" s="1"/>
      <c r="TK494" s="1"/>
      <c r="TL494" s="1"/>
      <c r="TM494" s="1"/>
      <c r="TN494" s="1"/>
      <c r="TO494" s="1"/>
      <c r="TP494" s="1"/>
      <c r="TQ494" s="1"/>
      <c r="TR494" s="1"/>
      <c r="TS494" s="1"/>
      <c r="TT494" s="1"/>
      <c r="TU494" s="1"/>
      <c r="TV494" s="1"/>
      <c r="TW494" s="1"/>
      <c r="TX494" s="1"/>
      <c r="TY494" s="1"/>
      <c r="TZ494" s="1"/>
      <c r="UA494" s="1"/>
      <c r="UB494" s="1"/>
      <c r="UC494" s="1"/>
      <c r="UD494" s="1"/>
      <c r="UE494" s="1"/>
      <c r="UF494" s="1"/>
      <c r="UG494" s="1"/>
      <c r="UH494" s="1"/>
      <c r="UI494" s="1"/>
    </row>
    <row r="495" spans="1:555" ht="86.25" customHeight="1">
      <c r="A495" s="296">
        <v>800</v>
      </c>
      <c r="B495" s="297" t="s">
        <v>6403</v>
      </c>
      <c r="C495" s="298">
        <v>19278778</v>
      </c>
      <c r="D495" s="354"/>
      <c r="E495" s="299"/>
      <c r="F495" s="302"/>
      <c r="G495" s="301"/>
      <c r="H495" s="326"/>
      <c r="I495" s="297"/>
      <c r="J495" s="344"/>
      <c r="K495" s="302"/>
      <c r="L495" s="330"/>
      <c r="M495" s="326"/>
      <c r="N495" s="297"/>
      <c r="O495" s="344"/>
      <c r="P495" s="302"/>
      <c r="Q495" s="330"/>
      <c r="R495" s="326"/>
      <c r="S495" s="297"/>
      <c r="T495" s="344"/>
      <c r="U495" s="302"/>
      <c r="V495" s="330"/>
      <c r="W495" s="326"/>
      <c r="X495" s="297"/>
      <c r="Y495" s="344"/>
      <c r="Z495" s="302"/>
      <c r="AA495" s="330"/>
      <c r="AB495" s="326"/>
      <c r="AC495" s="297"/>
      <c r="AD495" s="344"/>
      <c r="AE495" s="302"/>
      <c r="AF495" s="330"/>
      <c r="AG495" s="326"/>
      <c r="AH495" s="297"/>
      <c r="AI495" s="346"/>
      <c r="AJ495" s="302"/>
      <c r="AK495" s="330"/>
      <c r="AL495" s="326"/>
      <c r="AM495" s="297"/>
      <c r="AN495" s="326"/>
      <c r="AO495" s="477"/>
      <c r="AP495" s="326"/>
      <c r="AQ495" s="330" t="s">
        <v>7685</v>
      </c>
      <c r="AR495" s="297" t="s">
        <v>66</v>
      </c>
      <c r="AS495" s="344"/>
      <c r="AT495" s="344"/>
      <c r="AU495" s="297" t="s">
        <v>3829</v>
      </c>
      <c r="AV495" s="297"/>
      <c r="AW495" s="297" t="s">
        <v>69</v>
      </c>
      <c r="AX495" s="297" t="s">
        <v>7684</v>
      </c>
      <c r="AY495" s="344">
        <v>43136</v>
      </c>
      <c r="AZ495" s="297" t="s">
        <v>67</v>
      </c>
      <c r="BA495" s="297" t="s">
        <v>67</v>
      </c>
      <c r="BB495" s="681">
        <v>43136</v>
      </c>
      <c r="BC495" s="297" t="s">
        <v>3829</v>
      </c>
      <c r="BD495" s="297" t="s">
        <v>6447</v>
      </c>
      <c r="BE495" s="326"/>
      <c r="BF495" s="330"/>
      <c r="BG495" s="330"/>
      <c r="BH495" s="330" t="s">
        <v>6404</v>
      </c>
      <c r="BI495" s="330"/>
      <c r="BJ495" s="350">
        <v>203357</v>
      </c>
      <c r="BK495" s="350">
        <v>203357</v>
      </c>
      <c r="BL495" s="351">
        <v>160810018</v>
      </c>
      <c r="BM495" s="299">
        <v>43250</v>
      </c>
      <c r="BN495" s="302">
        <v>43221</v>
      </c>
      <c r="BO495" s="434" t="s">
        <v>7686</v>
      </c>
      <c r="BP495" s="390"/>
      <c r="BQ495" s="297"/>
      <c r="BR495" s="303"/>
      <c r="BS495" s="330"/>
      <c r="BT495" s="330"/>
      <c r="BU495" s="330"/>
      <c r="BV495" s="330"/>
      <c r="BW495" s="347"/>
      <c r="BX495" s="348"/>
      <c r="BY495" s="344"/>
      <c r="BZ495" s="302"/>
    </row>
    <row r="496" spans="1:555" ht="54">
      <c r="A496" s="296">
        <v>801</v>
      </c>
      <c r="B496" s="297" t="s">
        <v>6405</v>
      </c>
      <c r="C496" s="298">
        <v>84028356</v>
      </c>
      <c r="D496" s="354"/>
      <c r="E496" s="299"/>
      <c r="F496" s="302"/>
      <c r="G496" s="301"/>
      <c r="H496" s="326"/>
      <c r="I496" s="297"/>
      <c r="J496" s="344"/>
      <c r="K496" s="302"/>
      <c r="L496" s="330"/>
      <c r="M496" s="326"/>
      <c r="N496" s="297"/>
      <c r="O496" s="344"/>
      <c r="P496" s="302"/>
      <c r="Q496" s="330"/>
      <c r="R496" s="326"/>
      <c r="S496" s="297"/>
      <c r="T496" s="344"/>
      <c r="U496" s="302"/>
      <c r="V496" s="330"/>
      <c r="W496" s="326"/>
      <c r="X496" s="297"/>
      <c r="Y496" s="344"/>
      <c r="Z496" s="302"/>
      <c r="AA496" s="330"/>
      <c r="AB496" s="326"/>
      <c r="AC496" s="297"/>
      <c r="AD496" s="344"/>
      <c r="AE496" s="302"/>
      <c r="AF496" s="330"/>
      <c r="AG496" s="326"/>
      <c r="AH496" s="297"/>
      <c r="AI496" s="346"/>
      <c r="AJ496" s="302"/>
      <c r="AK496" s="330"/>
      <c r="AL496" s="326"/>
      <c r="AM496" s="297"/>
      <c r="AN496" s="326"/>
      <c r="AO496" s="477"/>
      <c r="AP496" s="326"/>
      <c r="AQ496" s="330" t="s">
        <v>7753</v>
      </c>
      <c r="AR496" s="297" t="s">
        <v>66</v>
      </c>
      <c r="AS496" s="344"/>
      <c r="AT496" s="344"/>
      <c r="AU496" s="297" t="s">
        <v>3829</v>
      </c>
      <c r="AV496" s="297"/>
      <c r="AW496" s="297" t="s">
        <v>69</v>
      </c>
      <c r="AX496" s="297" t="s">
        <v>7754</v>
      </c>
      <c r="AY496" s="344">
        <v>43131</v>
      </c>
      <c r="AZ496" s="297" t="s">
        <v>67</v>
      </c>
      <c r="BA496" s="297" t="s">
        <v>67</v>
      </c>
      <c r="BB496" s="382" t="s">
        <v>6059</v>
      </c>
      <c r="BC496" s="297" t="s">
        <v>3829</v>
      </c>
      <c r="BD496" s="297" t="s">
        <v>6447</v>
      </c>
      <c r="BE496" s="326"/>
      <c r="BF496" s="330"/>
      <c r="BG496" s="330"/>
      <c r="BH496" s="330" t="s">
        <v>6406</v>
      </c>
      <c r="BI496" s="330"/>
      <c r="BJ496" s="350">
        <v>1830210</v>
      </c>
      <c r="BK496" s="350">
        <v>1830210</v>
      </c>
      <c r="BL496" s="351">
        <v>160858718</v>
      </c>
      <c r="BM496" s="299">
        <v>43250</v>
      </c>
      <c r="BN496" s="302">
        <v>43221</v>
      </c>
      <c r="BO496" s="434" t="s">
        <v>7755</v>
      </c>
      <c r="BP496" s="397"/>
      <c r="BQ496" s="455"/>
      <c r="BR496" s="456"/>
      <c r="BS496" s="330"/>
      <c r="BT496" s="330"/>
      <c r="BU496" s="330"/>
      <c r="BV496" s="330"/>
      <c r="BW496" s="347"/>
      <c r="BX496" s="348"/>
      <c r="BY496" s="344"/>
      <c r="BZ496" s="349"/>
    </row>
    <row r="497" spans="1:555" ht="54">
      <c r="A497" s="296">
        <v>802</v>
      </c>
      <c r="B497" s="297" t="s">
        <v>6407</v>
      </c>
      <c r="C497" s="298">
        <v>79592886</v>
      </c>
      <c r="D497" s="354"/>
      <c r="E497" s="299"/>
      <c r="F497" s="302"/>
      <c r="G497" s="301"/>
      <c r="H497" s="326"/>
      <c r="I497" s="297"/>
      <c r="J497" s="344"/>
      <c r="K497" s="302"/>
      <c r="L497" s="330"/>
      <c r="M497" s="326"/>
      <c r="N497" s="297"/>
      <c r="O497" s="344"/>
      <c r="P497" s="302"/>
      <c r="Q497" s="330"/>
      <c r="R497" s="326"/>
      <c r="S497" s="297"/>
      <c r="T497" s="344"/>
      <c r="U497" s="302"/>
      <c r="V497" s="330"/>
      <c r="W497" s="326"/>
      <c r="X497" s="297"/>
      <c r="Y497" s="344"/>
      <c r="Z497" s="302"/>
      <c r="AA497" s="330"/>
      <c r="AB497" s="326"/>
      <c r="AC497" s="297"/>
      <c r="AD497" s="344"/>
      <c r="AE497" s="302"/>
      <c r="AF497" s="330"/>
      <c r="AG497" s="326"/>
      <c r="AH497" s="297"/>
      <c r="AI497" s="346"/>
      <c r="AJ497" s="302"/>
      <c r="AK497" s="330"/>
      <c r="AL497" s="326"/>
      <c r="AM497" s="297"/>
      <c r="AN497" s="326"/>
      <c r="AO497" s="477"/>
      <c r="AP497" s="326"/>
      <c r="AQ497" s="330" t="s">
        <v>7867</v>
      </c>
      <c r="AR497" s="297" t="s">
        <v>66</v>
      </c>
      <c r="AS497" s="344"/>
      <c r="AT497" s="344"/>
      <c r="AU497" s="297" t="s">
        <v>3829</v>
      </c>
      <c r="AV497" s="297"/>
      <c r="AW497" s="297" t="s">
        <v>69</v>
      </c>
      <c r="AX497" s="297" t="s">
        <v>6408</v>
      </c>
      <c r="AY497" s="344">
        <v>43049</v>
      </c>
      <c r="AZ497" s="297" t="s">
        <v>67</v>
      </c>
      <c r="BA497" s="297" t="s">
        <v>67</v>
      </c>
      <c r="BB497" s="382" t="s">
        <v>6409</v>
      </c>
      <c r="BC497" s="297" t="s">
        <v>3829</v>
      </c>
      <c r="BD497" s="297" t="s">
        <v>6447</v>
      </c>
      <c r="BE497" s="326"/>
      <c r="BF497" s="330"/>
      <c r="BG497" s="330"/>
      <c r="BH497" s="330" t="s">
        <v>6410</v>
      </c>
      <c r="BI497" s="330"/>
      <c r="BJ497" s="350">
        <v>338928</v>
      </c>
      <c r="BK497" s="350">
        <v>338928</v>
      </c>
      <c r="BL497" s="351">
        <v>159005818</v>
      </c>
      <c r="BM497" s="299">
        <v>43249</v>
      </c>
      <c r="BN497" s="302">
        <v>43221</v>
      </c>
      <c r="BO497" s="434" t="s">
        <v>7868</v>
      </c>
      <c r="BP497" s="390"/>
      <c r="BQ497" s="297"/>
      <c r="BR497" s="303"/>
      <c r="BS497" s="330"/>
      <c r="BT497" s="330"/>
      <c r="BU497" s="330"/>
      <c r="BV497" s="330"/>
      <c r="BW497" s="347"/>
      <c r="BX497" s="348"/>
      <c r="BY497" s="344"/>
      <c r="BZ497" s="349"/>
    </row>
    <row r="498" spans="1:555" s="259" customFormat="1" ht="54" customHeight="1">
      <c r="A498" s="296">
        <v>803</v>
      </c>
      <c r="B498" s="297" t="s">
        <v>6411</v>
      </c>
      <c r="C498" s="298">
        <v>16778932</v>
      </c>
      <c r="D498" s="354"/>
      <c r="E498" s="299"/>
      <c r="F498" s="302"/>
      <c r="G498" s="301"/>
      <c r="H498" s="326"/>
      <c r="I498" s="297"/>
      <c r="J498" s="344"/>
      <c r="K498" s="302"/>
      <c r="L498" s="330"/>
      <c r="M498" s="326"/>
      <c r="N498" s="297"/>
      <c r="O498" s="344"/>
      <c r="P498" s="302"/>
      <c r="Q498" s="330"/>
      <c r="R498" s="326"/>
      <c r="S498" s="297"/>
      <c r="T498" s="344"/>
      <c r="U498" s="302"/>
      <c r="V498" s="330"/>
      <c r="W498" s="326"/>
      <c r="X498" s="297"/>
      <c r="Y498" s="344"/>
      <c r="Z498" s="302"/>
      <c r="AA498" s="330"/>
      <c r="AB498" s="326"/>
      <c r="AC498" s="297"/>
      <c r="AD498" s="344"/>
      <c r="AE498" s="302"/>
      <c r="AF498" s="330"/>
      <c r="AG498" s="326"/>
      <c r="AH498" s="297"/>
      <c r="AI498" s="346"/>
      <c r="AJ498" s="302"/>
      <c r="AK498" s="330"/>
      <c r="AL498" s="326"/>
      <c r="AM498" s="297"/>
      <c r="AN498" s="326"/>
      <c r="AO498" s="477"/>
      <c r="AP498" s="326"/>
      <c r="AQ498" s="330" t="s">
        <v>7761</v>
      </c>
      <c r="AR498" s="297" t="s">
        <v>66</v>
      </c>
      <c r="AS498" s="344"/>
      <c r="AT498" s="344"/>
      <c r="AU498" s="297" t="s">
        <v>3829</v>
      </c>
      <c r="AV498" s="297"/>
      <c r="AW498" s="297" t="s">
        <v>69</v>
      </c>
      <c r="AX498" s="297" t="s">
        <v>7762</v>
      </c>
      <c r="AY498" s="299"/>
      <c r="AZ498" s="297" t="s">
        <v>67</v>
      </c>
      <c r="BA498" s="297" t="s">
        <v>67</v>
      </c>
      <c r="BB498" s="681">
        <v>43082</v>
      </c>
      <c r="BC498" s="297" t="s">
        <v>3829</v>
      </c>
      <c r="BD498" s="297" t="s">
        <v>6447</v>
      </c>
      <c r="BE498" s="326"/>
      <c r="BF498" s="330"/>
      <c r="BG498" s="330"/>
      <c r="BH498" s="330" t="s">
        <v>6412</v>
      </c>
      <c r="BI498" s="330"/>
      <c r="BJ498" s="350">
        <v>474499</v>
      </c>
      <c r="BK498" s="350">
        <v>474499</v>
      </c>
      <c r="BL498" s="351">
        <v>160851718</v>
      </c>
      <c r="BM498" s="299">
        <v>43250</v>
      </c>
      <c r="BN498" s="302">
        <v>43221</v>
      </c>
      <c r="BO498" s="434" t="s">
        <v>7763</v>
      </c>
      <c r="BP498" s="390"/>
      <c r="BQ498" s="297"/>
      <c r="BR498" s="303"/>
      <c r="BS498" s="330"/>
      <c r="BT498" s="330"/>
      <c r="BU498" s="330"/>
      <c r="BV498" s="330"/>
      <c r="BW498" s="347"/>
      <c r="BX498" s="348"/>
      <c r="BY498" s="344"/>
      <c r="BZ498" s="349"/>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c r="JW498" s="1"/>
      <c r="JX498" s="1"/>
      <c r="JY498" s="1"/>
      <c r="JZ498" s="1"/>
      <c r="KA498" s="1"/>
      <c r="KB498" s="1"/>
      <c r="KC498" s="1"/>
      <c r="KD498" s="1"/>
      <c r="KE498" s="1"/>
      <c r="KF498" s="1"/>
      <c r="KG498" s="1"/>
      <c r="KH498" s="1"/>
      <c r="KI498" s="1"/>
      <c r="KJ498" s="1"/>
      <c r="KK498" s="1"/>
      <c r="KL498" s="1"/>
      <c r="KM498" s="1"/>
      <c r="KN498" s="1"/>
      <c r="KO498" s="1"/>
      <c r="KP498" s="1"/>
      <c r="KQ498" s="1"/>
      <c r="KR498" s="1"/>
      <c r="KS498" s="1"/>
      <c r="KT498" s="1"/>
      <c r="KU498" s="1"/>
      <c r="KV498" s="1"/>
      <c r="KW498" s="1"/>
      <c r="KX498" s="1"/>
      <c r="KY498" s="1"/>
      <c r="KZ498" s="1"/>
      <c r="LA498" s="1"/>
      <c r="LB498" s="1"/>
      <c r="LC498" s="1"/>
      <c r="LD498" s="1"/>
      <c r="LE498" s="1"/>
      <c r="LF498" s="1"/>
      <c r="LG498" s="1"/>
      <c r="LH498" s="1"/>
      <c r="LI498" s="1"/>
      <c r="LJ498" s="1"/>
      <c r="LK498" s="1"/>
      <c r="LL498" s="1"/>
      <c r="LM498" s="1"/>
      <c r="LN498" s="1"/>
      <c r="LO498" s="1"/>
      <c r="LP498" s="1"/>
      <c r="LQ498" s="1"/>
      <c r="LR498" s="1"/>
      <c r="LS498" s="1"/>
      <c r="LT498" s="1"/>
      <c r="LU498" s="1"/>
      <c r="LV498" s="1"/>
      <c r="LW498" s="1"/>
      <c r="LX498" s="1"/>
      <c r="LY498" s="1"/>
      <c r="LZ498" s="1"/>
      <c r="MA498" s="1"/>
      <c r="MB498" s="1"/>
      <c r="MC498" s="1"/>
      <c r="MD498" s="1"/>
      <c r="ME498" s="1"/>
      <c r="MF498" s="1"/>
      <c r="MG498" s="1"/>
      <c r="MH498" s="1"/>
      <c r="MI498" s="1"/>
      <c r="MJ498" s="1"/>
      <c r="MK498" s="1"/>
      <c r="ML498" s="1"/>
      <c r="MM498" s="1"/>
      <c r="MN498" s="1"/>
      <c r="MO498" s="1"/>
      <c r="MP498" s="1"/>
      <c r="MQ498" s="1"/>
      <c r="MR498" s="1"/>
      <c r="MS498" s="1"/>
      <c r="MT498" s="1"/>
      <c r="MU498" s="1"/>
      <c r="MV498" s="1"/>
      <c r="MW498" s="1"/>
      <c r="MX498" s="1"/>
      <c r="MY498" s="1"/>
      <c r="MZ498" s="1"/>
      <c r="NA498" s="1"/>
      <c r="NB498" s="1"/>
      <c r="NC498" s="1"/>
      <c r="ND498" s="1"/>
      <c r="NE498" s="1"/>
      <c r="NF498" s="1"/>
      <c r="NG498" s="1"/>
      <c r="NH498" s="1"/>
      <c r="NI498" s="1"/>
      <c r="NJ498" s="1"/>
      <c r="NK498" s="1"/>
      <c r="NL498" s="1"/>
      <c r="NM498" s="1"/>
      <c r="NN498" s="1"/>
      <c r="NO498" s="1"/>
      <c r="NP498" s="1"/>
      <c r="NQ498" s="1"/>
      <c r="NR498" s="1"/>
      <c r="NS498" s="1"/>
      <c r="NT498" s="1"/>
      <c r="NU498" s="1"/>
      <c r="NV498" s="1"/>
      <c r="NW498" s="1"/>
      <c r="NX498" s="1"/>
      <c r="NY498" s="1"/>
      <c r="NZ498" s="1"/>
      <c r="OA498" s="1"/>
      <c r="OB498" s="1"/>
      <c r="OC498" s="1"/>
      <c r="OD498" s="1"/>
      <c r="OE498" s="1"/>
      <c r="OF498" s="1"/>
      <c r="OG498" s="1"/>
      <c r="OH498" s="1"/>
      <c r="OI498" s="1"/>
      <c r="OJ498" s="1"/>
      <c r="OK498" s="1"/>
      <c r="OL498" s="1"/>
      <c r="OM498" s="1"/>
      <c r="ON498" s="1"/>
      <c r="OO498" s="1"/>
      <c r="OP498" s="1"/>
      <c r="OQ498" s="1"/>
      <c r="OR498" s="1"/>
      <c r="OS498" s="1"/>
      <c r="OT498" s="1"/>
      <c r="OU498" s="1"/>
      <c r="OV498" s="1"/>
      <c r="OW498" s="1"/>
      <c r="OX498" s="1"/>
      <c r="OY498" s="1"/>
      <c r="OZ498" s="1"/>
      <c r="PA498" s="1"/>
      <c r="PB498" s="1"/>
      <c r="PC498" s="1"/>
      <c r="PD498" s="1"/>
      <c r="PE498" s="1"/>
      <c r="PF498" s="1"/>
      <c r="PG498" s="1"/>
      <c r="PH498" s="1"/>
      <c r="PI498" s="1"/>
      <c r="PJ498" s="1"/>
      <c r="PK498" s="1"/>
      <c r="PL498" s="1"/>
      <c r="PM498" s="1"/>
      <c r="PN498" s="1"/>
      <c r="PO498" s="1"/>
      <c r="PP498" s="1"/>
      <c r="PQ498" s="1"/>
      <c r="PR498" s="1"/>
      <c r="PS498" s="1"/>
      <c r="PT498" s="1"/>
      <c r="PU498" s="1"/>
      <c r="PV498" s="1"/>
      <c r="PW498" s="1"/>
      <c r="PX498" s="1"/>
      <c r="PY498" s="1"/>
      <c r="PZ498" s="1"/>
      <c r="QA498" s="1"/>
      <c r="QB498" s="1"/>
      <c r="QC498" s="1"/>
      <c r="QD498" s="1"/>
      <c r="QE498" s="1"/>
      <c r="QF498" s="1"/>
      <c r="QG498" s="1"/>
      <c r="QH498" s="1"/>
      <c r="QI498" s="1"/>
      <c r="QJ498" s="1"/>
      <c r="QK498" s="1"/>
      <c r="QL498" s="1"/>
      <c r="QM498" s="1"/>
      <c r="QN498" s="1"/>
      <c r="QO498" s="1"/>
      <c r="QP498" s="1"/>
      <c r="QQ498" s="1"/>
      <c r="QR498" s="1"/>
      <c r="QS498" s="1"/>
      <c r="QT498" s="1"/>
      <c r="QU498" s="1"/>
      <c r="QV498" s="1"/>
      <c r="QW498" s="1"/>
      <c r="QX498" s="1"/>
      <c r="QY498" s="1"/>
      <c r="QZ498" s="1"/>
      <c r="RA498" s="1"/>
      <c r="RB498" s="1"/>
      <c r="RC498" s="1"/>
      <c r="RD498" s="1"/>
      <c r="RE498" s="1"/>
      <c r="RF498" s="1"/>
      <c r="RG498" s="1"/>
      <c r="RH498" s="1"/>
      <c r="RI498" s="1"/>
      <c r="RJ498" s="1"/>
      <c r="RK498" s="1"/>
      <c r="RL498" s="1"/>
      <c r="RM498" s="1"/>
      <c r="RN498" s="1"/>
      <c r="RO498" s="1"/>
      <c r="RP498" s="1"/>
      <c r="RQ498" s="1"/>
      <c r="RR498" s="1"/>
      <c r="RS498" s="1"/>
      <c r="RT498" s="1"/>
      <c r="RU498" s="1"/>
      <c r="RV498" s="1"/>
      <c r="RW498" s="1"/>
      <c r="RX498" s="1"/>
      <c r="RY498" s="1"/>
      <c r="RZ498" s="1"/>
      <c r="SA498" s="1"/>
      <c r="SB498" s="1"/>
      <c r="SC498" s="1"/>
      <c r="SD498" s="1"/>
      <c r="SE498" s="1"/>
      <c r="SF498" s="1"/>
      <c r="SG498" s="1"/>
      <c r="SH498" s="1"/>
      <c r="SI498" s="1"/>
      <c r="SJ498" s="1"/>
      <c r="SK498" s="1"/>
      <c r="SL498" s="1"/>
      <c r="SM498" s="1"/>
      <c r="SN498" s="1"/>
      <c r="SO498" s="1"/>
      <c r="SP498" s="1"/>
      <c r="SQ498" s="1"/>
      <c r="SR498" s="1"/>
      <c r="SS498" s="1"/>
      <c r="ST498" s="1"/>
      <c r="SU498" s="1"/>
      <c r="SV498" s="1"/>
      <c r="SW498" s="1"/>
      <c r="SX498" s="1"/>
      <c r="SY498" s="1"/>
      <c r="SZ498" s="1"/>
      <c r="TA498" s="1"/>
      <c r="TB498" s="1"/>
      <c r="TC498" s="1"/>
      <c r="TD498" s="1"/>
      <c r="TE498" s="1"/>
      <c r="TF498" s="1"/>
      <c r="TG498" s="1"/>
      <c r="TH498" s="1"/>
      <c r="TI498" s="1"/>
      <c r="TJ498" s="1"/>
      <c r="TK498" s="1"/>
      <c r="TL498" s="1"/>
      <c r="TM498" s="1"/>
      <c r="TN498" s="1"/>
      <c r="TO498" s="1"/>
      <c r="TP498" s="1"/>
      <c r="TQ498" s="1"/>
      <c r="TR498" s="1"/>
      <c r="TS498" s="1"/>
      <c r="TT498" s="1"/>
      <c r="TU498" s="1"/>
      <c r="TV498" s="1"/>
      <c r="TW498" s="1"/>
      <c r="TX498" s="1"/>
      <c r="TY498" s="1"/>
      <c r="TZ498" s="1"/>
      <c r="UA498" s="1"/>
      <c r="UB498" s="1"/>
      <c r="UC498" s="1"/>
      <c r="UD498" s="1"/>
      <c r="UE498" s="1"/>
      <c r="UF498" s="1"/>
      <c r="UG498" s="1"/>
      <c r="UH498" s="1"/>
      <c r="UI498" s="1"/>
    </row>
    <row r="499" spans="1:555" s="259" customFormat="1" ht="55.5" customHeight="1">
      <c r="A499" s="296">
        <v>804</v>
      </c>
      <c r="B499" s="297" t="s">
        <v>6413</v>
      </c>
      <c r="C499" s="298">
        <v>79277527</v>
      </c>
      <c r="D499" s="354"/>
      <c r="E499" s="299"/>
      <c r="F499" s="302"/>
      <c r="G499" s="301"/>
      <c r="H499" s="326"/>
      <c r="I499" s="297"/>
      <c r="J499" s="344"/>
      <c r="K499" s="302"/>
      <c r="L499" s="330"/>
      <c r="M499" s="326"/>
      <c r="N499" s="297"/>
      <c r="O499" s="344"/>
      <c r="P499" s="302"/>
      <c r="Q499" s="330"/>
      <c r="R499" s="326"/>
      <c r="S499" s="297"/>
      <c r="T499" s="344"/>
      <c r="U499" s="302"/>
      <c r="V499" s="330"/>
      <c r="W499" s="326"/>
      <c r="X499" s="297"/>
      <c r="Y499" s="344"/>
      <c r="Z499" s="302"/>
      <c r="AA499" s="330"/>
      <c r="AB499" s="326"/>
      <c r="AC499" s="297"/>
      <c r="AD499" s="344"/>
      <c r="AE499" s="302"/>
      <c r="AF499" s="330"/>
      <c r="AG499" s="326"/>
      <c r="AH499" s="297"/>
      <c r="AI499" s="346"/>
      <c r="AJ499" s="302"/>
      <c r="AK499" s="330"/>
      <c r="AL499" s="326"/>
      <c r="AM499" s="297"/>
      <c r="AN499" s="326"/>
      <c r="AO499" s="477"/>
      <c r="AP499" s="326"/>
      <c r="AQ499" s="330" t="s">
        <v>7862</v>
      </c>
      <c r="AR499" s="297" t="s">
        <v>66</v>
      </c>
      <c r="AS499" s="344"/>
      <c r="AT499" s="344"/>
      <c r="AU499" s="297" t="s">
        <v>3829</v>
      </c>
      <c r="AV499" s="297"/>
      <c r="AW499" s="297" t="s">
        <v>69</v>
      </c>
      <c r="AX499" s="297" t="s">
        <v>7863</v>
      </c>
      <c r="AY499" s="344">
        <v>43115</v>
      </c>
      <c r="AZ499" s="297" t="s">
        <v>67</v>
      </c>
      <c r="BA499" s="297" t="s">
        <v>67</v>
      </c>
      <c r="BB499" s="382" t="s">
        <v>6149</v>
      </c>
      <c r="BC499" s="297" t="s">
        <v>3829</v>
      </c>
      <c r="BD499" s="297" t="s">
        <v>6447</v>
      </c>
      <c r="BE499" s="326"/>
      <c r="BF499" s="330"/>
      <c r="BG499" s="330"/>
      <c r="BH499" s="330" t="s">
        <v>6414</v>
      </c>
      <c r="BI499" s="330"/>
      <c r="BJ499" s="350">
        <v>1267555</v>
      </c>
      <c r="BK499" s="350">
        <v>1267555</v>
      </c>
      <c r="BL499" s="351">
        <v>160778518</v>
      </c>
      <c r="BM499" s="299">
        <v>43250</v>
      </c>
      <c r="BN499" s="302">
        <v>43221</v>
      </c>
      <c r="BO499" s="434" t="s">
        <v>7864</v>
      </c>
      <c r="BP499" s="390"/>
      <c r="BQ499" s="297"/>
      <c r="BR499" s="303"/>
      <c r="BS499" s="330"/>
      <c r="BT499" s="330"/>
      <c r="BU499" s="330"/>
      <c r="BV499" s="330"/>
      <c r="BW499" s="347"/>
      <c r="BX499" s="348"/>
      <c r="BY499" s="344"/>
      <c r="BZ499" s="349"/>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c r="JW499" s="1"/>
      <c r="JX499" s="1"/>
      <c r="JY499" s="1"/>
      <c r="JZ499" s="1"/>
      <c r="KA499" s="1"/>
      <c r="KB499" s="1"/>
      <c r="KC499" s="1"/>
      <c r="KD499" s="1"/>
      <c r="KE499" s="1"/>
      <c r="KF499" s="1"/>
      <c r="KG499" s="1"/>
      <c r="KH499" s="1"/>
      <c r="KI499" s="1"/>
      <c r="KJ499" s="1"/>
      <c r="KK499" s="1"/>
      <c r="KL499" s="1"/>
      <c r="KM499" s="1"/>
      <c r="KN499" s="1"/>
      <c r="KO499" s="1"/>
      <c r="KP499" s="1"/>
      <c r="KQ499" s="1"/>
      <c r="KR499" s="1"/>
      <c r="KS499" s="1"/>
      <c r="KT499" s="1"/>
      <c r="KU499" s="1"/>
      <c r="KV499" s="1"/>
      <c r="KW499" s="1"/>
      <c r="KX499" s="1"/>
      <c r="KY499" s="1"/>
      <c r="KZ499" s="1"/>
      <c r="LA499" s="1"/>
      <c r="LB499" s="1"/>
      <c r="LC499" s="1"/>
      <c r="LD499" s="1"/>
      <c r="LE499" s="1"/>
      <c r="LF499" s="1"/>
      <c r="LG499" s="1"/>
      <c r="LH499" s="1"/>
      <c r="LI499" s="1"/>
      <c r="LJ499" s="1"/>
      <c r="LK499" s="1"/>
      <c r="LL499" s="1"/>
      <c r="LM499" s="1"/>
      <c r="LN499" s="1"/>
      <c r="LO499" s="1"/>
      <c r="LP499" s="1"/>
      <c r="LQ499" s="1"/>
      <c r="LR499" s="1"/>
      <c r="LS499" s="1"/>
      <c r="LT499" s="1"/>
      <c r="LU499" s="1"/>
      <c r="LV499" s="1"/>
      <c r="LW499" s="1"/>
      <c r="LX499" s="1"/>
      <c r="LY499" s="1"/>
      <c r="LZ499" s="1"/>
      <c r="MA499" s="1"/>
      <c r="MB499" s="1"/>
      <c r="MC499" s="1"/>
      <c r="MD499" s="1"/>
      <c r="ME499" s="1"/>
      <c r="MF499" s="1"/>
      <c r="MG499" s="1"/>
      <c r="MH499" s="1"/>
      <c r="MI499" s="1"/>
      <c r="MJ499" s="1"/>
      <c r="MK499" s="1"/>
      <c r="ML499" s="1"/>
      <c r="MM499" s="1"/>
      <c r="MN499" s="1"/>
      <c r="MO499" s="1"/>
      <c r="MP499" s="1"/>
      <c r="MQ499" s="1"/>
      <c r="MR499" s="1"/>
      <c r="MS499" s="1"/>
      <c r="MT499" s="1"/>
      <c r="MU499" s="1"/>
      <c r="MV499" s="1"/>
      <c r="MW499" s="1"/>
      <c r="MX499" s="1"/>
      <c r="MY499" s="1"/>
      <c r="MZ499" s="1"/>
      <c r="NA499" s="1"/>
      <c r="NB499" s="1"/>
      <c r="NC499" s="1"/>
      <c r="ND499" s="1"/>
      <c r="NE499" s="1"/>
      <c r="NF499" s="1"/>
      <c r="NG499" s="1"/>
      <c r="NH499" s="1"/>
      <c r="NI499" s="1"/>
      <c r="NJ499" s="1"/>
      <c r="NK499" s="1"/>
      <c r="NL499" s="1"/>
      <c r="NM499" s="1"/>
      <c r="NN499" s="1"/>
      <c r="NO499" s="1"/>
      <c r="NP499" s="1"/>
      <c r="NQ499" s="1"/>
      <c r="NR499" s="1"/>
      <c r="NS499" s="1"/>
      <c r="NT499" s="1"/>
      <c r="NU499" s="1"/>
      <c r="NV499" s="1"/>
      <c r="NW499" s="1"/>
      <c r="NX499" s="1"/>
      <c r="NY499" s="1"/>
      <c r="NZ499" s="1"/>
      <c r="OA499" s="1"/>
      <c r="OB499" s="1"/>
      <c r="OC499" s="1"/>
      <c r="OD499" s="1"/>
      <c r="OE499" s="1"/>
      <c r="OF499" s="1"/>
      <c r="OG499" s="1"/>
      <c r="OH499" s="1"/>
      <c r="OI499" s="1"/>
      <c r="OJ499" s="1"/>
      <c r="OK499" s="1"/>
      <c r="OL499" s="1"/>
      <c r="OM499" s="1"/>
      <c r="ON499" s="1"/>
      <c r="OO499" s="1"/>
      <c r="OP499" s="1"/>
      <c r="OQ499" s="1"/>
      <c r="OR499" s="1"/>
      <c r="OS499" s="1"/>
      <c r="OT499" s="1"/>
      <c r="OU499" s="1"/>
      <c r="OV499" s="1"/>
      <c r="OW499" s="1"/>
      <c r="OX499" s="1"/>
      <c r="OY499" s="1"/>
      <c r="OZ499" s="1"/>
      <c r="PA499" s="1"/>
      <c r="PB499" s="1"/>
      <c r="PC499" s="1"/>
      <c r="PD499" s="1"/>
      <c r="PE499" s="1"/>
      <c r="PF499" s="1"/>
      <c r="PG499" s="1"/>
      <c r="PH499" s="1"/>
      <c r="PI499" s="1"/>
      <c r="PJ499" s="1"/>
      <c r="PK499" s="1"/>
      <c r="PL499" s="1"/>
      <c r="PM499" s="1"/>
      <c r="PN499" s="1"/>
      <c r="PO499" s="1"/>
      <c r="PP499" s="1"/>
      <c r="PQ499" s="1"/>
      <c r="PR499" s="1"/>
      <c r="PS499" s="1"/>
      <c r="PT499" s="1"/>
      <c r="PU499" s="1"/>
      <c r="PV499" s="1"/>
      <c r="PW499" s="1"/>
      <c r="PX499" s="1"/>
      <c r="PY499" s="1"/>
      <c r="PZ499" s="1"/>
      <c r="QA499" s="1"/>
      <c r="QB499" s="1"/>
      <c r="QC499" s="1"/>
      <c r="QD499" s="1"/>
      <c r="QE499" s="1"/>
      <c r="QF499" s="1"/>
      <c r="QG499" s="1"/>
      <c r="QH499" s="1"/>
      <c r="QI499" s="1"/>
      <c r="QJ499" s="1"/>
      <c r="QK499" s="1"/>
      <c r="QL499" s="1"/>
      <c r="QM499" s="1"/>
      <c r="QN499" s="1"/>
      <c r="QO499" s="1"/>
      <c r="QP499" s="1"/>
      <c r="QQ499" s="1"/>
      <c r="QR499" s="1"/>
      <c r="QS499" s="1"/>
      <c r="QT499" s="1"/>
      <c r="QU499" s="1"/>
      <c r="QV499" s="1"/>
      <c r="QW499" s="1"/>
      <c r="QX499" s="1"/>
      <c r="QY499" s="1"/>
      <c r="QZ499" s="1"/>
      <c r="RA499" s="1"/>
      <c r="RB499" s="1"/>
      <c r="RC499" s="1"/>
      <c r="RD499" s="1"/>
      <c r="RE499" s="1"/>
      <c r="RF499" s="1"/>
      <c r="RG499" s="1"/>
      <c r="RH499" s="1"/>
      <c r="RI499" s="1"/>
      <c r="RJ499" s="1"/>
      <c r="RK499" s="1"/>
      <c r="RL499" s="1"/>
      <c r="RM499" s="1"/>
      <c r="RN499" s="1"/>
      <c r="RO499" s="1"/>
      <c r="RP499" s="1"/>
      <c r="RQ499" s="1"/>
      <c r="RR499" s="1"/>
      <c r="RS499" s="1"/>
      <c r="RT499" s="1"/>
      <c r="RU499" s="1"/>
      <c r="RV499" s="1"/>
      <c r="RW499" s="1"/>
      <c r="RX499" s="1"/>
      <c r="RY499" s="1"/>
      <c r="RZ499" s="1"/>
      <c r="SA499" s="1"/>
      <c r="SB499" s="1"/>
      <c r="SC499" s="1"/>
      <c r="SD499" s="1"/>
      <c r="SE499" s="1"/>
      <c r="SF499" s="1"/>
      <c r="SG499" s="1"/>
      <c r="SH499" s="1"/>
      <c r="SI499" s="1"/>
      <c r="SJ499" s="1"/>
      <c r="SK499" s="1"/>
      <c r="SL499" s="1"/>
      <c r="SM499" s="1"/>
      <c r="SN499" s="1"/>
      <c r="SO499" s="1"/>
      <c r="SP499" s="1"/>
      <c r="SQ499" s="1"/>
      <c r="SR499" s="1"/>
      <c r="SS499" s="1"/>
      <c r="ST499" s="1"/>
      <c r="SU499" s="1"/>
      <c r="SV499" s="1"/>
      <c r="SW499" s="1"/>
      <c r="SX499" s="1"/>
      <c r="SY499" s="1"/>
      <c r="SZ499" s="1"/>
      <c r="TA499" s="1"/>
      <c r="TB499" s="1"/>
      <c r="TC499" s="1"/>
      <c r="TD499" s="1"/>
      <c r="TE499" s="1"/>
      <c r="TF499" s="1"/>
      <c r="TG499" s="1"/>
      <c r="TH499" s="1"/>
      <c r="TI499" s="1"/>
      <c r="TJ499" s="1"/>
      <c r="TK499" s="1"/>
      <c r="TL499" s="1"/>
      <c r="TM499" s="1"/>
      <c r="TN499" s="1"/>
      <c r="TO499" s="1"/>
      <c r="TP499" s="1"/>
      <c r="TQ499" s="1"/>
      <c r="TR499" s="1"/>
      <c r="TS499" s="1"/>
      <c r="TT499" s="1"/>
      <c r="TU499" s="1"/>
      <c r="TV499" s="1"/>
      <c r="TW499" s="1"/>
      <c r="TX499" s="1"/>
      <c r="TY499" s="1"/>
      <c r="TZ499" s="1"/>
      <c r="UA499" s="1"/>
      <c r="UB499" s="1"/>
      <c r="UC499" s="1"/>
      <c r="UD499" s="1"/>
      <c r="UE499" s="1"/>
      <c r="UF499" s="1"/>
      <c r="UG499" s="1"/>
      <c r="UH499" s="1"/>
      <c r="UI499" s="1"/>
    </row>
    <row r="500" spans="1:555" ht="54.75" thickBot="1">
      <c r="A500" s="296">
        <v>805</v>
      </c>
      <c r="B500" s="297" t="s">
        <v>6415</v>
      </c>
      <c r="C500" s="298">
        <v>91291574</v>
      </c>
      <c r="D500" s="354"/>
      <c r="E500" s="299"/>
      <c r="F500" s="302"/>
      <c r="G500" s="301"/>
      <c r="H500" s="326"/>
      <c r="I500" s="297"/>
      <c r="J500" s="344"/>
      <c r="K500" s="302"/>
      <c r="L500" s="330"/>
      <c r="M500" s="326"/>
      <c r="N500" s="297"/>
      <c r="O500" s="344"/>
      <c r="P500" s="302"/>
      <c r="Q500" s="330"/>
      <c r="R500" s="326"/>
      <c r="S500" s="297"/>
      <c r="T500" s="344"/>
      <c r="U500" s="302"/>
      <c r="V500" s="330"/>
      <c r="W500" s="326"/>
      <c r="X500" s="297"/>
      <c r="Y500" s="344"/>
      <c r="Z500" s="302"/>
      <c r="AA500" s="330"/>
      <c r="AB500" s="326"/>
      <c r="AC500" s="297"/>
      <c r="AD500" s="344"/>
      <c r="AE500" s="302"/>
      <c r="AF500" s="330"/>
      <c r="AG500" s="326"/>
      <c r="AH500" s="297"/>
      <c r="AI500" s="346"/>
      <c r="AJ500" s="302"/>
      <c r="AK500" s="330"/>
      <c r="AL500" s="326"/>
      <c r="AM500" s="297"/>
      <c r="AN500" s="326"/>
      <c r="AO500" s="477"/>
      <c r="AP500" s="326"/>
      <c r="AQ500" s="330" t="s">
        <v>7865</v>
      </c>
      <c r="AR500" s="297" t="s">
        <v>66</v>
      </c>
      <c r="AS500" s="344"/>
      <c r="AT500" s="344"/>
      <c r="AU500" s="297" t="s">
        <v>3829</v>
      </c>
      <c r="AV500" s="297"/>
      <c r="AW500" s="297" t="s">
        <v>69</v>
      </c>
      <c r="AX500" s="297" t="s">
        <v>7706</v>
      </c>
      <c r="AY500" s="344">
        <v>42816</v>
      </c>
      <c r="AZ500" s="297" t="s">
        <v>67</v>
      </c>
      <c r="BA500" s="297" t="s">
        <v>67</v>
      </c>
      <c r="BB500" s="681">
        <v>42816</v>
      </c>
      <c r="BC500" s="297" t="s">
        <v>3829</v>
      </c>
      <c r="BD500" s="297" t="s">
        <v>6447</v>
      </c>
      <c r="BE500" s="326"/>
      <c r="BF500" s="330"/>
      <c r="BG500" s="330"/>
      <c r="BH500" s="330" t="s">
        <v>6416</v>
      </c>
      <c r="BI500" s="330"/>
      <c r="BJ500" s="350">
        <v>697005</v>
      </c>
      <c r="BK500" s="350">
        <v>697005</v>
      </c>
      <c r="BL500" s="351">
        <v>160848118</v>
      </c>
      <c r="BM500" s="299">
        <v>43250</v>
      </c>
      <c r="BN500" s="302">
        <v>43221</v>
      </c>
      <c r="BO500" s="452" t="s">
        <v>7866</v>
      </c>
      <c r="BP500" s="390"/>
      <c r="BQ500" s="297"/>
      <c r="BR500" s="303"/>
      <c r="BS500" s="330"/>
      <c r="BT500" s="330"/>
      <c r="BU500" s="330"/>
      <c r="BV500" s="330"/>
      <c r="BW500" s="347"/>
      <c r="BX500" s="348"/>
      <c r="BY500" s="344"/>
      <c r="BZ500" s="349"/>
    </row>
    <row r="501" spans="1:555" ht="54.75" thickBot="1">
      <c r="A501" s="296">
        <v>806</v>
      </c>
      <c r="B501" s="297" t="s">
        <v>6417</v>
      </c>
      <c r="C501" s="298">
        <v>80231397</v>
      </c>
      <c r="D501" s="354"/>
      <c r="E501" s="299"/>
      <c r="F501" s="302"/>
      <c r="G501" s="301"/>
      <c r="H501" s="326"/>
      <c r="I501" s="297"/>
      <c r="J501" s="344"/>
      <c r="K501" s="302"/>
      <c r="L501" s="330"/>
      <c r="M501" s="326"/>
      <c r="N501" s="297"/>
      <c r="O501" s="344"/>
      <c r="P501" s="302"/>
      <c r="Q501" s="330"/>
      <c r="R501" s="326"/>
      <c r="S501" s="297"/>
      <c r="T501" s="344"/>
      <c r="U501" s="302"/>
      <c r="V501" s="330"/>
      <c r="W501" s="326"/>
      <c r="X501" s="297"/>
      <c r="Y501" s="344"/>
      <c r="Z501" s="302"/>
      <c r="AA501" s="330"/>
      <c r="AB501" s="326"/>
      <c r="AC501" s="297"/>
      <c r="AD501" s="344"/>
      <c r="AE501" s="302"/>
      <c r="AF501" s="330"/>
      <c r="AG501" s="326"/>
      <c r="AH501" s="297"/>
      <c r="AI501" s="346"/>
      <c r="AJ501" s="302"/>
      <c r="AK501" s="330"/>
      <c r="AL501" s="326"/>
      <c r="AM501" s="297"/>
      <c r="AN501" s="326"/>
      <c r="AO501" s="477"/>
      <c r="AP501" s="326"/>
      <c r="AQ501" s="330" t="s">
        <v>7837</v>
      </c>
      <c r="AR501" s="297" t="s">
        <v>66</v>
      </c>
      <c r="AS501" s="344"/>
      <c r="AT501" s="344"/>
      <c r="AU501" s="297" t="s">
        <v>3829</v>
      </c>
      <c r="AV501" s="297"/>
      <c r="AW501" s="297" t="s">
        <v>69</v>
      </c>
      <c r="AX501" s="297" t="s">
        <v>7838</v>
      </c>
      <c r="AY501" s="344">
        <v>43116</v>
      </c>
      <c r="AZ501" s="297" t="s">
        <v>67</v>
      </c>
      <c r="BA501" s="297" t="s">
        <v>67</v>
      </c>
      <c r="BB501" s="382" t="s">
        <v>6418</v>
      </c>
      <c r="BC501" s="297" t="s">
        <v>3829</v>
      </c>
      <c r="BD501" s="297" t="s">
        <v>6447</v>
      </c>
      <c r="BE501" s="326"/>
      <c r="BF501" s="330"/>
      <c r="BG501" s="330"/>
      <c r="BH501" s="330" t="s">
        <v>6419</v>
      </c>
      <c r="BI501" s="330"/>
      <c r="BJ501" s="350">
        <v>474499</v>
      </c>
      <c r="BK501" s="350">
        <v>474499</v>
      </c>
      <c r="BL501" s="351">
        <v>160845318</v>
      </c>
      <c r="BM501" s="299">
        <v>43250</v>
      </c>
      <c r="BN501" s="302">
        <v>43221</v>
      </c>
      <c r="BO501" s="452" t="s">
        <v>7839</v>
      </c>
      <c r="BP501" s="390"/>
      <c r="BQ501" s="297"/>
      <c r="BR501" s="303"/>
      <c r="BS501" s="330"/>
      <c r="BT501" s="330"/>
      <c r="BU501" s="330"/>
      <c r="BV501" s="330"/>
      <c r="BW501" s="347"/>
      <c r="BX501" s="348"/>
      <c r="BY501" s="344"/>
      <c r="BZ501" s="349"/>
    </row>
    <row r="502" spans="1:555" ht="73.5" customHeight="1">
      <c r="A502" s="296">
        <v>807</v>
      </c>
      <c r="B502" s="297" t="s">
        <v>6420</v>
      </c>
      <c r="C502" s="298">
        <v>14835808</v>
      </c>
      <c r="D502" s="354"/>
      <c r="E502" s="299"/>
      <c r="F502" s="302"/>
      <c r="G502" s="301"/>
      <c r="H502" s="326"/>
      <c r="I502" s="297"/>
      <c r="J502" s="344"/>
      <c r="K502" s="302"/>
      <c r="L502" s="330"/>
      <c r="M502" s="326"/>
      <c r="N502" s="297"/>
      <c r="O502" s="344"/>
      <c r="P502" s="302"/>
      <c r="Q502" s="330"/>
      <c r="R502" s="326"/>
      <c r="S502" s="297"/>
      <c r="T502" s="344"/>
      <c r="U502" s="302"/>
      <c r="V502" s="330"/>
      <c r="W502" s="326"/>
      <c r="X502" s="297"/>
      <c r="Y502" s="344"/>
      <c r="Z502" s="302"/>
      <c r="AA502" s="330"/>
      <c r="AB502" s="326"/>
      <c r="AC502" s="297"/>
      <c r="AD502" s="344"/>
      <c r="AE502" s="302"/>
      <c r="AF502" s="330"/>
      <c r="AG502" s="326"/>
      <c r="AH502" s="297"/>
      <c r="AI502" s="346"/>
      <c r="AJ502" s="302"/>
      <c r="AK502" s="330"/>
      <c r="AL502" s="326"/>
      <c r="AM502" s="297"/>
      <c r="AN502" s="326"/>
      <c r="AO502" s="477"/>
      <c r="AP502" s="326"/>
      <c r="AQ502" s="330" t="s">
        <v>7597</v>
      </c>
      <c r="AR502" s="297" t="s">
        <v>66</v>
      </c>
      <c r="AS502" s="344"/>
      <c r="AT502" s="344"/>
      <c r="AU502" s="297" t="s">
        <v>3829</v>
      </c>
      <c r="AV502" s="297"/>
      <c r="AW502" s="297" t="s">
        <v>69</v>
      </c>
      <c r="AX502" s="297" t="s">
        <v>7598</v>
      </c>
      <c r="AY502" s="344">
        <v>43080</v>
      </c>
      <c r="AZ502" s="297" t="s">
        <v>67</v>
      </c>
      <c r="BA502" s="297" t="s">
        <v>67</v>
      </c>
      <c r="BB502" s="382" t="s">
        <v>6421</v>
      </c>
      <c r="BC502" s="297" t="s">
        <v>3829</v>
      </c>
      <c r="BD502" s="297" t="s">
        <v>6447</v>
      </c>
      <c r="BE502" s="326"/>
      <c r="BF502" s="330"/>
      <c r="BG502" s="330"/>
      <c r="BH502" s="330" t="s">
        <v>6422</v>
      </c>
      <c r="BI502" s="330"/>
      <c r="BJ502" s="350">
        <v>847527</v>
      </c>
      <c r="BK502" s="350">
        <v>847527</v>
      </c>
      <c r="BL502" s="351">
        <v>160787118</v>
      </c>
      <c r="BM502" s="299">
        <v>43250</v>
      </c>
      <c r="BN502" s="302">
        <v>43221</v>
      </c>
      <c r="BO502" s="434" t="s">
        <v>7599</v>
      </c>
      <c r="BP502" s="390"/>
      <c r="BQ502" s="297"/>
      <c r="BR502" s="303"/>
      <c r="BS502" s="330"/>
      <c r="BT502" s="330"/>
      <c r="BU502" s="330"/>
      <c r="BV502" s="330"/>
      <c r="BW502" s="347"/>
      <c r="BX502" s="348"/>
      <c r="BY502" s="344"/>
      <c r="BZ502" s="349"/>
    </row>
    <row r="503" spans="1:555" ht="64.5" customHeight="1">
      <c r="A503" s="296">
        <v>808</v>
      </c>
      <c r="B503" s="297" t="s">
        <v>6423</v>
      </c>
      <c r="C503" s="298">
        <v>73543991</v>
      </c>
      <c r="D503" s="354"/>
      <c r="E503" s="299"/>
      <c r="F503" s="302"/>
      <c r="G503" s="301"/>
      <c r="H503" s="326"/>
      <c r="I503" s="297"/>
      <c r="J503" s="344"/>
      <c r="K503" s="302"/>
      <c r="L503" s="330"/>
      <c r="M503" s="326"/>
      <c r="N503" s="297"/>
      <c r="O503" s="344"/>
      <c r="P503" s="302"/>
      <c r="Q503" s="330"/>
      <c r="R503" s="326"/>
      <c r="S503" s="297"/>
      <c r="T503" s="344"/>
      <c r="U503" s="302"/>
      <c r="V503" s="330"/>
      <c r="W503" s="326"/>
      <c r="X503" s="297"/>
      <c r="Y503" s="344"/>
      <c r="Z503" s="302"/>
      <c r="AA503" s="330"/>
      <c r="AB503" s="326"/>
      <c r="AC503" s="297"/>
      <c r="AD503" s="344"/>
      <c r="AE503" s="302"/>
      <c r="AF503" s="330"/>
      <c r="AG503" s="326"/>
      <c r="AH503" s="297"/>
      <c r="AI503" s="346"/>
      <c r="AJ503" s="302"/>
      <c r="AK503" s="330"/>
      <c r="AL503" s="326"/>
      <c r="AM503" s="297"/>
      <c r="AN503" s="326"/>
      <c r="AO503" s="477"/>
      <c r="AP503" s="326"/>
      <c r="AQ503" s="330" t="s">
        <v>7672</v>
      </c>
      <c r="AR503" s="297" t="s">
        <v>66</v>
      </c>
      <c r="AS503" s="344"/>
      <c r="AT503" s="344"/>
      <c r="AU503" s="297" t="s">
        <v>3829</v>
      </c>
      <c r="AV503" s="297"/>
      <c r="AW503" s="297" t="s">
        <v>69</v>
      </c>
      <c r="AX503" s="297" t="s">
        <v>6424</v>
      </c>
      <c r="AY503" s="344">
        <v>43132</v>
      </c>
      <c r="AZ503" s="297" t="s">
        <v>67</v>
      </c>
      <c r="BA503" s="297" t="s">
        <v>67</v>
      </c>
      <c r="BB503" s="681">
        <v>43132</v>
      </c>
      <c r="BC503" s="297" t="s">
        <v>3829</v>
      </c>
      <c r="BD503" s="297" t="s">
        <v>6447</v>
      </c>
      <c r="BE503" s="326"/>
      <c r="BF503" s="330"/>
      <c r="BG503" s="330"/>
      <c r="BH503" s="330" t="s">
        <v>6425</v>
      </c>
      <c r="BI503" s="330"/>
      <c r="BJ503" s="350">
        <v>948998</v>
      </c>
      <c r="BK503" s="350">
        <v>948998</v>
      </c>
      <c r="BL503" s="351">
        <v>160858018</v>
      </c>
      <c r="BM503" s="299">
        <v>43250</v>
      </c>
      <c r="BN503" s="302">
        <v>43221</v>
      </c>
      <c r="BO503" s="434" t="s">
        <v>7673</v>
      </c>
      <c r="BP503" s="390"/>
      <c r="BQ503" s="297"/>
      <c r="BR503" s="303"/>
      <c r="BS503" s="330"/>
      <c r="BT503" s="330"/>
      <c r="BU503" s="330"/>
      <c r="BV503" s="330"/>
      <c r="BW503" s="347"/>
      <c r="BX503" s="348"/>
      <c r="BY503" s="344"/>
      <c r="BZ503" s="349"/>
    </row>
    <row r="504" spans="1:555" ht="51.75" customHeight="1">
      <c r="A504" s="296">
        <v>809</v>
      </c>
      <c r="B504" s="297" t="s">
        <v>6426</v>
      </c>
      <c r="C504" s="298">
        <v>16759166</v>
      </c>
      <c r="D504" s="354"/>
      <c r="E504" s="299">
        <v>43508</v>
      </c>
      <c r="F504" s="302">
        <v>43508</v>
      </c>
      <c r="G504" s="301" t="s">
        <v>8186</v>
      </c>
      <c r="H504" s="326" t="s">
        <v>208</v>
      </c>
      <c r="I504" s="297" t="s">
        <v>8187</v>
      </c>
      <c r="J504" s="344"/>
      <c r="K504" s="302"/>
      <c r="L504" s="330"/>
      <c r="M504" s="326"/>
      <c r="N504" s="297"/>
      <c r="O504" s="344"/>
      <c r="P504" s="302"/>
      <c r="Q504" s="330"/>
      <c r="R504" s="326"/>
      <c r="S504" s="297"/>
      <c r="T504" s="344"/>
      <c r="U504" s="302"/>
      <c r="V504" s="330"/>
      <c r="W504" s="326"/>
      <c r="X504" s="297"/>
      <c r="Y504" s="344"/>
      <c r="Z504" s="302"/>
      <c r="AA504" s="330"/>
      <c r="AB504" s="326"/>
      <c r="AC504" s="297"/>
      <c r="AD504" s="344"/>
      <c r="AE504" s="302"/>
      <c r="AF504" s="330"/>
      <c r="AG504" s="326"/>
      <c r="AH504" s="297"/>
      <c r="AI504" s="346"/>
      <c r="AJ504" s="302"/>
      <c r="AK504" s="330"/>
      <c r="AL504" s="326"/>
      <c r="AM504" s="297"/>
      <c r="AN504" s="326"/>
      <c r="AO504" s="477"/>
      <c r="AP504" s="326"/>
      <c r="AQ504" s="330" t="s">
        <v>7843</v>
      </c>
      <c r="AR504" s="297" t="s">
        <v>66</v>
      </c>
      <c r="AS504" s="344"/>
      <c r="AT504" s="344"/>
      <c r="AU504" s="297" t="s">
        <v>3829</v>
      </c>
      <c r="AV504" s="297"/>
      <c r="AW504" s="297" t="s">
        <v>69</v>
      </c>
      <c r="AX504" s="297" t="s">
        <v>7844</v>
      </c>
      <c r="AY504" s="344">
        <v>42943</v>
      </c>
      <c r="AZ504" s="297" t="s">
        <v>67</v>
      </c>
      <c r="BA504" s="297" t="s">
        <v>67</v>
      </c>
      <c r="BB504" s="382" t="s">
        <v>6427</v>
      </c>
      <c r="BC504" s="297" t="s">
        <v>3829</v>
      </c>
      <c r="BD504" s="297" t="s">
        <v>6447</v>
      </c>
      <c r="BE504" s="326"/>
      <c r="BF504" s="330"/>
      <c r="BG504" s="330"/>
      <c r="BH504" s="330" t="s">
        <v>6428</v>
      </c>
      <c r="BI504" s="330"/>
      <c r="BJ504" s="350">
        <v>474499</v>
      </c>
      <c r="BK504" s="350">
        <v>474499</v>
      </c>
      <c r="BL504" s="351">
        <v>160796718</v>
      </c>
      <c r="BM504" s="299">
        <v>43250</v>
      </c>
      <c r="BN504" s="302">
        <v>43221</v>
      </c>
      <c r="BO504" s="434" t="s">
        <v>7845</v>
      </c>
      <c r="BP504" s="390"/>
      <c r="BQ504" s="297"/>
      <c r="BR504" s="303"/>
      <c r="BS504" s="330"/>
      <c r="BT504" s="330"/>
      <c r="BU504" s="330"/>
      <c r="BV504" s="330"/>
      <c r="BW504" s="347"/>
      <c r="BX504" s="348"/>
      <c r="BY504" s="344"/>
      <c r="BZ504" s="349"/>
    </row>
    <row r="505" spans="1:555" ht="63.75" customHeight="1">
      <c r="A505" s="296">
        <v>810</v>
      </c>
      <c r="B505" s="297" t="s">
        <v>6429</v>
      </c>
      <c r="C505" s="298">
        <v>79642648</v>
      </c>
      <c r="D505" s="354"/>
      <c r="E505" s="299"/>
      <c r="F505" s="302"/>
      <c r="G505" s="301"/>
      <c r="H505" s="326"/>
      <c r="I505" s="297"/>
      <c r="J505" s="344"/>
      <c r="K505" s="302"/>
      <c r="L505" s="330"/>
      <c r="M505" s="326"/>
      <c r="N505" s="297"/>
      <c r="O505" s="344"/>
      <c r="P505" s="302"/>
      <c r="Q505" s="330"/>
      <c r="R505" s="326"/>
      <c r="S505" s="297"/>
      <c r="T505" s="344"/>
      <c r="U505" s="302"/>
      <c r="V505" s="330"/>
      <c r="W505" s="326"/>
      <c r="X505" s="297"/>
      <c r="Y505" s="344"/>
      <c r="Z505" s="302"/>
      <c r="AA505" s="330"/>
      <c r="AB505" s="326"/>
      <c r="AC505" s="297"/>
      <c r="AD505" s="344"/>
      <c r="AE505" s="302"/>
      <c r="AF505" s="330"/>
      <c r="AG505" s="326"/>
      <c r="AH505" s="297"/>
      <c r="AI505" s="346"/>
      <c r="AJ505" s="302"/>
      <c r="AK505" s="330"/>
      <c r="AL505" s="326"/>
      <c r="AM505" s="297"/>
      <c r="AN505" s="326"/>
      <c r="AO505" s="477"/>
      <c r="AP505" s="326"/>
      <c r="AQ505" s="330" t="s">
        <v>7883</v>
      </c>
      <c r="AR505" s="297" t="s">
        <v>66</v>
      </c>
      <c r="AS505" s="344"/>
      <c r="AT505" s="344"/>
      <c r="AU505" s="297" t="s">
        <v>3829</v>
      </c>
      <c r="AV505" s="297"/>
      <c r="AW505" s="297" t="s">
        <v>69</v>
      </c>
      <c r="AX505" s="297" t="s">
        <v>6387</v>
      </c>
      <c r="AY505" s="344">
        <v>43138</v>
      </c>
      <c r="AZ505" s="297" t="s">
        <v>67</v>
      </c>
      <c r="BA505" s="297" t="s">
        <v>67</v>
      </c>
      <c r="BB505" s="681">
        <v>43138</v>
      </c>
      <c r="BC505" s="297" t="s">
        <v>3829</v>
      </c>
      <c r="BD505" s="297" t="s">
        <v>6447</v>
      </c>
      <c r="BE505" s="326"/>
      <c r="BF505" s="330"/>
      <c r="BG505" s="330"/>
      <c r="BH505" s="330" t="s">
        <v>6430</v>
      </c>
      <c r="BI505" s="330"/>
      <c r="BJ505" s="350">
        <v>2378493</v>
      </c>
      <c r="BK505" s="350">
        <v>2378493</v>
      </c>
      <c r="BL505" s="351">
        <v>160877118</v>
      </c>
      <c r="BM505" s="299">
        <v>43250</v>
      </c>
      <c r="BN505" s="302">
        <v>43221</v>
      </c>
      <c r="BO505" s="434" t="s">
        <v>7884</v>
      </c>
      <c r="BP505" s="390"/>
      <c r="BQ505" s="297"/>
      <c r="BR505" s="303"/>
      <c r="BS505" s="330"/>
      <c r="BT505" s="330"/>
      <c r="BU505" s="330"/>
      <c r="BV505" s="330"/>
      <c r="BW505" s="347"/>
      <c r="BX505" s="348"/>
      <c r="BY505" s="344"/>
      <c r="BZ505" s="349"/>
    </row>
    <row r="506" spans="1:555" ht="54">
      <c r="A506" s="296">
        <v>811</v>
      </c>
      <c r="B506" s="297" t="s">
        <v>6431</v>
      </c>
      <c r="C506" s="298">
        <v>93088872</v>
      </c>
      <c r="D506" s="354"/>
      <c r="E506" s="299"/>
      <c r="F506" s="302"/>
      <c r="G506" s="301"/>
      <c r="H506" s="326"/>
      <c r="I506" s="297"/>
      <c r="J506" s="344"/>
      <c r="K506" s="302"/>
      <c r="L506" s="330"/>
      <c r="M506" s="326"/>
      <c r="N506" s="297"/>
      <c r="O506" s="344"/>
      <c r="P506" s="302"/>
      <c r="Q506" s="330"/>
      <c r="R506" s="326"/>
      <c r="S506" s="297"/>
      <c r="T506" s="344"/>
      <c r="U506" s="302"/>
      <c r="V506" s="330"/>
      <c r="W506" s="326"/>
      <c r="X506" s="297"/>
      <c r="Y506" s="344"/>
      <c r="Z506" s="302"/>
      <c r="AA506" s="330"/>
      <c r="AB506" s="326"/>
      <c r="AC506" s="297"/>
      <c r="AD506" s="344"/>
      <c r="AE506" s="302"/>
      <c r="AF506" s="330"/>
      <c r="AG506" s="326"/>
      <c r="AH506" s="297"/>
      <c r="AI506" s="346"/>
      <c r="AJ506" s="302"/>
      <c r="AK506" s="330"/>
      <c r="AL506" s="326"/>
      <c r="AM506" s="297"/>
      <c r="AN506" s="326"/>
      <c r="AO506" s="477"/>
      <c r="AP506" s="326"/>
      <c r="AQ506" s="330" t="s">
        <v>7664</v>
      </c>
      <c r="AR506" s="297" t="s">
        <v>66</v>
      </c>
      <c r="AS506" s="344"/>
      <c r="AT506" s="344"/>
      <c r="AU506" s="297" t="s">
        <v>6432</v>
      </c>
      <c r="AV506" s="297"/>
      <c r="AW506" s="297" t="s">
        <v>69</v>
      </c>
      <c r="AX506" s="297" t="s">
        <v>6433</v>
      </c>
      <c r="AY506" s="344">
        <v>43124</v>
      </c>
      <c r="AZ506" s="297" t="s">
        <v>67</v>
      </c>
      <c r="BA506" s="297" t="s">
        <v>67</v>
      </c>
      <c r="BB506" s="681">
        <v>43124</v>
      </c>
      <c r="BC506" s="297" t="s">
        <v>3829</v>
      </c>
      <c r="BD506" s="297" t="s">
        <v>6447</v>
      </c>
      <c r="BE506" s="326"/>
      <c r="BF506" s="330"/>
      <c r="BG506" s="330"/>
      <c r="BH506" s="330" t="s">
        <v>6434</v>
      </c>
      <c r="BI506" s="330"/>
      <c r="BJ506" s="350">
        <v>981641</v>
      </c>
      <c r="BK506" s="350">
        <f>975641+6000</f>
        <v>981641</v>
      </c>
      <c r="BL506" s="351">
        <v>158970418</v>
      </c>
      <c r="BM506" s="299">
        <v>43249</v>
      </c>
      <c r="BN506" s="302">
        <v>43221</v>
      </c>
      <c r="BO506" s="434" t="s">
        <v>7665</v>
      </c>
      <c r="BP506" s="390"/>
      <c r="BQ506" s="297"/>
      <c r="BR506" s="303"/>
      <c r="BS506" s="330"/>
      <c r="BT506" s="330"/>
      <c r="BU506" s="330"/>
      <c r="BV506" s="330"/>
      <c r="BW506" s="347"/>
      <c r="BX506" s="348"/>
      <c r="BY506" s="344"/>
      <c r="BZ506" s="349"/>
    </row>
    <row r="507" spans="1:555" s="259" customFormat="1" ht="54">
      <c r="A507" s="296">
        <v>813</v>
      </c>
      <c r="B507" s="297" t="s">
        <v>6448</v>
      </c>
      <c r="C507" s="298">
        <v>88208075</v>
      </c>
      <c r="D507" s="354"/>
      <c r="E507" s="299"/>
      <c r="F507" s="302"/>
      <c r="G507" s="301"/>
      <c r="H507" s="326"/>
      <c r="I507" s="297"/>
      <c r="J507" s="344"/>
      <c r="K507" s="302"/>
      <c r="L507" s="330"/>
      <c r="M507" s="326"/>
      <c r="N507" s="297"/>
      <c r="O507" s="344"/>
      <c r="P507" s="302"/>
      <c r="Q507" s="330"/>
      <c r="R507" s="326"/>
      <c r="S507" s="297"/>
      <c r="T507" s="344"/>
      <c r="U507" s="302"/>
      <c r="V507" s="330"/>
      <c r="W507" s="326"/>
      <c r="X507" s="297"/>
      <c r="Y507" s="344"/>
      <c r="Z507" s="302"/>
      <c r="AA507" s="330"/>
      <c r="AB507" s="326"/>
      <c r="AC507" s="297"/>
      <c r="AD507" s="344"/>
      <c r="AE507" s="302"/>
      <c r="AF507" s="330"/>
      <c r="AG507" s="326"/>
      <c r="AH507" s="297"/>
      <c r="AI507" s="346"/>
      <c r="AJ507" s="302"/>
      <c r="AK507" s="330"/>
      <c r="AL507" s="326"/>
      <c r="AM507" s="297"/>
      <c r="AN507" s="326"/>
      <c r="AO507" s="477"/>
      <c r="AP507" s="326"/>
      <c r="AQ507" s="330" t="s">
        <v>7869</v>
      </c>
      <c r="AR507" s="326" t="s">
        <v>66</v>
      </c>
      <c r="AS507" s="344"/>
      <c r="AT507" s="344"/>
      <c r="AU507" s="326" t="s">
        <v>3829</v>
      </c>
      <c r="AV507" s="326"/>
      <c r="AW507" s="326"/>
      <c r="AX507" s="297" t="s">
        <v>6449</v>
      </c>
      <c r="AY507" s="344">
        <v>43080</v>
      </c>
      <c r="AZ507" s="297" t="s">
        <v>67</v>
      </c>
      <c r="BA507" s="297" t="s">
        <v>67</v>
      </c>
      <c r="BB507" s="382" t="s">
        <v>6450</v>
      </c>
      <c r="BC507" s="297" t="s">
        <v>3829</v>
      </c>
      <c r="BD507" s="297" t="s">
        <v>6447</v>
      </c>
      <c r="BE507" s="326"/>
      <c r="BF507" s="330"/>
      <c r="BG507" s="330"/>
      <c r="BH507" s="330" t="s">
        <v>6451</v>
      </c>
      <c r="BI507" s="330"/>
      <c r="BJ507" s="350">
        <v>3050347</v>
      </c>
      <c r="BK507" s="350">
        <v>3050347</v>
      </c>
      <c r="BL507" s="351">
        <v>168098518</v>
      </c>
      <c r="BM507" s="344">
        <v>43258</v>
      </c>
      <c r="BN507" s="302">
        <v>43252</v>
      </c>
      <c r="BO507" s="434" t="s">
        <v>7870</v>
      </c>
      <c r="BP507" s="404"/>
      <c r="BQ507" s="326"/>
      <c r="BR507" s="353"/>
      <c r="BS507" s="330"/>
      <c r="BT507" s="330"/>
      <c r="BU507" s="330"/>
      <c r="BV507" s="330"/>
      <c r="BW507" s="347"/>
      <c r="BX507" s="348"/>
      <c r="BY507" s="344"/>
      <c r="BZ507" s="349"/>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c r="JW507" s="1"/>
      <c r="JX507" s="1"/>
      <c r="JY507" s="1"/>
      <c r="JZ507" s="1"/>
      <c r="KA507" s="1"/>
      <c r="KB507" s="1"/>
      <c r="KC507" s="1"/>
      <c r="KD507" s="1"/>
      <c r="KE507" s="1"/>
      <c r="KF507" s="1"/>
      <c r="KG507" s="1"/>
      <c r="KH507" s="1"/>
      <c r="KI507" s="1"/>
      <c r="KJ507" s="1"/>
      <c r="KK507" s="1"/>
      <c r="KL507" s="1"/>
      <c r="KM507" s="1"/>
      <c r="KN507" s="1"/>
      <c r="KO507" s="1"/>
      <c r="KP507" s="1"/>
      <c r="KQ507" s="1"/>
      <c r="KR507" s="1"/>
      <c r="KS507" s="1"/>
      <c r="KT507" s="1"/>
      <c r="KU507" s="1"/>
      <c r="KV507" s="1"/>
      <c r="KW507" s="1"/>
      <c r="KX507" s="1"/>
      <c r="KY507" s="1"/>
      <c r="KZ507" s="1"/>
      <c r="LA507" s="1"/>
      <c r="LB507" s="1"/>
      <c r="LC507" s="1"/>
      <c r="LD507" s="1"/>
      <c r="LE507" s="1"/>
      <c r="LF507" s="1"/>
      <c r="LG507" s="1"/>
      <c r="LH507" s="1"/>
      <c r="LI507" s="1"/>
      <c r="LJ507" s="1"/>
      <c r="LK507" s="1"/>
      <c r="LL507" s="1"/>
      <c r="LM507" s="1"/>
      <c r="LN507" s="1"/>
      <c r="LO507" s="1"/>
      <c r="LP507" s="1"/>
      <c r="LQ507" s="1"/>
      <c r="LR507" s="1"/>
      <c r="LS507" s="1"/>
      <c r="LT507" s="1"/>
      <c r="LU507" s="1"/>
      <c r="LV507" s="1"/>
      <c r="LW507" s="1"/>
      <c r="LX507" s="1"/>
      <c r="LY507" s="1"/>
      <c r="LZ507" s="1"/>
      <c r="MA507" s="1"/>
      <c r="MB507" s="1"/>
      <c r="MC507" s="1"/>
      <c r="MD507" s="1"/>
      <c r="ME507" s="1"/>
      <c r="MF507" s="1"/>
      <c r="MG507" s="1"/>
      <c r="MH507" s="1"/>
      <c r="MI507" s="1"/>
      <c r="MJ507" s="1"/>
      <c r="MK507" s="1"/>
      <c r="ML507" s="1"/>
      <c r="MM507" s="1"/>
      <c r="MN507" s="1"/>
      <c r="MO507" s="1"/>
      <c r="MP507" s="1"/>
      <c r="MQ507" s="1"/>
      <c r="MR507" s="1"/>
      <c r="MS507" s="1"/>
      <c r="MT507" s="1"/>
      <c r="MU507" s="1"/>
      <c r="MV507" s="1"/>
      <c r="MW507" s="1"/>
      <c r="MX507" s="1"/>
      <c r="MY507" s="1"/>
      <c r="MZ507" s="1"/>
      <c r="NA507" s="1"/>
      <c r="NB507" s="1"/>
      <c r="NC507" s="1"/>
      <c r="ND507" s="1"/>
      <c r="NE507" s="1"/>
      <c r="NF507" s="1"/>
      <c r="NG507" s="1"/>
      <c r="NH507" s="1"/>
      <c r="NI507" s="1"/>
      <c r="NJ507" s="1"/>
      <c r="NK507" s="1"/>
      <c r="NL507" s="1"/>
      <c r="NM507" s="1"/>
      <c r="NN507" s="1"/>
      <c r="NO507" s="1"/>
      <c r="NP507" s="1"/>
      <c r="NQ507" s="1"/>
      <c r="NR507" s="1"/>
      <c r="NS507" s="1"/>
      <c r="NT507" s="1"/>
      <c r="NU507" s="1"/>
      <c r="NV507" s="1"/>
      <c r="NW507" s="1"/>
      <c r="NX507" s="1"/>
      <c r="NY507" s="1"/>
      <c r="NZ507" s="1"/>
      <c r="OA507" s="1"/>
      <c r="OB507" s="1"/>
      <c r="OC507" s="1"/>
      <c r="OD507" s="1"/>
      <c r="OE507" s="1"/>
      <c r="OF507" s="1"/>
      <c r="OG507" s="1"/>
      <c r="OH507" s="1"/>
      <c r="OI507" s="1"/>
      <c r="OJ507" s="1"/>
      <c r="OK507" s="1"/>
      <c r="OL507" s="1"/>
      <c r="OM507" s="1"/>
      <c r="ON507" s="1"/>
      <c r="OO507" s="1"/>
      <c r="OP507" s="1"/>
      <c r="OQ507" s="1"/>
      <c r="OR507" s="1"/>
      <c r="OS507" s="1"/>
      <c r="OT507" s="1"/>
      <c r="OU507" s="1"/>
      <c r="OV507" s="1"/>
      <c r="OW507" s="1"/>
      <c r="OX507" s="1"/>
      <c r="OY507" s="1"/>
      <c r="OZ507" s="1"/>
      <c r="PA507" s="1"/>
      <c r="PB507" s="1"/>
      <c r="PC507" s="1"/>
      <c r="PD507" s="1"/>
      <c r="PE507" s="1"/>
      <c r="PF507" s="1"/>
      <c r="PG507" s="1"/>
      <c r="PH507" s="1"/>
      <c r="PI507" s="1"/>
      <c r="PJ507" s="1"/>
      <c r="PK507" s="1"/>
      <c r="PL507" s="1"/>
      <c r="PM507" s="1"/>
      <c r="PN507" s="1"/>
      <c r="PO507" s="1"/>
      <c r="PP507" s="1"/>
      <c r="PQ507" s="1"/>
      <c r="PR507" s="1"/>
      <c r="PS507" s="1"/>
      <c r="PT507" s="1"/>
      <c r="PU507" s="1"/>
      <c r="PV507" s="1"/>
      <c r="PW507" s="1"/>
      <c r="PX507" s="1"/>
      <c r="PY507" s="1"/>
      <c r="PZ507" s="1"/>
      <c r="QA507" s="1"/>
      <c r="QB507" s="1"/>
      <c r="QC507" s="1"/>
      <c r="QD507" s="1"/>
      <c r="QE507" s="1"/>
      <c r="QF507" s="1"/>
      <c r="QG507" s="1"/>
      <c r="QH507" s="1"/>
      <c r="QI507" s="1"/>
      <c r="QJ507" s="1"/>
      <c r="QK507" s="1"/>
      <c r="QL507" s="1"/>
      <c r="QM507" s="1"/>
      <c r="QN507" s="1"/>
      <c r="QO507" s="1"/>
      <c r="QP507" s="1"/>
      <c r="QQ507" s="1"/>
      <c r="QR507" s="1"/>
      <c r="QS507" s="1"/>
      <c r="QT507" s="1"/>
      <c r="QU507" s="1"/>
      <c r="QV507" s="1"/>
      <c r="QW507" s="1"/>
      <c r="QX507" s="1"/>
      <c r="QY507" s="1"/>
      <c r="QZ507" s="1"/>
      <c r="RA507" s="1"/>
      <c r="RB507" s="1"/>
      <c r="RC507" s="1"/>
      <c r="RD507" s="1"/>
      <c r="RE507" s="1"/>
      <c r="RF507" s="1"/>
      <c r="RG507" s="1"/>
      <c r="RH507" s="1"/>
      <c r="RI507" s="1"/>
      <c r="RJ507" s="1"/>
      <c r="RK507" s="1"/>
      <c r="RL507" s="1"/>
      <c r="RM507" s="1"/>
      <c r="RN507" s="1"/>
      <c r="RO507" s="1"/>
      <c r="RP507" s="1"/>
      <c r="RQ507" s="1"/>
      <c r="RR507" s="1"/>
      <c r="RS507" s="1"/>
      <c r="RT507" s="1"/>
      <c r="RU507" s="1"/>
      <c r="RV507" s="1"/>
      <c r="RW507" s="1"/>
      <c r="RX507" s="1"/>
      <c r="RY507" s="1"/>
      <c r="RZ507" s="1"/>
      <c r="SA507" s="1"/>
      <c r="SB507" s="1"/>
      <c r="SC507" s="1"/>
      <c r="SD507" s="1"/>
      <c r="SE507" s="1"/>
      <c r="SF507" s="1"/>
      <c r="SG507" s="1"/>
      <c r="SH507" s="1"/>
      <c r="SI507" s="1"/>
      <c r="SJ507" s="1"/>
      <c r="SK507" s="1"/>
      <c r="SL507" s="1"/>
      <c r="SM507" s="1"/>
      <c r="SN507" s="1"/>
      <c r="SO507" s="1"/>
      <c r="SP507" s="1"/>
      <c r="SQ507" s="1"/>
      <c r="SR507" s="1"/>
      <c r="SS507" s="1"/>
      <c r="ST507" s="1"/>
      <c r="SU507" s="1"/>
      <c r="SV507" s="1"/>
      <c r="SW507" s="1"/>
      <c r="SX507" s="1"/>
      <c r="SY507" s="1"/>
      <c r="SZ507" s="1"/>
      <c r="TA507" s="1"/>
      <c r="TB507" s="1"/>
      <c r="TC507" s="1"/>
      <c r="TD507" s="1"/>
      <c r="TE507" s="1"/>
      <c r="TF507" s="1"/>
      <c r="TG507" s="1"/>
      <c r="TH507" s="1"/>
      <c r="TI507" s="1"/>
      <c r="TJ507" s="1"/>
      <c r="TK507" s="1"/>
      <c r="TL507" s="1"/>
      <c r="TM507" s="1"/>
      <c r="TN507" s="1"/>
      <c r="TO507" s="1"/>
      <c r="TP507" s="1"/>
      <c r="TQ507" s="1"/>
      <c r="TR507" s="1"/>
      <c r="TS507" s="1"/>
      <c r="TT507" s="1"/>
      <c r="TU507" s="1"/>
      <c r="TV507" s="1"/>
      <c r="TW507" s="1"/>
      <c r="TX507" s="1"/>
      <c r="TY507" s="1"/>
      <c r="TZ507" s="1"/>
      <c r="UA507" s="1"/>
      <c r="UB507" s="1"/>
      <c r="UC507" s="1"/>
      <c r="UD507" s="1"/>
      <c r="UE507" s="1"/>
      <c r="UF507" s="1"/>
      <c r="UG507" s="1"/>
      <c r="UH507" s="1"/>
      <c r="UI507" s="1"/>
    </row>
    <row r="508" spans="1:555" ht="74.25" customHeight="1">
      <c r="A508" s="296">
        <v>814</v>
      </c>
      <c r="B508" s="297" t="s">
        <v>905</v>
      </c>
      <c r="C508" s="321">
        <v>71613289</v>
      </c>
      <c r="D508" s="354"/>
      <c r="E508" s="299"/>
      <c r="F508" s="302"/>
      <c r="G508" s="301"/>
      <c r="H508" s="326"/>
      <c r="I508" s="297"/>
      <c r="J508" s="344"/>
      <c r="K508" s="302"/>
      <c r="L508" s="330"/>
      <c r="M508" s="326"/>
      <c r="N508" s="297"/>
      <c r="O508" s="344"/>
      <c r="P508" s="302"/>
      <c r="Q508" s="330"/>
      <c r="R508" s="326"/>
      <c r="S508" s="297"/>
      <c r="T508" s="344"/>
      <c r="U508" s="302"/>
      <c r="V508" s="330"/>
      <c r="W508" s="326"/>
      <c r="X508" s="297"/>
      <c r="Y508" s="344"/>
      <c r="Z508" s="302"/>
      <c r="AA508" s="330"/>
      <c r="AB508" s="326"/>
      <c r="AC508" s="297"/>
      <c r="AD508" s="344"/>
      <c r="AE508" s="302"/>
      <c r="AF508" s="330"/>
      <c r="AG508" s="326"/>
      <c r="AH508" s="297"/>
      <c r="AI508" s="346"/>
      <c r="AJ508" s="302"/>
      <c r="AK508" s="330"/>
      <c r="AL508" s="326"/>
      <c r="AM508" s="297"/>
      <c r="AN508" s="326"/>
      <c r="AO508" s="477"/>
      <c r="AP508" s="326"/>
      <c r="AQ508" s="330" t="s">
        <v>6452</v>
      </c>
      <c r="AR508" s="297" t="s">
        <v>66</v>
      </c>
      <c r="AS508" s="344"/>
      <c r="AT508" s="344"/>
      <c r="AU508" s="326" t="s">
        <v>3829</v>
      </c>
      <c r="AV508" s="326"/>
      <c r="AW508" s="326"/>
      <c r="AX508" s="297" t="s">
        <v>7712</v>
      </c>
      <c r="AY508" s="344">
        <v>43117</v>
      </c>
      <c r="AZ508" s="297" t="s">
        <v>67</v>
      </c>
      <c r="BA508" s="297" t="s">
        <v>67</v>
      </c>
      <c r="BB508" s="382" t="s">
        <v>6152</v>
      </c>
      <c r="BC508" s="297" t="s">
        <v>3829</v>
      </c>
      <c r="BD508" s="297" t="s">
        <v>6447</v>
      </c>
      <c r="BE508" s="326"/>
      <c r="BF508" s="330"/>
      <c r="BG508" s="330"/>
      <c r="BH508" s="330" t="s">
        <v>6453</v>
      </c>
      <c r="BI508" s="330"/>
      <c r="BJ508" s="350">
        <v>745641</v>
      </c>
      <c r="BK508" s="350">
        <v>745641</v>
      </c>
      <c r="BL508" s="351">
        <v>163301518</v>
      </c>
      <c r="BM508" s="344">
        <v>43251</v>
      </c>
      <c r="BN508" s="302">
        <v>43221</v>
      </c>
      <c r="BO508" s="434" t="s">
        <v>6454</v>
      </c>
      <c r="BP508" s="397"/>
      <c r="BQ508" s="398"/>
      <c r="BR508" s="320"/>
      <c r="BS508" s="330"/>
      <c r="BT508" s="330"/>
      <c r="BU508" s="330"/>
      <c r="BV508" s="330"/>
      <c r="BW508" s="347"/>
      <c r="BX508" s="348"/>
      <c r="BY508" s="344"/>
      <c r="BZ508" s="349"/>
    </row>
    <row r="509" spans="1:555" ht="54">
      <c r="A509" s="296">
        <v>815</v>
      </c>
      <c r="B509" s="297" t="s">
        <v>6455</v>
      </c>
      <c r="C509" s="298">
        <v>52490669</v>
      </c>
      <c r="D509" s="354"/>
      <c r="E509" s="299"/>
      <c r="F509" s="302"/>
      <c r="G509" s="301"/>
      <c r="H509" s="326"/>
      <c r="I509" s="297"/>
      <c r="J509" s="344"/>
      <c r="K509" s="302"/>
      <c r="L509" s="330"/>
      <c r="M509" s="326"/>
      <c r="N509" s="297"/>
      <c r="O509" s="344"/>
      <c r="P509" s="302"/>
      <c r="Q509" s="330"/>
      <c r="R509" s="326"/>
      <c r="S509" s="297"/>
      <c r="T509" s="344"/>
      <c r="U509" s="302"/>
      <c r="V509" s="330"/>
      <c r="W509" s="326"/>
      <c r="X509" s="297"/>
      <c r="Y509" s="344"/>
      <c r="Z509" s="302"/>
      <c r="AA509" s="330"/>
      <c r="AB509" s="326"/>
      <c r="AC509" s="297"/>
      <c r="AD509" s="344"/>
      <c r="AE509" s="302"/>
      <c r="AF509" s="330"/>
      <c r="AG509" s="326"/>
      <c r="AH509" s="297"/>
      <c r="AI509" s="346"/>
      <c r="AJ509" s="302"/>
      <c r="AK509" s="330"/>
      <c r="AL509" s="326"/>
      <c r="AM509" s="297"/>
      <c r="AN509" s="326"/>
      <c r="AO509" s="477"/>
      <c r="AP509" s="326"/>
      <c r="AQ509" s="330" t="s">
        <v>6456</v>
      </c>
      <c r="AR509" s="326" t="s">
        <v>66</v>
      </c>
      <c r="AS509" s="344"/>
      <c r="AT509" s="344"/>
      <c r="AU509" s="326" t="s">
        <v>3829</v>
      </c>
      <c r="AV509" s="326"/>
      <c r="AW509" s="326"/>
      <c r="AX509" s="297" t="s">
        <v>6457</v>
      </c>
      <c r="AY509" s="344">
        <v>42723</v>
      </c>
      <c r="AZ509" s="297" t="s">
        <v>67</v>
      </c>
      <c r="BA509" s="297" t="s">
        <v>67</v>
      </c>
      <c r="BB509" s="382" t="s">
        <v>6458</v>
      </c>
      <c r="BC509" s="297" t="s">
        <v>3829</v>
      </c>
      <c r="BD509" s="297" t="s">
        <v>6447</v>
      </c>
      <c r="BE509" s="326"/>
      <c r="BF509" s="330"/>
      <c r="BG509" s="330"/>
      <c r="BH509" s="330" t="s">
        <v>6459</v>
      </c>
      <c r="BI509" s="330"/>
      <c r="BJ509" s="350">
        <v>261357</v>
      </c>
      <c r="BK509" s="350">
        <v>261357</v>
      </c>
      <c r="BL509" s="351">
        <v>163299318</v>
      </c>
      <c r="BM509" s="344">
        <v>43251</v>
      </c>
      <c r="BN509" s="302">
        <v>43221</v>
      </c>
      <c r="BO509" s="434" t="s">
        <v>6460</v>
      </c>
      <c r="BP509" s="397"/>
      <c r="BQ509" s="398"/>
      <c r="BR509" s="320"/>
      <c r="BS509" s="330"/>
      <c r="BT509" s="330"/>
      <c r="BU509" s="330"/>
      <c r="BV509" s="330"/>
      <c r="BW509" s="347"/>
      <c r="BX509" s="348"/>
      <c r="BY509" s="344"/>
      <c r="BZ509" s="349"/>
    </row>
    <row r="510" spans="1:555" ht="67.5">
      <c r="A510" s="296">
        <v>816</v>
      </c>
      <c r="B510" s="297" t="s">
        <v>6461</v>
      </c>
      <c r="C510" s="298">
        <v>16446007</v>
      </c>
      <c r="D510" s="354"/>
      <c r="E510" s="299"/>
      <c r="F510" s="302"/>
      <c r="G510" s="301"/>
      <c r="H510" s="326"/>
      <c r="I510" s="297"/>
      <c r="J510" s="344"/>
      <c r="K510" s="302"/>
      <c r="L510" s="330"/>
      <c r="M510" s="326"/>
      <c r="N510" s="297"/>
      <c r="O510" s="344"/>
      <c r="P510" s="302"/>
      <c r="Q510" s="330"/>
      <c r="R510" s="326"/>
      <c r="S510" s="297"/>
      <c r="T510" s="344"/>
      <c r="U510" s="302"/>
      <c r="V510" s="330"/>
      <c r="W510" s="326"/>
      <c r="X510" s="297"/>
      <c r="Y510" s="344"/>
      <c r="Z510" s="302"/>
      <c r="AA510" s="330"/>
      <c r="AB510" s="326"/>
      <c r="AC510" s="297"/>
      <c r="AD510" s="344"/>
      <c r="AE510" s="302"/>
      <c r="AF510" s="330"/>
      <c r="AG510" s="326"/>
      <c r="AH510" s="297"/>
      <c r="AI510" s="346"/>
      <c r="AJ510" s="302"/>
      <c r="AK510" s="330"/>
      <c r="AL510" s="326"/>
      <c r="AM510" s="297"/>
      <c r="AN510" s="326"/>
      <c r="AO510" s="477"/>
      <c r="AP510" s="326"/>
      <c r="AQ510" s="330" t="s">
        <v>6462</v>
      </c>
      <c r="AR510" s="326" t="s">
        <v>66</v>
      </c>
      <c r="AS510" s="344"/>
      <c r="AT510" s="344"/>
      <c r="AU510" s="326" t="s">
        <v>3829</v>
      </c>
      <c r="AV510" s="326"/>
      <c r="AW510" s="326"/>
      <c r="AX510" s="297" t="s">
        <v>7827</v>
      </c>
      <c r="AY510" s="344">
        <v>42950</v>
      </c>
      <c r="AZ510" s="297" t="s">
        <v>67</v>
      </c>
      <c r="BA510" s="297" t="s">
        <v>67</v>
      </c>
      <c r="BB510" s="382" t="s">
        <v>5942</v>
      </c>
      <c r="BC510" s="297" t="s">
        <v>3829</v>
      </c>
      <c r="BD510" s="297" t="s">
        <v>6447</v>
      </c>
      <c r="BE510" s="326"/>
      <c r="BF510" s="330"/>
      <c r="BG510" s="330"/>
      <c r="BH510" s="330" t="s">
        <v>6463</v>
      </c>
      <c r="BI510" s="330"/>
      <c r="BJ510" s="350">
        <v>610070</v>
      </c>
      <c r="BK510" s="350">
        <v>610070</v>
      </c>
      <c r="BL510" s="351">
        <v>163300218</v>
      </c>
      <c r="BM510" s="344">
        <v>43251</v>
      </c>
      <c r="BN510" s="302">
        <v>43221</v>
      </c>
      <c r="BO510" s="434" t="s">
        <v>7828</v>
      </c>
      <c r="BP510" s="404"/>
      <c r="BQ510" s="326"/>
      <c r="BR510" s="353"/>
      <c r="BS510" s="330"/>
      <c r="BT510" s="330"/>
      <c r="BU510" s="330"/>
      <c r="BV510" s="330"/>
      <c r="BW510" s="347"/>
      <c r="BX510" s="348"/>
      <c r="BY510" s="344"/>
      <c r="BZ510" s="349"/>
    </row>
    <row r="511" spans="1:555" ht="67.5">
      <c r="A511" s="296">
        <v>817</v>
      </c>
      <c r="B511" s="297" t="s">
        <v>6464</v>
      </c>
      <c r="C511" s="298">
        <v>79865019</v>
      </c>
      <c r="D511" s="354"/>
      <c r="E511" s="299"/>
      <c r="F511" s="302"/>
      <c r="G511" s="301"/>
      <c r="H511" s="326"/>
      <c r="I511" s="297"/>
      <c r="J511" s="344"/>
      <c r="K511" s="302"/>
      <c r="L511" s="330"/>
      <c r="M511" s="326"/>
      <c r="N511" s="297"/>
      <c r="O511" s="344"/>
      <c r="P511" s="302"/>
      <c r="Q511" s="330"/>
      <c r="R511" s="326"/>
      <c r="S511" s="297"/>
      <c r="T511" s="344"/>
      <c r="U511" s="302"/>
      <c r="V511" s="330"/>
      <c r="W511" s="326"/>
      <c r="X511" s="297"/>
      <c r="Y511" s="344"/>
      <c r="Z511" s="302"/>
      <c r="AA511" s="330"/>
      <c r="AB511" s="326"/>
      <c r="AC511" s="297"/>
      <c r="AD511" s="344"/>
      <c r="AE511" s="302"/>
      <c r="AF511" s="330"/>
      <c r="AG511" s="326"/>
      <c r="AH511" s="297"/>
      <c r="AI511" s="346"/>
      <c r="AJ511" s="302"/>
      <c r="AK511" s="330"/>
      <c r="AL511" s="326"/>
      <c r="AM511" s="297"/>
      <c r="AN511" s="326"/>
      <c r="AO511" s="477"/>
      <c r="AP511" s="326"/>
      <c r="AQ511" s="330" t="s">
        <v>6465</v>
      </c>
      <c r="AR511" s="326" t="s">
        <v>66</v>
      </c>
      <c r="AS511" s="344"/>
      <c r="AT511" s="344"/>
      <c r="AU511" s="326" t="s">
        <v>3829</v>
      </c>
      <c r="AV511" s="326"/>
      <c r="AW511" s="326"/>
      <c r="AX511" s="297" t="s">
        <v>7631</v>
      </c>
      <c r="AY511" s="344">
        <v>42823</v>
      </c>
      <c r="AZ511" s="297" t="s">
        <v>67</v>
      </c>
      <c r="BA511" s="297" t="s">
        <v>67</v>
      </c>
      <c r="BB511" s="382" t="s">
        <v>6466</v>
      </c>
      <c r="BC511" s="297" t="s">
        <v>3829</v>
      </c>
      <c r="BD511" s="297" t="s">
        <v>6447</v>
      </c>
      <c r="BE511" s="326"/>
      <c r="BF511" s="330"/>
      <c r="BG511" s="330"/>
      <c r="BH511" s="330" t="s">
        <v>6467</v>
      </c>
      <c r="BI511" s="330"/>
      <c r="BJ511" s="350">
        <v>239357</v>
      </c>
      <c r="BK511" s="350">
        <v>239357</v>
      </c>
      <c r="BL511" s="351">
        <v>163301218</v>
      </c>
      <c r="BM511" s="344">
        <v>43251</v>
      </c>
      <c r="BN511" s="302">
        <v>43221</v>
      </c>
      <c r="BO511" s="434" t="s">
        <v>6468</v>
      </c>
      <c r="BP511" s="397"/>
      <c r="BQ511" s="398"/>
      <c r="BR511" s="320"/>
      <c r="BS511" s="330"/>
      <c r="BT511" s="330"/>
      <c r="BU511" s="330"/>
      <c r="BV511" s="330"/>
      <c r="BW511" s="347"/>
      <c r="BX511" s="348"/>
      <c r="BY511" s="344"/>
      <c r="BZ511" s="349"/>
    </row>
    <row r="512" spans="1:555" ht="67.5">
      <c r="A512" s="296">
        <v>819</v>
      </c>
      <c r="B512" s="297" t="s">
        <v>6478</v>
      </c>
      <c r="C512" s="298">
        <v>79897354</v>
      </c>
      <c r="D512" s="354"/>
      <c r="E512" s="299"/>
      <c r="F512" s="302"/>
      <c r="G512" s="301"/>
      <c r="H512" s="297"/>
      <c r="I512" s="297"/>
      <c r="J512" s="344"/>
      <c r="K512" s="302"/>
      <c r="L512" s="330"/>
      <c r="M512" s="326"/>
      <c r="N512" s="297"/>
      <c r="O512" s="344"/>
      <c r="P512" s="302"/>
      <c r="Q512" s="330"/>
      <c r="R512" s="326"/>
      <c r="S512" s="297"/>
      <c r="T512" s="344"/>
      <c r="U512" s="302"/>
      <c r="V512" s="330"/>
      <c r="W512" s="326"/>
      <c r="X512" s="297"/>
      <c r="Y512" s="344"/>
      <c r="Z512" s="302"/>
      <c r="AA512" s="330"/>
      <c r="AB512" s="326"/>
      <c r="AC512" s="297"/>
      <c r="AD512" s="344"/>
      <c r="AE512" s="302"/>
      <c r="AF512" s="330"/>
      <c r="AG512" s="326"/>
      <c r="AH512" s="297"/>
      <c r="AI512" s="346"/>
      <c r="AJ512" s="302"/>
      <c r="AK512" s="330"/>
      <c r="AL512" s="326"/>
      <c r="AM512" s="297"/>
      <c r="AN512" s="326"/>
      <c r="AO512" s="477"/>
      <c r="AP512" s="355"/>
      <c r="AQ512" s="356" t="s">
        <v>6479</v>
      </c>
      <c r="AR512" s="326" t="s">
        <v>66</v>
      </c>
      <c r="AS512" s="344"/>
      <c r="AT512" s="344"/>
      <c r="AU512" s="326" t="s">
        <v>3829</v>
      </c>
      <c r="AV512" s="326"/>
      <c r="AW512" s="297" t="s">
        <v>69</v>
      </c>
      <c r="AX512" s="303" t="s">
        <v>6480</v>
      </c>
      <c r="AY512" s="305">
        <v>42823</v>
      </c>
      <c r="AZ512" s="297" t="s">
        <v>67</v>
      </c>
      <c r="BA512" s="297" t="s">
        <v>67</v>
      </c>
      <c r="BB512" s="681">
        <v>42774</v>
      </c>
      <c r="BC512" s="297" t="s">
        <v>3829</v>
      </c>
      <c r="BD512" s="297" t="s">
        <v>6447</v>
      </c>
      <c r="BE512" s="326"/>
      <c r="BF512" s="330"/>
      <c r="BG512" s="330"/>
      <c r="BH512" s="356" t="s">
        <v>6481</v>
      </c>
      <c r="BI512" s="330"/>
      <c r="BJ512" s="350">
        <v>271143</v>
      </c>
      <c r="BK512" s="350">
        <v>271143</v>
      </c>
      <c r="BL512" s="357">
        <v>188779718</v>
      </c>
      <c r="BM512" s="358">
        <v>43277</v>
      </c>
      <c r="BN512" s="359">
        <v>43252</v>
      </c>
      <c r="BO512" s="434" t="s">
        <v>7691</v>
      </c>
      <c r="BP512" s="390"/>
      <c r="BQ512" s="297"/>
      <c r="BR512" s="303"/>
      <c r="BS512" s="330"/>
      <c r="BT512" s="330"/>
      <c r="BU512" s="330"/>
      <c r="BV512" s="330"/>
      <c r="BW512" s="347"/>
      <c r="BX512" s="348"/>
      <c r="BY512" s="344"/>
      <c r="BZ512" s="349"/>
    </row>
    <row r="513" spans="1:555" ht="54" customHeight="1">
      <c r="A513" s="296">
        <v>843</v>
      </c>
      <c r="B513" s="297" t="s">
        <v>6623</v>
      </c>
      <c r="C513" s="298">
        <v>88205466</v>
      </c>
      <c r="D513" s="297" t="s">
        <v>167</v>
      </c>
      <c r="E513" s="299">
        <v>43336</v>
      </c>
      <c r="F513" s="302">
        <v>43336</v>
      </c>
      <c r="G513" s="301" t="s">
        <v>271</v>
      </c>
      <c r="H513" s="297" t="s">
        <v>171</v>
      </c>
      <c r="I513" s="297" t="s">
        <v>1393</v>
      </c>
      <c r="J513" s="299">
        <v>43336</v>
      </c>
      <c r="K513" s="302">
        <v>43336</v>
      </c>
      <c r="L513" s="301" t="s">
        <v>6624</v>
      </c>
      <c r="M513" s="297" t="s">
        <v>171</v>
      </c>
      <c r="N513" s="297" t="s">
        <v>777</v>
      </c>
      <c r="O513" s="358">
        <v>43336</v>
      </c>
      <c r="P513" s="302">
        <v>43336</v>
      </c>
      <c r="Q513" s="510" t="s">
        <v>6624</v>
      </c>
      <c r="R513" s="510" t="s">
        <v>171</v>
      </c>
      <c r="S513" s="315" t="s">
        <v>2189</v>
      </c>
      <c r="T513" s="358">
        <v>43360</v>
      </c>
      <c r="U513" s="302">
        <v>43360</v>
      </c>
      <c r="V513" s="315" t="s">
        <v>6625</v>
      </c>
      <c r="W513" s="315" t="s">
        <v>171</v>
      </c>
      <c r="X513" s="315" t="s">
        <v>6626</v>
      </c>
      <c r="Y513" s="344">
        <v>43403</v>
      </c>
      <c r="Z513" s="302">
        <v>43403</v>
      </c>
      <c r="AA513" s="315" t="s">
        <v>7231</v>
      </c>
      <c r="AB513" s="315" t="s">
        <v>171</v>
      </c>
      <c r="AC513" s="315" t="s">
        <v>6627</v>
      </c>
      <c r="AD513" s="344">
        <v>43564</v>
      </c>
      <c r="AE513" s="302">
        <v>43564</v>
      </c>
      <c r="AF513" s="315" t="s">
        <v>8514</v>
      </c>
      <c r="AG513" s="315" t="s">
        <v>8515</v>
      </c>
      <c r="AH513" s="315" t="s">
        <v>8516</v>
      </c>
      <c r="AI513" s="542"/>
      <c r="AJ513" s="542"/>
      <c r="AK513" s="542"/>
      <c r="AL513" s="542"/>
      <c r="AM513" s="544"/>
      <c r="AN513" s="542"/>
      <c r="AO513" s="484"/>
      <c r="AP513" s="542"/>
      <c r="AQ513" s="301" t="s">
        <v>6628</v>
      </c>
      <c r="AR513" s="542"/>
      <c r="AS513" s="542"/>
      <c r="AT513" s="542"/>
      <c r="AU513" s="297" t="s">
        <v>6629</v>
      </c>
      <c r="AV513" s="297"/>
      <c r="AW513" s="297" t="s">
        <v>92</v>
      </c>
      <c r="AX513" s="297" t="s">
        <v>7581</v>
      </c>
      <c r="AY513" s="344">
        <v>40837</v>
      </c>
      <c r="AZ513" s="297" t="s">
        <v>6733</v>
      </c>
      <c r="BA513" s="344">
        <v>41478</v>
      </c>
      <c r="BB513" s="681">
        <v>41492</v>
      </c>
      <c r="BC513" s="297" t="s">
        <v>95</v>
      </c>
      <c r="BD513" s="297" t="s">
        <v>4604</v>
      </c>
      <c r="BE513" s="542"/>
      <c r="BF513" s="542"/>
      <c r="BG513" s="542"/>
      <c r="BH513" s="330" t="s">
        <v>8748</v>
      </c>
      <c r="BI513" s="542"/>
      <c r="BJ513" s="350">
        <f>+'[82]Liq Mandamiento de Pago'!$J$52</f>
        <v>49446685.971556403</v>
      </c>
      <c r="BK513" s="350">
        <v>49446686</v>
      </c>
      <c r="BL513" s="351">
        <v>121584319</v>
      </c>
      <c r="BM513" s="344">
        <v>43606</v>
      </c>
      <c r="BN513" s="359">
        <v>43606</v>
      </c>
      <c r="BO513" s="518"/>
      <c r="BP513" s="528"/>
      <c r="BQ513" s="545"/>
      <c r="BR513" s="542"/>
      <c r="BS513" s="315" t="s">
        <v>6630</v>
      </c>
      <c r="BT513" s="542"/>
      <c r="BU513" s="542"/>
      <c r="BV513" s="542"/>
      <c r="BW513" s="542"/>
      <c r="BX513" s="546"/>
      <c r="BY513" s="542"/>
      <c r="BZ513" s="547"/>
    </row>
    <row r="514" spans="1:555" ht="54">
      <c r="A514" s="296">
        <v>857</v>
      </c>
      <c r="B514" s="315" t="s">
        <v>6703</v>
      </c>
      <c r="C514" s="298">
        <v>91154517</v>
      </c>
      <c r="D514" s="354" t="s">
        <v>167</v>
      </c>
      <c r="E514" s="305">
        <v>43361</v>
      </c>
      <c r="F514" s="300">
        <v>43361</v>
      </c>
      <c r="G514" s="315" t="s">
        <v>6704</v>
      </c>
      <c r="H514" s="304" t="s">
        <v>171</v>
      </c>
      <c r="I514" s="315" t="s">
        <v>274</v>
      </c>
      <c r="J514" s="305">
        <v>43369</v>
      </c>
      <c r="K514" s="300">
        <v>43369</v>
      </c>
      <c r="L514" s="315" t="s">
        <v>6705</v>
      </c>
      <c r="M514" s="304" t="s">
        <v>5</v>
      </c>
      <c r="N514" s="304" t="s">
        <v>6706</v>
      </c>
      <c r="O514" s="305">
        <v>43493</v>
      </c>
      <c r="P514" s="300">
        <v>43493</v>
      </c>
      <c r="Q514" s="315" t="s">
        <v>8031</v>
      </c>
      <c r="R514" s="510" t="s">
        <v>171</v>
      </c>
      <c r="S514" s="315" t="s">
        <v>8032</v>
      </c>
      <c r="T514" s="511"/>
      <c r="U514" s="368"/>
      <c r="V514" s="512"/>
      <c r="W514" s="513"/>
      <c r="X514" s="514"/>
      <c r="Y514" s="511"/>
      <c r="Z514" s="368"/>
      <c r="AA514" s="512"/>
      <c r="AB514" s="513"/>
      <c r="AC514" s="514"/>
      <c r="AD514" s="511"/>
      <c r="AE514" s="368"/>
      <c r="AF514" s="512"/>
      <c r="AG514" s="513"/>
      <c r="AH514" s="514"/>
      <c r="AI514" s="515"/>
      <c r="AJ514" s="368"/>
      <c r="AK514" s="512"/>
      <c r="AL514" s="513"/>
      <c r="AM514" s="514"/>
      <c r="AN514" s="513"/>
      <c r="AO514" s="485">
        <v>41543</v>
      </c>
      <c r="AP514" s="516"/>
      <c r="AQ514" s="517" t="s">
        <v>6707</v>
      </c>
      <c r="AR514" s="315" t="s">
        <v>2893</v>
      </c>
      <c r="AS514" s="305">
        <v>38777</v>
      </c>
      <c r="AT514" s="305">
        <v>39794</v>
      </c>
      <c r="AU514" s="315" t="s">
        <v>8011</v>
      </c>
      <c r="AV514" s="315"/>
      <c r="AW514" s="304" t="s">
        <v>92</v>
      </c>
      <c r="AX514" s="315" t="s">
        <v>176</v>
      </c>
      <c r="AY514" s="305">
        <v>40892</v>
      </c>
      <c r="AZ514" s="315" t="s">
        <v>627</v>
      </c>
      <c r="BA514" s="305">
        <v>41417</v>
      </c>
      <c r="BB514" s="678">
        <v>41450</v>
      </c>
      <c r="BC514" s="315" t="s">
        <v>95</v>
      </c>
      <c r="BD514" s="297" t="s">
        <v>4604</v>
      </c>
      <c r="BE514" s="513"/>
      <c r="BF514" s="301" t="s">
        <v>8317</v>
      </c>
      <c r="BG514" s="512"/>
      <c r="BH514" s="330" t="s">
        <v>8318</v>
      </c>
      <c r="BI514" s="512"/>
      <c r="BJ514" s="350">
        <f>+[83]MATRIZ!$N$70</f>
        <v>28793064.735941246</v>
      </c>
      <c r="BK514" s="350">
        <v>18576421</v>
      </c>
      <c r="BL514" s="348">
        <v>55441519</v>
      </c>
      <c r="BM514" s="358">
        <v>43542</v>
      </c>
      <c r="BN514" s="359">
        <v>43542</v>
      </c>
      <c r="BO514" s="531" t="s">
        <v>8546</v>
      </c>
      <c r="BP514" s="404"/>
      <c r="BQ514" s="519"/>
      <c r="BR514" s="520"/>
      <c r="BS514" s="521" t="s">
        <v>6708</v>
      </c>
      <c r="BT514" s="512"/>
      <c r="BU514" s="512"/>
      <c r="BV514" s="512"/>
      <c r="BW514" s="522"/>
      <c r="BX514" s="523"/>
      <c r="BY514" s="511"/>
      <c r="BZ514" s="524"/>
    </row>
    <row r="515" spans="1:555" ht="148.5">
      <c r="A515" s="296">
        <v>861</v>
      </c>
      <c r="B515" s="315" t="s">
        <v>6727</v>
      </c>
      <c r="C515" s="298">
        <v>10185105</v>
      </c>
      <c r="D515" s="354"/>
      <c r="E515" s="305">
        <v>43375</v>
      </c>
      <c r="F515" s="300">
        <v>43375</v>
      </c>
      <c r="G515" s="304" t="s">
        <v>6728</v>
      </c>
      <c r="H515" s="304" t="s">
        <v>171</v>
      </c>
      <c r="I515" s="304" t="s">
        <v>6729</v>
      </c>
      <c r="J515" s="305">
        <v>43389</v>
      </c>
      <c r="K515" s="300">
        <v>43389</v>
      </c>
      <c r="L515" s="315" t="s">
        <v>6730</v>
      </c>
      <c r="M515" s="304" t="s">
        <v>171</v>
      </c>
      <c r="N515" s="304" t="s">
        <v>274</v>
      </c>
      <c r="O515" s="305">
        <v>43447</v>
      </c>
      <c r="P515" s="300">
        <v>43447</v>
      </c>
      <c r="Q515" s="315" t="s">
        <v>7964</v>
      </c>
      <c r="R515" s="304" t="s">
        <v>171</v>
      </c>
      <c r="S515" s="304" t="s">
        <v>7965</v>
      </c>
      <c r="T515" s="305"/>
      <c r="U515" s="300"/>
      <c r="V515" s="315"/>
      <c r="W515" s="513"/>
      <c r="X515" s="514"/>
      <c r="Y515" s="511"/>
      <c r="Z515" s="368"/>
      <c r="AA515" s="512"/>
      <c r="AB515" s="513"/>
      <c r="AC515" s="514"/>
      <c r="AD515" s="511"/>
      <c r="AE515" s="368"/>
      <c r="AF515" s="512"/>
      <c r="AG515" s="513"/>
      <c r="AH515" s="514"/>
      <c r="AI515" s="515"/>
      <c r="AJ515" s="368"/>
      <c r="AK515" s="512"/>
      <c r="AL515" s="513"/>
      <c r="AM515" s="514"/>
      <c r="AN515" s="513"/>
      <c r="AO515" s="485">
        <v>41703</v>
      </c>
      <c r="AP515" s="516"/>
      <c r="AQ515" s="517" t="s">
        <v>6731</v>
      </c>
      <c r="AR515" s="315" t="s">
        <v>2893</v>
      </c>
      <c r="AS515" s="305">
        <v>37956</v>
      </c>
      <c r="AT515" s="305">
        <v>39794</v>
      </c>
      <c r="AU515" s="315" t="s">
        <v>8012</v>
      </c>
      <c r="AV515" s="315"/>
      <c r="AW515" s="304" t="s">
        <v>92</v>
      </c>
      <c r="AX515" s="315" t="s">
        <v>6732</v>
      </c>
      <c r="AY515" s="305">
        <v>40966</v>
      </c>
      <c r="AZ515" s="315" t="s">
        <v>6733</v>
      </c>
      <c r="BA515" s="305">
        <v>41443</v>
      </c>
      <c r="BB515" s="678">
        <v>41458</v>
      </c>
      <c r="BC515" s="315" t="s">
        <v>95</v>
      </c>
      <c r="BD515" s="297" t="s">
        <v>4604</v>
      </c>
      <c r="BE515" s="513"/>
      <c r="BF515" s="301" t="s">
        <v>8267</v>
      </c>
      <c r="BG515" s="512"/>
      <c r="BH515" s="330" t="s">
        <v>8352</v>
      </c>
      <c r="BI515" s="512"/>
      <c r="BJ515" s="350">
        <f>+[84]MATRIZ!$N$72</f>
        <v>53735922.436509609</v>
      </c>
      <c r="BK515" s="350">
        <v>53735972</v>
      </c>
      <c r="BL515" s="351">
        <v>67292519</v>
      </c>
      <c r="BM515" s="358">
        <v>43551</v>
      </c>
      <c r="BN515" s="359">
        <v>43553</v>
      </c>
      <c r="BO515" s="518"/>
      <c r="BP515" s="528"/>
      <c r="BQ515" s="529"/>
      <c r="BR515" s="530"/>
      <c r="BS515" s="521" t="s">
        <v>6734</v>
      </c>
      <c r="BT515" s="512"/>
      <c r="BU515" s="512"/>
      <c r="BV515" s="512"/>
      <c r="BW515" s="522"/>
      <c r="BX515" s="523"/>
      <c r="BY515" s="511"/>
      <c r="BZ515" s="524"/>
    </row>
    <row r="516" spans="1:555" ht="229.5">
      <c r="A516" s="33">
        <v>7</v>
      </c>
      <c r="B516" s="34" t="s">
        <v>144</v>
      </c>
      <c r="C516" s="35">
        <v>19366503</v>
      </c>
      <c r="D516" s="440" t="s">
        <v>145</v>
      </c>
      <c r="E516" s="37">
        <v>41859</v>
      </c>
      <c r="F516" s="38">
        <v>41852</v>
      </c>
      <c r="G516" s="39" t="s">
        <v>146</v>
      </c>
      <c r="H516" s="34" t="s">
        <v>5</v>
      </c>
      <c r="I516" s="34" t="s">
        <v>101</v>
      </c>
      <c r="J516" s="37">
        <v>41975</v>
      </c>
      <c r="K516" s="38">
        <v>41974</v>
      </c>
      <c r="L516" s="39" t="s">
        <v>147</v>
      </c>
      <c r="M516" s="34" t="s">
        <v>5</v>
      </c>
      <c r="N516" s="34" t="s">
        <v>148</v>
      </c>
      <c r="O516" s="37">
        <v>42236</v>
      </c>
      <c r="P516" s="40">
        <v>42217</v>
      </c>
      <c r="Q516" s="39" t="s">
        <v>149</v>
      </c>
      <c r="R516" s="34" t="s">
        <v>5</v>
      </c>
      <c r="S516" s="34" t="s">
        <v>79</v>
      </c>
      <c r="T516" s="37">
        <v>42338</v>
      </c>
      <c r="U516" s="38">
        <v>42309</v>
      </c>
      <c r="V516" s="39" t="s">
        <v>150</v>
      </c>
      <c r="W516" s="34" t="s">
        <v>5</v>
      </c>
      <c r="X516" s="34" t="s">
        <v>79</v>
      </c>
      <c r="Y516" s="37">
        <v>42503</v>
      </c>
      <c r="Z516" s="38">
        <v>42491</v>
      </c>
      <c r="AA516" s="39" t="s">
        <v>151</v>
      </c>
      <c r="AB516" s="34" t="s">
        <v>152</v>
      </c>
      <c r="AC516" s="34" t="s">
        <v>153</v>
      </c>
      <c r="AD516" s="37" t="s">
        <v>154</v>
      </c>
      <c r="AE516" s="38" t="s">
        <v>155</v>
      </c>
      <c r="AF516" s="39" t="s">
        <v>156</v>
      </c>
      <c r="AG516" s="34" t="s">
        <v>157</v>
      </c>
      <c r="AH516" s="34" t="s">
        <v>158</v>
      </c>
      <c r="AI516" s="41"/>
      <c r="AJ516" s="38"/>
      <c r="AK516" s="39"/>
      <c r="AL516" s="34"/>
      <c r="AM516" s="34"/>
      <c r="AN516" s="34" t="s">
        <v>159</v>
      </c>
      <c r="AO516" s="473"/>
      <c r="AP516" s="34"/>
      <c r="AQ516" s="39" t="s">
        <v>160</v>
      </c>
      <c r="AR516" s="34" t="s">
        <v>161</v>
      </c>
      <c r="AS516" s="37" t="s">
        <v>67</v>
      </c>
      <c r="AT516" s="37" t="s">
        <v>67</v>
      </c>
      <c r="AU516" s="34" t="s">
        <v>162</v>
      </c>
      <c r="AV516" s="34"/>
      <c r="AW516" s="34" t="s">
        <v>92</v>
      </c>
      <c r="AX516" s="34" t="s">
        <v>163</v>
      </c>
      <c r="AY516" s="37">
        <v>41394</v>
      </c>
      <c r="AZ516" s="34" t="s">
        <v>164</v>
      </c>
      <c r="BA516" s="37">
        <v>41835</v>
      </c>
      <c r="BB516" s="678">
        <v>41849</v>
      </c>
      <c r="BC516" s="42" t="s">
        <v>165</v>
      </c>
      <c r="BD516" s="42"/>
      <c r="BE516" s="34"/>
      <c r="BF516" s="39"/>
      <c r="BG516" s="39" t="s">
        <v>67</v>
      </c>
      <c r="BH516" s="39" t="s">
        <v>67</v>
      </c>
      <c r="BI516" s="39" t="s">
        <v>67</v>
      </c>
      <c r="BJ516" s="43" t="s">
        <v>67</v>
      </c>
      <c r="BK516" s="43" t="s">
        <v>67</v>
      </c>
      <c r="BL516" s="44" t="s">
        <v>67</v>
      </c>
      <c r="BM516" s="37" t="s">
        <v>67</v>
      </c>
      <c r="BN516" s="45" t="s">
        <v>67</v>
      </c>
      <c r="BO516" s="395"/>
      <c r="BP516" s="391"/>
      <c r="BQ516" s="34"/>
      <c r="BR516" s="42"/>
      <c r="BS516" s="46"/>
      <c r="BT516" s="46"/>
      <c r="BU516" s="46"/>
      <c r="BV516" s="46"/>
      <c r="BW516" s="47"/>
      <c r="BX516" s="48"/>
      <c r="BY516" s="49"/>
      <c r="BZ516" s="50"/>
    </row>
    <row r="517" spans="1:555" ht="54">
      <c r="A517" s="33">
        <v>14</v>
      </c>
      <c r="B517" s="34" t="s">
        <v>234</v>
      </c>
      <c r="C517" s="35">
        <v>7686395</v>
      </c>
      <c r="D517" s="440" t="s">
        <v>67</v>
      </c>
      <c r="E517" s="37">
        <v>41880</v>
      </c>
      <c r="F517" s="38">
        <v>41852</v>
      </c>
      <c r="G517" s="39" t="s">
        <v>235</v>
      </c>
      <c r="H517" s="34" t="s">
        <v>236</v>
      </c>
      <c r="I517" s="34" t="s">
        <v>183</v>
      </c>
      <c r="J517" s="37"/>
      <c r="K517" s="38"/>
      <c r="L517" s="39"/>
      <c r="M517" s="34"/>
      <c r="N517" s="34"/>
      <c r="O517" s="37"/>
      <c r="P517" s="40"/>
      <c r="Q517" s="39"/>
      <c r="R517" s="34"/>
      <c r="S517" s="34"/>
      <c r="T517" s="37"/>
      <c r="U517" s="38"/>
      <c r="V517" s="39"/>
      <c r="W517" s="34"/>
      <c r="X517" s="34"/>
      <c r="Y517" s="37"/>
      <c r="Z517" s="38"/>
      <c r="AA517" s="39"/>
      <c r="AB517" s="34"/>
      <c r="AC517" s="34"/>
      <c r="AD517" s="37"/>
      <c r="AE517" s="38"/>
      <c r="AF517" s="39"/>
      <c r="AG517" s="34"/>
      <c r="AH517" s="34"/>
      <c r="AI517" s="41"/>
      <c r="AJ517" s="38"/>
      <c r="AK517" s="39"/>
      <c r="AL517" s="34"/>
      <c r="AM517" s="34"/>
      <c r="AN517" s="34"/>
      <c r="AO517" s="473"/>
      <c r="AP517" s="34"/>
      <c r="AQ517" s="46" t="s">
        <v>237</v>
      </c>
      <c r="AR517" s="34" t="s">
        <v>90</v>
      </c>
      <c r="AS517" s="37" t="s">
        <v>67</v>
      </c>
      <c r="AT517" s="37" t="s">
        <v>67</v>
      </c>
      <c r="AU517" s="34" t="s">
        <v>238</v>
      </c>
      <c r="AV517" s="34"/>
      <c r="AW517" s="34" t="s">
        <v>92</v>
      </c>
      <c r="AX517" s="34" t="s">
        <v>239</v>
      </c>
      <c r="AY517" s="37">
        <v>40162</v>
      </c>
      <c r="AZ517" s="34" t="s">
        <v>240</v>
      </c>
      <c r="BA517" s="37">
        <v>41297</v>
      </c>
      <c r="BB517" s="678">
        <v>41310</v>
      </c>
      <c r="BC517" s="42" t="s">
        <v>165</v>
      </c>
      <c r="BD517" s="42"/>
      <c r="BE517" s="34"/>
      <c r="BF517" s="39"/>
      <c r="BG517" s="39" t="s">
        <v>67</v>
      </c>
      <c r="BH517" s="39"/>
      <c r="BI517" s="39"/>
      <c r="BJ517" s="43" t="s">
        <v>67</v>
      </c>
      <c r="BK517" s="43"/>
      <c r="BL517" s="44"/>
      <c r="BM517" s="37"/>
      <c r="BN517" s="45"/>
      <c r="BO517" s="395"/>
      <c r="BP517" s="391"/>
      <c r="BQ517" s="34"/>
      <c r="BR517" s="42"/>
      <c r="BS517" s="39"/>
      <c r="BT517" s="39"/>
      <c r="BU517" s="39"/>
      <c r="BV517" s="39"/>
      <c r="BW517" s="51"/>
      <c r="BX517" s="41"/>
      <c r="BY517" s="37"/>
      <c r="BZ517" s="52"/>
    </row>
    <row r="518" spans="1:555" ht="135">
      <c r="A518" s="33">
        <v>41</v>
      </c>
      <c r="B518" s="34" t="s">
        <v>563</v>
      </c>
      <c r="C518" s="35">
        <v>74347630</v>
      </c>
      <c r="D518" s="440" t="s">
        <v>564</v>
      </c>
      <c r="E518" s="37">
        <v>41991</v>
      </c>
      <c r="F518" s="38">
        <v>41974</v>
      </c>
      <c r="G518" s="39" t="s">
        <v>565</v>
      </c>
      <c r="H518" s="34" t="s">
        <v>566</v>
      </c>
      <c r="I518" s="34" t="s">
        <v>567</v>
      </c>
      <c r="J518" s="37">
        <v>41656</v>
      </c>
      <c r="K518" s="38">
        <v>41656</v>
      </c>
      <c r="L518" s="39" t="s">
        <v>568</v>
      </c>
      <c r="M518" s="34" t="s">
        <v>63</v>
      </c>
      <c r="N518" s="34" t="s">
        <v>79</v>
      </c>
      <c r="O518" s="37">
        <v>41522</v>
      </c>
      <c r="P518" s="40">
        <v>41518</v>
      </c>
      <c r="Q518" s="46" t="s">
        <v>569</v>
      </c>
      <c r="R518" s="34" t="s">
        <v>63</v>
      </c>
      <c r="S518" s="34" t="s">
        <v>570</v>
      </c>
      <c r="T518" s="37">
        <v>41689</v>
      </c>
      <c r="U518" s="38">
        <v>41671</v>
      </c>
      <c r="V518" s="39" t="s">
        <v>571</v>
      </c>
      <c r="W518" s="34" t="s">
        <v>63</v>
      </c>
      <c r="X518" s="34" t="s">
        <v>572</v>
      </c>
      <c r="Y518" s="37"/>
      <c r="Z518" s="38"/>
      <c r="AA518" s="39"/>
      <c r="AB518" s="34"/>
      <c r="AC518" s="34"/>
      <c r="AD518" s="37"/>
      <c r="AE518" s="38"/>
      <c r="AF518" s="39"/>
      <c r="AG518" s="34"/>
      <c r="AH518" s="42"/>
      <c r="AI518" s="53"/>
      <c r="AJ518" s="45"/>
      <c r="AK518" s="46"/>
      <c r="AL518" s="42"/>
      <c r="AM518" s="42"/>
      <c r="AN518" s="42"/>
      <c r="AO518" s="474"/>
      <c r="AP518" s="42"/>
      <c r="AQ518" s="39" t="s">
        <v>573</v>
      </c>
      <c r="AR518" s="34" t="s">
        <v>66</v>
      </c>
      <c r="AS518" s="37">
        <v>38353</v>
      </c>
      <c r="AT518" s="37">
        <v>39447</v>
      </c>
      <c r="AU518" s="34" t="s">
        <v>574</v>
      </c>
      <c r="AV518" s="34"/>
      <c r="AW518" s="34" t="s">
        <v>92</v>
      </c>
      <c r="AX518" s="34" t="s">
        <v>575</v>
      </c>
      <c r="AY518" s="37" t="s">
        <v>67</v>
      </c>
      <c r="AZ518" s="34" t="s">
        <v>576</v>
      </c>
      <c r="BA518" s="37">
        <v>41332</v>
      </c>
      <c r="BB518" s="382" t="s">
        <v>67</v>
      </c>
      <c r="BC518" s="34" t="s">
        <v>95</v>
      </c>
      <c r="BD518" s="42" t="s">
        <v>577</v>
      </c>
      <c r="BE518" s="34"/>
      <c r="BF518" s="39"/>
      <c r="BG518" s="39" t="s">
        <v>67</v>
      </c>
      <c r="BH518" s="39" t="s">
        <v>67</v>
      </c>
      <c r="BI518" s="39" t="s">
        <v>67</v>
      </c>
      <c r="BJ518" s="43" t="s">
        <v>67</v>
      </c>
      <c r="BK518" s="43"/>
      <c r="BL518" s="54" t="s">
        <v>67</v>
      </c>
      <c r="BM518" s="37" t="s">
        <v>67</v>
      </c>
      <c r="BN518" s="45" t="s">
        <v>67</v>
      </c>
      <c r="BO518" s="462"/>
      <c r="BP518" s="391"/>
      <c r="BQ518" s="34"/>
      <c r="BR518" s="42"/>
      <c r="BS518" s="46"/>
      <c r="BT518" s="39"/>
      <c r="BU518" s="39"/>
      <c r="BV518" s="39"/>
      <c r="BW518" s="51"/>
      <c r="BX518" s="41"/>
      <c r="BY518" s="37"/>
      <c r="BZ518" s="52"/>
    </row>
    <row r="519" spans="1:555" ht="135">
      <c r="A519" s="33">
        <v>65</v>
      </c>
      <c r="B519" s="34" t="s">
        <v>875</v>
      </c>
      <c r="C519" s="35">
        <v>10033572</v>
      </c>
      <c r="D519" s="440" t="s">
        <v>67</v>
      </c>
      <c r="E519" s="37">
        <v>42044</v>
      </c>
      <c r="F519" s="38">
        <v>42036</v>
      </c>
      <c r="G519" s="39" t="s">
        <v>876</v>
      </c>
      <c r="H519" s="34" t="s">
        <v>5</v>
      </c>
      <c r="I519" s="34" t="s">
        <v>101</v>
      </c>
      <c r="J519" s="37">
        <v>42733</v>
      </c>
      <c r="K519" s="38">
        <v>42733</v>
      </c>
      <c r="L519" s="39" t="s">
        <v>877</v>
      </c>
      <c r="M519" s="34"/>
      <c r="N519" s="34"/>
      <c r="O519" s="37"/>
      <c r="P519" s="40"/>
      <c r="Q519" s="39"/>
      <c r="R519" s="34"/>
      <c r="S519" s="34"/>
      <c r="T519" s="37"/>
      <c r="U519" s="38"/>
      <c r="V519" s="39"/>
      <c r="W519" s="34"/>
      <c r="X519" s="34"/>
      <c r="Y519" s="37"/>
      <c r="Z519" s="38"/>
      <c r="AA519" s="39"/>
      <c r="AB519" s="34"/>
      <c r="AC519" s="34"/>
      <c r="AD519" s="37"/>
      <c r="AE519" s="38"/>
      <c r="AF519" s="39"/>
      <c r="AG519" s="34"/>
      <c r="AH519" s="34"/>
      <c r="AI519" s="41"/>
      <c r="AJ519" s="38"/>
      <c r="AK519" s="39"/>
      <c r="AL519" s="34"/>
      <c r="AM519" s="34"/>
      <c r="AN519" s="34"/>
      <c r="AO519" s="473"/>
      <c r="AP519" s="34"/>
      <c r="AQ519" s="39" t="s">
        <v>878</v>
      </c>
      <c r="AR519" s="34" t="s">
        <v>161</v>
      </c>
      <c r="AS519" s="37" t="s">
        <v>67</v>
      </c>
      <c r="AT519" s="37" t="s">
        <v>67</v>
      </c>
      <c r="AU519" s="34" t="s">
        <v>879</v>
      </c>
      <c r="AV519" s="34"/>
      <c r="AW519" s="34" t="s">
        <v>92</v>
      </c>
      <c r="AX519" s="34" t="s">
        <v>880</v>
      </c>
      <c r="AY519" s="37">
        <v>41046</v>
      </c>
      <c r="AZ519" s="34" t="s">
        <v>736</v>
      </c>
      <c r="BA519" s="37">
        <v>41886</v>
      </c>
      <c r="BB519" s="678">
        <v>41900</v>
      </c>
      <c r="BC519" s="42" t="s">
        <v>165</v>
      </c>
      <c r="BD519" s="42"/>
      <c r="BE519" s="34"/>
      <c r="BF519" s="39"/>
      <c r="BG519" s="39"/>
      <c r="BH519" s="39"/>
      <c r="BI519" s="39"/>
      <c r="BJ519" s="43">
        <v>110250340</v>
      </c>
      <c r="BK519" s="43"/>
      <c r="BL519" s="44"/>
      <c r="BM519" s="37"/>
      <c r="BN519" s="45"/>
      <c r="BO519" s="462"/>
      <c r="BP519" s="391"/>
      <c r="BQ519" s="34"/>
      <c r="BR519" s="42"/>
      <c r="BS519" s="39"/>
      <c r="BT519" s="46"/>
      <c r="BU519" s="46"/>
      <c r="BV519" s="46"/>
      <c r="BW519" s="47"/>
      <c r="BX519" s="48"/>
      <c r="BY519" s="49"/>
      <c r="BZ519" s="50"/>
    </row>
    <row r="520" spans="1:555" ht="148.5">
      <c r="A520" s="33">
        <v>85</v>
      </c>
      <c r="B520" s="34" t="s">
        <v>1100</v>
      </c>
      <c r="C520" s="35">
        <v>72009577</v>
      </c>
      <c r="D520" s="440" t="s">
        <v>8068</v>
      </c>
      <c r="E520" s="37">
        <v>42082</v>
      </c>
      <c r="F520" s="38">
        <v>42064</v>
      </c>
      <c r="G520" s="39" t="s">
        <v>1101</v>
      </c>
      <c r="H520" s="34" t="s">
        <v>171</v>
      </c>
      <c r="I520" s="34" t="s">
        <v>183</v>
      </c>
      <c r="J520" s="37"/>
      <c r="K520" s="38"/>
      <c r="L520" s="39"/>
      <c r="M520" s="34"/>
      <c r="N520" s="34"/>
      <c r="O520" s="37"/>
      <c r="P520" s="40"/>
      <c r="Q520" s="39"/>
      <c r="R520" s="34"/>
      <c r="S520" s="34"/>
      <c r="T520" s="37"/>
      <c r="U520" s="38"/>
      <c r="V520" s="39"/>
      <c r="W520" s="34"/>
      <c r="X520" s="34"/>
      <c r="Y520" s="37"/>
      <c r="Z520" s="38"/>
      <c r="AA520" s="39"/>
      <c r="AB520" s="34"/>
      <c r="AC520" s="34"/>
      <c r="AD520" s="37"/>
      <c r="AE520" s="38"/>
      <c r="AF520" s="39"/>
      <c r="AG520" s="34"/>
      <c r="AH520" s="34"/>
      <c r="AI520" s="73"/>
      <c r="AJ520" s="38"/>
      <c r="AK520" s="39"/>
      <c r="AL520" s="34"/>
      <c r="AM520" s="34"/>
      <c r="AN520" s="34"/>
      <c r="AO520" s="473"/>
      <c r="AP520" s="34"/>
      <c r="AQ520" s="39" t="s">
        <v>1102</v>
      </c>
      <c r="AR520" s="34" t="s">
        <v>161</v>
      </c>
      <c r="AS520" s="37" t="s">
        <v>579</v>
      </c>
      <c r="AT520" s="37" t="s">
        <v>579</v>
      </c>
      <c r="AU520" s="34" t="s">
        <v>1103</v>
      </c>
      <c r="AV520" s="34"/>
      <c r="AW520" s="34" t="s">
        <v>69</v>
      </c>
      <c r="AX520" s="34" t="s">
        <v>1104</v>
      </c>
      <c r="AY520" s="37" t="s">
        <v>579</v>
      </c>
      <c r="AZ520" s="34" t="s">
        <v>328</v>
      </c>
      <c r="BA520" s="37" t="s">
        <v>579</v>
      </c>
      <c r="BB520" s="382">
        <v>42082</v>
      </c>
      <c r="BC520" s="34" t="s">
        <v>95</v>
      </c>
      <c r="BD520" s="34"/>
      <c r="BE520" s="34"/>
      <c r="BF520" s="39"/>
      <c r="BG520" s="39"/>
      <c r="BH520" s="39"/>
      <c r="BI520" s="39"/>
      <c r="BJ520" s="74"/>
      <c r="BK520" s="74"/>
      <c r="BL520" s="44"/>
      <c r="BM520" s="37"/>
      <c r="BN520" s="45"/>
      <c r="BO520" s="462"/>
      <c r="BP520" s="391"/>
      <c r="BQ520" s="34"/>
      <c r="BR520" s="42"/>
      <c r="BS520" s="39"/>
      <c r="BT520" s="39"/>
      <c r="BU520" s="39"/>
      <c r="BV520" s="39"/>
      <c r="BW520" s="51"/>
      <c r="BX520" s="41"/>
      <c r="BY520" s="37"/>
      <c r="BZ520" s="52"/>
    </row>
    <row r="521" spans="1:555" ht="256.5">
      <c r="A521" s="33">
        <v>96</v>
      </c>
      <c r="B521" s="34" t="s">
        <v>1255</v>
      </c>
      <c r="C521" s="35">
        <v>10306997</v>
      </c>
      <c r="D521" s="440" t="s">
        <v>1256</v>
      </c>
      <c r="E521" s="37">
        <v>42121</v>
      </c>
      <c r="F521" s="38">
        <v>42095</v>
      </c>
      <c r="G521" s="39" t="s">
        <v>1257</v>
      </c>
      <c r="H521" s="34"/>
      <c r="I521" s="34"/>
      <c r="J521" s="37"/>
      <c r="K521" s="38"/>
      <c r="L521" s="39" t="s">
        <v>1258</v>
      </c>
      <c r="M521" s="34"/>
      <c r="N521" s="34"/>
      <c r="O521" s="37">
        <v>43166</v>
      </c>
      <c r="P521" s="40">
        <v>43160</v>
      </c>
      <c r="Q521" s="39" t="s">
        <v>1259</v>
      </c>
      <c r="R521" s="34" t="s">
        <v>5</v>
      </c>
      <c r="S521" s="34" t="s">
        <v>1114</v>
      </c>
      <c r="T521" s="37">
        <v>43192</v>
      </c>
      <c r="U521" s="38">
        <v>43191</v>
      </c>
      <c r="V521" s="39" t="s">
        <v>1260</v>
      </c>
      <c r="W521" s="34" t="s">
        <v>152</v>
      </c>
      <c r="X521" s="34" t="s">
        <v>1159</v>
      </c>
      <c r="Y521" s="37"/>
      <c r="Z521" s="38"/>
      <c r="AA521" s="39"/>
      <c r="AB521" s="34"/>
      <c r="AC521" s="34"/>
      <c r="AD521" s="37"/>
      <c r="AE521" s="38"/>
      <c r="AF521" s="39"/>
      <c r="AG521" s="34"/>
      <c r="AH521" s="34"/>
      <c r="AI521" s="41"/>
      <c r="AJ521" s="38"/>
      <c r="AK521" s="39"/>
      <c r="AL521" s="34"/>
      <c r="AM521" s="34"/>
      <c r="AN521" s="34"/>
      <c r="AO521" s="473"/>
      <c r="AP521" s="34"/>
      <c r="AQ521" s="39" t="s">
        <v>1261</v>
      </c>
      <c r="AR521" s="34" t="s">
        <v>161</v>
      </c>
      <c r="AS521" s="37" t="s">
        <v>1262</v>
      </c>
      <c r="AT521" s="37" t="s">
        <v>1263</v>
      </c>
      <c r="AU521" s="34" t="s">
        <v>1264</v>
      </c>
      <c r="AV521" s="34"/>
      <c r="AW521" s="34" t="s">
        <v>92</v>
      </c>
      <c r="AX521" s="34" t="s">
        <v>1265</v>
      </c>
      <c r="AY521" s="37">
        <v>41851</v>
      </c>
      <c r="AZ521" s="34" t="s">
        <v>67</v>
      </c>
      <c r="BA521" s="37" t="s">
        <v>67</v>
      </c>
      <c r="BB521" s="382">
        <v>41880</v>
      </c>
      <c r="BC521" s="34" t="s">
        <v>95</v>
      </c>
      <c r="BD521" s="34"/>
      <c r="BE521" s="34"/>
      <c r="BF521" s="39"/>
      <c r="BG521" s="39" t="s">
        <v>67</v>
      </c>
      <c r="BH521" s="39" t="s">
        <v>67</v>
      </c>
      <c r="BI521" s="39" t="s">
        <v>67</v>
      </c>
      <c r="BJ521" s="74"/>
      <c r="BK521" s="74"/>
      <c r="BL521" s="44"/>
      <c r="BM521" s="37"/>
      <c r="BN521" s="45"/>
      <c r="BO521" s="462"/>
      <c r="BP521" s="391"/>
      <c r="BQ521" s="34"/>
      <c r="BR521" s="42"/>
      <c r="BS521" s="39"/>
      <c r="BT521" s="39"/>
      <c r="BU521" s="39"/>
      <c r="BV521" s="39"/>
      <c r="BW521" s="51"/>
      <c r="BX521" s="41"/>
      <c r="BY521" s="37"/>
      <c r="BZ521" s="52"/>
    </row>
    <row r="522" spans="1:555" ht="162">
      <c r="A522" s="555">
        <v>124</v>
      </c>
      <c r="B522" s="556" t="s">
        <v>1646</v>
      </c>
      <c r="C522" s="557">
        <v>77028697</v>
      </c>
      <c r="D522" s="558" t="s">
        <v>1647</v>
      </c>
      <c r="E522" s="559">
        <v>42179</v>
      </c>
      <c r="F522" s="560">
        <v>42156</v>
      </c>
      <c r="G522" s="561" t="s">
        <v>1648</v>
      </c>
      <c r="H522" s="556"/>
      <c r="I522" s="556"/>
      <c r="J522" s="559"/>
      <c r="K522" s="560"/>
      <c r="L522" s="561"/>
      <c r="M522" s="556"/>
      <c r="N522" s="556"/>
      <c r="O522" s="559"/>
      <c r="P522" s="562"/>
      <c r="Q522" s="561"/>
      <c r="R522" s="556"/>
      <c r="S522" s="556"/>
      <c r="T522" s="559"/>
      <c r="U522" s="560"/>
      <c r="V522" s="561"/>
      <c r="W522" s="556"/>
      <c r="X522" s="556"/>
      <c r="Y522" s="559"/>
      <c r="Z522" s="560"/>
      <c r="AA522" s="561"/>
      <c r="AB522" s="556"/>
      <c r="AC522" s="556"/>
      <c r="AD522" s="559"/>
      <c r="AE522" s="560"/>
      <c r="AF522" s="561"/>
      <c r="AG522" s="556"/>
      <c r="AH522" s="556"/>
      <c r="AI522" s="563"/>
      <c r="AJ522" s="560"/>
      <c r="AK522" s="561"/>
      <c r="AL522" s="556"/>
      <c r="AM522" s="556"/>
      <c r="AN522" s="556" t="s">
        <v>1649</v>
      </c>
      <c r="AO522" s="564"/>
      <c r="AP522" s="556"/>
      <c r="AQ522" s="561" t="s">
        <v>1650</v>
      </c>
      <c r="AR522" s="556"/>
      <c r="AS522" s="559">
        <v>38226</v>
      </c>
      <c r="AT522" s="559">
        <v>39263</v>
      </c>
      <c r="AU522" s="556" t="s">
        <v>9036</v>
      </c>
      <c r="AV522" s="556"/>
      <c r="AW522" s="556" t="s">
        <v>69</v>
      </c>
      <c r="AX522" s="556" t="s">
        <v>1651</v>
      </c>
      <c r="AY522" s="559">
        <v>41732</v>
      </c>
      <c r="AZ522" s="556" t="s">
        <v>612</v>
      </c>
      <c r="BA522" s="559">
        <v>42173</v>
      </c>
      <c r="BB522" s="382">
        <v>42180</v>
      </c>
      <c r="BC522" s="556" t="s">
        <v>95</v>
      </c>
      <c r="BD522" s="556" t="s">
        <v>566</v>
      </c>
      <c r="BE522" s="556"/>
      <c r="BF522" s="561"/>
      <c r="BG522" s="561"/>
      <c r="BH522" s="561"/>
      <c r="BI522" s="561"/>
      <c r="BJ522" s="565">
        <v>0</v>
      </c>
      <c r="BK522" s="565"/>
      <c r="BL522" s="566"/>
      <c r="BM522" s="559"/>
      <c r="BN522" s="567"/>
      <c r="BO522" s="568"/>
      <c r="BP522" s="569"/>
      <c r="BQ522" s="556"/>
      <c r="BR522" s="570"/>
      <c r="BS522" s="571"/>
      <c r="BT522" s="571"/>
      <c r="BU522" s="571"/>
      <c r="BV522" s="571"/>
      <c r="BW522" s="572"/>
      <c r="BX522" s="573"/>
      <c r="BY522" s="574"/>
      <c r="BZ522" s="575"/>
    </row>
    <row r="523" spans="1:555" ht="216">
      <c r="A523" s="33">
        <v>137</v>
      </c>
      <c r="B523" s="34" t="s">
        <v>1795</v>
      </c>
      <c r="C523" s="35">
        <v>17594505</v>
      </c>
      <c r="D523" s="440" t="s">
        <v>579</v>
      </c>
      <c r="E523" s="37">
        <v>42195</v>
      </c>
      <c r="F523" s="38">
        <v>42186</v>
      </c>
      <c r="G523" s="39" t="s">
        <v>1796</v>
      </c>
      <c r="H523" s="34" t="s">
        <v>171</v>
      </c>
      <c r="I523" s="34" t="s">
        <v>1544</v>
      </c>
      <c r="J523" s="37">
        <v>42167</v>
      </c>
      <c r="K523" s="38">
        <v>42156</v>
      </c>
      <c r="L523" s="39" t="s">
        <v>1797</v>
      </c>
      <c r="M523" s="34" t="s">
        <v>625</v>
      </c>
      <c r="N523" s="34" t="s">
        <v>183</v>
      </c>
      <c r="O523" s="37"/>
      <c r="P523" s="40"/>
      <c r="Q523" s="39"/>
      <c r="R523" s="34"/>
      <c r="S523" s="34"/>
      <c r="T523" s="37"/>
      <c r="U523" s="38"/>
      <c r="V523" s="39"/>
      <c r="W523" s="34"/>
      <c r="X523" s="34"/>
      <c r="Y523" s="37"/>
      <c r="Z523" s="38"/>
      <c r="AA523" s="39"/>
      <c r="AB523" s="34"/>
      <c r="AC523" s="34"/>
      <c r="AD523" s="37"/>
      <c r="AE523" s="38"/>
      <c r="AF523" s="39"/>
      <c r="AG523" s="34"/>
      <c r="AH523" s="34"/>
      <c r="AI523" s="41"/>
      <c r="AJ523" s="38"/>
      <c r="AK523" s="39"/>
      <c r="AL523" s="34"/>
      <c r="AM523" s="34"/>
      <c r="AN523" s="34" t="s">
        <v>1798</v>
      </c>
      <c r="AO523" s="473"/>
      <c r="AP523" s="34"/>
      <c r="AQ523" s="39" t="s">
        <v>1799</v>
      </c>
      <c r="AR523" s="34" t="s">
        <v>161</v>
      </c>
      <c r="AS523" s="37" t="s">
        <v>1800</v>
      </c>
      <c r="AT523" s="37" t="s">
        <v>1801</v>
      </c>
      <c r="AU523" s="34" t="s">
        <v>1802</v>
      </c>
      <c r="AV523" s="34"/>
      <c r="AW523" s="34" t="s">
        <v>69</v>
      </c>
      <c r="AX523" s="34" t="s">
        <v>1803</v>
      </c>
      <c r="AY523" s="37">
        <v>42040</v>
      </c>
      <c r="AZ523" s="34" t="s">
        <v>1804</v>
      </c>
      <c r="BA523" s="37">
        <v>42137</v>
      </c>
      <c r="BB523" s="678">
        <v>42177</v>
      </c>
      <c r="BC523" s="34" t="s">
        <v>95</v>
      </c>
      <c r="BD523" s="34"/>
      <c r="BE523" s="34"/>
      <c r="BF523" s="39"/>
      <c r="BG523" s="39" t="s">
        <v>1805</v>
      </c>
      <c r="BH523" s="39"/>
      <c r="BI523" s="39"/>
      <c r="BJ523" s="43">
        <v>60860000</v>
      </c>
      <c r="BK523" s="43"/>
      <c r="BL523" s="54"/>
      <c r="BM523" s="37"/>
      <c r="BN523" s="45"/>
      <c r="BO523" s="462"/>
      <c r="BP523" s="391"/>
      <c r="BQ523" s="34"/>
      <c r="BR523" s="42"/>
      <c r="BS523" s="46"/>
      <c r="BT523" s="39"/>
      <c r="BU523" s="39"/>
      <c r="BV523" s="39"/>
      <c r="BW523" s="51"/>
      <c r="BX523" s="41"/>
      <c r="BY523" s="37"/>
      <c r="BZ523" s="52"/>
    </row>
    <row r="524" spans="1:555" ht="59.25" customHeight="1">
      <c r="A524" s="315">
        <v>145</v>
      </c>
      <c r="B524" s="315" t="s">
        <v>1889</v>
      </c>
      <c r="C524" s="315">
        <v>16548074</v>
      </c>
      <c r="D524" s="315" t="s">
        <v>333</v>
      </c>
      <c r="E524" s="315">
        <v>42215</v>
      </c>
      <c r="F524" s="315">
        <v>42186</v>
      </c>
      <c r="G524" s="315" t="s">
        <v>1890</v>
      </c>
      <c r="H524" s="315" t="s">
        <v>625</v>
      </c>
      <c r="I524" s="315" t="s">
        <v>183</v>
      </c>
      <c r="J524" s="315">
        <v>42537</v>
      </c>
      <c r="K524" s="315">
        <v>42522</v>
      </c>
      <c r="L524" s="315" t="s">
        <v>1891</v>
      </c>
      <c r="M524" s="315" t="s">
        <v>5</v>
      </c>
      <c r="N524" s="315" t="s">
        <v>101</v>
      </c>
      <c r="O524" s="315">
        <v>42825</v>
      </c>
      <c r="P524" s="315">
        <v>42795</v>
      </c>
      <c r="Q524" s="315" t="s">
        <v>1892</v>
      </c>
      <c r="R524" s="315" t="s">
        <v>208</v>
      </c>
      <c r="S524" s="315" t="s">
        <v>336</v>
      </c>
      <c r="T524" s="315"/>
      <c r="U524" s="300"/>
      <c r="V524" s="301"/>
      <c r="W524" s="297"/>
      <c r="X524" s="297"/>
      <c r="Y524" s="299"/>
      <c r="Z524" s="300"/>
      <c r="AA524" s="301"/>
      <c r="AB524" s="297"/>
      <c r="AC524" s="297"/>
      <c r="AD524" s="299"/>
      <c r="AE524" s="300"/>
      <c r="AF524" s="301"/>
      <c r="AG524" s="297"/>
      <c r="AH524" s="297"/>
      <c r="AI524" s="304"/>
      <c r="AJ524" s="300"/>
      <c r="AK524" s="301"/>
      <c r="AL524" s="297"/>
      <c r="AM524" s="297"/>
      <c r="AN524" s="297" t="s">
        <v>1734</v>
      </c>
      <c r="AO524" s="540">
        <v>42537</v>
      </c>
      <c r="AP524" s="297"/>
      <c r="AQ524" s="301" t="s">
        <v>1893</v>
      </c>
      <c r="AR524" s="297" t="s">
        <v>161</v>
      </c>
      <c r="AS524" s="299">
        <v>37976</v>
      </c>
      <c r="AT524" s="299">
        <v>40724</v>
      </c>
      <c r="AU524" s="297" t="s">
        <v>1894</v>
      </c>
      <c r="AV524" s="297"/>
      <c r="AW524" s="297" t="s">
        <v>69</v>
      </c>
      <c r="AX524" s="297" t="s">
        <v>1895</v>
      </c>
      <c r="AY524" s="299">
        <v>41471</v>
      </c>
      <c r="AZ524" s="297" t="s">
        <v>1896</v>
      </c>
      <c r="BA524" s="299">
        <v>42202</v>
      </c>
      <c r="BB524" s="299">
        <v>42492</v>
      </c>
      <c r="BC524" s="297" t="s">
        <v>95</v>
      </c>
      <c r="BD524" s="297" t="s">
        <v>566</v>
      </c>
      <c r="BE524" s="297"/>
      <c r="BF524" s="301" t="s">
        <v>8265</v>
      </c>
      <c r="BG524" s="301" t="s">
        <v>1897</v>
      </c>
      <c r="BH524" s="301" t="s">
        <v>10567</v>
      </c>
      <c r="BI524" s="301"/>
      <c r="BJ524" s="312">
        <f>+[85]MATRIZ!$J$85</f>
        <v>2961364.221132616</v>
      </c>
      <c r="BK524" s="312" t="s">
        <v>10568</v>
      </c>
      <c r="BL524" s="313"/>
      <c r="BM524" s="299"/>
      <c r="BN524" s="314"/>
      <c r="BO524" s="460" t="s">
        <v>10569</v>
      </c>
      <c r="BP524" s="390" t="s">
        <v>67</v>
      </c>
      <c r="BQ524" s="297" t="s">
        <v>67</v>
      </c>
      <c r="BR524" s="303"/>
      <c r="BS524" s="301"/>
      <c r="BT524" s="301"/>
      <c r="BU524" s="301"/>
      <c r="BV524" s="301"/>
      <c r="BW524" s="316"/>
      <c r="BX524" s="304"/>
      <c r="BY524" s="299"/>
      <c r="BZ524" s="317"/>
    </row>
    <row r="525" spans="1:555" s="509" customFormat="1" ht="48.75" customHeight="1">
      <c r="A525" s="57">
        <v>158</v>
      </c>
      <c r="B525" s="58" t="s">
        <v>2057</v>
      </c>
      <c r="C525" s="59">
        <v>91473937</v>
      </c>
      <c r="D525" s="170" t="s">
        <v>2058</v>
      </c>
      <c r="E525" s="60">
        <v>42241</v>
      </c>
      <c r="F525" s="61">
        <v>42217</v>
      </c>
      <c r="G525" s="62" t="s">
        <v>2059</v>
      </c>
      <c r="H525" s="58" t="s">
        <v>5</v>
      </c>
      <c r="I525" s="58" t="s">
        <v>101</v>
      </c>
      <c r="J525" s="60">
        <v>42634</v>
      </c>
      <c r="K525" s="61">
        <v>42614</v>
      </c>
      <c r="L525" s="62" t="s">
        <v>2060</v>
      </c>
      <c r="M525" s="58" t="s">
        <v>195</v>
      </c>
      <c r="N525" s="58" t="s">
        <v>336</v>
      </c>
      <c r="O525" s="60">
        <v>43223</v>
      </c>
      <c r="P525" s="63">
        <v>43221</v>
      </c>
      <c r="Q525" s="62" t="s">
        <v>2061</v>
      </c>
      <c r="R525" s="58" t="s">
        <v>2062</v>
      </c>
      <c r="S525" s="58" t="s">
        <v>1114</v>
      </c>
      <c r="T525" s="60">
        <v>44145</v>
      </c>
      <c r="U525" s="61">
        <v>44145</v>
      </c>
      <c r="V525" s="62" t="s">
        <v>9770</v>
      </c>
      <c r="W525" s="58" t="s">
        <v>208</v>
      </c>
      <c r="X525" s="58" t="s">
        <v>9771</v>
      </c>
      <c r="Y525" s="60"/>
      <c r="Z525" s="61"/>
      <c r="AA525" s="62"/>
      <c r="AB525" s="58"/>
      <c r="AC525" s="58"/>
      <c r="AD525" s="60"/>
      <c r="AE525" s="61"/>
      <c r="AF525" s="62"/>
      <c r="AG525" s="58"/>
      <c r="AH525" s="58"/>
      <c r="AI525" s="66"/>
      <c r="AJ525" s="61"/>
      <c r="AK525" s="62"/>
      <c r="AL525" s="58"/>
      <c r="AM525" s="58"/>
      <c r="AN525" s="58" t="s">
        <v>2063</v>
      </c>
      <c r="AO525" s="478"/>
      <c r="AP525" s="58"/>
      <c r="AQ525" s="62" t="s">
        <v>2064</v>
      </c>
      <c r="AR525" s="58" t="s">
        <v>161</v>
      </c>
      <c r="AS525" s="60" t="s">
        <v>67</v>
      </c>
      <c r="AT525" s="60" t="s">
        <v>67</v>
      </c>
      <c r="AU525" s="58" t="s">
        <v>8236</v>
      </c>
      <c r="AV525" s="58"/>
      <c r="AW525" s="58" t="s">
        <v>92</v>
      </c>
      <c r="AX525" s="58" t="s">
        <v>2065</v>
      </c>
      <c r="AY525" s="60">
        <v>41390</v>
      </c>
      <c r="AZ525" s="58" t="s">
        <v>2066</v>
      </c>
      <c r="BA525" s="60">
        <v>41815</v>
      </c>
      <c r="BB525" s="678">
        <v>41836</v>
      </c>
      <c r="BC525" s="70" t="s">
        <v>165</v>
      </c>
      <c r="BD525" s="70" t="s">
        <v>566</v>
      </c>
      <c r="BE525" s="58"/>
      <c r="BF525" s="62" t="s">
        <v>8268</v>
      </c>
      <c r="BG525" s="62"/>
      <c r="BH525" s="62"/>
      <c r="BI525" s="62"/>
      <c r="BJ525" s="74">
        <v>177699268</v>
      </c>
      <c r="BK525" s="67"/>
      <c r="BL525" s="93"/>
      <c r="BM525" s="60"/>
      <c r="BN525" s="69"/>
      <c r="BO525" s="463"/>
      <c r="BP525" s="122"/>
      <c r="BQ525" s="58"/>
      <c r="BR525" s="70"/>
      <c r="BS525" s="62"/>
      <c r="BT525" s="62"/>
      <c r="BU525" s="62"/>
      <c r="BV525" s="62"/>
      <c r="BW525" s="71"/>
      <c r="BX525" s="66"/>
      <c r="BY525" s="60"/>
      <c r="BZ525" s="72"/>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c r="JW525" s="1"/>
      <c r="JX525" s="1"/>
      <c r="JY525" s="1"/>
      <c r="JZ525" s="1"/>
      <c r="KA525" s="1"/>
      <c r="KB525" s="1"/>
      <c r="KC525" s="1"/>
      <c r="KD525" s="1"/>
      <c r="KE525" s="1"/>
      <c r="KF525" s="1"/>
      <c r="KG525" s="1"/>
      <c r="KH525" s="1"/>
      <c r="KI525" s="1"/>
      <c r="KJ525" s="1"/>
      <c r="KK525" s="1"/>
      <c r="KL525" s="1"/>
      <c r="KM525" s="1"/>
      <c r="KN525" s="1"/>
      <c r="KO525" s="1"/>
      <c r="KP525" s="1"/>
      <c r="KQ525" s="1"/>
      <c r="KR525" s="1"/>
      <c r="KS525" s="1"/>
      <c r="KT525" s="1"/>
      <c r="KU525" s="1"/>
      <c r="KV525" s="1"/>
      <c r="KW525" s="1"/>
      <c r="KX525" s="1"/>
      <c r="KY525" s="1"/>
      <c r="KZ525" s="1"/>
      <c r="LA525" s="1"/>
      <c r="LB525" s="1"/>
      <c r="LC525" s="1"/>
      <c r="LD525" s="1"/>
      <c r="LE525" s="1"/>
      <c r="LF525" s="1"/>
      <c r="LG525" s="1"/>
      <c r="LH525" s="1"/>
      <c r="LI525" s="1"/>
      <c r="LJ525" s="1"/>
      <c r="LK525" s="1"/>
      <c r="LL525" s="1"/>
      <c r="LM525" s="1"/>
      <c r="LN525" s="1"/>
      <c r="LO525" s="1"/>
      <c r="LP525" s="1"/>
      <c r="LQ525" s="1"/>
      <c r="LR525" s="1"/>
      <c r="LS525" s="1"/>
      <c r="LT525" s="1"/>
      <c r="LU525" s="1"/>
      <c r="LV525" s="1"/>
      <c r="LW525" s="1"/>
      <c r="LX525" s="1"/>
      <c r="LY525" s="1"/>
      <c r="LZ525" s="1"/>
      <c r="MA525" s="1"/>
      <c r="MB525" s="1"/>
      <c r="MC525" s="1"/>
      <c r="MD525" s="1"/>
      <c r="ME525" s="1"/>
      <c r="MF525" s="1"/>
      <c r="MG525" s="1"/>
      <c r="MH525" s="1"/>
      <c r="MI525" s="1"/>
      <c r="MJ525" s="1"/>
      <c r="MK525" s="1"/>
      <c r="ML525" s="1"/>
      <c r="MM525" s="1"/>
      <c r="MN525" s="1"/>
      <c r="MO525" s="1"/>
      <c r="MP525" s="1"/>
      <c r="MQ525" s="1"/>
      <c r="MR525" s="1"/>
      <c r="MS525" s="1"/>
      <c r="MT525" s="1"/>
      <c r="MU525" s="1"/>
      <c r="MV525" s="1"/>
      <c r="MW525" s="1"/>
      <c r="MX525" s="1"/>
      <c r="MY525" s="1"/>
      <c r="MZ525" s="1"/>
      <c r="NA525" s="1"/>
      <c r="NB525" s="1"/>
      <c r="NC525" s="1"/>
      <c r="ND525" s="1"/>
      <c r="NE525" s="1"/>
      <c r="NF525" s="1"/>
      <c r="NG525" s="1"/>
      <c r="NH525" s="1"/>
      <c r="NI525" s="1"/>
      <c r="NJ525" s="1"/>
      <c r="NK525" s="1"/>
      <c r="NL525" s="1"/>
      <c r="NM525" s="1"/>
      <c r="NN525" s="1"/>
      <c r="NO525" s="1"/>
      <c r="NP525" s="1"/>
      <c r="NQ525" s="1"/>
      <c r="NR525" s="1"/>
      <c r="NS525" s="1"/>
      <c r="NT525" s="1"/>
      <c r="NU525" s="1"/>
      <c r="NV525" s="1"/>
      <c r="NW525" s="1"/>
      <c r="NX525" s="1"/>
      <c r="NY525" s="1"/>
      <c r="NZ525" s="1"/>
      <c r="OA525" s="1"/>
      <c r="OB525" s="1"/>
      <c r="OC525" s="1"/>
      <c r="OD525" s="1"/>
      <c r="OE525" s="1"/>
      <c r="OF525" s="1"/>
      <c r="OG525" s="1"/>
      <c r="OH525" s="1"/>
      <c r="OI525" s="1"/>
      <c r="OJ525" s="1"/>
      <c r="OK525" s="1"/>
      <c r="OL525" s="1"/>
      <c r="OM525" s="1"/>
      <c r="ON525" s="1"/>
      <c r="OO525" s="1"/>
      <c r="OP525" s="1"/>
      <c r="OQ525" s="1"/>
      <c r="OR525" s="1"/>
      <c r="OS525" s="1"/>
      <c r="OT525" s="1"/>
      <c r="OU525" s="1"/>
      <c r="OV525" s="1"/>
      <c r="OW525" s="1"/>
      <c r="OX525" s="1"/>
      <c r="OY525" s="1"/>
      <c r="OZ525" s="1"/>
      <c r="PA525" s="1"/>
      <c r="PB525" s="1"/>
      <c r="PC525" s="1"/>
      <c r="PD525" s="1"/>
      <c r="PE525" s="1"/>
      <c r="PF525" s="1"/>
      <c r="PG525" s="1"/>
      <c r="PH525" s="1"/>
      <c r="PI525" s="1"/>
      <c r="PJ525" s="1"/>
      <c r="PK525" s="1"/>
      <c r="PL525" s="1"/>
      <c r="PM525" s="1"/>
      <c r="PN525" s="1"/>
      <c r="PO525" s="1"/>
      <c r="PP525" s="1"/>
      <c r="PQ525" s="1"/>
      <c r="PR525" s="1"/>
      <c r="PS525" s="1"/>
      <c r="PT525" s="1"/>
      <c r="PU525" s="1"/>
      <c r="PV525" s="1"/>
      <c r="PW525" s="1"/>
      <c r="PX525" s="1"/>
      <c r="PY525" s="1"/>
      <c r="PZ525" s="1"/>
      <c r="QA525" s="1"/>
      <c r="QB525" s="1"/>
      <c r="QC525" s="1"/>
      <c r="QD525" s="1"/>
      <c r="QE525" s="1"/>
      <c r="QF525" s="1"/>
      <c r="QG525" s="1"/>
      <c r="QH525" s="1"/>
      <c r="QI525" s="1"/>
      <c r="QJ525" s="1"/>
      <c r="QK525" s="1"/>
      <c r="QL525" s="1"/>
      <c r="QM525" s="1"/>
      <c r="QN525" s="1"/>
      <c r="QO525" s="1"/>
      <c r="QP525" s="1"/>
      <c r="QQ525" s="1"/>
      <c r="QR525" s="1"/>
      <c r="QS525" s="1"/>
      <c r="QT525" s="1"/>
      <c r="QU525" s="1"/>
      <c r="QV525" s="1"/>
      <c r="QW525" s="1"/>
      <c r="QX525" s="1"/>
      <c r="QY525" s="1"/>
      <c r="QZ525" s="1"/>
      <c r="RA525" s="1"/>
      <c r="RB525" s="1"/>
      <c r="RC525" s="1"/>
      <c r="RD525" s="1"/>
      <c r="RE525" s="1"/>
      <c r="RF525" s="1"/>
      <c r="RG525" s="1"/>
      <c r="RH525" s="1"/>
      <c r="RI525" s="1"/>
      <c r="RJ525" s="1"/>
      <c r="RK525" s="1"/>
      <c r="RL525" s="1"/>
      <c r="RM525" s="1"/>
      <c r="RN525" s="1"/>
      <c r="RO525" s="1"/>
      <c r="RP525" s="1"/>
      <c r="RQ525" s="1"/>
      <c r="RR525" s="1"/>
      <c r="RS525" s="1"/>
      <c r="RT525" s="1"/>
      <c r="RU525" s="1"/>
      <c r="RV525" s="1"/>
      <c r="RW525" s="1"/>
      <c r="RX525" s="1"/>
      <c r="RY525" s="1"/>
      <c r="RZ525" s="1"/>
      <c r="SA525" s="1"/>
      <c r="SB525" s="1"/>
      <c r="SC525" s="1"/>
      <c r="SD525" s="1"/>
      <c r="SE525" s="1"/>
      <c r="SF525" s="1"/>
      <c r="SG525" s="1"/>
      <c r="SH525" s="1"/>
      <c r="SI525" s="1"/>
      <c r="SJ525" s="1"/>
      <c r="SK525" s="1"/>
      <c r="SL525" s="1"/>
      <c r="SM525" s="1"/>
      <c r="SN525" s="1"/>
      <c r="SO525" s="1"/>
      <c r="SP525" s="1"/>
      <c r="SQ525" s="1"/>
      <c r="SR525" s="1"/>
      <c r="SS525" s="1"/>
      <c r="ST525" s="1"/>
      <c r="SU525" s="1"/>
      <c r="SV525" s="1"/>
      <c r="SW525" s="1"/>
      <c r="SX525" s="1"/>
      <c r="SY525" s="1"/>
      <c r="SZ525" s="1"/>
      <c r="TA525" s="1"/>
      <c r="TB525" s="1"/>
      <c r="TC525" s="1"/>
      <c r="TD525" s="1"/>
      <c r="TE525" s="1"/>
      <c r="TF525" s="1"/>
      <c r="TG525" s="1"/>
      <c r="TH525" s="1"/>
      <c r="TI525" s="1"/>
      <c r="TJ525" s="1"/>
      <c r="TK525" s="1"/>
      <c r="TL525" s="1"/>
      <c r="TM525" s="1"/>
      <c r="TN525" s="1"/>
      <c r="TO525" s="1"/>
      <c r="TP525" s="1"/>
      <c r="TQ525" s="1"/>
      <c r="TR525" s="1"/>
      <c r="TS525" s="1"/>
      <c r="TT525" s="1"/>
      <c r="TU525" s="1"/>
      <c r="TV525" s="1"/>
      <c r="TW525" s="1"/>
      <c r="TX525" s="1"/>
      <c r="TY525" s="1"/>
      <c r="TZ525" s="1"/>
      <c r="UA525" s="1"/>
      <c r="UB525" s="1"/>
      <c r="UC525" s="1"/>
      <c r="UD525" s="1"/>
      <c r="UE525" s="1"/>
      <c r="UF525" s="1"/>
      <c r="UG525" s="1"/>
      <c r="UH525" s="1"/>
      <c r="UI525" s="1"/>
    </row>
    <row r="526" spans="1:555" ht="64.5" customHeight="1">
      <c r="A526" s="33">
        <v>159</v>
      </c>
      <c r="B526" s="34" t="s">
        <v>2067</v>
      </c>
      <c r="C526" s="35">
        <v>80033117</v>
      </c>
      <c r="D526" s="440" t="s">
        <v>193</v>
      </c>
      <c r="E526" s="37">
        <v>42243</v>
      </c>
      <c r="F526" s="38">
        <v>42217</v>
      </c>
      <c r="G526" s="39" t="s">
        <v>2068</v>
      </c>
      <c r="H526" s="34" t="s">
        <v>195</v>
      </c>
      <c r="I526" s="34" t="s">
        <v>1751</v>
      </c>
      <c r="J526" s="37">
        <v>43207</v>
      </c>
      <c r="K526" s="38">
        <v>43191</v>
      </c>
      <c r="L526" s="39" t="s">
        <v>2069</v>
      </c>
      <c r="M526" s="34" t="s">
        <v>152</v>
      </c>
      <c r="N526" s="34" t="s">
        <v>1114</v>
      </c>
      <c r="O526" s="37">
        <v>43244</v>
      </c>
      <c r="P526" s="40">
        <v>43221</v>
      </c>
      <c r="Q526" s="39" t="s">
        <v>2070</v>
      </c>
      <c r="R526" s="34" t="s">
        <v>152</v>
      </c>
      <c r="S526" s="34" t="s">
        <v>2071</v>
      </c>
      <c r="T526" s="37"/>
      <c r="U526" s="38"/>
      <c r="V526" s="39"/>
      <c r="W526" s="34"/>
      <c r="X526" s="34"/>
      <c r="Y526" s="37"/>
      <c r="Z526" s="38"/>
      <c r="AA526" s="39"/>
      <c r="AB526" s="34"/>
      <c r="AC526" s="34"/>
      <c r="AD526" s="37"/>
      <c r="AE526" s="38"/>
      <c r="AF526" s="39"/>
      <c r="AG526" s="34"/>
      <c r="AH526" s="34"/>
      <c r="AI526" s="41"/>
      <c r="AJ526" s="38"/>
      <c r="AK526" s="39"/>
      <c r="AL526" s="34"/>
      <c r="AM526" s="34"/>
      <c r="AN526" s="34"/>
      <c r="AO526" s="478" t="s">
        <v>7947</v>
      </c>
      <c r="AP526" s="34"/>
      <c r="AQ526" s="39" t="s">
        <v>2072</v>
      </c>
      <c r="AR526" s="34" t="s">
        <v>161</v>
      </c>
      <c r="AS526" s="37">
        <v>38275</v>
      </c>
      <c r="AT526" s="37">
        <v>39994</v>
      </c>
      <c r="AU526" s="34" t="s">
        <v>2073</v>
      </c>
      <c r="AV526" s="34"/>
      <c r="AW526" s="34" t="s">
        <v>92</v>
      </c>
      <c r="AX526" s="94" t="s">
        <v>2074</v>
      </c>
      <c r="AY526" s="37">
        <v>41547</v>
      </c>
      <c r="AZ526" s="34" t="s">
        <v>2075</v>
      </c>
      <c r="BA526" s="37">
        <v>41817</v>
      </c>
      <c r="BB526" s="382">
        <v>41870</v>
      </c>
      <c r="BC526" s="34" t="s">
        <v>95</v>
      </c>
      <c r="BD526" s="34" t="s">
        <v>2076</v>
      </c>
      <c r="BE526" s="34"/>
      <c r="BF526" s="39"/>
      <c r="BG526" s="39"/>
      <c r="BH526" s="39"/>
      <c r="BI526" s="39"/>
      <c r="BJ526" s="74">
        <f>+[86]MATRIZ!$O$54</f>
        <v>107698345.33034953</v>
      </c>
      <c r="BK526" s="74"/>
      <c r="BL526" s="44"/>
      <c r="BM526" s="37"/>
      <c r="BN526" s="45"/>
      <c r="BO526" s="462"/>
      <c r="BP526" s="391"/>
      <c r="BQ526" s="34"/>
      <c r="BR526" s="42"/>
      <c r="BS526" s="39"/>
      <c r="BT526" s="39"/>
      <c r="BU526" s="39"/>
      <c r="BV526" s="39"/>
      <c r="BW526" s="51"/>
      <c r="BX526" s="41"/>
      <c r="BY526" s="37"/>
      <c r="BZ526" s="52"/>
    </row>
    <row r="527" spans="1:555" ht="243">
      <c r="A527" s="33">
        <v>161</v>
      </c>
      <c r="B527" s="34" t="s">
        <v>2090</v>
      </c>
      <c r="C527" s="35">
        <v>75089644</v>
      </c>
      <c r="D527" s="440" t="s">
        <v>906</v>
      </c>
      <c r="E527" s="37">
        <v>42249</v>
      </c>
      <c r="F527" s="38">
        <v>42248</v>
      </c>
      <c r="G527" s="39" t="s">
        <v>2091</v>
      </c>
      <c r="H527" s="34" t="s">
        <v>625</v>
      </c>
      <c r="I527" s="34" t="s">
        <v>183</v>
      </c>
      <c r="J527" s="37">
        <v>42723</v>
      </c>
      <c r="K527" s="38">
        <v>42705</v>
      </c>
      <c r="L527" s="39" t="s">
        <v>2092</v>
      </c>
      <c r="M527" s="34" t="s">
        <v>171</v>
      </c>
      <c r="N527" s="34" t="s">
        <v>183</v>
      </c>
      <c r="O527" s="37"/>
      <c r="P527" s="40"/>
      <c r="Q527" s="39"/>
      <c r="R527" s="34"/>
      <c r="S527" s="34"/>
      <c r="T527" s="37"/>
      <c r="U527" s="38"/>
      <c r="V527" s="39"/>
      <c r="W527" s="34"/>
      <c r="X527" s="34"/>
      <c r="Y527" s="37"/>
      <c r="Z527" s="38"/>
      <c r="AA527" s="39"/>
      <c r="AB527" s="34"/>
      <c r="AC527" s="34"/>
      <c r="AD527" s="37"/>
      <c r="AE527" s="38"/>
      <c r="AF527" s="39"/>
      <c r="AG527" s="34"/>
      <c r="AH527" s="34"/>
      <c r="AI527" s="41"/>
      <c r="AJ527" s="38"/>
      <c r="AK527" s="39"/>
      <c r="AL527" s="34"/>
      <c r="AM527" s="34"/>
      <c r="AN527" s="34"/>
      <c r="AO527" s="473"/>
      <c r="AP527" s="34"/>
      <c r="AQ527" s="39" t="s">
        <v>2093</v>
      </c>
      <c r="AR527" s="34" t="s">
        <v>161</v>
      </c>
      <c r="AS527" s="37" t="s">
        <v>67</v>
      </c>
      <c r="AT527" s="37" t="s">
        <v>67</v>
      </c>
      <c r="AU527" s="34" t="s">
        <v>2094</v>
      </c>
      <c r="AV527" s="34"/>
      <c r="AW527" s="34" t="s">
        <v>69</v>
      </c>
      <c r="AX527" s="34" t="s">
        <v>2095</v>
      </c>
      <c r="AY527" s="37">
        <v>41547</v>
      </c>
      <c r="AZ527" s="34" t="s">
        <v>2096</v>
      </c>
      <c r="BA527" s="37">
        <v>42249</v>
      </c>
      <c r="BB527" s="678">
        <v>42256</v>
      </c>
      <c r="BC527" s="42" t="s">
        <v>912</v>
      </c>
      <c r="BD527" s="42"/>
      <c r="BE527" s="34"/>
      <c r="BF527" s="39"/>
      <c r="BG527" s="39"/>
      <c r="BH527" s="39"/>
      <c r="BI527" s="39"/>
      <c r="BJ527" s="43">
        <v>10235680</v>
      </c>
      <c r="BK527" s="43"/>
      <c r="BL527" s="44"/>
      <c r="BM527" s="37"/>
      <c r="BN527" s="45"/>
      <c r="BO527" s="462"/>
      <c r="BP527" s="391"/>
      <c r="BQ527" s="34"/>
      <c r="BR527" s="42"/>
      <c r="BS527" s="39"/>
      <c r="BT527" s="39"/>
      <c r="BU527" s="39"/>
      <c r="BV527" s="39"/>
      <c r="BW527" s="51"/>
      <c r="BX527" s="41"/>
      <c r="BY527" s="37"/>
      <c r="BZ527" s="52"/>
    </row>
    <row r="528" spans="1:555" ht="75.75" customHeight="1">
      <c r="A528" s="33">
        <v>162</v>
      </c>
      <c r="B528" s="34" t="s">
        <v>2097</v>
      </c>
      <c r="C528" s="35">
        <v>79507868</v>
      </c>
      <c r="D528" s="440" t="s">
        <v>579</v>
      </c>
      <c r="E528" s="37">
        <v>42249</v>
      </c>
      <c r="F528" s="38">
        <v>42248</v>
      </c>
      <c r="G528" s="39" t="s">
        <v>2098</v>
      </c>
      <c r="H528" s="34" t="s">
        <v>1493</v>
      </c>
      <c r="I528" s="34" t="s">
        <v>183</v>
      </c>
      <c r="J528" s="37">
        <v>42723</v>
      </c>
      <c r="K528" s="38">
        <v>42705</v>
      </c>
      <c r="L528" s="39" t="s">
        <v>2092</v>
      </c>
      <c r="M528" s="34" t="s">
        <v>171</v>
      </c>
      <c r="N528" s="34" t="s">
        <v>183</v>
      </c>
      <c r="O528" s="37"/>
      <c r="P528" s="40"/>
      <c r="Q528" s="39"/>
      <c r="R528" s="34"/>
      <c r="S528" s="34"/>
      <c r="T528" s="37"/>
      <c r="U528" s="38"/>
      <c r="V528" s="39"/>
      <c r="W528" s="34"/>
      <c r="X528" s="34"/>
      <c r="Y528" s="37"/>
      <c r="Z528" s="38"/>
      <c r="AA528" s="39"/>
      <c r="AB528" s="34"/>
      <c r="AC528" s="34"/>
      <c r="AD528" s="37"/>
      <c r="AE528" s="38"/>
      <c r="AF528" s="39"/>
      <c r="AG528" s="34"/>
      <c r="AH528" s="34"/>
      <c r="AI528" s="41"/>
      <c r="AJ528" s="38"/>
      <c r="AK528" s="39"/>
      <c r="AL528" s="34"/>
      <c r="AM528" s="34"/>
      <c r="AN528" s="34" t="s">
        <v>2099</v>
      </c>
      <c r="AO528" s="473"/>
      <c r="AP528" s="34"/>
      <c r="AQ528" s="39" t="s">
        <v>2100</v>
      </c>
      <c r="AR528" s="34" t="s">
        <v>161</v>
      </c>
      <c r="AS528" s="37" t="s">
        <v>67</v>
      </c>
      <c r="AT528" s="37" t="s">
        <v>67</v>
      </c>
      <c r="AU528" s="34" t="s">
        <v>2101</v>
      </c>
      <c r="AV528" s="34"/>
      <c r="AW528" s="34" t="s">
        <v>69</v>
      </c>
      <c r="AX528" s="34" t="s">
        <v>2102</v>
      </c>
      <c r="AY528" s="37">
        <v>41773</v>
      </c>
      <c r="AZ528" s="34" t="s">
        <v>1896</v>
      </c>
      <c r="BA528" s="37">
        <v>42249</v>
      </c>
      <c r="BB528" s="678">
        <v>42256</v>
      </c>
      <c r="BC528" s="42" t="s">
        <v>912</v>
      </c>
      <c r="BD528" s="42"/>
      <c r="BE528" s="34"/>
      <c r="BF528" s="39"/>
      <c r="BG528" s="39"/>
      <c r="BH528" s="39"/>
      <c r="BI528" s="39"/>
      <c r="BJ528" s="43">
        <f>+'[87]MATRIZ DE CONTRATOS '!$J$59</f>
        <v>10827435.452570764</v>
      </c>
      <c r="BK528" s="43"/>
      <c r="BL528" s="54"/>
      <c r="BM528" s="37"/>
      <c r="BN528" s="45"/>
      <c r="BO528" s="462"/>
      <c r="BP528" s="391"/>
      <c r="BQ528" s="34"/>
      <c r="BR528" s="42"/>
      <c r="BS528" s="46"/>
      <c r="BT528" s="39"/>
      <c r="BU528" s="39"/>
      <c r="BV528" s="39"/>
      <c r="BW528" s="51"/>
      <c r="BX528" s="41"/>
      <c r="BY528" s="37"/>
      <c r="BZ528" s="52"/>
    </row>
    <row r="529" spans="1:555" ht="229.5">
      <c r="A529" s="555">
        <v>170</v>
      </c>
      <c r="B529" s="556" t="s">
        <v>2165</v>
      </c>
      <c r="C529" s="576">
        <v>7142224</v>
      </c>
      <c r="D529" s="558" t="s">
        <v>463</v>
      </c>
      <c r="E529" s="559">
        <v>42255</v>
      </c>
      <c r="F529" s="560">
        <v>42248</v>
      </c>
      <c r="G529" s="561" t="s">
        <v>2166</v>
      </c>
      <c r="H529" s="556" t="s">
        <v>625</v>
      </c>
      <c r="I529" s="556" t="s">
        <v>183</v>
      </c>
      <c r="J529" s="559"/>
      <c r="K529" s="560"/>
      <c r="L529" s="561"/>
      <c r="M529" s="556"/>
      <c r="N529" s="556"/>
      <c r="O529" s="559"/>
      <c r="P529" s="562"/>
      <c r="Q529" s="561"/>
      <c r="R529" s="556"/>
      <c r="S529" s="556"/>
      <c r="T529" s="559"/>
      <c r="U529" s="560"/>
      <c r="V529" s="561"/>
      <c r="W529" s="556"/>
      <c r="X529" s="556"/>
      <c r="Y529" s="559"/>
      <c r="Z529" s="560"/>
      <c r="AA529" s="561"/>
      <c r="AB529" s="556"/>
      <c r="AC529" s="556"/>
      <c r="AD529" s="559"/>
      <c r="AE529" s="560"/>
      <c r="AF529" s="561"/>
      <c r="AG529" s="556"/>
      <c r="AH529" s="556"/>
      <c r="AI529" s="563"/>
      <c r="AJ529" s="560"/>
      <c r="AK529" s="561"/>
      <c r="AL529" s="556"/>
      <c r="AM529" s="556"/>
      <c r="AN529" s="556" t="s">
        <v>2167</v>
      </c>
      <c r="AO529" s="556"/>
      <c r="AP529" s="556"/>
      <c r="AQ529" s="561" t="s">
        <v>2168</v>
      </c>
      <c r="AR529" s="556" t="s">
        <v>161</v>
      </c>
      <c r="AS529" s="559">
        <v>38412</v>
      </c>
      <c r="AT529" s="559">
        <v>39263</v>
      </c>
      <c r="AU529" s="577" t="s">
        <v>2169</v>
      </c>
      <c r="AV529" s="577"/>
      <c r="AW529" s="556" t="s">
        <v>69</v>
      </c>
      <c r="AX529" s="556" t="s">
        <v>2170</v>
      </c>
      <c r="AY529" s="559">
        <v>42150</v>
      </c>
      <c r="AZ529" s="556" t="s">
        <v>2171</v>
      </c>
      <c r="BA529" s="559">
        <v>42221</v>
      </c>
      <c r="BB529" s="382">
        <v>42236</v>
      </c>
      <c r="BC529" s="556" t="s">
        <v>95</v>
      </c>
      <c r="BD529" s="556" t="s">
        <v>566</v>
      </c>
      <c r="BE529" s="556"/>
      <c r="BF529" s="561"/>
      <c r="BG529" s="561"/>
      <c r="BH529" s="561"/>
      <c r="BI529" s="561"/>
      <c r="BJ529" s="565">
        <v>0</v>
      </c>
      <c r="BK529" s="565"/>
      <c r="BL529" s="566"/>
      <c r="BM529" s="559"/>
      <c r="BN529" s="567"/>
      <c r="BO529" s="568"/>
      <c r="BP529" s="569"/>
      <c r="BQ529" s="556"/>
      <c r="BR529" s="570"/>
      <c r="BS529" s="571"/>
      <c r="BT529" s="561"/>
      <c r="BU529" s="561"/>
      <c r="BV529" s="561"/>
      <c r="BW529" s="578"/>
      <c r="BX529" s="563"/>
      <c r="BY529" s="559"/>
      <c r="BZ529" s="579"/>
    </row>
    <row r="530" spans="1:555" ht="175.5">
      <c r="A530" s="33">
        <v>177</v>
      </c>
      <c r="B530" s="34" t="s">
        <v>2221</v>
      </c>
      <c r="C530" s="35">
        <v>71762925</v>
      </c>
      <c r="D530" s="440" t="s">
        <v>906</v>
      </c>
      <c r="E530" s="37">
        <v>42271</v>
      </c>
      <c r="F530" s="38">
        <v>42248</v>
      </c>
      <c r="G530" s="39" t="s">
        <v>2222</v>
      </c>
      <c r="H530" s="34" t="s">
        <v>1493</v>
      </c>
      <c r="I530" s="34" t="s">
        <v>2223</v>
      </c>
      <c r="J530" s="37">
        <v>42272</v>
      </c>
      <c r="K530" s="38">
        <v>42248</v>
      </c>
      <c r="L530" s="39" t="s">
        <v>2224</v>
      </c>
      <c r="M530" s="34" t="s">
        <v>625</v>
      </c>
      <c r="N530" s="34" t="s">
        <v>183</v>
      </c>
      <c r="O530" s="37"/>
      <c r="P530" s="40"/>
      <c r="Q530" s="39"/>
      <c r="R530" s="34"/>
      <c r="S530" s="34"/>
      <c r="T530" s="37"/>
      <c r="U530" s="38"/>
      <c r="V530" s="39"/>
      <c r="W530" s="34"/>
      <c r="X530" s="34"/>
      <c r="Y530" s="37"/>
      <c r="Z530" s="38"/>
      <c r="AA530" s="39"/>
      <c r="AB530" s="34"/>
      <c r="AC530" s="34"/>
      <c r="AD530" s="37"/>
      <c r="AE530" s="38"/>
      <c r="AF530" s="39"/>
      <c r="AG530" s="34"/>
      <c r="AH530" s="34"/>
      <c r="AI530" s="41"/>
      <c r="AJ530" s="38"/>
      <c r="AK530" s="39"/>
      <c r="AL530" s="34"/>
      <c r="AM530" s="34"/>
      <c r="AN530" s="34"/>
      <c r="AO530" s="473"/>
      <c r="AP530" s="34"/>
      <c r="AQ530" s="39" t="s">
        <v>2225</v>
      </c>
      <c r="AR530" s="34" t="s">
        <v>161</v>
      </c>
      <c r="AS530" s="37" t="s">
        <v>67</v>
      </c>
      <c r="AT530" s="37" t="s">
        <v>67</v>
      </c>
      <c r="AU530" s="34" t="s">
        <v>2226</v>
      </c>
      <c r="AV530" s="34"/>
      <c r="AW530" s="34" t="s">
        <v>69</v>
      </c>
      <c r="AX530" s="34" t="s">
        <v>2227</v>
      </c>
      <c r="AY530" s="37">
        <v>41906</v>
      </c>
      <c r="AZ530" s="34" t="s">
        <v>409</v>
      </c>
      <c r="BA530" s="37">
        <v>42254</v>
      </c>
      <c r="BB530" s="382">
        <v>42264</v>
      </c>
      <c r="BC530" s="42" t="s">
        <v>912</v>
      </c>
      <c r="BD530" s="42"/>
      <c r="BE530" s="34"/>
      <c r="BF530" s="39"/>
      <c r="BG530" s="39"/>
      <c r="BH530" s="39"/>
      <c r="BI530" s="39"/>
      <c r="BJ530" s="74">
        <v>10235680</v>
      </c>
      <c r="BK530" s="74"/>
      <c r="BL530" s="44"/>
      <c r="BM530" s="37"/>
      <c r="BN530" s="45"/>
      <c r="BO530" s="462"/>
      <c r="BP530" s="391"/>
      <c r="BQ530" s="34"/>
      <c r="BR530" s="42"/>
      <c r="BS530" s="39"/>
      <c r="BT530" s="39"/>
      <c r="BU530" s="39"/>
      <c r="BV530" s="39"/>
      <c r="BW530" s="51"/>
      <c r="BX530" s="41"/>
      <c r="BY530" s="37"/>
      <c r="BZ530" s="52"/>
    </row>
    <row r="531" spans="1:555" ht="68.25" customHeight="1">
      <c r="A531" s="646">
        <v>193</v>
      </c>
      <c r="B531" s="647" t="s">
        <v>2375</v>
      </c>
      <c r="C531" s="648">
        <v>15532834</v>
      </c>
      <c r="D531" s="649" t="s">
        <v>333</v>
      </c>
      <c r="E531" s="650">
        <v>42312</v>
      </c>
      <c r="F531" s="651">
        <v>42309</v>
      </c>
      <c r="G531" s="652" t="s">
        <v>2376</v>
      </c>
      <c r="H531" s="647" t="s">
        <v>195</v>
      </c>
      <c r="I531" s="647" t="s">
        <v>153</v>
      </c>
      <c r="J531" s="650">
        <v>42515</v>
      </c>
      <c r="K531" s="651">
        <v>42491</v>
      </c>
      <c r="L531" s="652" t="s">
        <v>7345</v>
      </c>
      <c r="M531" s="647" t="s">
        <v>198</v>
      </c>
      <c r="N531" s="647" t="s">
        <v>183</v>
      </c>
      <c r="O531" s="650">
        <v>42640</v>
      </c>
      <c r="P531" s="653">
        <v>42614</v>
      </c>
      <c r="Q531" s="652" t="s">
        <v>1989</v>
      </c>
      <c r="R531" s="647" t="s">
        <v>503</v>
      </c>
      <c r="S531" s="647" t="s">
        <v>2378</v>
      </c>
      <c r="T531" s="650">
        <v>42674</v>
      </c>
      <c r="U531" s="651">
        <v>42644</v>
      </c>
      <c r="V531" s="652" t="s">
        <v>2379</v>
      </c>
      <c r="W531" s="647" t="s">
        <v>195</v>
      </c>
      <c r="X531" s="647" t="s">
        <v>153</v>
      </c>
      <c r="Y531" s="650">
        <v>43403</v>
      </c>
      <c r="Z531" s="651">
        <v>43403</v>
      </c>
      <c r="AA531" s="652" t="s">
        <v>7228</v>
      </c>
      <c r="AB531" s="647" t="s">
        <v>7229</v>
      </c>
      <c r="AC531" s="647" t="s">
        <v>7230</v>
      </c>
      <c r="AD531" s="650">
        <v>43402</v>
      </c>
      <c r="AE531" s="651">
        <v>43402</v>
      </c>
      <c r="AF531" s="652" t="s">
        <v>7232</v>
      </c>
      <c r="AG531" s="647" t="s">
        <v>7233</v>
      </c>
      <c r="AH531" s="647" t="s">
        <v>7234</v>
      </c>
      <c r="AI531" s="650" t="s">
        <v>7954</v>
      </c>
      <c r="AJ531" s="651" t="s">
        <v>7955</v>
      </c>
      <c r="AK531" s="652" t="s">
        <v>7956</v>
      </c>
      <c r="AL531" s="647" t="s">
        <v>7957</v>
      </c>
      <c r="AM531" s="647" t="s">
        <v>7958</v>
      </c>
      <c r="AN531" s="647" t="s">
        <v>2380</v>
      </c>
      <c r="AO531" s="654">
        <v>42095</v>
      </c>
      <c r="AP531" s="647"/>
      <c r="AQ531" s="652" t="s">
        <v>2381</v>
      </c>
      <c r="AR531" s="647" t="s">
        <v>161</v>
      </c>
      <c r="AS531" s="650" t="s">
        <v>67</v>
      </c>
      <c r="AT531" s="650" t="s">
        <v>67</v>
      </c>
      <c r="AU531" s="647" t="s">
        <v>9227</v>
      </c>
      <c r="AV531" s="647"/>
      <c r="AW531" s="647" t="s">
        <v>579</v>
      </c>
      <c r="AX531" s="647" t="s">
        <v>2382</v>
      </c>
      <c r="AY531" s="650">
        <v>41043</v>
      </c>
      <c r="AZ531" s="647" t="s">
        <v>2383</v>
      </c>
      <c r="BA531" s="650">
        <v>42180</v>
      </c>
      <c r="BB531" s="382">
        <v>42202</v>
      </c>
      <c r="BC531" s="655" t="s">
        <v>165</v>
      </c>
      <c r="BD531" s="655" t="s">
        <v>566</v>
      </c>
      <c r="BE531" s="647"/>
      <c r="BF531" s="652"/>
      <c r="BG531" s="652"/>
      <c r="BH531" s="652"/>
      <c r="BI531" s="652"/>
      <c r="BJ531" s="656">
        <f>+'[88]MATRIZ '!$J$52</f>
        <v>279218900.14692515</v>
      </c>
      <c r="BK531" s="656"/>
      <c r="BL531" s="657"/>
      <c r="BM531" s="650"/>
      <c r="BN531" s="658"/>
      <c r="BO531" s="659"/>
      <c r="BP531" s="660"/>
      <c r="BQ531" s="647"/>
      <c r="BR531" s="655"/>
      <c r="BS531" s="652" t="s">
        <v>2384</v>
      </c>
      <c r="BT531" s="652"/>
      <c r="BU531" s="652"/>
      <c r="BV531" s="652"/>
      <c r="BW531" s="661"/>
      <c r="BX531" s="662"/>
      <c r="BY531" s="650"/>
      <c r="BZ531" s="663"/>
    </row>
    <row r="532" spans="1:555" s="259" customFormat="1" ht="66.75" customHeight="1">
      <c r="A532" s="57">
        <v>194</v>
      </c>
      <c r="B532" s="58" t="s">
        <v>2385</v>
      </c>
      <c r="C532" s="59">
        <v>43261923</v>
      </c>
      <c r="D532" s="170" t="s">
        <v>333</v>
      </c>
      <c r="E532" s="60">
        <v>42312</v>
      </c>
      <c r="F532" s="61">
        <v>42309</v>
      </c>
      <c r="G532" s="62" t="s">
        <v>2376</v>
      </c>
      <c r="H532" s="58" t="s">
        <v>195</v>
      </c>
      <c r="I532" s="58" t="s">
        <v>153</v>
      </c>
      <c r="J532" s="60">
        <v>42515</v>
      </c>
      <c r="K532" s="61">
        <v>42491</v>
      </c>
      <c r="L532" s="62" t="s">
        <v>7345</v>
      </c>
      <c r="M532" s="58" t="s">
        <v>198</v>
      </c>
      <c r="N532" s="58" t="s">
        <v>183</v>
      </c>
      <c r="O532" s="60">
        <v>42640</v>
      </c>
      <c r="P532" s="63">
        <v>42614</v>
      </c>
      <c r="Q532" s="62" t="s">
        <v>1989</v>
      </c>
      <c r="R532" s="58" t="s">
        <v>503</v>
      </c>
      <c r="S532" s="58" t="s">
        <v>2378</v>
      </c>
      <c r="T532" s="60">
        <v>42674</v>
      </c>
      <c r="U532" s="61">
        <v>42644</v>
      </c>
      <c r="V532" s="62" t="s">
        <v>2379</v>
      </c>
      <c r="W532" s="58" t="s">
        <v>195</v>
      </c>
      <c r="X532" s="58" t="s">
        <v>153</v>
      </c>
      <c r="Y532" s="60"/>
      <c r="Z532" s="61"/>
      <c r="AA532" s="62"/>
      <c r="AB532" s="58"/>
      <c r="AC532" s="58"/>
      <c r="AD532" s="60"/>
      <c r="AE532" s="61"/>
      <c r="AF532" s="62"/>
      <c r="AG532" s="58" t="s">
        <v>2386</v>
      </c>
      <c r="AH532" s="58"/>
      <c r="AI532" s="66"/>
      <c r="AJ532" s="61"/>
      <c r="AK532" s="62"/>
      <c r="AL532" s="58"/>
      <c r="AM532" s="58"/>
      <c r="AN532" s="58" t="s">
        <v>2387</v>
      </c>
      <c r="AO532" s="479">
        <v>42271</v>
      </c>
      <c r="AP532" s="58"/>
      <c r="AQ532" s="62" t="s">
        <v>2388</v>
      </c>
      <c r="AR532" s="58" t="s">
        <v>161</v>
      </c>
      <c r="AS532" s="60" t="s">
        <v>67</v>
      </c>
      <c r="AT532" s="60" t="s">
        <v>67</v>
      </c>
      <c r="AU532" s="58" t="s">
        <v>9233</v>
      </c>
      <c r="AV532" s="58"/>
      <c r="AW532" s="58" t="s">
        <v>92</v>
      </c>
      <c r="AX532" s="58" t="s">
        <v>2389</v>
      </c>
      <c r="AY532" s="60">
        <v>41697</v>
      </c>
      <c r="AZ532" s="58" t="s">
        <v>409</v>
      </c>
      <c r="BA532" s="60">
        <v>42088</v>
      </c>
      <c r="BB532" s="382">
        <v>42132</v>
      </c>
      <c r="BC532" s="70" t="s">
        <v>165</v>
      </c>
      <c r="BD532" s="70" t="s">
        <v>566</v>
      </c>
      <c r="BE532" s="58"/>
      <c r="BF532" s="62"/>
      <c r="BG532" s="62"/>
      <c r="BH532" s="62"/>
      <c r="BI532" s="62"/>
      <c r="BJ532" s="74">
        <f>+'[89]MATRIZ '!$J$54</f>
        <v>266076779.74400896</v>
      </c>
      <c r="BK532" s="67"/>
      <c r="BL532" s="68"/>
      <c r="BM532" s="60"/>
      <c r="BN532" s="69"/>
      <c r="BO532" s="463"/>
      <c r="BP532" s="122"/>
      <c r="BQ532" s="58"/>
      <c r="BR532" s="70"/>
      <c r="BS532" s="62"/>
      <c r="BT532" s="62"/>
      <c r="BU532" s="62"/>
      <c r="BV532" s="62"/>
      <c r="BW532" s="71"/>
      <c r="BX532" s="66"/>
      <c r="BY532" s="60"/>
      <c r="BZ532" s="72"/>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c r="JW532" s="1"/>
      <c r="JX532" s="1"/>
      <c r="JY532" s="1"/>
      <c r="JZ532" s="1"/>
      <c r="KA532" s="1"/>
      <c r="KB532" s="1"/>
      <c r="KC532" s="1"/>
      <c r="KD532" s="1"/>
      <c r="KE532" s="1"/>
      <c r="KF532" s="1"/>
      <c r="KG532" s="1"/>
      <c r="KH532" s="1"/>
      <c r="KI532" s="1"/>
      <c r="KJ532" s="1"/>
      <c r="KK532" s="1"/>
      <c r="KL532" s="1"/>
      <c r="KM532" s="1"/>
      <c r="KN532" s="1"/>
      <c r="KO532" s="1"/>
      <c r="KP532" s="1"/>
      <c r="KQ532" s="1"/>
      <c r="KR532" s="1"/>
      <c r="KS532" s="1"/>
      <c r="KT532" s="1"/>
      <c r="KU532" s="1"/>
      <c r="KV532" s="1"/>
      <c r="KW532" s="1"/>
      <c r="KX532" s="1"/>
      <c r="KY532" s="1"/>
      <c r="KZ532" s="1"/>
      <c r="LA532" s="1"/>
      <c r="LB532" s="1"/>
      <c r="LC532" s="1"/>
      <c r="LD532" s="1"/>
      <c r="LE532" s="1"/>
      <c r="LF532" s="1"/>
      <c r="LG532" s="1"/>
      <c r="LH532" s="1"/>
      <c r="LI532" s="1"/>
      <c r="LJ532" s="1"/>
      <c r="LK532" s="1"/>
      <c r="LL532" s="1"/>
      <c r="LM532" s="1"/>
      <c r="LN532" s="1"/>
      <c r="LO532" s="1"/>
      <c r="LP532" s="1"/>
      <c r="LQ532" s="1"/>
      <c r="LR532" s="1"/>
      <c r="LS532" s="1"/>
      <c r="LT532" s="1"/>
      <c r="LU532" s="1"/>
      <c r="LV532" s="1"/>
      <c r="LW532" s="1"/>
      <c r="LX532" s="1"/>
      <c r="LY532" s="1"/>
      <c r="LZ532" s="1"/>
      <c r="MA532" s="1"/>
      <c r="MB532" s="1"/>
      <c r="MC532" s="1"/>
      <c r="MD532" s="1"/>
      <c r="ME532" s="1"/>
      <c r="MF532" s="1"/>
      <c r="MG532" s="1"/>
      <c r="MH532" s="1"/>
      <c r="MI532" s="1"/>
      <c r="MJ532" s="1"/>
      <c r="MK532" s="1"/>
      <c r="ML532" s="1"/>
      <c r="MM532" s="1"/>
      <c r="MN532" s="1"/>
      <c r="MO532" s="1"/>
      <c r="MP532" s="1"/>
      <c r="MQ532" s="1"/>
      <c r="MR532" s="1"/>
      <c r="MS532" s="1"/>
      <c r="MT532" s="1"/>
      <c r="MU532" s="1"/>
      <c r="MV532" s="1"/>
      <c r="MW532" s="1"/>
      <c r="MX532" s="1"/>
      <c r="MY532" s="1"/>
      <c r="MZ532" s="1"/>
      <c r="NA532" s="1"/>
      <c r="NB532" s="1"/>
      <c r="NC532" s="1"/>
      <c r="ND532" s="1"/>
      <c r="NE532" s="1"/>
      <c r="NF532" s="1"/>
      <c r="NG532" s="1"/>
      <c r="NH532" s="1"/>
      <c r="NI532" s="1"/>
      <c r="NJ532" s="1"/>
      <c r="NK532" s="1"/>
      <c r="NL532" s="1"/>
      <c r="NM532" s="1"/>
      <c r="NN532" s="1"/>
      <c r="NO532" s="1"/>
      <c r="NP532" s="1"/>
      <c r="NQ532" s="1"/>
      <c r="NR532" s="1"/>
      <c r="NS532" s="1"/>
      <c r="NT532" s="1"/>
      <c r="NU532" s="1"/>
      <c r="NV532" s="1"/>
      <c r="NW532" s="1"/>
      <c r="NX532" s="1"/>
      <c r="NY532" s="1"/>
      <c r="NZ532" s="1"/>
      <c r="OA532" s="1"/>
      <c r="OB532" s="1"/>
      <c r="OC532" s="1"/>
      <c r="OD532" s="1"/>
      <c r="OE532" s="1"/>
      <c r="OF532" s="1"/>
      <c r="OG532" s="1"/>
      <c r="OH532" s="1"/>
      <c r="OI532" s="1"/>
      <c r="OJ532" s="1"/>
      <c r="OK532" s="1"/>
      <c r="OL532" s="1"/>
      <c r="OM532" s="1"/>
      <c r="ON532" s="1"/>
      <c r="OO532" s="1"/>
      <c r="OP532" s="1"/>
      <c r="OQ532" s="1"/>
      <c r="OR532" s="1"/>
      <c r="OS532" s="1"/>
      <c r="OT532" s="1"/>
      <c r="OU532" s="1"/>
      <c r="OV532" s="1"/>
      <c r="OW532" s="1"/>
      <c r="OX532" s="1"/>
      <c r="OY532" s="1"/>
      <c r="OZ532" s="1"/>
      <c r="PA532" s="1"/>
      <c r="PB532" s="1"/>
      <c r="PC532" s="1"/>
      <c r="PD532" s="1"/>
      <c r="PE532" s="1"/>
      <c r="PF532" s="1"/>
      <c r="PG532" s="1"/>
      <c r="PH532" s="1"/>
      <c r="PI532" s="1"/>
      <c r="PJ532" s="1"/>
      <c r="PK532" s="1"/>
      <c r="PL532" s="1"/>
      <c r="PM532" s="1"/>
      <c r="PN532" s="1"/>
      <c r="PO532" s="1"/>
      <c r="PP532" s="1"/>
      <c r="PQ532" s="1"/>
      <c r="PR532" s="1"/>
      <c r="PS532" s="1"/>
      <c r="PT532" s="1"/>
      <c r="PU532" s="1"/>
      <c r="PV532" s="1"/>
      <c r="PW532" s="1"/>
      <c r="PX532" s="1"/>
      <c r="PY532" s="1"/>
      <c r="PZ532" s="1"/>
      <c r="QA532" s="1"/>
      <c r="QB532" s="1"/>
      <c r="QC532" s="1"/>
      <c r="QD532" s="1"/>
      <c r="QE532" s="1"/>
      <c r="QF532" s="1"/>
      <c r="QG532" s="1"/>
      <c r="QH532" s="1"/>
      <c r="QI532" s="1"/>
      <c r="QJ532" s="1"/>
      <c r="QK532" s="1"/>
      <c r="QL532" s="1"/>
      <c r="QM532" s="1"/>
      <c r="QN532" s="1"/>
      <c r="QO532" s="1"/>
      <c r="QP532" s="1"/>
      <c r="QQ532" s="1"/>
      <c r="QR532" s="1"/>
      <c r="QS532" s="1"/>
      <c r="QT532" s="1"/>
      <c r="QU532" s="1"/>
      <c r="QV532" s="1"/>
      <c r="QW532" s="1"/>
      <c r="QX532" s="1"/>
      <c r="QY532" s="1"/>
      <c r="QZ532" s="1"/>
      <c r="RA532" s="1"/>
      <c r="RB532" s="1"/>
      <c r="RC532" s="1"/>
      <c r="RD532" s="1"/>
      <c r="RE532" s="1"/>
      <c r="RF532" s="1"/>
      <c r="RG532" s="1"/>
      <c r="RH532" s="1"/>
      <c r="RI532" s="1"/>
      <c r="RJ532" s="1"/>
      <c r="RK532" s="1"/>
      <c r="RL532" s="1"/>
      <c r="RM532" s="1"/>
      <c r="RN532" s="1"/>
      <c r="RO532" s="1"/>
      <c r="RP532" s="1"/>
      <c r="RQ532" s="1"/>
      <c r="RR532" s="1"/>
      <c r="RS532" s="1"/>
      <c r="RT532" s="1"/>
      <c r="RU532" s="1"/>
      <c r="RV532" s="1"/>
      <c r="RW532" s="1"/>
      <c r="RX532" s="1"/>
      <c r="RY532" s="1"/>
      <c r="RZ532" s="1"/>
      <c r="SA532" s="1"/>
      <c r="SB532" s="1"/>
      <c r="SC532" s="1"/>
      <c r="SD532" s="1"/>
      <c r="SE532" s="1"/>
      <c r="SF532" s="1"/>
      <c r="SG532" s="1"/>
      <c r="SH532" s="1"/>
      <c r="SI532" s="1"/>
      <c r="SJ532" s="1"/>
      <c r="SK532" s="1"/>
      <c r="SL532" s="1"/>
      <c r="SM532" s="1"/>
      <c r="SN532" s="1"/>
      <c r="SO532" s="1"/>
      <c r="SP532" s="1"/>
      <c r="SQ532" s="1"/>
      <c r="SR532" s="1"/>
      <c r="SS532" s="1"/>
      <c r="ST532" s="1"/>
      <c r="SU532" s="1"/>
      <c r="SV532" s="1"/>
      <c r="SW532" s="1"/>
      <c r="SX532" s="1"/>
      <c r="SY532" s="1"/>
      <c r="SZ532" s="1"/>
      <c r="TA532" s="1"/>
      <c r="TB532" s="1"/>
      <c r="TC532" s="1"/>
      <c r="TD532" s="1"/>
      <c r="TE532" s="1"/>
      <c r="TF532" s="1"/>
      <c r="TG532" s="1"/>
      <c r="TH532" s="1"/>
      <c r="TI532" s="1"/>
      <c r="TJ532" s="1"/>
      <c r="TK532" s="1"/>
      <c r="TL532" s="1"/>
      <c r="TM532" s="1"/>
      <c r="TN532" s="1"/>
      <c r="TO532" s="1"/>
      <c r="TP532" s="1"/>
      <c r="TQ532" s="1"/>
      <c r="TR532" s="1"/>
      <c r="TS532" s="1"/>
      <c r="TT532" s="1"/>
      <c r="TU532" s="1"/>
      <c r="TV532" s="1"/>
      <c r="TW532" s="1"/>
      <c r="TX532" s="1"/>
      <c r="TY532" s="1"/>
      <c r="TZ532" s="1"/>
      <c r="UA532" s="1"/>
      <c r="UB532" s="1"/>
      <c r="UC532" s="1"/>
      <c r="UD532" s="1"/>
      <c r="UE532" s="1"/>
      <c r="UF532" s="1"/>
      <c r="UG532" s="1"/>
      <c r="UH532" s="1"/>
      <c r="UI532" s="1"/>
    </row>
    <row r="533" spans="1:555" ht="72" customHeight="1">
      <c r="A533" s="96">
        <v>195</v>
      </c>
      <c r="B533" s="422" t="s">
        <v>2391</v>
      </c>
      <c r="C533" s="419">
        <v>94521060</v>
      </c>
      <c r="D533" s="439" t="s">
        <v>2392</v>
      </c>
      <c r="E533" s="423">
        <v>42313</v>
      </c>
      <c r="F533" s="21">
        <v>42309</v>
      </c>
      <c r="G533" s="22" t="s">
        <v>2393</v>
      </c>
      <c r="H533" s="422" t="s">
        <v>625</v>
      </c>
      <c r="I533" s="422" t="s">
        <v>183</v>
      </c>
      <c r="J533" s="423">
        <v>43396</v>
      </c>
      <c r="K533" s="21">
        <v>43396</v>
      </c>
      <c r="L533" s="22" t="s">
        <v>2394</v>
      </c>
      <c r="M533" s="422" t="s">
        <v>576</v>
      </c>
      <c r="N533" s="422" t="s">
        <v>2395</v>
      </c>
      <c r="O533" s="423">
        <v>43497</v>
      </c>
      <c r="P533" s="23">
        <v>43497</v>
      </c>
      <c r="Q533" s="22" t="s">
        <v>8093</v>
      </c>
      <c r="R533" s="422" t="s">
        <v>576</v>
      </c>
      <c r="S533" s="422" t="s">
        <v>1495</v>
      </c>
      <c r="T533" s="423">
        <v>43881</v>
      </c>
      <c r="U533" s="21">
        <v>43881</v>
      </c>
      <c r="V533" s="22" t="s">
        <v>9473</v>
      </c>
      <c r="W533" s="422" t="s">
        <v>5</v>
      </c>
      <c r="X533" s="422" t="s">
        <v>79</v>
      </c>
      <c r="Y533" s="423"/>
      <c r="Z533" s="21"/>
      <c r="AA533" s="22"/>
      <c r="AB533" s="422"/>
      <c r="AC533" s="422"/>
      <c r="AD533" s="423"/>
      <c r="AE533" s="21"/>
      <c r="AF533" s="22"/>
      <c r="AG533" s="422"/>
      <c r="AH533" s="422"/>
      <c r="AI533" s="26"/>
      <c r="AJ533" s="21"/>
      <c r="AK533" s="22"/>
      <c r="AL533" s="422"/>
      <c r="AM533" s="422"/>
      <c r="AN533" s="422" t="s">
        <v>2396</v>
      </c>
      <c r="AO533" s="478"/>
      <c r="AP533" s="422"/>
      <c r="AQ533" s="22" t="s">
        <v>8094</v>
      </c>
      <c r="AR533" s="422" t="s">
        <v>161</v>
      </c>
      <c r="AS533" s="423">
        <v>38274</v>
      </c>
      <c r="AT533" s="423">
        <v>40707</v>
      </c>
      <c r="AU533" s="422" t="s">
        <v>2397</v>
      </c>
      <c r="AV533" s="422"/>
      <c r="AW533" s="422" t="s">
        <v>69</v>
      </c>
      <c r="AX533" s="422" t="s">
        <v>2398</v>
      </c>
      <c r="AY533" s="423">
        <v>42300</v>
      </c>
      <c r="AZ533" s="422" t="s">
        <v>576</v>
      </c>
      <c r="BA533" s="423">
        <v>43363</v>
      </c>
      <c r="BB533" s="382">
        <v>43397</v>
      </c>
      <c r="BC533" s="422" t="s">
        <v>95</v>
      </c>
      <c r="BD533" s="422" t="s">
        <v>1792</v>
      </c>
      <c r="BE533" s="422"/>
      <c r="BF533" s="22" t="s">
        <v>2399</v>
      </c>
      <c r="BG533" s="22"/>
      <c r="BH533" s="22"/>
      <c r="BI533" s="22"/>
      <c r="BJ533" s="74">
        <v>198246520</v>
      </c>
      <c r="BK533" s="28"/>
      <c r="BL533" s="29"/>
      <c r="BM533" s="423"/>
      <c r="BN533" s="30"/>
      <c r="BO533" s="461"/>
      <c r="BP533" s="399"/>
      <c r="BQ533" s="422"/>
      <c r="BR533" s="31"/>
      <c r="BS533" s="22"/>
      <c r="BT533" s="22"/>
      <c r="BU533" s="22"/>
      <c r="BV533" s="22"/>
      <c r="BW533" s="97"/>
      <c r="BX533" s="26"/>
      <c r="BY533" s="423"/>
      <c r="BZ533" s="134"/>
    </row>
    <row r="534" spans="1:555" ht="121.5">
      <c r="A534" s="33">
        <v>196</v>
      </c>
      <c r="B534" s="34" t="s">
        <v>2400</v>
      </c>
      <c r="C534" s="35">
        <v>71688707</v>
      </c>
      <c r="D534" s="440" t="s">
        <v>2401</v>
      </c>
      <c r="E534" s="37">
        <v>42317</v>
      </c>
      <c r="F534" s="38">
        <v>42309</v>
      </c>
      <c r="G534" s="39" t="s">
        <v>2402</v>
      </c>
      <c r="H534" s="34"/>
      <c r="I534" s="34"/>
      <c r="J534" s="37"/>
      <c r="K534" s="38"/>
      <c r="L534" s="39"/>
      <c r="M534" s="34"/>
      <c r="N534" s="34"/>
      <c r="O534" s="37"/>
      <c r="P534" s="40"/>
      <c r="Q534" s="39"/>
      <c r="R534" s="34"/>
      <c r="S534" s="34"/>
      <c r="T534" s="37"/>
      <c r="U534" s="38"/>
      <c r="V534" s="39"/>
      <c r="W534" s="34"/>
      <c r="X534" s="34"/>
      <c r="Y534" s="37"/>
      <c r="Z534" s="38"/>
      <c r="AA534" s="39"/>
      <c r="AB534" s="34"/>
      <c r="AC534" s="34"/>
      <c r="AD534" s="37"/>
      <c r="AE534" s="38"/>
      <c r="AF534" s="39"/>
      <c r="AG534" s="34"/>
      <c r="AH534" s="34"/>
      <c r="AI534" s="41"/>
      <c r="AJ534" s="38"/>
      <c r="AK534" s="39"/>
      <c r="AL534" s="34"/>
      <c r="AM534" s="34"/>
      <c r="AN534" s="34"/>
      <c r="AO534" s="473"/>
      <c r="AP534" s="34"/>
      <c r="AQ534" s="39" t="s">
        <v>2403</v>
      </c>
      <c r="AR534" s="34" t="s">
        <v>161</v>
      </c>
      <c r="AS534" s="37" t="s">
        <v>67</v>
      </c>
      <c r="AT534" s="37" t="s">
        <v>67</v>
      </c>
      <c r="AU534" s="34" t="s">
        <v>2404</v>
      </c>
      <c r="AV534" s="34"/>
      <c r="AW534" s="34" t="s">
        <v>92</v>
      </c>
      <c r="AX534" s="34" t="s">
        <v>2405</v>
      </c>
      <c r="AY534" s="37">
        <v>37889</v>
      </c>
      <c r="AZ534" s="34" t="s">
        <v>576</v>
      </c>
      <c r="BA534" s="37">
        <v>41863</v>
      </c>
      <c r="BB534" s="382">
        <v>41879</v>
      </c>
      <c r="BC534" s="42" t="s">
        <v>561</v>
      </c>
      <c r="BD534" s="42"/>
      <c r="BE534" s="34" t="s">
        <v>2406</v>
      </c>
      <c r="BF534" s="39"/>
      <c r="BG534" s="39" t="s">
        <v>67</v>
      </c>
      <c r="BH534" s="39"/>
      <c r="BI534" s="39"/>
      <c r="BJ534" s="74" t="s">
        <v>67</v>
      </c>
      <c r="BK534" s="74"/>
      <c r="BL534" s="44"/>
      <c r="BM534" s="37"/>
      <c r="BN534" s="45"/>
      <c r="BO534" s="462"/>
      <c r="BP534" s="391"/>
      <c r="BQ534" s="34"/>
      <c r="BR534" s="42"/>
      <c r="BS534" s="39"/>
      <c r="BT534" s="39"/>
      <c r="BU534" s="39"/>
      <c r="BV534" s="39"/>
      <c r="BW534" s="51"/>
      <c r="BX534" s="41"/>
      <c r="BY534" s="37"/>
      <c r="BZ534" s="52"/>
    </row>
    <row r="535" spans="1:555" ht="135.75" thickBot="1">
      <c r="A535" s="502">
        <v>197</v>
      </c>
      <c r="B535" s="686" t="s">
        <v>2407</v>
      </c>
      <c r="C535" s="687">
        <v>14637337</v>
      </c>
      <c r="D535" s="688" t="s">
        <v>1153</v>
      </c>
      <c r="E535" s="27">
        <v>42317</v>
      </c>
      <c r="F535" s="689">
        <v>42309</v>
      </c>
      <c r="G535" s="690" t="s">
        <v>2408</v>
      </c>
      <c r="H535" s="686" t="s">
        <v>625</v>
      </c>
      <c r="I535" s="686" t="s">
        <v>183</v>
      </c>
      <c r="J535" s="27">
        <v>42317</v>
      </c>
      <c r="K535" s="689">
        <v>42309</v>
      </c>
      <c r="L535" s="690" t="s">
        <v>2409</v>
      </c>
      <c r="M535" s="686" t="s">
        <v>625</v>
      </c>
      <c r="N535" s="686" t="s">
        <v>183</v>
      </c>
      <c r="O535" s="27">
        <v>43334</v>
      </c>
      <c r="P535" s="691">
        <v>43334</v>
      </c>
      <c r="Q535" s="690" t="s">
        <v>2410</v>
      </c>
      <c r="R535" s="686" t="s">
        <v>576</v>
      </c>
      <c r="S535" s="686" t="s">
        <v>2411</v>
      </c>
      <c r="T535" s="27">
        <v>43368</v>
      </c>
      <c r="U535" s="689">
        <v>43368</v>
      </c>
      <c r="V535" s="693" t="s">
        <v>2412</v>
      </c>
      <c r="W535" s="686" t="s">
        <v>5</v>
      </c>
      <c r="X535" s="693" t="s">
        <v>2413</v>
      </c>
      <c r="Y535" s="16">
        <v>43564</v>
      </c>
      <c r="Z535" s="689">
        <v>43564</v>
      </c>
      <c r="AA535" s="690" t="s">
        <v>8586</v>
      </c>
      <c r="AB535" s="686" t="s">
        <v>5</v>
      </c>
      <c r="AC535" s="686" t="s">
        <v>85</v>
      </c>
      <c r="AD535" s="27"/>
      <c r="AE535" s="689"/>
      <c r="AF535" s="690"/>
      <c r="AG535" s="686"/>
      <c r="AH535" s="686"/>
      <c r="AI535" s="693"/>
      <c r="AJ535" s="689"/>
      <c r="AK535" s="690"/>
      <c r="AL535" s="686"/>
      <c r="AM535" s="686"/>
      <c r="AN535" s="686" t="s">
        <v>2414</v>
      </c>
      <c r="AO535" s="694">
        <v>43368</v>
      </c>
      <c r="AP535" s="686"/>
      <c r="AQ535" s="690" t="s">
        <v>2415</v>
      </c>
      <c r="AR535" s="686" t="s">
        <v>161</v>
      </c>
      <c r="AS535" s="27">
        <v>39448</v>
      </c>
      <c r="AT535" s="27">
        <v>40707</v>
      </c>
      <c r="AU535" s="686" t="s">
        <v>2416</v>
      </c>
      <c r="AV535" s="686"/>
      <c r="AW535" s="686" t="s">
        <v>69</v>
      </c>
      <c r="AX535" s="686" t="s">
        <v>2417</v>
      </c>
      <c r="AY535" s="27">
        <v>42306</v>
      </c>
      <c r="AZ535" s="686" t="s">
        <v>2418</v>
      </c>
      <c r="BA535" s="27">
        <v>43299</v>
      </c>
      <c r="BB535" s="27">
        <v>43315</v>
      </c>
      <c r="BC535" s="686" t="s">
        <v>95</v>
      </c>
      <c r="BD535" s="686" t="s">
        <v>566</v>
      </c>
      <c r="BE535" s="727"/>
      <c r="BF535" s="690" t="s">
        <v>2399</v>
      </c>
      <c r="BG535" s="728"/>
      <c r="BH535" s="690"/>
      <c r="BI535" s="690"/>
      <c r="BJ535" s="696">
        <f>+[90]MATRIZ!$J$62</f>
        <v>95467999.158296123</v>
      </c>
      <c r="BK535" s="696"/>
      <c r="BL535" s="697"/>
      <c r="BM535" s="27"/>
      <c r="BN535" s="698"/>
      <c r="BO535" s="870"/>
      <c r="BP535" s="700"/>
      <c r="BQ535" s="686"/>
      <c r="BR535" s="701"/>
      <c r="BS535" s="690"/>
      <c r="BT535" s="690"/>
      <c r="BU535" s="690"/>
      <c r="BV535" s="690"/>
      <c r="BW535" s="702"/>
      <c r="BX535" s="693"/>
      <c r="BY535" s="27"/>
      <c r="BZ535" s="703"/>
      <c r="CA535" s="259"/>
      <c r="CB535" s="259"/>
      <c r="CC535" s="259"/>
      <c r="CD535" s="259"/>
      <c r="CE535" s="259"/>
      <c r="CF535" s="259"/>
      <c r="CG535" s="259"/>
      <c r="CH535" s="259"/>
      <c r="CI535" s="259"/>
      <c r="CJ535" s="259"/>
      <c r="CK535" s="259"/>
      <c r="CL535" s="259"/>
      <c r="CM535" s="259"/>
      <c r="CN535" s="259"/>
      <c r="CO535" s="259"/>
      <c r="CP535" s="259"/>
      <c r="CQ535" s="259"/>
      <c r="CR535" s="259"/>
      <c r="CS535" s="259"/>
      <c r="CT535" s="259"/>
      <c r="CU535" s="259"/>
      <c r="CV535" s="259"/>
      <c r="CW535" s="259"/>
      <c r="CX535" s="259"/>
      <c r="CY535" s="259"/>
      <c r="CZ535" s="259"/>
      <c r="DA535" s="259"/>
      <c r="DB535" s="259"/>
      <c r="DC535" s="259"/>
      <c r="DD535" s="259"/>
      <c r="DE535" s="259"/>
      <c r="DF535" s="259"/>
      <c r="DG535" s="259"/>
      <c r="DH535" s="259"/>
      <c r="DI535" s="259"/>
      <c r="DJ535" s="259"/>
      <c r="DK535" s="259"/>
      <c r="DL535" s="259"/>
      <c r="DM535" s="259"/>
      <c r="DN535" s="259"/>
      <c r="DO535" s="259"/>
      <c r="DP535" s="259"/>
      <c r="DQ535" s="259"/>
      <c r="DR535" s="259"/>
      <c r="DS535" s="259"/>
      <c r="DT535" s="259"/>
      <c r="DU535" s="259"/>
      <c r="DV535" s="259"/>
      <c r="DW535" s="259"/>
      <c r="DX535" s="259"/>
      <c r="DY535" s="259"/>
      <c r="DZ535" s="259"/>
      <c r="EA535" s="259"/>
      <c r="EB535" s="259"/>
      <c r="EC535" s="259"/>
      <c r="ED535" s="259"/>
      <c r="EE535" s="259"/>
      <c r="EF535" s="259"/>
      <c r="EG535" s="259"/>
      <c r="EH535" s="259"/>
      <c r="EI535" s="259"/>
      <c r="EJ535" s="259"/>
      <c r="EK535" s="259"/>
      <c r="EL535" s="259"/>
      <c r="EM535" s="259"/>
      <c r="EN535" s="259"/>
      <c r="EO535" s="259"/>
      <c r="EP535" s="259"/>
      <c r="EQ535" s="259"/>
      <c r="ER535" s="259"/>
      <c r="ES535" s="259"/>
      <c r="ET535" s="259"/>
      <c r="EU535" s="259"/>
      <c r="EV535" s="259"/>
      <c r="EW535" s="259"/>
      <c r="EX535" s="259"/>
      <c r="EY535" s="259"/>
      <c r="EZ535" s="259"/>
      <c r="FA535" s="259"/>
      <c r="FB535" s="259"/>
      <c r="FC535" s="259"/>
      <c r="FD535" s="259"/>
      <c r="FE535" s="259"/>
      <c r="FF535" s="259"/>
      <c r="FG535" s="259"/>
      <c r="FH535" s="259"/>
      <c r="FI535" s="259"/>
      <c r="FJ535" s="259"/>
      <c r="FK535" s="259"/>
      <c r="FL535" s="259"/>
      <c r="FM535" s="259"/>
      <c r="FN535" s="259"/>
      <c r="FO535" s="259"/>
      <c r="FP535" s="259"/>
      <c r="FQ535" s="259"/>
      <c r="FR535" s="259"/>
      <c r="FS535" s="259"/>
      <c r="FT535" s="259"/>
      <c r="FU535" s="259"/>
      <c r="FV535" s="259"/>
      <c r="FW535" s="259"/>
      <c r="FX535" s="259"/>
      <c r="FY535" s="259"/>
      <c r="FZ535" s="259"/>
      <c r="GA535" s="259"/>
      <c r="GB535" s="259"/>
      <c r="GC535" s="259"/>
      <c r="GD535" s="259"/>
      <c r="GE535" s="259"/>
      <c r="GF535" s="259"/>
      <c r="GG535" s="259"/>
      <c r="GH535" s="259"/>
      <c r="GI535" s="259"/>
      <c r="GJ535" s="259"/>
      <c r="GK535" s="259"/>
      <c r="GL535" s="259"/>
      <c r="GM535" s="259"/>
      <c r="GN535" s="259"/>
      <c r="GO535" s="259"/>
      <c r="GP535" s="259"/>
      <c r="GQ535" s="259"/>
      <c r="GR535" s="259"/>
      <c r="GS535" s="259"/>
      <c r="GT535" s="259"/>
      <c r="GU535" s="259"/>
      <c r="GV535" s="259"/>
      <c r="GW535" s="259"/>
      <c r="GX535" s="259"/>
      <c r="GY535" s="259"/>
      <c r="GZ535" s="259"/>
      <c r="HA535" s="259"/>
      <c r="HB535" s="259"/>
      <c r="HC535" s="259"/>
      <c r="HD535" s="259"/>
      <c r="HE535" s="259"/>
      <c r="HF535" s="259"/>
      <c r="HG535" s="259"/>
      <c r="HH535" s="259"/>
      <c r="HI535" s="259"/>
      <c r="HJ535" s="259"/>
      <c r="HK535" s="259"/>
      <c r="HL535" s="259"/>
      <c r="HM535" s="259"/>
      <c r="HN535" s="259"/>
      <c r="HO535" s="259"/>
      <c r="HP535" s="259"/>
      <c r="HQ535" s="259"/>
      <c r="HR535" s="259"/>
      <c r="HS535" s="259"/>
      <c r="HT535" s="259"/>
      <c r="HU535" s="259"/>
      <c r="HV535" s="259"/>
      <c r="HW535" s="259"/>
      <c r="HX535" s="259"/>
      <c r="HY535" s="259"/>
      <c r="HZ535" s="259"/>
      <c r="IA535" s="259"/>
      <c r="IB535" s="259"/>
      <c r="IC535" s="259"/>
      <c r="ID535" s="259"/>
      <c r="IE535" s="259"/>
      <c r="IF535" s="259"/>
      <c r="IG535" s="259"/>
      <c r="IH535" s="259"/>
      <c r="II535" s="259"/>
      <c r="IJ535" s="259"/>
      <c r="IK535" s="259"/>
      <c r="IL535" s="259"/>
      <c r="IM535" s="259"/>
      <c r="IN535" s="259"/>
      <c r="IO535" s="259"/>
      <c r="IP535" s="259"/>
      <c r="IQ535" s="259"/>
      <c r="IR535" s="259"/>
      <c r="IS535" s="259"/>
      <c r="IT535" s="259"/>
      <c r="IU535" s="259"/>
      <c r="IV535" s="259"/>
      <c r="IW535" s="259"/>
      <c r="IX535" s="259"/>
      <c r="IY535" s="259"/>
      <c r="IZ535" s="259"/>
      <c r="JA535" s="259"/>
      <c r="JB535" s="259"/>
      <c r="JC535" s="259"/>
      <c r="JD535" s="259"/>
      <c r="JE535" s="259"/>
      <c r="JF535" s="259"/>
      <c r="JG535" s="259"/>
      <c r="JH535" s="259"/>
      <c r="JI535" s="259"/>
      <c r="JJ535" s="259"/>
      <c r="JK535" s="259"/>
      <c r="JL535" s="259"/>
      <c r="JM535" s="259"/>
      <c r="JN535" s="259"/>
      <c r="JO535" s="259"/>
      <c r="JP535" s="259"/>
      <c r="JQ535" s="259"/>
      <c r="JR535" s="259"/>
      <c r="JS535" s="259"/>
      <c r="JT535" s="259"/>
      <c r="JU535" s="259"/>
      <c r="JV535" s="259"/>
      <c r="JW535" s="259"/>
      <c r="JX535" s="259"/>
      <c r="JY535" s="259"/>
      <c r="JZ535" s="259"/>
      <c r="KA535" s="259"/>
      <c r="KB535" s="259"/>
      <c r="KC535" s="259"/>
      <c r="KD535" s="259"/>
      <c r="KE535" s="259"/>
      <c r="KF535" s="259"/>
      <c r="KG535" s="259"/>
      <c r="KH535" s="259"/>
      <c r="KI535" s="259"/>
      <c r="KJ535" s="259"/>
      <c r="KK535" s="259"/>
      <c r="KL535" s="259"/>
      <c r="KM535" s="259"/>
      <c r="KN535" s="259"/>
      <c r="KO535" s="259"/>
      <c r="KP535" s="259"/>
      <c r="KQ535" s="259"/>
      <c r="KR535" s="259"/>
      <c r="KS535" s="259"/>
      <c r="KT535" s="259"/>
      <c r="KU535" s="259"/>
      <c r="KV535" s="259"/>
      <c r="KW535" s="259"/>
      <c r="KX535" s="259"/>
      <c r="KY535" s="259"/>
      <c r="KZ535" s="259"/>
      <c r="LA535" s="259"/>
      <c r="LB535" s="259"/>
      <c r="LC535" s="259"/>
      <c r="LD535" s="259"/>
      <c r="LE535" s="259"/>
      <c r="LF535" s="259"/>
      <c r="LG535" s="259"/>
      <c r="LH535" s="259"/>
      <c r="LI535" s="259"/>
      <c r="LJ535" s="259"/>
      <c r="LK535" s="259"/>
      <c r="LL535" s="259"/>
      <c r="LM535" s="259"/>
      <c r="LN535" s="259"/>
      <c r="LO535" s="259"/>
      <c r="LP535" s="259"/>
      <c r="LQ535" s="259"/>
      <c r="LR535" s="259"/>
      <c r="LS535" s="259"/>
      <c r="LT535" s="259"/>
      <c r="LU535" s="259"/>
      <c r="LV535" s="259"/>
      <c r="LW535" s="259"/>
      <c r="LX535" s="259"/>
      <c r="LY535" s="259"/>
      <c r="LZ535" s="259"/>
      <c r="MA535" s="259"/>
      <c r="MB535" s="259"/>
      <c r="MC535" s="259"/>
      <c r="MD535" s="259"/>
      <c r="ME535" s="259"/>
      <c r="MF535" s="259"/>
      <c r="MG535" s="259"/>
      <c r="MH535" s="259"/>
      <c r="MI535" s="259"/>
      <c r="MJ535" s="259"/>
      <c r="MK535" s="259"/>
      <c r="ML535" s="259"/>
      <c r="MM535" s="259"/>
      <c r="MN535" s="259"/>
      <c r="MO535" s="259"/>
      <c r="MP535" s="259"/>
      <c r="MQ535" s="259"/>
      <c r="MR535" s="259"/>
      <c r="MS535" s="259"/>
      <c r="MT535" s="259"/>
      <c r="MU535" s="259"/>
      <c r="MV535" s="259"/>
      <c r="MW535" s="259"/>
      <c r="MX535" s="259"/>
      <c r="MY535" s="259"/>
      <c r="MZ535" s="259"/>
      <c r="NA535" s="259"/>
      <c r="NB535" s="259"/>
      <c r="NC535" s="259"/>
      <c r="ND535" s="259"/>
      <c r="NE535" s="259"/>
      <c r="NF535" s="259"/>
      <c r="NG535" s="259"/>
      <c r="NH535" s="259"/>
      <c r="NI535" s="259"/>
      <c r="NJ535" s="259"/>
      <c r="NK535" s="259"/>
      <c r="NL535" s="259"/>
      <c r="NM535" s="259"/>
      <c r="NN535" s="259"/>
      <c r="NO535" s="259"/>
      <c r="NP535" s="259"/>
      <c r="NQ535" s="259"/>
      <c r="NR535" s="259"/>
      <c r="NS535" s="259"/>
      <c r="NT535" s="259"/>
      <c r="NU535" s="259"/>
      <c r="NV535" s="259"/>
      <c r="NW535" s="259"/>
      <c r="NX535" s="259"/>
      <c r="NY535" s="259"/>
      <c r="NZ535" s="259"/>
      <c r="OA535" s="259"/>
      <c r="OB535" s="259"/>
      <c r="OC535" s="259"/>
      <c r="OD535" s="259"/>
      <c r="OE535" s="259"/>
      <c r="OF535" s="259"/>
      <c r="OG535" s="259"/>
      <c r="OH535" s="259"/>
      <c r="OI535" s="259"/>
      <c r="OJ535" s="259"/>
      <c r="OK535" s="259"/>
      <c r="OL535" s="259"/>
      <c r="OM535" s="259"/>
      <c r="ON535" s="259"/>
      <c r="OO535" s="259"/>
      <c r="OP535" s="259"/>
      <c r="OQ535" s="259"/>
      <c r="OR535" s="259"/>
      <c r="OS535" s="259"/>
      <c r="OT535" s="259"/>
      <c r="OU535" s="259"/>
      <c r="OV535" s="259"/>
      <c r="OW535" s="259"/>
      <c r="OX535" s="259"/>
      <c r="OY535" s="259"/>
      <c r="OZ535" s="259"/>
      <c r="PA535" s="259"/>
      <c r="PB535" s="259"/>
      <c r="PC535" s="259"/>
      <c r="PD535" s="259"/>
      <c r="PE535" s="259"/>
      <c r="PF535" s="259"/>
      <c r="PG535" s="259"/>
      <c r="PH535" s="259"/>
      <c r="PI535" s="259"/>
      <c r="PJ535" s="259"/>
      <c r="PK535" s="259"/>
      <c r="PL535" s="259"/>
      <c r="PM535" s="259"/>
      <c r="PN535" s="259"/>
      <c r="PO535" s="259"/>
      <c r="PP535" s="259"/>
      <c r="PQ535" s="259"/>
      <c r="PR535" s="259"/>
      <c r="PS535" s="259"/>
      <c r="PT535" s="259"/>
      <c r="PU535" s="259"/>
      <c r="PV535" s="259"/>
      <c r="PW535" s="259"/>
      <c r="PX535" s="259"/>
      <c r="PY535" s="259"/>
      <c r="PZ535" s="259"/>
      <c r="QA535" s="259"/>
      <c r="QB535" s="259"/>
      <c r="QC535" s="259"/>
      <c r="QD535" s="259"/>
      <c r="QE535" s="259"/>
      <c r="QF535" s="259"/>
      <c r="QG535" s="259"/>
      <c r="QH535" s="259"/>
      <c r="QI535" s="259"/>
      <c r="QJ535" s="259"/>
      <c r="QK535" s="259"/>
      <c r="QL535" s="259"/>
      <c r="QM535" s="259"/>
      <c r="QN535" s="259"/>
      <c r="QO535" s="259"/>
      <c r="QP535" s="259"/>
      <c r="QQ535" s="259"/>
      <c r="QR535" s="259"/>
      <c r="QS535" s="259"/>
      <c r="QT535" s="259"/>
      <c r="QU535" s="259"/>
      <c r="QV535" s="259"/>
      <c r="QW535" s="259"/>
      <c r="QX535" s="259"/>
      <c r="QY535" s="259"/>
      <c r="QZ535" s="259"/>
      <c r="RA535" s="259"/>
      <c r="RB535" s="259"/>
      <c r="RC535" s="259"/>
      <c r="RD535" s="259"/>
      <c r="RE535" s="259"/>
      <c r="RF535" s="259"/>
      <c r="RG535" s="259"/>
      <c r="RH535" s="259"/>
      <c r="RI535" s="259"/>
      <c r="RJ535" s="259"/>
      <c r="RK535" s="259"/>
      <c r="RL535" s="259"/>
      <c r="RM535" s="259"/>
      <c r="RN535" s="259"/>
      <c r="RO535" s="259"/>
      <c r="RP535" s="259"/>
      <c r="RQ535" s="259"/>
      <c r="RR535" s="259"/>
      <c r="RS535" s="259"/>
      <c r="RT535" s="259"/>
      <c r="RU535" s="259"/>
      <c r="RV535" s="259"/>
      <c r="RW535" s="259"/>
      <c r="RX535" s="259"/>
      <c r="RY535" s="259"/>
      <c r="RZ535" s="259"/>
      <c r="SA535" s="259"/>
      <c r="SB535" s="259"/>
      <c r="SC535" s="259"/>
      <c r="SD535" s="259"/>
      <c r="SE535" s="259"/>
      <c r="SF535" s="259"/>
      <c r="SG535" s="259"/>
      <c r="SH535" s="259"/>
      <c r="SI535" s="259"/>
      <c r="SJ535" s="259"/>
      <c r="SK535" s="259"/>
      <c r="SL535" s="259"/>
      <c r="SM535" s="259"/>
      <c r="SN535" s="259"/>
      <c r="SO535" s="259"/>
      <c r="SP535" s="259"/>
      <c r="SQ535" s="259"/>
      <c r="SR535" s="259"/>
      <c r="SS535" s="259"/>
      <c r="ST535" s="259"/>
      <c r="SU535" s="259"/>
      <c r="SV535" s="259"/>
      <c r="SW535" s="259"/>
      <c r="SX535" s="259"/>
      <c r="SY535" s="259"/>
      <c r="SZ535" s="259"/>
      <c r="TA535" s="259"/>
      <c r="TB535" s="259"/>
      <c r="TC535" s="259"/>
      <c r="TD535" s="259"/>
      <c r="TE535" s="259"/>
      <c r="TF535" s="259"/>
      <c r="TG535" s="259"/>
      <c r="TH535" s="259"/>
      <c r="TI535" s="259"/>
      <c r="TJ535" s="259"/>
      <c r="TK535" s="259"/>
      <c r="TL535" s="259"/>
      <c r="TM535" s="259"/>
      <c r="TN535" s="259"/>
      <c r="TO535" s="259"/>
      <c r="TP535" s="259"/>
      <c r="TQ535" s="259"/>
      <c r="TR535" s="259"/>
      <c r="TS535" s="259"/>
      <c r="TT535" s="259"/>
      <c r="TU535" s="259"/>
      <c r="TV535" s="259"/>
      <c r="TW535" s="259"/>
      <c r="TX535" s="259"/>
      <c r="TY535" s="259"/>
      <c r="TZ535" s="259"/>
      <c r="UA535" s="259"/>
      <c r="UB535" s="259"/>
      <c r="UC535" s="259"/>
      <c r="UD535" s="259"/>
      <c r="UE535" s="259"/>
      <c r="UF535" s="259"/>
      <c r="UG535" s="259"/>
      <c r="UH535" s="259"/>
      <c r="UI535" s="259"/>
    </row>
    <row r="536" spans="1:555" ht="40.5">
      <c r="A536" s="729">
        <v>199</v>
      </c>
      <c r="B536" s="381" t="s">
        <v>2427</v>
      </c>
      <c r="C536" s="730"/>
      <c r="D536" s="731"/>
      <c r="E536" s="382"/>
      <c r="F536" s="379"/>
      <c r="G536" s="383"/>
      <c r="H536" s="381"/>
      <c r="I536" s="381"/>
      <c r="J536" s="382"/>
      <c r="K536" s="379"/>
      <c r="L536" s="383"/>
      <c r="M536" s="381"/>
      <c r="N536" s="381"/>
      <c r="O536" s="382"/>
      <c r="P536" s="732"/>
      <c r="Q536" s="383"/>
      <c r="R536" s="381"/>
      <c r="S536" s="381"/>
      <c r="T536" s="382"/>
      <c r="U536" s="379"/>
      <c r="V536" s="383"/>
      <c r="W536" s="381"/>
      <c r="X536" s="381"/>
      <c r="Y536" s="382"/>
      <c r="Z536" s="379"/>
      <c r="AA536" s="383"/>
      <c r="AB536" s="381"/>
      <c r="AC536" s="381"/>
      <c r="AD536" s="382"/>
      <c r="AE536" s="379"/>
      <c r="AF536" s="383"/>
      <c r="AG536" s="381"/>
      <c r="AH536" s="381"/>
      <c r="AI536" s="733"/>
      <c r="AJ536" s="379"/>
      <c r="AK536" s="383"/>
      <c r="AL536" s="381"/>
      <c r="AM536" s="381"/>
      <c r="AN536" s="381"/>
      <c r="AO536" s="381"/>
      <c r="AP536" s="381"/>
      <c r="AQ536" s="383"/>
      <c r="AR536" s="381"/>
      <c r="AS536" s="382"/>
      <c r="AT536" s="382"/>
      <c r="AU536" s="381"/>
      <c r="AV536" s="381"/>
      <c r="AW536" s="381"/>
      <c r="AX536" s="381"/>
      <c r="AY536" s="382"/>
      <c r="AZ536" s="381"/>
      <c r="BA536" s="382"/>
      <c r="BB536" s="382"/>
      <c r="BC536" s="381"/>
      <c r="BD536" s="381"/>
      <c r="BE536" s="734"/>
      <c r="BF536" s="735"/>
      <c r="BG536" s="735"/>
      <c r="BH536" s="383"/>
      <c r="BI536" s="383"/>
      <c r="BJ536" s="737"/>
      <c r="BK536" s="737"/>
      <c r="BL536" s="738"/>
      <c r="BM536" s="382"/>
      <c r="BN536" s="739"/>
      <c r="BO536" s="740"/>
      <c r="BP536" s="741"/>
      <c r="BQ536" s="381"/>
      <c r="BR536" s="742"/>
      <c r="BS536" s="383"/>
      <c r="BT536" s="383"/>
      <c r="BU536" s="383"/>
      <c r="BV536" s="383"/>
      <c r="BW536" s="743"/>
      <c r="BX536" s="733"/>
      <c r="BY536" s="382"/>
      <c r="BZ536" s="744"/>
      <c r="CA536" s="685"/>
      <c r="CB536" s="685"/>
      <c r="CC536" s="685"/>
      <c r="CD536" s="685"/>
      <c r="CE536" s="685"/>
      <c r="CF536" s="685"/>
      <c r="CG536" s="685"/>
      <c r="CH536" s="685"/>
      <c r="CI536" s="685"/>
      <c r="CJ536" s="685"/>
      <c r="CK536" s="685"/>
      <c r="CL536" s="685"/>
      <c r="CM536" s="685"/>
      <c r="CN536" s="685"/>
      <c r="CO536" s="685"/>
      <c r="CP536" s="685"/>
      <c r="CQ536" s="685"/>
      <c r="CR536" s="685"/>
      <c r="CS536" s="685"/>
      <c r="CT536" s="685"/>
      <c r="CU536" s="685"/>
      <c r="CV536" s="685"/>
      <c r="CW536" s="685"/>
      <c r="CX536" s="685"/>
      <c r="CY536" s="685"/>
      <c r="CZ536" s="685"/>
      <c r="DA536" s="685"/>
      <c r="DB536" s="685"/>
      <c r="DC536" s="685"/>
      <c r="DD536" s="685"/>
      <c r="DE536" s="685"/>
      <c r="DF536" s="685"/>
      <c r="DG536" s="685"/>
      <c r="DH536" s="685"/>
      <c r="DI536" s="685"/>
      <c r="DJ536" s="685"/>
      <c r="DK536" s="685"/>
      <c r="DL536" s="685"/>
      <c r="DM536" s="685"/>
      <c r="DN536" s="685"/>
      <c r="DO536" s="685"/>
      <c r="DP536" s="685"/>
      <c r="DQ536" s="685"/>
      <c r="DR536" s="685"/>
      <c r="DS536" s="685"/>
      <c r="DT536" s="685"/>
      <c r="DU536" s="685"/>
      <c r="DV536" s="685"/>
      <c r="DW536" s="685"/>
      <c r="DX536" s="685"/>
      <c r="DY536" s="685"/>
      <c r="DZ536" s="685"/>
      <c r="EA536" s="685"/>
      <c r="EB536" s="685"/>
      <c r="EC536" s="685"/>
      <c r="ED536" s="685"/>
      <c r="EE536" s="685"/>
      <c r="EF536" s="685"/>
      <c r="EG536" s="685"/>
      <c r="EH536" s="685"/>
      <c r="EI536" s="685"/>
      <c r="EJ536" s="685"/>
      <c r="EK536" s="685"/>
      <c r="EL536" s="685"/>
      <c r="EM536" s="685"/>
      <c r="EN536" s="685"/>
      <c r="EO536" s="685"/>
      <c r="EP536" s="685"/>
      <c r="EQ536" s="685"/>
      <c r="ER536" s="685"/>
      <c r="ES536" s="685"/>
      <c r="ET536" s="685"/>
      <c r="EU536" s="685"/>
      <c r="EV536" s="685"/>
      <c r="EW536" s="685"/>
      <c r="EX536" s="685"/>
      <c r="EY536" s="685"/>
      <c r="EZ536" s="685"/>
      <c r="FA536" s="685"/>
      <c r="FB536" s="685"/>
      <c r="FC536" s="685"/>
      <c r="FD536" s="685"/>
      <c r="FE536" s="685"/>
      <c r="FF536" s="685"/>
      <c r="FG536" s="685"/>
      <c r="FH536" s="685"/>
      <c r="FI536" s="685"/>
      <c r="FJ536" s="685"/>
      <c r="FK536" s="685"/>
      <c r="FL536" s="685"/>
      <c r="FM536" s="685"/>
      <c r="FN536" s="685"/>
      <c r="FO536" s="685"/>
      <c r="FP536" s="685"/>
      <c r="FQ536" s="685"/>
      <c r="FR536" s="685"/>
      <c r="FS536" s="685"/>
      <c r="FT536" s="685"/>
      <c r="FU536" s="685"/>
      <c r="FV536" s="685"/>
      <c r="FW536" s="685"/>
      <c r="FX536" s="685"/>
      <c r="FY536" s="685"/>
      <c r="FZ536" s="685"/>
      <c r="GA536" s="685"/>
      <c r="GB536" s="685"/>
      <c r="GC536" s="685"/>
      <c r="GD536" s="685"/>
      <c r="GE536" s="685"/>
      <c r="GF536" s="685"/>
      <c r="GG536" s="685"/>
      <c r="GH536" s="685"/>
      <c r="GI536" s="685"/>
      <c r="GJ536" s="685"/>
      <c r="GK536" s="685"/>
      <c r="GL536" s="685"/>
      <c r="GM536" s="685"/>
      <c r="GN536" s="685"/>
      <c r="GO536" s="685"/>
      <c r="GP536" s="685"/>
      <c r="GQ536" s="685"/>
      <c r="GR536" s="685"/>
      <c r="GS536" s="685"/>
      <c r="GT536" s="685"/>
      <c r="GU536" s="685"/>
      <c r="GV536" s="685"/>
      <c r="GW536" s="685"/>
      <c r="GX536" s="685"/>
      <c r="GY536" s="685"/>
      <c r="GZ536" s="685"/>
      <c r="HA536" s="685"/>
      <c r="HB536" s="685"/>
      <c r="HC536" s="685"/>
      <c r="HD536" s="685"/>
      <c r="HE536" s="685"/>
      <c r="HF536" s="685"/>
      <c r="HG536" s="685"/>
      <c r="HH536" s="685"/>
      <c r="HI536" s="685"/>
      <c r="HJ536" s="685"/>
      <c r="HK536" s="685"/>
      <c r="HL536" s="685"/>
      <c r="HM536" s="685"/>
      <c r="HN536" s="685"/>
      <c r="HO536" s="685"/>
      <c r="HP536" s="685"/>
      <c r="HQ536" s="685"/>
      <c r="HR536" s="685"/>
      <c r="HS536" s="685"/>
      <c r="HT536" s="685"/>
      <c r="HU536" s="685"/>
      <c r="HV536" s="685"/>
      <c r="HW536" s="685"/>
      <c r="HX536" s="685"/>
      <c r="HY536" s="685"/>
      <c r="HZ536" s="685"/>
      <c r="IA536" s="685"/>
      <c r="IB536" s="685"/>
      <c r="IC536" s="685"/>
      <c r="ID536" s="685"/>
      <c r="IE536" s="685"/>
      <c r="IF536" s="685"/>
      <c r="IG536" s="685"/>
      <c r="IH536" s="685"/>
      <c r="II536" s="685"/>
      <c r="IJ536" s="685"/>
      <c r="IK536" s="685"/>
      <c r="IL536" s="685"/>
      <c r="IM536" s="685"/>
      <c r="IN536" s="685"/>
      <c r="IO536" s="685"/>
      <c r="IP536" s="685"/>
      <c r="IQ536" s="685"/>
      <c r="IR536" s="685"/>
      <c r="IS536" s="685"/>
      <c r="IT536" s="685"/>
      <c r="IU536" s="685"/>
      <c r="IV536" s="685"/>
      <c r="IW536" s="685"/>
      <c r="IX536" s="685"/>
      <c r="IY536" s="685"/>
      <c r="IZ536" s="685"/>
      <c r="JA536" s="685"/>
      <c r="JB536" s="685"/>
      <c r="JC536" s="685"/>
      <c r="JD536" s="685"/>
      <c r="JE536" s="685"/>
      <c r="JF536" s="685"/>
      <c r="JG536" s="685"/>
      <c r="JH536" s="685"/>
      <c r="JI536" s="685"/>
      <c r="JJ536" s="685"/>
      <c r="JK536" s="685"/>
      <c r="JL536" s="685"/>
      <c r="JM536" s="685"/>
      <c r="JN536" s="685"/>
      <c r="JO536" s="685"/>
      <c r="JP536" s="685"/>
      <c r="JQ536" s="685"/>
      <c r="JR536" s="685"/>
      <c r="JS536" s="685"/>
      <c r="JT536" s="685"/>
      <c r="JU536" s="685"/>
      <c r="JV536" s="685"/>
      <c r="JW536" s="685"/>
      <c r="JX536" s="685"/>
      <c r="JY536" s="685"/>
      <c r="JZ536" s="685"/>
      <c r="KA536" s="685"/>
      <c r="KB536" s="685"/>
      <c r="KC536" s="685"/>
      <c r="KD536" s="685"/>
      <c r="KE536" s="685"/>
      <c r="KF536" s="685"/>
      <c r="KG536" s="685"/>
      <c r="KH536" s="685"/>
      <c r="KI536" s="685"/>
      <c r="KJ536" s="685"/>
      <c r="KK536" s="685"/>
      <c r="KL536" s="685"/>
      <c r="KM536" s="685"/>
      <c r="KN536" s="685"/>
      <c r="KO536" s="685"/>
      <c r="KP536" s="685"/>
      <c r="KQ536" s="685"/>
      <c r="KR536" s="685"/>
      <c r="KS536" s="685"/>
      <c r="KT536" s="685"/>
      <c r="KU536" s="685"/>
      <c r="KV536" s="685"/>
      <c r="KW536" s="685"/>
      <c r="KX536" s="685"/>
      <c r="KY536" s="685"/>
      <c r="KZ536" s="685"/>
      <c r="LA536" s="685"/>
      <c r="LB536" s="685"/>
      <c r="LC536" s="685"/>
      <c r="LD536" s="685"/>
      <c r="LE536" s="685"/>
      <c r="LF536" s="685"/>
      <c r="LG536" s="685"/>
      <c r="LH536" s="685"/>
      <c r="LI536" s="685"/>
      <c r="LJ536" s="685"/>
      <c r="LK536" s="685"/>
      <c r="LL536" s="685"/>
      <c r="LM536" s="685"/>
      <c r="LN536" s="685"/>
      <c r="LO536" s="685"/>
      <c r="LP536" s="685"/>
      <c r="LQ536" s="685"/>
      <c r="LR536" s="685"/>
      <c r="LS536" s="685"/>
      <c r="LT536" s="685"/>
      <c r="LU536" s="685"/>
      <c r="LV536" s="685"/>
      <c r="LW536" s="685"/>
      <c r="LX536" s="685"/>
      <c r="LY536" s="685"/>
      <c r="LZ536" s="685"/>
      <c r="MA536" s="685"/>
      <c r="MB536" s="685"/>
      <c r="MC536" s="685"/>
      <c r="MD536" s="685"/>
      <c r="ME536" s="685"/>
      <c r="MF536" s="685"/>
      <c r="MG536" s="685"/>
      <c r="MH536" s="685"/>
      <c r="MI536" s="685"/>
      <c r="MJ536" s="685"/>
      <c r="MK536" s="685"/>
      <c r="ML536" s="685"/>
      <c r="MM536" s="685"/>
      <c r="MN536" s="685"/>
      <c r="MO536" s="685"/>
      <c r="MP536" s="685"/>
      <c r="MQ536" s="685"/>
      <c r="MR536" s="685"/>
      <c r="MS536" s="685"/>
      <c r="MT536" s="685"/>
      <c r="MU536" s="685"/>
      <c r="MV536" s="685"/>
      <c r="MW536" s="685"/>
      <c r="MX536" s="685"/>
      <c r="MY536" s="685"/>
      <c r="MZ536" s="685"/>
      <c r="NA536" s="685"/>
      <c r="NB536" s="685"/>
      <c r="NC536" s="685"/>
      <c r="ND536" s="685"/>
      <c r="NE536" s="685"/>
      <c r="NF536" s="685"/>
      <c r="NG536" s="685"/>
      <c r="NH536" s="685"/>
      <c r="NI536" s="685"/>
      <c r="NJ536" s="685"/>
      <c r="NK536" s="685"/>
      <c r="NL536" s="685"/>
      <c r="NM536" s="685"/>
      <c r="NN536" s="685"/>
      <c r="NO536" s="685"/>
      <c r="NP536" s="685"/>
      <c r="NQ536" s="685"/>
      <c r="NR536" s="685"/>
      <c r="NS536" s="685"/>
      <c r="NT536" s="685"/>
      <c r="NU536" s="685"/>
      <c r="NV536" s="685"/>
      <c r="NW536" s="685"/>
      <c r="NX536" s="685"/>
      <c r="NY536" s="685"/>
      <c r="NZ536" s="685"/>
      <c r="OA536" s="685"/>
      <c r="OB536" s="685"/>
      <c r="OC536" s="685"/>
      <c r="OD536" s="685"/>
      <c r="OE536" s="685"/>
      <c r="OF536" s="685"/>
      <c r="OG536" s="685"/>
      <c r="OH536" s="685"/>
      <c r="OI536" s="685"/>
      <c r="OJ536" s="685"/>
      <c r="OK536" s="685"/>
      <c r="OL536" s="685"/>
      <c r="OM536" s="685"/>
      <c r="ON536" s="685"/>
      <c r="OO536" s="685"/>
      <c r="OP536" s="685"/>
      <c r="OQ536" s="685"/>
      <c r="OR536" s="685"/>
      <c r="OS536" s="685"/>
      <c r="OT536" s="685"/>
      <c r="OU536" s="685"/>
      <c r="OV536" s="685"/>
      <c r="OW536" s="685"/>
      <c r="OX536" s="685"/>
      <c r="OY536" s="685"/>
      <c r="OZ536" s="685"/>
      <c r="PA536" s="685"/>
      <c r="PB536" s="685"/>
      <c r="PC536" s="685"/>
      <c r="PD536" s="685"/>
      <c r="PE536" s="685"/>
      <c r="PF536" s="685"/>
      <c r="PG536" s="685"/>
      <c r="PH536" s="685"/>
      <c r="PI536" s="685"/>
      <c r="PJ536" s="685"/>
      <c r="PK536" s="685"/>
      <c r="PL536" s="685"/>
      <c r="PM536" s="685"/>
      <c r="PN536" s="685"/>
      <c r="PO536" s="685"/>
      <c r="PP536" s="685"/>
      <c r="PQ536" s="685"/>
      <c r="PR536" s="685"/>
      <c r="PS536" s="685"/>
      <c r="PT536" s="685"/>
      <c r="PU536" s="685"/>
      <c r="PV536" s="685"/>
      <c r="PW536" s="685"/>
      <c r="PX536" s="685"/>
      <c r="PY536" s="685"/>
      <c r="PZ536" s="685"/>
      <c r="QA536" s="685"/>
      <c r="QB536" s="685"/>
      <c r="QC536" s="685"/>
      <c r="QD536" s="685"/>
      <c r="QE536" s="685"/>
      <c r="QF536" s="685"/>
      <c r="QG536" s="685"/>
      <c r="QH536" s="685"/>
      <c r="QI536" s="685"/>
      <c r="QJ536" s="685"/>
      <c r="QK536" s="685"/>
      <c r="QL536" s="685"/>
      <c r="QM536" s="685"/>
      <c r="QN536" s="685"/>
      <c r="QO536" s="685"/>
      <c r="QP536" s="685"/>
      <c r="QQ536" s="685"/>
      <c r="QR536" s="685"/>
      <c r="QS536" s="685"/>
      <c r="QT536" s="685"/>
      <c r="QU536" s="685"/>
      <c r="QV536" s="685"/>
      <c r="QW536" s="685"/>
      <c r="QX536" s="685"/>
      <c r="QY536" s="685"/>
      <c r="QZ536" s="685"/>
      <c r="RA536" s="685"/>
      <c r="RB536" s="685"/>
      <c r="RC536" s="685"/>
      <c r="RD536" s="685"/>
      <c r="RE536" s="685"/>
      <c r="RF536" s="685"/>
      <c r="RG536" s="685"/>
      <c r="RH536" s="685"/>
      <c r="RI536" s="685"/>
      <c r="RJ536" s="685"/>
      <c r="RK536" s="685"/>
      <c r="RL536" s="685"/>
      <c r="RM536" s="685"/>
      <c r="RN536" s="685"/>
      <c r="RO536" s="685"/>
      <c r="RP536" s="685"/>
      <c r="RQ536" s="685"/>
      <c r="RR536" s="685"/>
      <c r="RS536" s="685"/>
      <c r="RT536" s="685"/>
      <c r="RU536" s="685"/>
      <c r="RV536" s="685"/>
      <c r="RW536" s="685"/>
      <c r="RX536" s="685"/>
      <c r="RY536" s="685"/>
      <c r="RZ536" s="685"/>
      <c r="SA536" s="685"/>
      <c r="SB536" s="685"/>
      <c r="SC536" s="685"/>
      <c r="SD536" s="685"/>
      <c r="SE536" s="685"/>
      <c r="SF536" s="685"/>
      <c r="SG536" s="685"/>
      <c r="SH536" s="685"/>
      <c r="SI536" s="685"/>
      <c r="SJ536" s="685"/>
      <c r="SK536" s="685"/>
      <c r="SL536" s="685"/>
      <c r="SM536" s="685"/>
      <c r="SN536" s="685"/>
      <c r="SO536" s="685"/>
      <c r="SP536" s="685"/>
      <c r="SQ536" s="685"/>
      <c r="SR536" s="685"/>
      <c r="SS536" s="685"/>
      <c r="ST536" s="685"/>
      <c r="SU536" s="685"/>
      <c r="SV536" s="685"/>
      <c r="SW536" s="685"/>
      <c r="SX536" s="685"/>
      <c r="SY536" s="685"/>
      <c r="SZ536" s="685"/>
      <c r="TA536" s="685"/>
      <c r="TB536" s="685"/>
      <c r="TC536" s="685"/>
      <c r="TD536" s="685"/>
      <c r="TE536" s="685"/>
      <c r="TF536" s="685"/>
      <c r="TG536" s="685"/>
      <c r="TH536" s="685"/>
      <c r="TI536" s="685"/>
      <c r="TJ536" s="685"/>
      <c r="TK536" s="685"/>
      <c r="TL536" s="685"/>
      <c r="TM536" s="685"/>
      <c r="TN536" s="685"/>
      <c r="TO536" s="685"/>
      <c r="TP536" s="685"/>
      <c r="TQ536" s="685"/>
      <c r="TR536" s="685"/>
      <c r="TS536" s="685"/>
      <c r="TT536" s="685"/>
      <c r="TU536" s="685"/>
      <c r="TV536" s="685"/>
      <c r="TW536" s="685"/>
      <c r="TX536" s="685"/>
      <c r="TY536" s="685"/>
      <c r="TZ536" s="685"/>
      <c r="UA536" s="685"/>
      <c r="UB536" s="685"/>
      <c r="UC536" s="685"/>
      <c r="UD536" s="685"/>
      <c r="UE536" s="685"/>
      <c r="UF536" s="685"/>
      <c r="UG536" s="685"/>
      <c r="UH536" s="685"/>
      <c r="UI536" s="685"/>
    </row>
    <row r="537" spans="1:555" ht="121.5">
      <c r="A537" s="57">
        <v>200</v>
      </c>
      <c r="B537" s="58" t="s">
        <v>2428</v>
      </c>
      <c r="C537" s="59">
        <v>16861540</v>
      </c>
      <c r="D537" s="170" t="s">
        <v>772</v>
      </c>
      <c r="E537" s="60">
        <v>42327</v>
      </c>
      <c r="F537" s="61">
        <v>42309</v>
      </c>
      <c r="G537" s="62" t="s">
        <v>2429</v>
      </c>
      <c r="H537" s="58" t="s">
        <v>625</v>
      </c>
      <c r="I537" s="58" t="s">
        <v>183</v>
      </c>
      <c r="J537" s="60">
        <v>43360</v>
      </c>
      <c r="K537" s="61">
        <v>43360</v>
      </c>
      <c r="L537" s="62" t="s">
        <v>8125</v>
      </c>
      <c r="M537" s="58" t="s">
        <v>576</v>
      </c>
      <c r="N537" s="58" t="s">
        <v>2395</v>
      </c>
      <c r="O537" s="60"/>
      <c r="P537" s="63"/>
      <c r="Q537" s="62"/>
      <c r="R537" s="58"/>
      <c r="S537" s="58"/>
      <c r="T537" s="60"/>
      <c r="U537" s="61"/>
      <c r="V537" s="62"/>
      <c r="W537" s="58"/>
      <c r="X537" s="58"/>
      <c r="Y537" s="60"/>
      <c r="Z537" s="61"/>
      <c r="AA537" s="62"/>
      <c r="AB537" s="58"/>
      <c r="AC537" s="58"/>
      <c r="AD537" s="60"/>
      <c r="AE537" s="61"/>
      <c r="AF537" s="62"/>
      <c r="AG537" s="58"/>
      <c r="AH537" s="58"/>
      <c r="AI537" s="66"/>
      <c r="AJ537" s="61"/>
      <c r="AK537" s="62"/>
      <c r="AL537" s="58"/>
      <c r="AM537" s="58"/>
      <c r="AN537" s="58" t="s">
        <v>2430</v>
      </c>
      <c r="AO537" s="478"/>
      <c r="AP537" s="58"/>
      <c r="AQ537" s="62" t="s">
        <v>2431</v>
      </c>
      <c r="AR537" s="58" t="s">
        <v>161</v>
      </c>
      <c r="AS537" s="60">
        <v>37816</v>
      </c>
      <c r="AT537" s="60">
        <v>39973</v>
      </c>
      <c r="AU537" s="58" t="s">
        <v>2432</v>
      </c>
      <c r="AV537" s="58"/>
      <c r="AW537" s="58" t="s">
        <v>69</v>
      </c>
      <c r="AX537" s="58" t="s">
        <v>2417</v>
      </c>
      <c r="AY537" s="60">
        <v>42323</v>
      </c>
      <c r="AZ537" s="58" t="s">
        <v>2433</v>
      </c>
      <c r="BA537" s="60">
        <v>43272</v>
      </c>
      <c r="BB537" s="382">
        <v>43320</v>
      </c>
      <c r="BC537" s="58" t="s">
        <v>95</v>
      </c>
      <c r="BD537" s="58" t="s">
        <v>566</v>
      </c>
      <c r="BE537" s="98"/>
      <c r="BF537" s="99"/>
      <c r="BG537" s="99"/>
      <c r="BH537" s="62"/>
      <c r="BI537" s="62"/>
      <c r="BJ537" s="74">
        <f>+[91]MATRIZ!$J$59</f>
        <v>15420038.581640972</v>
      </c>
      <c r="BK537" s="67"/>
      <c r="BL537" s="68"/>
      <c r="BM537" s="60"/>
      <c r="BN537" s="69"/>
      <c r="BO537" s="463"/>
      <c r="BP537" s="122"/>
      <c r="BQ537" s="58"/>
      <c r="BR537" s="70"/>
      <c r="BS537" s="58"/>
      <c r="BT537" s="62"/>
      <c r="BU537" s="62"/>
      <c r="BV537" s="62"/>
      <c r="BW537" s="71"/>
      <c r="BX537" s="66"/>
      <c r="BY537" s="60"/>
      <c r="BZ537" s="72"/>
    </row>
    <row r="538" spans="1:555" ht="121.5">
      <c r="A538" s="296">
        <v>203</v>
      </c>
      <c r="B538" s="297" t="s">
        <v>2454</v>
      </c>
      <c r="C538" s="298">
        <v>98389129</v>
      </c>
      <c r="D538" s="354" t="s">
        <v>772</v>
      </c>
      <c r="E538" s="299">
        <v>42339</v>
      </c>
      <c r="F538" s="300">
        <v>42339</v>
      </c>
      <c r="G538" s="301" t="s">
        <v>2455</v>
      </c>
      <c r="H538" s="297" t="s">
        <v>1997</v>
      </c>
      <c r="I538" s="297" t="s">
        <v>183</v>
      </c>
      <c r="J538" s="299">
        <v>42843</v>
      </c>
      <c r="K538" s="300">
        <v>42826</v>
      </c>
      <c r="L538" s="301" t="s">
        <v>2456</v>
      </c>
      <c r="M538" s="297" t="s">
        <v>5</v>
      </c>
      <c r="N538" s="297" t="s">
        <v>101</v>
      </c>
      <c r="O538" s="299">
        <v>43871</v>
      </c>
      <c r="P538" s="302">
        <v>43871</v>
      </c>
      <c r="Q538" s="301" t="s">
        <v>9349</v>
      </c>
      <c r="R538" s="297" t="s">
        <v>5</v>
      </c>
      <c r="S538" s="297" t="s">
        <v>1213</v>
      </c>
      <c r="T538" s="299"/>
      <c r="U538" s="300"/>
      <c r="V538" s="301"/>
      <c r="W538" s="297"/>
      <c r="X538" s="297"/>
      <c r="Y538" s="299"/>
      <c r="Z538" s="300"/>
      <c r="AA538" s="301"/>
      <c r="AB538" s="297"/>
      <c r="AC538" s="297"/>
      <c r="AD538" s="299"/>
      <c r="AE538" s="300"/>
      <c r="AF538" s="301"/>
      <c r="AG538" s="297"/>
      <c r="AH538" s="297"/>
      <c r="AI538" s="304"/>
      <c r="AJ538" s="300"/>
      <c r="AK538" s="301"/>
      <c r="AL538" s="297"/>
      <c r="AM538" s="297"/>
      <c r="AN538" s="297" t="s">
        <v>2457</v>
      </c>
      <c r="AO538" s="554"/>
      <c r="AP538" s="297"/>
      <c r="AQ538" s="301" t="s">
        <v>2458</v>
      </c>
      <c r="AR538" s="297" t="s">
        <v>161</v>
      </c>
      <c r="AS538" s="299">
        <v>38412</v>
      </c>
      <c r="AT538" s="299">
        <v>39862</v>
      </c>
      <c r="AU538" s="297" t="s">
        <v>9343</v>
      </c>
      <c r="AV538" s="297"/>
      <c r="AW538" s="297" t="s">
        <v>92</v>
      </c>
      <c r="AX538" s="297" t="s">
        <v>789</v>
      </c>
      <c r="AY538" s="299">
        <v>42191</v>
      </c>
      <c r="AZ538" s="297" t="s">
        <v>67</v>
      </c>
      <c r="BA538" s="299" t="s">
        <v>67</v>
      </c>
      <c r="BB538" s="299">
        <v>42219</v>
      </c>
      <c r="BC538" s="297" t="s">
        <v>95</v>
      </c>
      <c r="BD538" s="297" t="s">
        <v>566</v>
      </c>
      <c r="BE538" s="297"/>
      <c r="BF538" s="301" t="s">
        <v>8704</v>
      </c>
      <c r="BG538" s="301"/>
      <c r="BH538" s="301" t="s">
        <v>10558</v>
      </c>
      <c r="BI538" s="301"/>
      <c r="BJ538" s="312">
        <f>+[92]MATRIZ!$J$62</f>
        <v>0</v>
      </c>
      <c r="BK538" s="312">
        <v>150571727</v>
      </c>
      <c r="BL538" s="313"/>
      <c r="BM538" s="299"/>
      <c r="BN538" s="314"/>
      <c r="BO538" s="460" t="s">
        <v>10559</v>
      </c>
      <c r="BP538" s="390" t="s">
        <v>67</v>
      </c>
      <c r="BQ538" s="297" t="s">
        <v>67</v>
      </c>
      <c r="BR538" s="303"/>
      <c r="BS538" s="301"/>
      <c r="BT538" s="301"/>
      <c r="BU538" s="301"/>
      <c r="BV538" s="301"/>
      <c r="BW538" s="316"/>
      <c r="BX538" s="304"/>
      <c r="BY538" s="299"/>
      <c r="BZ538" s="317"/>
    </row>
    <row r="539" spans="1:555" ht="56.25" customHeight="1">
      <c r="A539" s="57">
        <v>211</v>
      </c>
      <c r="B539" s="58" t="s">
        <v>2514</v>
      </c>
      <c r="C539" s="91">
        <v>93378877</v>
      </c>
      <c r="D539" s="170" t="s">
        <v>167</v>
      </c>
      <c r="E539" s="60">
        <v>42352</v>
      </c>
      <c r="F539" s="61">
        <v>42339</v>
      </c>
      <c r="G539" s="62" t="s">
        <v>2515</v>
      </c>
      <c r="H539" s="58" t="s">
        <v>1493</v>
      </c>
      <c r="I539" s="58" t="s">
        <v>183</v>
      </c>
      <c r="J539" s="60">
        <v>42689</v>
      </c>
      <c r="K539" s="61">
        <v>42675</v>
      </c>
      <c r="L539" s="62" t="s">
        <v>2516</v>
      </c>
      <c r="M539" s="58" t="s">
        <v>171</v>
      </c>
      <c r="N539" s="58" t="s">
        <v>183</v>
      </c>
      <c r="O539" s="60">
        <v>42711</v>
      </c>
      <c r="P539" s="63">
        <v>42705</v>
      </c>
      <c r="Q539" s="62" t="s">
        <v>2517</v>
      </c>
      <c r="R539" s="58" t="s">
        <v>171</v>
      </c>
      <c r="S539" s="58" t="s">
        <v>183</v>
      </c>
      <c r="T539" s="60">
        <v>42923</v>
      </c>
      <c r="U539" s="61">
        <v>42917</v>
      </c>
      <c r="V539" s="62" t="s">
        <v>2518</v>
      </c>
      <c r="W539" s="58" t="s">
        <v>5</v>
      </c>
      <c r="X539" s="58" t="s">
        <v>79</v>
      </c>
      <c r="Y539" s="60">
        <v>42944</v>
      </c>
      <c r="Z539" s="61">
        <v>42917</v>
      </c>
      <c r="AA539" s="62" t="s">
        <v>2519</v>
      </c>
      <c r="AB539" s="58" t="s">
        <v>171</v>
      </c>
      <c r="AC539" s="58" t="s">
        <v>2520</v>
      </c>
      <c r="AD539" s="60">
        <v>43362</v>
      </c>
      <c r="AE539" s="61">
        <v>43362</v>
      </c>
      <c r="AF539" s="101" t="s">
        <v>2521</v>
      </c>
      <c r="AG539" s="58" t="s">
        <v>286</v>
      </c>
      <c r="AH539" s="58" t="s">
        <v>2522</v>
      </c>
      <c r="AI539" s="64">
        <v>43362</v>
      </c>
      <c r="AJ539" s="61">
        <v>43362</v>
      </c>
      <c r="AK539" s="101" t="s">
        <v>2521</v>
      </c>
      <c r="AL539" s="58" t="s">
        <v>5</v>
      </c>
      <c r="AM539" s="58" t="s">
        <v>2522</v>
      </c>
      <c r="AN539" s="58" t="s">
        <v>2523</v>
      </c>
      <c r="AO539" s="478"/>
      <c r="AP539" s="58"/>
      <c r="AQ539" s="62" t="s">
        <v>2524</v>
      </c>
      <c r="AR539" s="58" t="s">
        <v>161</v>
      </c>
      <c r="AS539" s="60">
        <v>38144</v>
      </c>
      <c r="AT539" s="60">
        <v>39813</v>
      </c>
      <c r="AU539" s="58" t="s">
        <v>10353</v>
      </c>
      <c r="AV539" s="58"/>
      <c r="AW539" s="58" t="s">
        <v>92</v>
      </c>
      <c r="AX539" s="58" t="s">
        <v>2525</v>
      </c>
      <c r="AY539" s="60">
        <v>40998</v>
      </c>
      <c r="AZ539" s="58" t="s">
        <v>94</v>
      </c>
      <c r="BA539" s="60">
        <v>42276</v>
      </c>
      <c r="BB539" s="382">
        <v>42297</v>
      </c>
      <c r="BC539" s="58" t="s">
        <v>95</v>
      </c>
      <c r="BD539" s="58" t="s">
        <v>566</v>
      </c>
      <c r="BE539" s="58"/>
      <c r="BF539" s="62" t="s">
        <v>8730</v>
      </c>
      <c r="BG539" s="62"/>
      <c r="BH539" s="62"/>
      <c r="BI539" s="62"/>
      <c r="BJ539" s="74">
        <f>+[93]MATRIZ!$J$64</f>
        <v>0</v>
      </c>
      <c r="BK539" s="67"/>
      <c r="BL539" s="68"/>
      <c r="BM539" s="60"/>
      <c r="BN539" s="69"/>
      <c r="BO539" s="463"/>
      <c r="BP539" s="122"/>
      <c r="BQ539" s="58"/>
      <c r="BR539" s="70"/>
      <c r="BS539" s="62"/>
      <c r="BT539" s="62"/>
      <c r="BU539" s="62"/>
      <c r="BV539" s="62"/>
      <c r="BW539" s="71"/>
      <c r="BX539" s="66"/>
      <c r="BY539" s="60"/>
      <c r="BZ539" s="72"/>
    </row>
    <row r="540" spans="1:555" ht="27" customHeight="1">
      <c r="A540" s="502">
        <v>218</v>
      </c>
      <c r="B540" s="686" t="s">
        <v>2616</v>
      </c>
      <c r="C540" s="687">
        <v>15174590</v>
      </c>
      <c r="D540" s="688" t="s">
        <v>608</v>
      </c>
      <c r="E540" s="27">
        <v>42381</v>
      </c>
      <c r="F540" s="689">
        <v>42675</v>
      </c>
      <c r="G540" s="690" t="s">
        <v>2617</v>
      </c>
      <c r="H540" s="686" t="s">
        <v>171</v>
      </c>
      <c r="I540" s="686" t="s">
        <v>1544</v>
      </c>
      <c r="J540" s="27">
        <v>42933</v>
      </c>
      <c r="K540" s="689">
        <v>42917</v>
      </c>
      <c r="L540" s="690" t="s">
        <v>2618</v>
      </c>
      <c r="M540" s="686" t="s">
        <v>5</v>
      </c>
      <c r="N540" s="686" t="s">
        <v>79</v>
      </c>
      <c r="O540" s="27">
        <v>42956</v>
      </c>
      <c r="P540" s="691">
        <v>42948</v>
      </c>
      <c r="Q540" s="690" t="s">
        <v>2619</v>
      </c>
      <c r="R540" s="686" t="s">
        <v>5</v>
      </c>
      <c r="S540" s="686" t="s">
        <v>85</v>
      </c>
      <c r="T540" s="16">
        <v>43269</v>
      </c>
      <c r="U540" s="689">
        <v>43252</v>
      </c>
      <c r="V540" s="781" t="s">
        <v>2620</v>
      </c>
      <c r="W540" s="686" t="s">
        <v>5</v>
      </c>
      <c r="X540" s="701" t="s">
        <v>2621</v>
      </c>
      <c r="Y540" s="27">
        <v>43391</v>
      </c>
      <c r="Z540" s="689">
        <v>43391</v>
      </c>
      <c r="AA540" s="706" t="s">
        <v>7258</v>
      </c>
      <c r="AB540" s="686" t="s">
        <v>5</v>
      </c>
      <c r="AC540" s="686" t="s">
        <v>107</v>
      </c>
      <c r="AD540" s="27">
        <v>43371</v>
      </c>
      <c r="AE540" s="691">
        <v>43371</v>
      </c>
      <c r="AF540" s="693" t="s">
        <v>7262</v>
      </c>
      <c r="AG540" s="686" t="s">
        <v>5</v>
      </c>
      <c r="AH540" s="693" t="s">
        <v>2161</v>
      </c>
      <c r="AI540" s="27" t="s">
        <v>9477</v>
      </c>
      <c r="AJ540" s="689" t="s">
        <v>9478</v>
      </c>
      <c r="AK540" s="690" t="s">
        <v>9476</v>
      </c>
      <c r="AL540" s="686" t="s">
        <v>1501</v>
      </c>
      <c r="AM540" s="686" t="s">
        <v>9479</v>
      </c>
      <c r="AN540" s="686" t="s">
        <v>2622</v>
      </c>
      <c r="AO540" s="694">
        <v>42956</v>
      </c>
      <c r="AP540" s="686"/>
      <c r="AQ540" s="690" t="s">
        <v>2623</v>
      </c>
      <c r="AR540" s="686" t="s">
        <v>161</v>
      </c>
      <c r="AS540" s="27">
        <v>39430</v>
      </c>
      <c r="AT540" s="27">
        <v>40359</v>
      </c>
      <c r="AU540" s="686" t="s">
        <v>7263</v>
      </c>
      <c r="AV540" s="686"/>
      <c r="AW540" s="686" t="s">
        <v>92</v>
      </c>
      <c r="AX540" s="686" t="s">
        <v>2624</v>
      </c>
      <c r="AY540" s="27">
        <v>41768</v>
      </c>
      <c r="AZ540" s="686" t="s">
        <v>588</v>
      </c>
      <c r="BA540" s="27">
        <v>42656</v>
      </c>
      <c r="BB540" s="27">
        <v>42667</v>
      </c>
      <c r="BC540" s="686" t="s">
        <v>95</v>
      </c>
      <c r="BD540" s="686" t="s">
        <v>566</v>
      </c>
      <c r="BE540" s="686"/>
      <c r="BF540" s="690" t="s">
        <v>2625</v>
      </c>
      <c r="BG540" s="690"/>
      <c r="BH540" s="690"/>
      <c r="BI540" s="690"/>
      <c r="BJ540" s="696">
        <f>+[94]MATRIZ!$J$55</f>
        <v>92541655.787294865</v>
      </c>
      <c r="BK540" s="696"/>
      <c r="BL540" s="697"/>
      <c r="BM540" s="27"/>
      <c r="BN540" s="698"/>
      <c r="BO540" s="699"/>
      <c r="BP540" s="700"/>
      <c r="BQ540" s="686"/>
      <c r="BR540" s="701"/>
      <c r="BS540" s="690"/>
      <c r="BT540" s="690"/>
      <c r="BU540" s="690"/>
      <c r="BV540" s="690"/>
      <c r="BW540" s="702"/>
      <c r="BX540" s="693"/>
      <c r="BY540" s="27"/>
      <c r="BZ540" s="703"/>
      <c r="CA540" s="259"/>
      <c r="CB540" s="259"/>
      <c r="CC540" s="259"/>
      <c r="CD540" s="259"/>
      <c r="CE540" s="259"/>
      <c r="CF540" s="259"/>
      <c r="CG540" s="259"/>
      <c r="CH540" s="259"/>
      <c r="CI540" s="259"/>
      <c r="CJ540" s="259"/>
      <c r="CK540" s="259"/>
      <c r="CL540" s="259"/>
      <c r="CM540" s="259"/>
      <c r="CN540" s="259"/>
      <c r="CO540" s="259"/>
      <c r="CP540" s="259"/>
      <c r="CQ540" s="259"/>
      <c r="CR540" s="259"/>
      <c r="CS540" s="259"/>
      <c r="CT540" s="259"/>
      <c r="CU540" s="259"/>
      <c r="CV540" s="259"/>
      <c r="CW540" s="259"/>
      <c r="CX540" s="259"/>
      <c r="CY540" s="259"/>
      <c r="CZ540" s="259"/>
      <c r="DA540" s="259"/>
      <c r="DB540" s="259"/>
      <c r="DC540" s="259"/>
      <c r="DD540" s="259"/>
      <c r="DE540" s="259"/>
      <c r="DF540" s="259"/>
      <c r="DG540" s="259"/>
      <c r="DH540" s="259"/>
      <c r="DI540" s="259"/>
      <c r="DJ540" s="259"/>
      <c r="DK540" s="259"/>
      <c r="DL540" s="259"/>
      <c r="DM540" s="259"/>
      <c r="DN540" s="259"/>
      <c r="DO540" s="259"/>
      <c r="DP540" s="259"/>
      <c r="DQ540" s="259"/>
      <c r="DR540" s="259"/>
      <c r="DS540" s="259"/>
      <c r="DT540" s="259"/>
      <c r="DU540" s="259"/>
      <c r="DV540" s="259"/>
      <c r="DW540" s="259"/>
      <c r="DX540" s="259"/>
      <c r="DY540" s="259"/>
      <c r="DZ540" s="259"/>
      <c r="EA540" s="259"/>
      <c r="EB540" s="259"/>
      <c r="EC540" s="259"/>
      <c r="ED540" s="259"/>
      <c r="EE540" s="259"/>
      <c r="EF540" s="259"/>
      <c r="EG540" s="259"/>
      <c r="EH540" s="259"/>
      <c r="EI540" s="259"/>
      <c r="EJ540" s="259"/>
      <c r="EK540" s="259"/>
      <c r="EL540" s="259"/>
      <c r="EM540" s="259"/>
      <c r="EN540" s="259"/>
      <c r="EO540" s="259"/>
      <c r="EP540" s="259"/>
      <c r="EQ540" s="259"/>
      <c r="ER540" s="259"/>
      <c r="ES540" s="259"/>
      <c r="ET540" s="259"/>
      <c r="EU540" s="259"/>
      <c r="EV540" s="259"/>
      <c r="EW540" s="259"/>
      <c r="EX540" s="259"/>
      <c r="EY540" s="259"/>
      <c r="EZ540" s="259"/>
      <c r="FA540" s="259"/>
      <c r="FB540" s="259"/>
      <c r="FC540" s="259"/>
      <c r="FD540" s="259"/>
      <c r="FE540" s="259"/>
      <c r="FF540" s="259"/>
      <c r="FG540" s="259"/>
      <c r="FH540" s="259"/>
      <c r="FI540" s="259"/>
      <c r="FJ540" s="259"/>
      <c r="FK540" s="259"/>
      <c r="FL540" s="259"/>
      <c r="FM540" s="259"/>
      <c r="FN540" s="259"/>
      <c r="FO540" s="259"/>
      <c r="FP540" s="259"/>
      <c r="FQ540" s="259"/>
      <c r="FR540" s="259"/>
      <c r="FS540" s="259"/>
      <c r="FT540" s="259"/>
      <c r="FU540" s="259"/>
      <c r="FV540" s="259"/>
      <c r="FW540" s="259"/>
      <c r="FX540" s="259"/>
      <c r="FY540" s="259"/>
      <c r="FZ540" s="259"/>
      <c r="GA540" s="259"/>
      <c r="GB540" s="259"/>
      <c r="GC540" s="259"/>
      <c r="GD540" s="259"/>
      <c r="GE540" s="259"/>
      <c r="GF540" s="259"/>
      <c r="GG540" s="259"/>
      <c r="GH540" s="259"/>
      <c r="GI540" s="259"/>
      <c r="GJ540" s="259"/>
      <c r="GK540" s="259"/>
      <c r="GL540" s="259"/>
      <c r="GM540" s="259"/>
      <c r="GN540" s="259"/>
      <c r="GO540" s="259"/>
      <c r="GP540" s="259"/>
      <c r="GQ540" s="259"/>
      <c r="GR540" s="259"/>
      <c r="GS540" s="259"/>
      <c r="GT540" s="259"/>
      <c r="GU540" s="259"/>
      <c r="GV540" s="259"/>
      <c r="GW540" s="259"/>
      <c r="GX540" s="259"/>
      <c r="GY540" s="259"/>
      <c r="GZ540" s="259"/>
      <c r="HA540" s="259"/>
      <c r="HB540" s="259"/>
      <c r="HC540" s="259"/>
      <c r="HD540" s="259"/>
      <c r="HE540" s="259"/>
      <c r="HF540" s="259"/>
      <c r="HG540" s="259"/>
      <c r="HH540" s="259"/>
      <c r="HI540" s="259"/>
      <c r="HJ540" s="259"/>
      <c r="HK540" s="259"/>
      <c r="HL540" s="259"/>
      <c r="HM540" s="259"/>
      <c r="HN540" s="259"/>
      <c r="HO540" s="259"/>
      <c r="HP540" s="259"/>
      <c r="HQ540" s="259"/>
      <c r="HR540" s="259"/>
      <c r="HS540" s="259"/>
      <c r="HT540" s="259"/>
      <c r="HU540" s="259"/>
      <c r="HV540" s="259"/>
      <c r="HW540" s="259"/>
      <c r="HX540" s="259"/>
      <c r="HY540" s="259"/>
      <c r="HZ540" s="259"/>
      <c r="IA540" s="259"/>
      <c r="IB540" s="259"/>
      <c r="IC540" s="259"/>
      <c r="ID540" s="259"/>
      <c r="IE540" s="259"/>
      <c r="IF540" s="259"/>
      <c r="IG540" s="259"/>
      <c r="IH540" s="259"/>
      <c r="II540" s="259"/>
      <c r="IJ540" s="259"/>
      <c r="IK540" s="259"/>
      <c r="IL540" s="259"/>
      <c r="IM540" s="259"/>
      <c r="IN540" s="259"/>
      <c r="IO540" s="259"/>
      <c r="IP540" s="259"/>
      <c r="IQ540" s="259"/>
      <c r="IR540" s="259"/>
      <c r="IS540" s="259"/>
      <c r="IT540" s="259"/>
      <c r="IU540" s="259"/>
      <c r="IV540" s="259"/>
      <c r="IW540" s="259"/>
      <c r="IX540" s="259"/>
      <c r="IY540" s="259"/>
      <c r="IZ540" s="259"/>
      <c r="JA540" s="259"/>
      <c r="JB540" s="259"/>
      <c r="JC540" s="259"/>
      <c r="JD540" s="259"/>
      <c r="JE540" s="259"/>
      <c r="JF540" s="259"/>
      <c r="JG540" s="259"/>
      <c r="JH540" s="259"/>
      <c r="JI540" s="259"/>
      <c r="JJ540" s="259"/>
      <c r="JK540" s="259"/>
      <c r="JL540" s="259"/>
      <c r="JM540" s="259"/>
      <c r="JN540" s="259"/>
      <c r="JO540" s="259"/>
      <c r="JP540" s="259"/>
      <c r="JQ540" s="259"/>
      <c r="JR540" s="259"/>
      <c r="JS540" s="259"/>
      <c r="JT540" s="259"/>
      <c r="JU540" s="259"/>
      <c r="JV540" s="259"/>
      <c r="JW540" s="259"/>
      <c r="JX540" s="259"/>
      <c r="JY540" s="259"/>
      <c r="JZ540" s="259"/>
      <c r="KA540" s="259"/>
      <c r="KB540" s="259"/>
      <c r="KC540" s="259"/>
      <c r="KD540" s="259"/>
      <c r="KE540" s="259"/>
      <c r="KF540" s="259"/>
      <c r="KG540" s="259"/>
      <c r="KH540" s="259"/>
      <c r="KI540" s="259"/>
      <c r="KJ540" s="259"/>
      <c r="KK540" s="259"/>
      <c r="KL540" s="259"/>
      <c r="KM540" s="259"/>
      <c r="KN540" s="259"/>
      <c r="KO540" s="259"/>
      <c r="KP540" s="259"/>
      <c r="KQ540" s="259"/>
      <c r="KR540" s="259"/>
      <c r="KS540" s="259"/>
      <c r="KT540" s="259"/>
      <c r="KU540" s="259"/>
      <c r="KV540" s="259"/>
      <c r="KW540" s="259"/>
      <c r="KX540" s="259"/>
      <c r="KY540" s="259"/>
      <c r="KZ540" s="259"/>
      <c r="LA540" s="259"/>
      <c r="LB540" s="259"/>
      <c r="LC540" s="259"/>
      <c r="LD540" s="259"/>
      <c r="LE540" s="259"/>
      <c r="LF540" s="259"/>
      <c r="LG540" s="259"/>
      <c r="LH540" s="259"/>
      <c r="LI540" s="259"/>
      <c r="LJ540" s="259"/>
      <c r="LK540" s="259"/>
      <c r="LL540" s="259"/>
      <c r="LM540" s="259"/>
      <c r="LN540" s="259"/>
      <c r="LO540" s="259"/>
      <c r="LP540" s="259"/>
      <c r="LQ540" s="259"/>
      <c r="LR540" s="259"/>
      <c r="LS540" s="259"/>
      <c r="LT540" s="259"/>
      <c r="LU540" s="259"/>
      <c r="LV540" s="259"/>
      <c r="LW540" s="259"/>
      <c r="LX540" s="259"/>
      <c r="LY540" s="259"/>
      <c r="LZ540" s="259"/>
      <c r="MA540" s="259"/>
      <c r="MB540" s="259"/>
      <c r="MC540" s="259"/>
      <c r="MD540" s="259"/>
      <c r="ME540" s="259"/>
      <c r="MF540" s="259"/>
      <c r="MG540" s="259"/>
      <c r="MH540" s="259"/>
      <c r="MI540" s="259"/>
      <c r="MJ540" s="259"/>
      <c r="MK540" s="259"/>
      <c r="ML540" s="259"/>
      <c r="MM540" s="259"/>
      <c r="MN540" s="259"/>
      <c r="MO540" s="259"/>
      <c r="MP540" s="259"/>
      <c r="MQ540" s="259"/>
      <c r="MR540" s="259"/>
      <c r="MS540" s="259"/>
      <c r="MT540" s="259"/>
      <c r="MU540" s="259"/>
      <c r="MV540" s="259"/>
      <c r="MW540" s="259"/>
      <c r="MX540" s="259"/>
      <c r="MY540" s="259"/>
      <c r="MZ540" s="259"/>
      <c r="NA540" s="259"/>
      <c r="NB540" s="259"/>
      <c r="NC540" s="259"/>
      <c r="ND540" s="259"/>
      <c r="NE540" s="259"/>
      <c r="NF540" s="259"/>
      <c r="NG540" s="259"/>
      <c r="NH540" s="259"/>
      <c r="NI540" s="259"/>
      <c r="NJ540" s="259"/>
      <c r="NK540" s="259"/>
      <c r="NL540" s="259"/>
      <c r="NM540" s="259"/>
      <c r="NN540" s="259"/>
      <c r="NO540" s="259"/>
      <c r="NP540" s="259"/>
      <c r="NQ540" s="259"/>
      <c r="NR540" s="259"/>
      <c r="NS540" s="259"/>
      <c r="NT540" s="259"/>
      <c r="NU540" s="259"/>
      <c r="NV540" s="259"/>
      <c r="NW540" s="259"/>
      <c r="NX540" s="259"/>
      <c r="NY540" s="259"/>
      <c r="NZ540" s="259"/>
      <c r="OA540" s="259"/>
      <c r="OB540" s="259"/>
      <c r="OC540" s="259"/>
      <c r="OD540" s="259"/>
      <c r="OE540" s="259"/>
      <c r="OF540" s="259"/>
      <c r="OG540" s="259"/>
      <c r="OH540" s="259"/>
      <c r="OI540" s="259"/>
      <c r="OJ540" s="259"/>
      <c r="OK540" s="259"/>
      <c r="OL540" s="259"/>
      <c r="OM540" s="259"/>
      <c r="ON540" s="259"/>
      <c r="OO540" s="259"/>
      <c r="OP540" s="259"/>
      <c r="OQ540" s="259"/>
      <c r="OR540" s="259"/>
      <c r="OS540" s="259"/>
      <c r="OT540" s="259"/>
      <c r="OU540" s="259"/>
      <c r="OV540" s="259"/>
      <c r="OW540" s="259"/>
      <c r="OX540" s="259"/>
      <c r="OY540" s="259"/>
      <c r="OZ540" s="259"/>
      <c r="PA540" s="259"/>
      <c r="PB540" s="259"/>
      <c r="PC540" s="259"/>
      <c r="PD540" s="259"/>
      <c r="PE540" s="259"/>
      <c r="PF540" s="259"/>
      <c r="PG540" s="259"/>
      <c r="PH540" s="259"/>
      <c r="PI540" s="259"/>
      <c r="PJ540" s="259"/>
      <c r="PK540" s="259"/>
      <c r="PL540" s="259"/>
      <c r="PM540" s="259"/>
      <c r="PN540" s="259"/>
      <c r="PO540" s="259"/>
      <c r="PP540" s="259"/>
      <c r="PQ540" s="259"/>
      <c r="PR540" s="259"/>
      <c r="PS540" s="259"/>
      <c r="PT540" s="259"/>
      <c r="PU540" s="259"/>
      <c r="PV540" s="259"/>
      <c r="PW540" s="259"/>
      <c r="PX540" s="259"/>
      <c r="PY540" s="259"/>
      <c r="PZ540" s="259"/>
      <c r="QA540" s="259"/>
      <c r="QB540" s="259"/>
      <c r="QC540" s="259"/>
      <c r="QD540" s="259"/>
      <c r="QE540" s="259"/>
      <c r="QF540" s="259"/>
      <c r="QG540" s="259"/>
      <c r="QH540" s="259"/>
      <c r="QI540" s="259"/>
      <c r="QJ540" s="259"/>
      <c r="QK540" s="259"/>
      <c r="QL540" s="259"/>
      <c r="QM540" s="259"/>
      <c r="QN540" s="259"/>
      <c r="QO540" s="259"/>
      <c r="QP540" s="259"/>
      <c r="QQ540" s="259"/>
      <c r="QR540" s="259"/>
      <c r="QS540" s="259"/>
      <c r="QT540" s="259"/>
      <c r="QU540" s="259"/>
      <c r="QV540" s="259"/>
      <c r="QW540" s="259"/>
      <c r="QX540" s="259"/>
      <c r="QY540" s="259"/>
      <c r="QZ540" s="259"/>
      <c r="RA540" s="259"/>
      <c r="RB540" s="259"/>
      <c r="RC540" s="259"/>
      <c r="RD540" s="259"/>
      <c r="RE540" s="259"/>
      <c r="RF540" s="259"/>
      <c r="RG540" s="259"/>
      <c r="RH540" s="259"/>
      <c r="RI540" s="259"/>
      <c r="RJ540" s="259"/>
      <c r="RK540" s="259"/>
      <c r="RL540" s="259"/>
      <c r="RM540" s="259"/>
      <c r="RN540" s="259"/>
      <c r="RO540" s="259"/>
      <c r="RP540" s="259"/>
      <c r="RQ540" s="259"/>
      <c r="RR540" s="259"/>
      <c r="RS540" s="259"/>
      <c r="RT540" s="259"/>
      <c r="RU540" s="259"/>
      <c r="RV540" s="259"/>
      <c r="RW540" s="259"/>
      <c r="RX540" s="259"/>
      <c r="RY540" s="259"/>
      <c r="RZ540" s="259"/>
      <c r="SA540" s="259"/>
      <c r="SB540" s="259"/>
      <c r="SC540" s="259"/>
      <c r="SD540" s="259"/>
      <c r="SE540" s="259"/>
      <c r="SF540" s="259"/>
      <c r="SG540" s="259"/>
      <c r="SH540" s="259"/>
      <c r="SI540" s="259"/>
      <c r="SJ540" s="259"/>
      <c r="SK540" s="259"/>
      <c r="SL540" s="259"/>
      <c r="SM540" s="259"/>
      <c r="SN540" s="259"/>
      <c r="SO540" s="259"/>
      <c r="SP540" s="259"/>
      <c r="SQ540" s="259"/>
      <c r="SR540" s="259"/>
      <c r="SS540" s="259"/>
      <c r="ST540" s="259"/>
      <c r="SU540" s="259"/>
      <c r="SV540" s="259"/>
      <c r="SW540" s="259"/>
      <c r="SX540" s="259"/>
      <c r="SY540" s="259"/>
      <c r="SZ540" s="259"/>
      <c r="TA540" s="259"/>
      <c r="TB540" s="259"/>
      <c r="TC540" s="259"/>
      <c r="TD540" s="259"/>
      <c r="TE540" s="259"/>
      <c r="TF540" s="259"/>
      <c r="TG540" s="259"/>
      <c r="TH540" s="259"/>
      <c r="TI540" s="259"/>
      <c r="TJ540" s="259"/>
      <c r="TK540" s="259"/>
      <c r="TL540" s="259"/>
      <c r="TM540" s="259"/>
      <c r="TN540" s="259"/>
      <c r="TO540" s="259"/>
      <c r="TP540" s="259"/>
      <c r="TQ540" s="259"/>
      <c r="TR540" s="259"/>
      <c r="TS540" s="259"/>
      <c r="TT540" s="259"/>
      <c r="TU540" s="259"/>
      <c r="TV540" s="259"/>
      <c r="TW540" s="259"/>
      <c r="TX540" s="259"/>
      <c r="TY540" s="259"/>
      <c r="TZ540" s="259"/>
      <c r="UA540" s="259"/>
      <c r="UB540" s="259"/>
      <c r="UC540" s="259"/>
      <c r="UD540" s="259"/>
      <c r="UE540" s="259"/>
      <c r="UF540" s="259"/>
      <c r="UG540" s="259"/>
      <c r="UH540" s="259"/>
      <c r="UI540" s="259"/>
    </row>
    <row r="541" spans="1:555" ht="81.75" thickBot="1">
      <c r="A541" s="88">
        <v>222</v>
      </c>
      <c r="B541" s="75" t="s">
        <v>2651</v>
      </c>
      <c r="C541" s="76">
        <v>79633031</v>
      </c>
      <c r="D541" s="441" t="s">
        <v>167</v>
      </c>
      <c r="E541" s="77">
        <v>42389</v>
      </c>
      <c r="F541" s="78">
        <v>42370</v>
      </c>
      <c r="G541" s="79" t="s">
        <v>2652</v>
      </c>
      <c r="H541" s="75" t="s">
        <v>1974</v>
      </c>
      <c r="I541" s="75" t="s">
        <v>183</v>
      </c>
      <c r="J541" s="77">
        <v>42544</v>
      </c>
      <c r="K541" s="78">
        <v>42522</v>
      </c>
      <c r="L541" s="79" t="s">
        <v>2653</v>
      </c>
      <c r="M541" s="75" t="s">
        <v>5</v>
      </c>
      <c r="N541" s="75" t="s">
        <v>101</v>
      </c>
      <c r="O541" s="77"/>
      <c r="P541" s="80"/>
      <c r="Q541" s="79"/>
      <c r="R541" s="75"/>
      <c r="S541" s="75"/>
      <c r="T541" s="77"/>
      <c r="U541" s="78"/>
      <c r="V541" s="79"/>
      <c r="W541" s="75"/>
      <c r="X541" s="75"/>
      <c r="Y541" s="77"/>
      <c r="Z541" s="78"/>
      <c r="AA541" s="79"/>
      <c r="AB541" s="75"/>
      <c r="AC541" s="75"/>
      <c r="AD541" s="77"/>
      <c r="AE541" s="78"/>
      <c r="AF541" s="79"/>
      <c r="AG541" s="75"/>
      <c r="AH541" s="75"/>
      <c r="AI541" s="81"/>
      <c r="AJ541" s="78"/>
      <c r="AK541" s="79"/>
      <c r="AL541" s="75"/>
      <c r="AM541" s="75"/>
      <c r="AN541" s="75" t="s">
        <v>2654</v>
      </c>
      <c r="AO541" s="479">
        <v>42544</v>
      </c>
      <c r="AP541" s="75"/>
      <c r="AQ541" s="79" t="s">
        <v>2655</v>
      </c>
      <c r="AR541" s="75" t="s">
        <v>161</v>
      </c>
      <c r="AS541" s="77">
        <v>38594</v>
      </c>
      <c r="AT541" s="77">
        <v>40567</v>
      </c>
      <c r="AU541" s="75" t="s">
        <v>2656</v>
      </c>
      <c r="AV541" s="75"/>
      <c r="AW541" s="75" t="s">
        <v>92</v>
      </c>
      <c r="AX541" s="75" t="s">
        <v>2657</v>
      </c>
      <c r="AY541" s="77">
        <v>41590</v>
      </c>
      <c r="AZ541" s="75" t="s">
        <v>576</v>
      </c>
      <c r="BA541" s="77">
        <v>42348</v>
      </c>
      <c r="BB541" s="382">
        <v>42405</v>
      </c>
      <c r="BC541" s="75" t="s">
        <v>95</v>
      </c>
      <c r="BD541" s="75" t="s">
        <v>566</v>
      </c>
      <c r="BE541" s="85"/>
      <c r="BF541" s="89"/>
      <c r="BG541" s="89"/>
      <c r="BH541" s="79"/>
      <c r="BI541" s="89"/>
      <c r="BJ541" s="74">
        <f>+[95]MATRIZ!$J$52</f>
        <v>0</v>
      </c>
      <c r="BK541" s="82"/>
      <c r="BL541" s="83"/>
      <c r="BM541" s="77"/>
      <c r="BN541" s="84"/>
      <c r="BO541" s="867"/>
      <c r="BP541" s="400"/>
      <c r="BQ541" s="75"/>
      <c r="BR541" s="85"/>
      <c r="BS541" s="79"/>
      <c r="BT541" s="79"/>
      <c r="BU541" s="79"/>
      <c r="BV541" s="79"/>
      <c r="BW541" s="86"/>
      <c r="BX541" s="81"/>
      <c r="BY541" s="77"/>
      <c r="BZ541" s="87"/>
    </row>
    <row r="542" spans="1:555" ht="54" customHeight="1">
      <c r="A542" s="33">
        <v>225</v>
      </c>
      <c r="B542" s="34" t="s">
        <v>2694</v>
      </c>
      <c r="C542" s="35">
        <v>83089871</v>
      </c>
      <c r="D542" s="440" t="s">
        <v>1551</v>
      </c>
      <c r="E542" s="37">
        <v>42394</v>
      </c>
      <c r="F542" s="38">
        <v>42370</v>
      </c>
      <c r="G542" s="39" t="s">
        <v>2695</v>
      </c>
      <c r="H542" s="34" t="s">
        <v>5</v>
      </c>
      <c r="I542" s="34" t="s">
        <v>101</v>
      </c>
      <c r="J542" s="37">
        <v>42604</v>
      </c>
      <c r="K542" s="38">
        <v>42583</v>
      </c>
      <c r="L542" s="39" t="s">
        <v>2696</v>
      </c>
      <c r="M542" s="34" t="s">
        <v>5</v>
      </c>
      <c r="N542" s="34" t="s">
        <v>336</v>
      </c>
      <c r="O542" s="37">
        <v>42668</v>
      </c>
      <c r="P542" s="40">
        <v>42644</v>
      </c>
      <c r="Q542" s="39" t="s">
        <v>2697</v>
      </c>
      <c r="R542" s="34" t="s">
        <v>5</v>
      </c>
      <c r="S542" s="34" t="s">
        <v>336</v>
      </c>
      <c r="T542" s="37">
        <v>42773</v>
      </c>
      <c r="U542" s="38">
        <v>42767</v>
      </c>
      <c r="V542" s="39" t="s">
        <v>2672</v>
      </c>
      <c r="W542" s="34" t="s">
        <v>5</v>
      </c>
      <c r="X542" s="34" t="s">
        <v>131</v>
      </c>
      <c r="Y542" s="37">
        <v>42572</v>
      </c>
      <c r="Z542" s="38">
        <v>42552</v>
      </c>
      <c r="AA542" s="39" t="s">
        <v>2698</v>
      </c>
      <c r="AB542" s="34" t="s">
        <v>5</v>
      </c>
      <c r="AC542" s="34" t="s">
        <v>2699</v>
      </c>
      <c r="AD542" s="37" t="s">
        <v>2700</v>
      </c>
      <c r="AE542" s="38" t="s">
        <v>2701</v>
      </c>
      <c r="AF542" s="39" t="s">
        <v>2702</v>
      </c>
      <c r="AG542" s="34" t="s">
        <v>2703</v>
      </c>
      <c r="AH542" s="34" t="s">
        <v>2704</v>
      </c>
      <c r="AI542" s="41"/>
      <c r="AJ542" s="38"/>
      <c r="AK542" s="39"/>
      <c r="AL542" s="34"/>
      <c r="AM542" s="34"/>
      <c r="AN542" s="34" t="s">
        <v>2705</v>
      </c>
      <c r="AO542" s="473"/>
      <c r="AP542" s="34"/>
      <c r="AQ542" s="39" t="s">
        <v>2706</v>
      </c>
      <c r="AR542" s="34" t="s">
        <v>161</v>
      </c>
      <c r="AS542" s="37" t="s">
        <v>67</v>
      </c>
      <c r="AT542" s="37" t="s">
        <v>67</v>
      </c>
      <c r="AU542" s="34" t="s">
        <v>2707</v>
      </c>
      <c r="AV542" s="34"/>
      <c r="AW542" s="34" t="s">
        <v>92</v>
      </c>
      <c r="AX542" s="34" t="s">
        <v>2708</v>
      </c>
      <c r="AY542" s="37">
        <v>40024</v>
      </c>
      <c r="AZ542" s="34" t="s">
        <v>2689</v>
      </c>
      <c r="BA542" s="37">
        <v>42048</v>
      </c>
      <c r="BB542" s="382">
        <v>42441</v>
      </c>
      <c r="BC542" s="42" t="s">
        <v>561</v>
      </c>
      <c r="BD542" s="42"/>
      <c r="BE542" s="42" t="s">
        <v>2709</v>
      </c>
      <c r="BF542" s="46"/>
      <c r="BG542" s="46"/>
      <c r="BH542" s="39"/>
      <c r="BI542" s="46"/>
      <c r="BJ542" s="43">
        <v>96656500</v>
      </c>
      <c r="BK542" s="43"/>
      <c r="BL542" s="44"/>
      <c r="BM542" s="37"/>
      <c r="BN542" s="45"/>
      <c r="BO542" s="462"/>
      <c r="BP542" s="391"/>
      <c r="BQ542" s="34"/>
      <c r="BR542" s="42"/>
      <c r="BS542" s="39"/>
      <c r="BT542" s="39"/>
      <c r="BU542" s="39"/>
      <c r="BV542" s="39"/>
      <c r="BW542" s="51"/>
      <c r="BX542" s="41"/>
      <c r="BY542" s="37"/>
      <c r="BZ542" s="52"/>
    </row>
    <row r="543" spans="1:555" ht="94.5">
      <c r="A543" s="502">
        <v>226</v>
      </c>
      <c r="B543" s="686" t="s">
        <v>2710</v>
      </c>
      <c r="C543" s="687">
        <v>79535729</v>
      </c>
      <c r="D543" s="688" t="s">
        <v>906</v>
      </c>
      <c r="E543" s="27">
        <v>42415</v>
      </c>
      <c r="F543" s="689">
        <v>42401</v>
      </c>
      <c r="G543" s="690" t="s">
        <v>2711</v>
      </c>
      <c r="H543" s="686" t="s">
        <v>171</v>
      </c>
      <c r="I543" s="686" t="s">
        <v>1544</v>
      </c>
      <c r="J543" s="27">
        <v>42521</v>
      </c>
      <c r="K543" s="689">
        <v>42491</v>
      </c>
      <c r="L543" s="690" t="s">
        <v>2712</v>
      </c>
      <c r="M543" s="686" t="s">
        <v>171</v>
      </c>
      <c r="N543" s="686" t="s">
        <v>183</v>
      </c>
      <c r="O543" s="27">
        <v>42928</v>
      </c>
      <c r="P543" s="691">
        <v>42917</v>
      </c>
      <c r="Q543" s="690" t="s">
        <v>2713</v>
      </c>
      <c r="R543" s="686" t="s">
        <v>5</v>
      </c>
      <c r="S543" s="686" t="s">
        <v>79</v>
      </c>
      <c r="T543" s="27"/>
      <c r="U543" s="689"/>
      <c r="V543" s="690"/>
      <c r="W543" s="686"/>
      <c r="X543" s="686"/>
      <c r="Y543" s="27"/>
      <c r="Z543" s="689"/>
      <c r="AA543" s="690"/>
      <c r="AB543" s="686"/>
      <c r="AC543" s="686"/>
      <c r="AD543" s="27"/>
      <c r="AE543" s="689"/>
      <c r="AF543" s="690"/>
      <c r="AG543" s="686"/>
      <c r="AH543" s="686"/>
      <c r="AI543" s="693"/>
      <c r="AJ543" s="689"/>
      <c r="AK543" s="690"/>
      <c r="AL543" s="686"/>
      <c r="AM543" s="686"/>
      <c r="AN543" s="686" t="s">
        <v>908</v>
      </c>
      <c r="AO543" s="705"/>
      <c r="AP543" s="686"/>
      <c r="AQ543" s="690" t="s">
        <v>2714</v>
      </c>
      <c r="AR543" s="686" t="s">
        <v>161</v>
      </c>
      <c r="AS543" s="27">
        <v>40483</v>
      </c>
      <c r="AT543" s="27">
        <v>40908</v>
      </c>
      <c r="AU543" s="686" t="s">
        <v>2715</v>
      </c>
      <c r="AV543" s="686"/>
      <c r="AW543" s="686" t="s">
        <v>69</v>
      </c>
      <c r="AX543" s="686" t="s">
        <v>1694</v>
      </c>
      <c r="AY543" s="27">
        <v>42152</v>
      </c>
      <c r="AZ543" s="686" t="s">
        <v>94</v>
      </c>
      <c r="BA543" s="27">
        <v>42409</v>
      </c>
      <c r="BB543" s="27">
        <v>42409</v>
      </c>
      <c r="BC543" s="701" t="s">
        <v>912</v>
      </c>
      <c r="BD543" s="701" t="s">
        <v>566</v>
      </c>
      <c r="BE543" s="686"/>
      <c r="BF543" s="690"/>
      <c r="BG543" s="690"/>
      <c r="BH543" s="690"/>
      <c r="BI543" s="690"/>
      <c r="BJ543" s="696">
        <f>+[96]MATRIZ!$J$53</f>
        <v>0</v>
      </c>
      <c r="BK543" s="696"/>
      <c r="BL543" s="697"/>
      <c r="BM543" s="27"/>
      <c r="BN543" s="698"/>
      <c r="BO543" s="699"/>
      <c r="BP543" s="700"/>
      <c r="BQ543" s="686"/>
      <c r="BR543" s="701"/>
      <c r="BS543" s="690"/>
      <c r="BT543" s="690"/>
      <c r="BU543" s="690"/>
      <c r="BV543" s="690"/>
      <c r="BW543" s="702"/>
      <c r="BX543" s="693"/>
      <c r="BY543" s="27"/>
      <c r="BZ543" s="703"/>
      <c r="CA543" s="259"/>
      <c r="CB543" s="259"/>
      <c r="CC543" s="259"/>
      <c r="CD543" s="259"/>
      <c r="CE543" s="259"/>
      <c r="CF543" s="259"/>
      <c r="CG543" s="259"/>
      <c r="CH543" s="259"/>
      <c r="CI543" s="259"/>
      <c r="CJ543" s="259"/>
      <c r="CK543" s="259"/>
      <c r="CL543" s="259"/>
      <c r="CM543" s="259"/>
      <c r="CN543" s="259"/>
      <c r="CO543" s="259"/>
      <c r="CP543" s="259"/>
      <c r="CQ543" s="259"/>
      <c r="CR543" s="259"/>
      <c r="CS543" s="259"/>
      <c r="CT543" s="259"/>
      <c r="CU543" s="259"/>
      <c r="CV543" s="259"/>
      <c r="CW543" s="259"/>
      <c r="CX543" s="259"/>
      <c r="CY543" s="259"/>
      <c r="CZ543" s="259"/>
      <c r="DA543" s="259"/>
      <c r="DB543" s="259"/>
      <c r="DC543" s="259"/>
      <c r="DD543" s="259"/>
      <c r="DE543" s="259"/>
      <c r="DF543" s="259"/>
      <c r="DG543" s="259"/>
      <c r="DH543" s="259"/>
      <c r="DI543" s="259"/>
      <c r="DJ543" s="259"/>
      <c r="DK543" s="259"/>
      <c r="DL543" s="259"/>
      <c r="DM543" s="259"/>
      <c r="DN543" s="259"/>
      <c r="DO543" s="259"/>
      <c r="DP543" s="259"/>
      <c r="DQ543" s="259"/>
      <c r="DR543" s="259"/>
      <c r="DS543" s="259"/>
      <c r="DT543" s="259"/>
      <c r="DU543" s="259"/>
      <c r="DV543" s="259"/>
      <c r="DW543" s="259"/>
      <c r="DX543" s="259"/>
      <c r="DY543" s="259"/>
      <c r="DZ543" s="259"/>
      <c r="EA543" s="259"/>
      <c r="EB543" s="259"/>
      <c r="EC543" s="259"/>
      <c r="ED543" s="259"/>
      <c r="EE543" s="259"/>
      <c r="EF543" s="259"/>
      <c r="EG543" s="259"/>
      <c r="EH543" s="259"/>
      <c r="EI543" s="259"/>
      <c r="EJ543" s="259"/>
      <c r="EK543" s="259"/>
      <c r="EL543" s="259"/>
      <c r="EM543" s="259"/>
      <c r="EN543" s="259"/>
      <c r="EO543" s="259"/>
      <c r="EP543" s="259"/>
      <c r="EQ543" s="259"/>
      <c r="ER543" s="259"/>
      <c r="ES543" s="259"/>
      <c r="ET543" s="259"/>
      <c r="EU543" s="259"/>
      <c r="EV543" s="259"/>
      <c r="EW543" s="259"/>
      <c r="EX543" s="259"/>
      <c r="EY543" s="259"/>
      <c r="EZ543" s="259"/>
      <c r="FA543" s="259"/>
      <c r="FB543" s="259"/>
      <c r="FC543" s="259"/>
      <c r="FD543" s="259"/>
      <c r="FE543" s="259"/>
      <c r="FF543" s="259"/>
      <c r="FG543" s="259"/>
      <c r="FH543" s="259"/>
      <c r="FI543" s="259"/>
      <c r="FJ543" s="259"/>
      <c r="FK543" s="259"/>
      <c r="FL543" s="259"/>
      <c r="FM543" s="259"/>
      <c r="FN543" s="259"/>
      <c r="FO543" s="259"/>
      <c r="FP543" s="259"/>
      <c r="FQ543" s="259"/>
      <c r="FR543" s="259"/>
      <c r="FS543" s="259"/>
      <c r="FT543" s="259"/>
      <c r="FU543" s="259"/>
      <c r="FV543" s="259"/>
      <c r="FW543" s="259"/>
      <c r="FX543" s="259"/>
      <c r="FY543" s="259"/>
      <c r="FZ543" s="259"/>
      <c r="GA543" s="259"/>
      <c r="GB543" s="259"/>
      <c r="GC543" s="259"/>
      <c r="GD543" s="259"/>
      <c r="GE543" s="259"/>
      <c r="GF543" s="259"/>
      <c r="GG543" s="259"/>
      <c r="GH543" s="259"/>
      <c r="GI543" s="259"/>
      <c r="GJ543" s="259"/>
      <c r="GK543" s="259"/>
      <c r="GL543" s="259"/>
      <c r="GM543" s="259"/>
      <c r="GN543" s="259"/>
      <c r="GO543" s="259"/>
      <c r="GP543" s="259"/>
      <c r="GQ543" s="259"/>
      <c r="GR543" s="259"/>
      <c r="GS543" s="259"/>
      <c r="GT543" s="259"/>
      <c r="GU543" s="259"/>
      <c r="GV543" s="259"/>
      <c r="GW543" s="259"/>
      <c r="GX543" s="259"/>
      <c r="GY543" s="259"/>
      <c r="GZ543" s="259"/>
      <c r="HA543" s="259"/>
      <c r="HB543" s="259"/>
      <c r="HC543" s="259"/>
      <c r="HD543" s="259"/>
      <c r="HE543" s="259"/>
      <c r="HF543" s="259"/>
      <c r="HG543" s="259"/>
      <c r="HH543" s="259"/>
      <c r="HI543" s="259"/>
      <c r="HJ543" s="259"/>
      <c r="HK543" s="259"/>
      <c r="HL543" s="259"/>
      <c r="HM543" s="259"/>
      <c r="HN543" s="259"/>
      <c r="HO543" s="259"/>
      <c r="HP543" s="259"/>
      <c r="HQ543" s="259"/>
      <c r="HR543" s="259"/>
      <c r="HS543" s="259"/>
      <c r="HT543" s="259"/>
      <c r="HU543" s="259"/>
      <c r="HV543" s="259"/>
      <c r="HW543" s="259"/>
      <c r="HX543" s="259"/>
      <c r="HY543" s="259"/>
      <c r="HZ543" s="259"/>
      <c r="IA543" s="259"/>
      <c r="IB543" s="259"/>
      <c r="IC543" s="259"/>
      <c r="ID543" s="259"/>
      <c r="IE543" s="259"/>
      <c r="IF543" s="259"/>
      <c r="IG543" s="259"/>
      <c r="IH543" s="259"/>
      <c r="II543" s="259"/>
      <c r="IJ543" s="259"/>
      <c r="IK543" s="259"/>
      <c r="IL543" s="259"/>
      <c r="IM543" s="259"/>
      <c r="IN543" s="259"/>
      <c r="IO543" s="259"/>
      <c r="IP543" s="259"/>
      <c r="IQ543" s="259"/>
      <c r="IR543" s="259"/>
      <c r="IS543" s="259"/>
      <c r="IT543" s="259"/>
      <c r="IU543" s="259"/>
      <c r="IV543" s="259"/>
      <c r="IW543" s="259"/>
      <c r="IX543" s="259"/>
      <c r="IY543" s="259"/>
      <c r="IZ543" s="259"/>
      <c r="JA543" s="259"/>
      <c r="JB543" s="259"/>
      <c r="JC543" s="259"/>
      <c r="JD543" s="259"/>
      <c r="JE543" s="259"/>
      <c r="JF543" s="259"/>
      <c r="JG543" s="259"/>
      <c r="JH543" s="259"/>
      <c r="JI543" s="259"/>
      <c r="JJ543" s="259"/>
      <c r="JK543" s="259"/>
      <c r="JL543" s="259"/>
      <c r="JM543" s="259"/>
      <c r="JN543" s="259"/>
      <c r="JO543" s="259"/>
      <c r="JP543" s="259"/>
      <c r="JQ543" s="259"/>
      <c r="JR543" s="259"/>
      <c r="JS543" s="259"/>
      <c r="JT543" s="259"/>
      <c r="JU543" s="259"/>
      <c r="JV543" s="259"/>
      <c r="JW543" s="259"/>
      <c r="JX543" s="259"/>
      <c r="JY543" s="259"/>
      <c r="JZ543" s="259"/>
      <c r="KA543" s="259"/>
      <c r="KB543" s="259"/>
      <c r="KC543" s="259"/>
      <c r="KD543" s="259"/>
      <c r="KE543" s="259"/>
      <c r="KF543" s="259"/>
      <c r="KG543" s="259"/>
      <c r="KH543" s="259"/>
      <c r="KI543" s="259"/>
      <c r="KJ543" s="259"/>
      <c r="KK543" s="259"/>
      <c r="KL543" s="259"/>
      <c r="KM543" s="259"/>
      <c r="KN543" s="259"/>
      <c r="KO543" s="259"/>
      <c r="KP543" s="259"/>
      <c r="KQ543" s="259"/>
      <c r="KR543" s="259"/>
      <c r="KS543" s="259"/>
      <c r="KT543" s="259"/>
      <c r="KU543" s="259"/>
      <c r="KV543" s="259"/>
      <c r="KW543" s="259"/>
      <c r="KX543" s="259"/>
      <c r="KY543" s="259"/>
      <c r="KZ543" s="259"/>
      <c r="LA543" s="259"/>
      <c r="LB543" s="259"/>
      <c r="LC543" s="259"/>
      <c r="LD543" s="259"/>
      <c r="LE543" s="259"/>
      <c r="LF543" s="259"/>
      <c r="LG543" s="259"/>
      <c r="LH543" s="259"/>
      <c r="LI543" s="259"/>
      <c r="LJ543" s="259"/>
      <c r="LK543" s="259"/>
      <c r="LL543" s="259"/>
      <c r="LM543" s="259"/>
      <c r="LN543" s="259"/>
      <c r="LO543" s="259"/>
      <c r="LP543" s="259"/>
      <c r="LQ543" s="259"/>
      <c r="LR543" s="259"/>
      <c r="LS543" s="259"/>
      <c r="LT543" s="259"/>
      <c r="LU543" s="259"/>
      <c r="LV543" s="259"/>
      <c r="LW543" s="259"/>
      <c r="LX543" s="259"/>
      <c r="LY543" s="259"/>
      <c r="LZ543" s="259"/>
      <c r="MA543" s="259"/>
      <c r="MB543" s="259"/>
      <c r="MC543" s="259"/>
      <c r="MD543" s="259"/>
      <c r="ME543" s="259"/>
      <c r="MF543" s="259"/>
      <c r="MG543" s="259"/>
      <c r="MH543" s="259"/>
      <c r="MI543" s="259"/>
      <c r="MJ543" s="259"/>
      <c r="MK543" s="259"/>
      <c r="ML543" s="259"/>
      <c r="MM543" s="259"/>
      <c r="MN543" s="259"/>
      <c r="MO543" s="259"/>
      <c r="MP543" s="259"/>
      <c r="MQ543" s="259"/>
      <c r="MR543" s="259"/>
      <c r="MS543" s="259"/>
      <c r="MT543" s="259"/>
      <c r="MU543" s="259"/>
      <c r="MV543" s="259"/>
      <c r="MW543" s="259"/>
      <c r="MX543" s="259"/>
      <c r="MY543" s="259"/>
      <c r="MZ543" s="259"/>
      <c r="NA543" s="259"/>
      <c r="NB543" s="259"/>
      <c r="NC543" s="259"/>
      <c r="ND543" s="259"/>
      <c r="NE543" s="259"/>
      <c r="NF543" s="259"/>
      <c r="NG543" s="259"/>
      <c r="NH543" s="259"/>
      <c r="NI543" s="259"/>
      <c r="NJ543" s="259"/>
      <c r="NK543" s="259"/>
      <c r="NL543" s="259"/>
      <c r="NM543" s="259"/>
      <c r="NN543" s="259"/>
      <c r="NO543" s="259"/>
      <c r="NP543" s="259"/>
      <c r="NQ543" s="259"/>
      <c r="NR543" s="259"/>
      <c r="NS543" s="259"/>
      <c r="NT543" s="259"/>
      <c r="NU543" s="259"/>
      <c r="NV543" s="259"/>
      <c r="NW543" s="259"/>
      <c r="NX543" s="259"/>
      <c r="NY543" s="259"/>
      <c r="NZ543" s="259"/>
      <c r="OA543" s="259"/>
      <c r="OB543" s="259"/>
      <c r="OC543" s="259"/>
      <c r="OD543" s="259"/>
      <c r="OE543" s="259"/>
      <c r="OF543" s="259"/>
      <c r="OG543" s="259"/>
      <c r="OH543" s="259"/>
      <c r="OI543" s="259"/>
      <c r="OJ543" s="259"/>
      <c r="OK543" s="259"/>
      <c r="OL543" s="259"/>
      <c r="OM543" s="259"/>
      <c r="ON543" s="259"/>
      <c r="OO543" s="259"/>
      <c r="OP543" s="259"/>
      <c r="OQ543" s="259"/>
      <c r="OR543" s="259"/>
      <c r="OS543" s="259"/>
      <c r="OT543" s="259"/>
      <c r="OU543" s="259"/>
      <c r="OV543" s="259"/>
      <c r="OW543" s="259"/>
      <c r="OX543" s="259"/>
      <c r="OY543" s="259"/>
      <c r="OZ543" s="259"/>
      <c r="PA543" s="259"/>
      <c r="PB543" s="259"/>
      <c r="PC543" s="259"/>
      <c r="PD543" s="259"/>
      <c r="PE543" s="259"/>
      <c r="PF543" s="259"/>
      <c r="PG543" s="259"/>
      <c r="PH543" s="259"/>
      <c r="PI543" s="259"/>
      <c r="PJ543" s="259"/>
      <c r="PK543" s="259"/>
      <c r="PL543" s="259"/>
      <c r="PM543" s="259"/>
      <c r="PN543" s="259"/>
      <c r="PO543" s="259"/>
      <c r="PP543" s="259"/>
      <c r="PQ543" s="259"/>
      <c r="PR543" s="259"/>
      <c r="PS543" s="259"/>
      <c r="PT543" s="259"/>
      <c r="PU543" s="259"/>
      <c r="PV543" s="259"/>
      <c r="PW543" s="259"/>
      <c r="PX543" s="259"/>
      <c r="PY543" s="259"/>
      <c r="PZ543" s="259"/>
      <c r="QA543" s="259"/>
      <c r="QB543" s="259"/>
      <c r="QC543" s="259"/>
      <c r="QD543" s="259"/>
      <c r="QE543" s="259"/>
      <c r="QF543" s="259"/>
      <c r="QG543" s="259"/>
      <c r="QH543" s="259"/>
      <c r="QI543" s="259"/>
      <c r="QJ543" s="259"/>
      <c r="QK543" s="259"/>
      <c r="QL543" s="259"/>
      <c r="QM543" s="259"/>
      <c r="QN543" s="259"/>
      <c r="QO543" s="259"/>
      <c r="QP543" s="259"/>
      <c r="QQ543" s="259"/>
      <c r="QR543" s="259"/>
      <c r="QS543" s="259"/>
      <c r="QT543" s="259"/>
      <c r="QU543" s="259"/>
      <c r="QV543" s="259"/>
      <c r="QW543" s="259"/>
      <c r="QX543" s="259"/>
      <c r="QY543" s="259"/>
      <c r="QZ543" s="259"/>
      <c r="RA543" s="259"/>
      <c r="RB543" s="259"/>
      <c r="RC543" s="259"/>
      <c r="RD543" s="259"/>
      <c r="RE543" s="259"/>
      <c r="RF543" s="259"/>
      <c r="RG543" s="259"/>
      <c r="RH543" s="259"/>
      <c r="RI543" s="259"/>
      <c r="RJ543" s="259"/>
      <c r="RK543" s="259"/>
      <c r="RL543" s="259"/>
      <c r="RM543" s="259"/>
      <c r="RN543" s="259"/>
      <c r="RO543" s="259"/>
      <c r="RP543" s="259"/>
      <c r="RQ543" s="259"/>
      <c r="RR543" s="259"/>
      <c r="RS543" s="259"/>
      <c r="RT543" s="259"/>
      <c r="RU543" s="259"/>
      <c r="RV543" s="259"/>
      <c r="RW543" s="259"/>
      <c r="RX543" s="259"/>
      <c r="RY543" s="259"/>
      <c r="RZ543" s="259"/>
      <c r="SA543" s="259"/>
      <c r="SB543" s="259"/>
      <c r="SC543" s="259"/>
      <c r="SD543" s="259"/>
      <c r="SE543" s="259"/>
      <c r="SF543" s="259"/>
      <c r="SG543" s="259"/>
      <c r="SH543" s="259"/>
      <c r="SI543" s="259"/>
      <c r="SJ543" s="259"/>
      <c r="SK543" s="259"/>
      <c r="SL543" s="259"/>
      <c r="SM543" s="259"/>
      <c r="SN543" s="259"/>
      <c r="SO543" s="259"/>
      <c r="SP543" s="259"/>
      <c r="SQ543" s="259"/>
      <c r="SR543" s="259"/>
      <c r="SS543" s="259"/>
      <c r="ST543" s="259"/>
      <c r="SU543" s="259"/>
      <c r="SV543" s="259"/>
      <c r="SW543" s="259"/>
      <c r="SX543" s="259"/>
      <c r="SY543" s="259"/>
      <c r="SZ543" s="259"/>
      <c r="TA543" s="259"/>
      <c r="TB543" s="259"/>
      <c r="TC543" s="259"/>
      <c r="TD543" s="259"/>
      <c r="TE543" s="259"/>
      <c r="TF543" s="259"/>
      <c r="TG543" s="259"/>
      <c r="TH543" s="259"/>
      <c r="TI543" s="259"/>
      <c r="TJ543" s="259"/>
      <c r="TK543" s="259"/>
      <c r="TL543" s="259"/>
      <c r="TM543" s="259"/>
      <c r="TN543" s="259"/>
      <c r="TO543" s="259"/>
      <c r="TP543" s="259"/>
      <c r="TQ543" s="259"/>
      <c r="TR543" s="259"/>
      <c r="TS543" s="259"/>
      <c r="TT543" s="259"/>
      <c r="TU543" s="259"/>
      <c r="TV543" s="259"/>
      <c r="TW543" s="259"/>
      <c r="TX543" s="259"/>
      <c r="TY543" s="259"/>
      <c r="TZ543" s="259"/>
      <c r="UA543" s="259"/>
      <c r="UB543" s="259"/>
      <c r="UC543" s="259"/>
      <c r="UD543" s="259"/>
      <c r="UE543" s="259"/>
      <c r="UF543" s="259"/>
      <c r="UG543" s="259"/>
      <c r="UH543" s="259"/>
      <c r="UI543" s="259"/>
    </row>
    <row r="544" spans="1:555" ht="81">
      <c r="A544" s="502">
        <v>236</v>
      </c>
      <c r="B544" s="686" t="s">
        <v>2818</v>
      </c>
      <c r="C544" s="687">
        <v>72134849</v>
      </c>
      <c r="D544" s="688" t="s">
        <v>906</v>
      </c>
      <c r="E544" s="27">
        <v>42426</v>
      </c>
      <c r="F544" s="689">
        <v>42401</v>
      </c>
      <c r="G544" s="690" t="s">
        <v>2819</v>
      </c>
      <c r="H544" s="686" t="s">
        <v>625</v>
      </c>
      <c r="I544" s="686" t="s">
        <v>183</v>
      </c>
      <c r="J544" s="27">
        <v>42650</v>
      </c>
      <c r="K544" s="689">
        <v>42644</v>
      </c>
      <c r="L544" s="690" t="s">
        <v>2820</v>
      </c>
      <c r="M544" s="686" t="s">
        <v>171</v>
      </c>
      <c r="N544" s="686" t="s">
        <v>2223</v>
      </c>
      <c r="O544" s="27">
        <v>42706</v>
      </c>
      <c r="P544" s="691">
        <v>42705</v>
      </c>
      <c r="Q544" s="690" t="s">
        <v>2821</v>
      </c>
      <c r="R544" s="686" t="s">
        <v>5</v>
      </c>
      <c r="S544" s="686" t="s">
        <v>101</v>
      </c>
      <c r="T544" s="27">
        <v>43622</v>
      </c>
      <c r="U544" s="689">
        <v>43622</v>
      </c>
      <c r="V544" s="690" t="s">
        <v>8913</v>
      </c>
      <c r="W544" s="686" t="s">
        <v>5</v>
      </c>
      <c r="X544" s="686" t="s">
        <v>85</v>
      </c>
      <c r="Y544" s="27"/>
      <c r="Z544" s="689"/>
      <c r="AA544" s="690"/>
      <c r="AB544" s="686"/>
      <c r="AC544" s="686"/>
      <c r="AD544" s="27"/>
      <c r="AE544" s="689"/>
      <c r="AF544" s="690"/>
      <c r="AG544" s="686"/>
      <c r="AH544" s="686"/>
      <c r="AI544" s="693"/>
      <c r="AJ544" s="689"/>
      <c r="AK544" s="690"/>
      <c r="AL544" s="686"/>
      <c r="AM544" s="686"/>
      <c r="AN544" s="686" t="s">
        <v>908</v>
      </c>
      <c r="AO544" s="705"/>
      <c r="AP544" s="686"/>
      <c r="AQ544" s="690" t="s">
        <v>2822</v>
      </c>
      <c r="AR544" s="686" t="s">
        <v>161</v>
      </c>
      <c r="AS544" s="27" t="s">
        <v>67</v>
      </c>
      <c r="AT544" s="27" t="s">
        <v>67</v>
      </c>
      <c r="AU544" s="686" t="s">
        <v>2823</v>
      </c>
      <c r="AV544" s="686"/>
      <c r="AW544" s="686" t="s">
        <v>69</v>
      </c>
      <c r="AX544" s="686" t="s">
        <v>2721</v>
      </c>
      <c r="AY544" s="27">
        <v>42068</v>
      </c>
      <c r="AZ544" s="686" t="s">
        <v>2824</v>
      </c>
      <c r="BA544" s="27">
        <v>42250</v>
      </c>
      <c r="BB544" s="27">
        <v>42429</v>
      </c>
      <c r="BC544" s="701" t="s">
        <v>912</v>
      </c>
      <c r="BD544" s="701" t="s">
        <v>566</v>
      </c>
      <c r="BE544" s="686"/>
      <c r="BF544" s="690"/>
      <c r="BG544" s="690"/>
      <c r="BH544" s="690"/>
      <c r="BI544" s="690"/>
      <c r="BJ544" s="696">
        <f>+[97]MATRIZ!$J$44</f>
        <v>0</v>
      </c>
      <c r="BK544" s="696"/>
      <c r="BL544" s="697"/>
      <c r="BM544" s="27"/>
      <c r="BN544" s="698"/>
      <c r="BO544" s="699"/>
      <c r="BP544" s="700"/>
      <c r="BQ544" s="686"/>
      <c r="BR544" s="701"/>
      <c r="BS544" s="690"/>
      <c r="BT544" s="690"/>
      <c r="BU544" s="690"/>
      <c r="BV544" s="690"/>
      <c r="BW544" s="702"/>
      <c r="BX544" s="693"/>
      <c r="BY544" s="27"/>
      <c r="BZ544" s="703"/>
      <c r="CA544" s="259"/>
      <c r="CB544" s="259"/>
      <c r="CC544" s="259"/>
      <c r="CD544" s="259"/>
      <c r="CE544" s="259"/>
      <c r="CF544" s="259"/>
      <c r="CG544" s="259"/>
      <c r="CH544" s="259"/>
      <c r="CI544" s="259"/>
      <c r="CJ544" s="259"/>
      <c r="CK544" s="259"/>
      <c r="CL544" s="259"/>
      <c r="CM544" s="259"/>
      <c r="CN544" s="259"/>
      <c r="CO544" s="259"/>
      <c r="CP544" s="259"/>
      <c r="CQ544" s="259"/>
      <c r="CR544" s="259"/>
      <c r="CS544" s="259"/>
      <c r="CT544" s="259"/>
      <c r="CU544" s="259"/>
      <c r="CV544" s="259"/>
      <c r="CW544" s="259"/>
      <c r="CX544" s="259"/>
      <c r="CY544" s="259"/>
      <c r="CZ544" s="259"/>
      <c r="DA544" s="259"/>
      <c r="DB544" s="259"/>
      <c r="DC544" s="259"/>
      <c r="DD544" s="259"/>
      <c r="DE544" s="259"/>
      <c r="DF544" s="259"/>
      <c r="DG544" s="259"/>
      <c r="DH544" s="259"/>
      <c r="DI544" s="259"/>
      <c r="DJ544" s="259"/>
      <c r="DK544" s="259"/>
      <c r="DL544" s="259"/>
      <c r="DM544" s="259"/>
      <c r="DN544" s="259"/>
      <c r="DO544" s="259"/>
      <c r="DP544" s="259"/>
      <c r="DQ544" s="259"/>
      <c r="DR544" s="259"/>
      <c r="DS544" s="259"/>
      <c r="DT544" s="259"/>
      <c r="DU544" s="259"/>
      <c r="DV544" s="259"/>
      <c r="DW544" s="259"/>
      <c r="DX544" s="259"/>
      <c r="DY544" s="259"/>
      <c r="DZ544" s="259"/>
      <c r="EA544" s="259"/>
      <c r="EB544" s="259"/>
      <c r="EC544" s="259"/>
      <c r="ED544" s="259"/>
      <c r="EE544" s="259"/>
      <c r="EF544" s="259"/>
      <c r="EG544" s="259"/>
      <c r="EH544" s="259"/>
      <c r="EI544" s="259"/>
      <c r="EJ544" s="259"/>
      <c r="EK544" s="259"/>
      <c r="EL544" s="259"/>
      <c r="EM544" s="259"/>
      <c r="EN544" s="259"/>
      <c r="EO544" s="259"/>
      <c r="EP544" s="259"/>
      <c r="EQ544" s="259"/>
      <c r="ER544" s="259"/>
      <c r="ES544" s="259"/>
      <c r="ET544" s="259"/>
      <c r="EU544" s="259"/>
      <c r="EV544" s="259"/>
      <c r="EW544" s="259"/>
      <c r="EX544" s="259"/>
      <c r="EY544" s="259"/>
      <c r="EZ544" s="259"/>
      <c r="FA544" s="259"/>
      <c r="FB544" s="259"/>
      <c r="FC544" s="259"/>
      <c r="FD544" s="259"/>
      <c r="FE544" s="259"/>
      <c r="FF544" s="259"/>
      <c r="FG544" s="259"/>
      <c r="FH544" s="259"/>
      <c r="FI544" s="259"/>
      <c r="FJ544" s="259"/>
      <c r="FK544" s="259"/>
      <c r="FL544" s="259"/>
      <c r="FM544" s="259"/>
      <c r="FN544" s="259"/>
      <c r="FO544" s="259"/>
      <c r="FP544" s="259"/>
      <c r="FQ544" s="259"/>
      <c r="FR544" s="259"/>
      <c r="FS544" s="259"/>
      <c r="FT544" s="259"/>
      <c r="FU544" s="259"/>
      <c r="FV544" s="259"/>
      <c r="FW544" s="259"/>
      <c r="FX544" s="259"/>
      <c r="FY544" s="259"/>
      <c r="FZ544" s="259"/>
      <c r="GA544" s="259"/>
      <c r="GB544" s="259"/>
      <c r="GC544" s="259"/>
      <c r="GD544" s="259"/>
      <c r="GE544" s="259"/>
      <c r="GF544" s="259"/>
      <c r="GG544" s="259"/>
      <c r="GH544" s="259"/>
      <c r="GI544" s="259"/>
      <c r="GJ544" s="259"/>
      <c r="GK544" s="259"/>
      <c r="GL544" s="259"/>
      <c r="GM544" s="259"/>
      <c r="GN544" s="259"/>
      <c r="GO544" s="259"/>
      <c r="GP544" s="259"/>
      <c r="GQ544" s="259"/>
      <c r="GR544" s="259"/>
      <c r="GS544" s="259"/>
      <c r="GT544" s="259"/>
      <c r="GU544" s="259"/>
      <c r="GV544" s="259"/>
      <c r="GW544" s="259"/>
      <c r="GX544" s="259"/>
      <c r="GY544" s="259"/>
      <c r="GZ544" s="259"/>
      <c r="HA544" s="259"/>
      <c r="HB544" s="259"/>
      <c r="HC544" s="259"/>
      <c r="HD544" s="259"/>
      <c r="HE544" s="259"/>
      <c r="HF544" s="259"/>
      <c r="HG544" s="259"/>
      <c r="HH544" s="259"/>
      <c r="HI544" s="259"/>
      <c r="HJ544" s="259"/>
      <c r="HK544" s="259"/>
      <c r="HL544" s="259"/>
      <c r="HM544" s="259"/>
      <c r="HN544" s="259"/>
      <c r="HO544" s="259"/>
      <c r="HP544" s="259"/>
      <c r="HQ544" s="259"/>
      <c r="HR544" s="259"/>
      <c r="HS544" s="259"/>
      <c r="HT544" s="259"/>
      <c r="HU544" s="259"/>
      <c r="HV544" s="259"/>
      <c r="HW544" s="259"/>
      <c r="HX544" s="259"/>
      <c r="HY544" s="259"/>
      <c r="HZ544" s="259"/>
      <c r="IA544" s="259"/>
      <c r="IB544" s="259"/>
      <c r="IC544" s="259"/>
      <c r="ID544" s="259"/>
      <c r="IE544" s="259"/>
      <c r="IF544" s="259"/>
      <c r="IG544" s="259"/>
      <c r="IH544" s="259"/>
      <c r="II544" s="259"/>
      <c r="IJ544" s="259"/>
      <c r="IK544" s="259"/>
      <c r="IL544" s="259"/>
      <c r="IM544" s="259"/>
      <c r="IN544" s="259"/>
      <c r="IO544" s="259"/>
      <c r="IP544" s="259"/>
      <c r="IQ544" s="259"/>
      <c r="IR544" s="259"/>
      <c r="IS544" s="259"/>
      <c r="IT544" s="259"/>
      <c r="IU544" s="259"/>
      <c r="IV544" s="259"/>
      <c r="IW544" s="259"/>
      <c r="IX544" s="259"/>
      <c r="IY544" s="259"/>
      <c r="IZ544" s="259"/>
      <c r="JA544" s="259"/>
      <c r="JB544" s="259"/>
      <c r="JC544" s="259"/>
      <c r="JD544" s="259"/>
      <c r="JE544" s="259"/>
      <c r="JF544" s="259"/>
      <c r="JG544" s="259"/>
      <c r="JH544" s="259"/>
      <c r="JI544" s="259"/>
      <c r="JJ544" s="259"/>
      <c r="JK544" s="259"/>
      <c r="JL544" s="259"/>
      <c r="JM544" s="259"/>
      <c r="JN544" s="259"/>
      <c r="JO544" s="259"/>
      <c r="JP544" s="259"/>
      <c r="JQ544" s="259"/>
      <c r="JR544" s="259"/>
      <c r="JS544" s="259"/>
      <c r="JT544" s="259"/>
      <c r="JU544" s="259"/>
      <c r="JV544" s="259"/>
      <c r="JW544" s="259"/>
      <c r="JX544" s="259"/>
      <c r="JY544" s="259"/>
      <c r="JZ544" s="259"/>
      <c r="KA544" s="259"/>
      <c r="KB544" s="259"/>
      <c r="KC544" s="259"/>
      <c r="KD544" s="259"/>
      <c r="KE544" s="259"/>
      <c r="KF544" s="259"/>
      <c r="KG544" s="259"/>
      <c r="KH544" s="259"/>
      <c r="KI544" s="259"/>
      <c r="KJ544" s="259"/>
      <c r="KK544" s="259"/>
      <c r="KL544" s="259"/>
      <c r="KM544" s="259"/>
      <c r="KN544" s="259"/>
      <c r="KO544" s="259"/>
      <c r="KP544" s="259"/>
      <c r="KQ544" s="259"/>
      <c r="KR544" s="259"/>
      <c r="KS544" s="259"/>
      <c r="KT544" s="259"/>
      <c r="KU544" s="259"/>
      <c r="KV544" s="259"/>
      <c r="KW544" s="259"/>
      <c r="KX544" s="259"/>
      <c r="KY544" s="259"/>
      <c r="KZ544" s="259"/>
      <c r="LA544" s="259"/>
      <c r="LB544" s="259"/>
      <c r="LC544" s="259"/>
      <c r="LD544" s="259"/>
      <c r="LE544" s="259"/>
      <c r="LF544" s="259"/>
      <c r="LG544" s="259"/>
      <c r="LH544" s="259"/>
      <c r="LI544" s="259"/>
      <c r="LJ544" s="259"/>
      <c r="LK544" s="259"/>
      <c r="LL544" s="259"/>
      <c r="LM544" s="259"/>
      <c r="LN544" s="259"/>
      <c r="LO544" s="259"/>
      <c r="LP544" s="259"/>
      <c r="LQ544" s="259"/>
      <c r="LR544" s="259"/>
      <c r="LS544" s="259"/>
      <c r="LT544" s="259"/>
      <c r="LU544" s="259"/>
      <c r="LV544" s="259"/>
      <c r="LW544" s="259"/>
      <c r="LX544" s="259"/>
      <c r="LY544" s="259"/>
      <c r="LZ544" s="259"/>
      <c r="MA544" s="259"/>
      <c r="MB544" s="259"/>
      <c r="MC544" s="259"/>
      <c r="MD544" s="259"/>
      <c r="ME544" s="259"/>
      <c r="MF544" s="259"/>
      <c r="MG544" s="259"/>
      <c r="MH544" s="259"/>
      <c r="MI544" s="259"/>
      <c r="MJ544" s="259"/>
      <c r="MK544" s="259"/>
      <c r="ML544" s="259"/>
      <c r="MM544" s="259"/>
      <c r="MN544" s="259"/>
      <c r="MO544" s="259"/>
      <c r="MP544" s="259"/>
      <c r="MQ544" s="259"/>
      <c r="MR544" s="259"/>
      <c r="MS544" s="259"/>
      <c r="MT544" s="259"/>
      <c r="MU544" s="259"/>
      <c r="MV544" s="259"/>
      <c r="MW544" s="259"/>
      <c r="MX544" s="259"/>
      <c r="MY544" s="259"/>
      <c r="MZ544" s="259"/>
      <c r="NA544" s="259"/>
      <c r="NB544" s="259"/>
      <c r="NC544" s="259"/>
      <c r="ND544" s="259"/>
      <c r="NE544" s="259"/>
      <c r="NF544" s="259"/>
      <c r="NG544" s="259"/>
      <c r="NH544" s="259"/>
      <c r="NI544" s="259"/>
      <c r="NJ544" s="259"/>
      <c r="NK544" s="259"/>
      <c r="NL544" s="259"/>
      <c r="NM544" s="259"/>
      <c r="NN544" s="259"/>
      <c r="NO544" s="259"/>
      <c r="NP544" s="259"/>
      <c r="NQ544" s="259"/>
      <c r="NR544" s="259"/>
      <c r="NS544" s="259"/>
      <c r="NT544" s="259"/>
      <c r="NU544" s="259"/>
      <c r="NV544" s="259"/>
      <c r="NW544" s="259"/>
      <c r="NX544" s="259"/>
      <c r="NY544" s="259"/>
      <c r="NZ544" s="259"/>
      <c r="OA544" s="259"/>
      <c r="OB544" s="259"/>
      <c r="OC544" s="259"/>
      <c r="OD544" s="259"/>
      <c r="OE544" s="259"/>
      <c r="OF544" s="259"/>
      <c r="OG544" s="259"/>
      <c r="OH544" s="259"/>
      <c r="OI544" s="259"/>
      <c r="OJ544" s="259"/>
      <c r="OK544" s="259"/>
      <c r="OL544" s="259"/>
      <c r="OM544" s="259"/>
      <c r="ON544" s="259"/>
      <c r="OO544" s="259"/>
      <c r="OP544" s="259"/>
      <c r="OQ544" s="259"/>
      <c r="OR544" s="259"/>
      <c r="OS544" s="259"/>
      <c r="OT544" s="259"/>
      <c r="OU544" s="259"/>
      <c r="OV544" s="259"/>
      <c r="OW544" s="259"/>
      <c r="OX544" s="259"/>
      <c r="OY544" s="259"/>
      <c r="OZ544" s="259"/>
      <c r="PA544" s="259"/>
      <c r="PB544" s="259"/>
      <c r="PC544" s="259"/>
      <c r="PD544" s="259"/>
      <c r="PE544" s="259"/>
      <c r="PF544" s="259"/>
      <c r="PG544" s="259"/>
      <c r="PH544" s="259"/>
      <c r="PI544" s="259"/>
      <c r="PJ544" s="259"/>
      <c r="PK544" s="259"/>
      <c r="PL544" s="259"/>
      <c r="PM544" s="259"/>
      <c r="PN544" s="259"/>
      <c r="PO544" s="259"/>
      <c r="PP544" s="259"/>
      <c r="PQ544" s="259"/>
      <c r="PR544" s="259"/>
      <c r="PS544" s="259"/>
      <c r="PT544" s="259"/>
      <c r="PU544" s="259"/>
      <c r="PV544" s="259"/>
      <c r="PW544" s="259"/>
      <c r="PX544" s="259"/>
      <c r="PY544" s="259"/>
      <c r="PZ544" s="259"/>
      <c r="QA544" s="259"/>
      <c r="QB544" s="259"/>
      <c r="QC544" s="259"/>
      <c r="QD544" s="259"/>
      <c r="QE544" s="259"/>
      <c r="QF544" s="259"/>
      <c r="QG544" s="259"/>
      <c r="QH544" s="259"/>
      <c r="QI544" s="259"/>
      <c r="QJ544" s="259"/>
      <c r="QK544" s="259"/>
      <c r="QL544" s="259"/>
      <c r="QM544" s="259"/>
      <c r="QN544" s="259"/>
      <c r="QO544" s="259"/>
      <c r="QP544" s="259"/>
      <c r="QQ544" s="259"/>
      <c r="QR544" s="259"/>
      <c r="QS544" s="259"/>
      <c r="QT544" s="259"/>
      <c r="QU544" s="259"/>
      <c r="QV544" s="259"/>
      <c r="QW544" s="259"/>
      <c r="QX544" s="259"/>
      <c r="QY544" s="259"/>
      <c r="QZ544" s="259"/>
      <c r="RA544" s="259"/>
      <c r="RB544" s="259"/>
      <c r="RC544" s="259"/>
      <c r="RD544" s="259"/>
      <c r="RE544" s="259"/>
      <c r="RF544" s="259"/>
      <c r="RG544" s="259"/>
      <c r="RH544" s="259"/>
      <c r="RI544" s="259"/>
      <c r="RJ544" s="259"/>
      <c r="RK544" s="259"/>
      <c r="RL544" s="259"/>
      <c r="RM544" s="259"/>
      <c r="RN544" s="259"/>
      <c r="RO544" s="259"/>
      <c r="RP544" s="259"/>
      <c r="RQ544" s="259"/>
      <c r="RR544" s="259"/>
      <c r="RS544" s="259"/>
      <c r="RT544" s="259"/>
      <c r="RU544" s="259"/>
      <c r="RV544" s="259"/>
      <c r="RW544" s="259"/>
      <c r="RX544" s="259"/>
      <c r="RY544" s="259"/>
      <c r="RZ544" s="259"/>
      <c r="SA544" s="259"/>
      <c r="SB544" s="259"/>
      <c r="SC544" s="259"/>
      <c r="SD544" s="259"/>
      <c r="SE544" s="259"/>
      <c r="SF544" s="259"/>
      <c r="SG544" s="259"/>
      <c r="SH544" s="259"/>
      <c r="SI544" s="259"/>
      <c r="SJ544" s="259"/>
      <c r="SK544" s="259"/>
      <c r="SL544" s="259"/>
      <c r="SM544" s="259"/>
      <c r="SN544" s="259"/>
      <c r="SO544" s="259"/>
      <c r="SP544" s="259"/>
      <c r="SQ544" s="259"/>
      <c r="SR544" s="259"/>
      <c r="SS544" s="259"/>
      <c r="ST544" s="259"/>
      <c r="SU544" s="259"/>
      <c r="SV544" s="259"/>
      <c r="SW544" s="259"/>
      <c r="SX544" s="259"/>
      <c r="SY544" s="259"/>
      <c r="SZ544" s="259"/>
      <c r="TA544" s="259"/>
      <c r="TB544" s="259"/>
      <c r="TC544" s="259"/>
      <c r="TD544" s="259"/>
      <c r="TE544" s="259"/>
      <c r="TF544" s="259"/>
      <c r="TG544" s="259"/>
      <c r="TH544" s="259"/>
      <c r="TI544" s="259"/>
      <c r="TJ544" s="259"/>
      <c r="TK544" s="259"/>
      <c r="TL544" s="259"/>
      <c r="TM544" s="259"/>
      <c r="TN544" s="259"/>
      <c r="TO544" s="259"/>
      <c r="TP544" s="259"/>
      <c r="TQ544" s="259"/>
      <c r="TR544" s="259"/>
      <c r="TS544" s="259"/>
      <c r="TT544" s="259"/>
      <c r="TU544" s="259"/>
      <c r="TV544" s="259"/>
      <c r="TW544" s="259"/>
      <c r="TX544" s="259"/>
      <c r="TY544" s="259"/>
      <c r="TZ544" s="259"/>
      <c r="UA544" s="259"/>
      <c r="UB544" s="259"/>
      <c r="UC544" s="259"/>
      <c r="UD544" s="259"/>
      <c r="UE544" s="259"/>
      <c r="UF544" s="259"/>
      <c r="UG544" s="259"/>
      <c r="UH544" s="259"/>
      <c r="UI544" s="259"/>
    </row>
    <row r="545" spans="1:555" ht="270">
      <c r="A545" s="33">
        <v>241</v>
      </c>
      <c r="B545" s="34" t="s">
        <v>2876</v>
      </c>
      <c r="C545" s="35">
        <v>79454475</v>
      </c>
      <c r="D545" s="440" t="s">
        <v>8069</v>
      </c>
      <c r="E545" s="37">
        <v>42438</v>
      </c>
      <c r="F545" s="38">
        <v>42430</v>
      </c>
      <c r="G545" s="39" t="s">
        <v>2877</v>
      </c>
      <c r="H545" s="34" t="s">
        <v>1480</v>
      </c>
      <c r="I545" s="34" t="s">
        <v>101</v>
      </c>
      <c r="J545" s="37">
        <v>42564</v>
      </c>
      <c r="K545" s="38">
        <v>42552</v>
      </c>
      <c r="L545" s="39" t="s">
        <v>2878</v>
      </c>
      <c r="M545" s="34" t="s">
        <v>171</v>
      </c>
      <c r="N545" s="34" t="s">
        <v>2223</v>
      </c>
      <c r="O545" s="37">
        <v>42579</v>
      </c>
      <c r="P545" s="40">
        <v>42552</v>
      </c>
      <c r="Q545" s="39" t="s">
        <v>2879</v>
      </c>
      <c r="R545" s="34" t="s">
        <v>171</v>
      </c>
      <c r="S545" s="34" t="s">
        <v>183</v>
      </c>
      <c r="T545" s="37">
        <v>42773</v>
      </c>
      <c r="U545" s="38">
        <v>42767</v>
      </c>
      <c r="V545" s="39" t="s">
        <v>2880</v>
      </c>
      <c r="W545" s="34" t="s">
        <v>195</v>
      </c>
      <c r="X545" s="34" t="s">
        <v>2881</v>
      </c>
      <c r="Y545" s="37"/>
      <c r="Z545" s="38"/>
      <c r="AA545" s="39"/>
      <c r="AB545" s="34"/>
      <c r="AC545" s="34"/>
      <c r="AD545" s="37"/>
      <c r="AE545" s="38"/>
      <c r="AF545" s="39"/>
      <c r="AG545" s="34"/>
      <c r="AH545" s="34"/>
      <c r="AI545" s="41"/>
      <c r="AJ545" s="38"/>
      <c r="AK545" s="39"/>
      <c r="AL545" s="34"/>
      <c r="AM545" s="34"/>
      <c r="AN545" s="34" t="s">
        <v>2882</v>
      </c>
      <c r="AO545" s="473"/>
      <c r="AP545" s="34"/>
      <c r="AQ545" s="39" t="s">
        <v>2883</v>
      </c>
      <c r="AR545" s="34" t="s">
        <v>161</v>
      </c>
      <c r="AS545" s="37" t="s">
        <v>579</v>
      </c>
      <c r="AT545" s="37" t="s">
        <v>579</v>
      </c>
      <c r="AU545" s="34" t="s">
        <v>2884</v>
      </c>
      <c r="AV545" s="34"/>
      <c r="AW545" s="34" t="s">
        <v>69</v>
      </c>
      <c r="AX545" s="34" t="s">
        <v>2885</v>
      </c>
      <c r="AY545" s="37">
        <v>41723</v>
      </c>
      <c r="AZ545" s="34" t="s">
        <v>2886</v>
      </c>
      <c r="BA545" s="37">
        <v>42180</v>
      </c>
      <c r="BB545" s="382">
        <v>42199</v>
      </c>
      <c r="BC545" s="34" t="s">
        <v>2887</v>
      </c>
      <c r="BD545" s="34"/>
      <c r="BE545" s="34"/>
      <c r="BF545" s="39"/>
      <c r="BG545" s="39"/>
      <c r="BH545" s="39"/>
      <c r="BI545" s="39"/>
      <c r="BJ545" s="74">
        <v>10297898</v>
      </c>
      <c r="BK545" s="74"/>
      <c r="BL545" s="44"/>
      <c r="BM545" s="37"/>
      <c r="BN545" s="45"/>
      <c r="BO545" s="462"/>
      <c r="BP545" s="391"/>
      <c r="BQ545" s="34"/>
      <c r="BR545" s="42"/>
      <c r="BS545" s="39"/>
      <c r="BT545" s="39"/>
      <c r="BU545" s="39"/>
      <c r="BV545" s="39"/>
      <c r="BW545" s="51"/>
      <c r="BX545" s="41"/>
      <c r="BY545" s="37"/>
      <c r="BZ545" s="52"/>
    </row>
    <row r="546" spans="1:555" ht="175.5">
      <c r="A546" s="33">
        <v>243</v>
      </c>
      <c r="B546" s="34" t="s">
        <v>2899</v>
      </c>
      <c r="C546" s="35">
        <v>79509569</v>
      </c>
      <c r="D546" s="440" t="s">
        <v>906</v>
      </c>
      <c r="E546" s="37">
        <v>42443</v>
      </c>
      <c r="F546" s="38">
        <v>42430</v>
      </c>
      <c r="G546" s="39" t="s">
        <v>2900</v>
      </c>
      <c r="H546" s="34" t="s">
        <v>625</v>
      </c>
      <c r="I546" s="34" t="s">
        <v>183</v>
      </c>
      <c r="J546" s="37"/>
      <c r="K546" s="38"/>
      <c r="L546" s="39"/>
      <c r="M546" s="34"/>
      <c r="N546" s="34"/>
      <c r="O546" s="37"/>
      <c r="P546" s="40"/>
      <c r="Q546" s="39"/>
      <c r="R546" s="34"/>
      <c r="S546" s="34"/>
      <c r="T546" s="37"/>
      <c r="U546" s="38"/>
      <c r="V546" s="39"/>
      <c r="W546" s="34"/>
      <c r="X546" s="34"/>
      <c r="Y546" s="37"/>
      <c r="Z546" s="38"/>
      <c r="AA546" s="39"/>
      <c r="AB546" s="34"/>
      <c r="AC546" s="34"/>
      <c r="AD546" s="37"/>
      <c r="AE546" s="38"/>
      <c r="AF546" s="39"/>
      <c r="AG546" s="34"/>
      <c r="AH546" s="34"/>
      <c r="AI546" s="41"/>
      <c r="AJ546" s="38"/>
      <c r="AK546" s="39"/>
      <c r="AL546" s="34"/>
      <c r="AM546" s="34"/>
      <c r="AN546" s="34" t="s">
        <v>2901</v>
      </c>
      <c r="AO546" s="473"/>
      <c r="AP546" s="34"/>
      <c r="AQ546" s="39" t="s">
        <v>2902</v>
      </c>
      <c r="AR546" s="34" t="s">
        <v>161</v>
      </c>
      <c r="AS546" s="37" t="s">
        <v>67</v>
      </c>
      <c r="AT546" s="37" t="s">
        <v>67</v>
      </c>
      <c r="AU546" s="34" t="s">
        <v>2903</v>
      </c>
      <c r="AV546" s="34"/>
      <c r="AW546" s="34" t="s">
        <v>69</v>
      </c>
      <c r="AX546" s="34" t="s">
        <v>2721</v>
      </c>
      <c r="AY546" s="37">
        <v>42068</v>
      </c>
      <c r="AZ546" s="34" t="s">
        <v>94</v>
      </c>
      <c r="BA546" s="37">
        <v>42341</v>
      </c>
      <c r="BB546" s="382">
        <v>42389</v>
      </c>
      <c r="BC546" s="42" t="s">
        <v>912</v>
      </c>
      <c r="BD546" s="42"/>
      <c r="BE546" s="34"/>
      <c r="BF546" s="39"/>
      <c r="BG546" s="39"/>
      <c r="BH546" s="39"/>
      <c r="BI546" s="39"/>
      <c r="BJ546" s="74">
        <v>12890000</v>
      </c>
      <c r="BK546" s="74"/>
      <c r="BL546" s="44"/>
      <c r="BM546" s="37"/>
      <c r="BN546" s="45"/>
      <c r="BO546" s="462"/>
      <c r="BP546" s="391"/>
      <c r="BQ546" s="34"/>
      <c r="BR546" s="42"/>
      <c r="BS546" s="39"/>
      <c r="BT546" s="39"/>
      <c r="BU546" s="39"/>
      <c r="BV546" s="39"/>
      <c r="BW546" s="51"/>
      <c r="BX546" s="41"/>
      <c r="BY546" s="37"/>
      <c r="BZ546" s="52"/>
    </row>
    <row r="547" spans="1:555" ht="121.5">
      <c r="A547" s="502">
        <v>244</v>
      </c>
      <c r="B547" s="686" t="s">
        <v>2904</v>
      </c>
      <c r="C547" s="687">
        <v>79801982</v>
      </c>
      <c r="D547" s="688" t="s">
        <v>906</v>
      </c>
      <c r="E547" s="27">
        <v>42445</v>
      </c>
      <c r="F547" s="689">
        <v>42430</v>
      </c>
      <c r="G547" s="690" t="s">
        <v>2905</v>
      </c>
      <c r="H547" s="686" t="s">
        <v>625</v>
      </c>
      <c r="I547" s="686" t="s">
        <v>183</v>
      </c>
      <c r="J547" s="27">
        <v>42537</v>
      </c>
      <c r="K547" s="689">
        <v>42522</v>
      </c>
      <c r="L547" s="690" t="s">
        <v>2906</v>
      </c>
      <c r="M547" s="686" t="s">
        <v>171</v>
      </c>
      <c r="N547" s="686" t="s">
        <v>2223</v>
      </c>
      <c r="O547" s="27">
        <v>42573</v>
      </c>
      <c r="P547" s="691">
        <v>42552</v>
      </c>
      <c r="Q547" s="690" t="s">
        <v>2907</v>
      </c>
      <c r="R547" s="686" t="s">
        <v>171</v>
      </c>
      <c r="S547" s="686" t="s">
        <v>2223</v>
      </c>
      <c r="T547" s="16">
        <v>43279</v>
      </c>
      <c r="U547" s="689">
        <v>43252</v>
      </c>
      <c r="V547" s="781" t="s">
        <v>2908</v>
      </c>
      <c r="W547" s="686" t="s">
        <v>5</v>
      </c>
      <c r="X547" s="701" t="s">
        <v>79</v>
      </c>
      <c r="Y547" s="27">
        <v>43529</v>
      </c>
      <c r="Z547" s="689">
        <v>43529</v>
      </c>
      <c r="AA547" s="690" t="s">
        <v>8220</v>
      </c>
      <c r="AB547" s="686" t="s">
        <v>625</v>
      </c>
      <c r="AC547" s="686" t="s">
        <v>6163</v>
      </c>
      <c r="AD547" s="27">
        <v>43536</v>
      </c>
      <c r="AE547" s="689">
        <v>43536</v>
      </c>
      <c r="AF547" s="690" t="s">
        <v>8618</v>
      </c>
      <c r="AG547" s="686" t="s">
        <v>625</v>
      </c>
      <c r="AH547" s="686" t="s">
        <v>6163</v>
      </c>
      <c r="AI547" s="27" t="s">
        <v>9076</v>
      </c>
      <c r="AJ547" s="689" t="s">
        <v>9077</v>
      </c>
      <c r="AK547" s="690" t="s">
        <v>9075</v>
      </c>
      <c r="AL547" s="686" t="s">
        <v>8160</v>
      </c>
      <c r="AM547" s="686" t="s">
        <v>9078</v>
      </c>
      <c r="AN547" s="686" t="s">
        <v>908</v>
      </c>
      <c r="AO547" s="705"/>
      <c r="AP547" s="686"/>
      <c r="AQ547" s="690" t="s">
        <v>8219</v>
      </c>
      <c r="AR547" s="686" t="s">
        <v>161</v>
      </c>
      <c r="AS547" s="27">
        <v>40456</v>
      </c>
      <c r="AT547" s="27">
        <v>40908</v>
      </c>
      <c r="AU547" s="686" t="s">
        <v>2909</v>
      </c>
      <c r="AV547" s="686"/>
      <c r="AW547" s="686" t="s">
        <v>69</v>
      </c>
      <c r="AX547" s="686" t="s">
        <v>2910</v>
      </c>
      <c r="AY547" s="27">
        <v>42306</v>
      </c>
      <c r="AZ547" s="686" t="s">
        <v>94</v>
      </c>
      <c r="BA547" s="27">
        <v>42306</v>
      </c>
      <c r="BB547" s="27">
        <v>43531</v>
      </c>
      <c r="BC547" s="701" t="s">
        <v>912</v>
      </c>
      <c r="BD547" s="701" t="s">
        <v>566</v>
      </c>
      <c r="BE547" s="686"/>
      <c r="BF547" s="690"/>
      <c r="BG547" s="690"/>
      <c r="BH547" s="690"/>
      <c r="BI547" s="690"/>
      <c r="BJ547" s="696">
        <f>+[98]MATRIZ!$J$54</f>
        <v>0</v>
      </c>
      <c r="BK547" s="696"/>
      <c r="BL547" s="697"/>
      <c r="BM547" s="27"/>
      <c r="BN547" s="698"/>
      <c r="BO547" s="699"/>
      <c r="BP547" s="700"/>
      <c r="BQ547" s="686"/>
      <c r="BR547" s="701"/>
      <c r="BS547" s="690"/>
      <c r="BT547" s="690"/>
      <c r="BU547" s="690"/>
      <c r="BV547" s="690"/>
      <c r="BW547" s="702"/>
      <c r="BX547" s="693"/>
      <c r="BY547" s="27"/>
      <c r="BZ547" s="703"/>
      <c r="CA547" s="259"/>
      <c r="CB547" s="259"/>
      <c r="CC547" s="259"/>
      <c r="CD547" s="259"/>
      <c r="CE547" s="259"/>
      <c r="CF547" s="259"/>
      <c r="CG547" s="259"/>
      <c r="CH547" s="259"/>
      <c r="CI547" s="259"/>
      <c r="CJ547" s="259"/>
      <c r="CK547" s="259"/>
      <c r="CL547" s="259"/>
      <c r="CM547" s="259"/>
      <c r="CN547" s="259"/>
      <c r="CO547" s="259"/>
      <c r="CP547" s="259"/>
      <c r="CQ547" s="259"/>
      <c r="CR547" s="259"/>
      <c r="CS547" s="259"/>
      <c r="CT547" s="259"/>
      <c r="CU547" s="259"/>
      <c r="CV547" s="259"/>
      <c r="CW547" s="259"/>
      <c r="CX547" s="259"/>
      <c r="CY547" s="259"/>
      <c r="CZ547" s="259"/>
      <c r="DA547" s="259"/>
      <c r="DB547" s="259"/>
      <c r="DC547" s="259"/>
      <c r="DD547" s="259"/>
      <c r="DE547" s="259"/>
      <c r="DF547" s="259"/>
      <c r="DG547" s="259"/>
      <c r="DH547" s="259"/>
      <c r="DI547" s="259"/>
      <c r="DJ547" s="259"/>
      <c r="DK547" s="259"/>
      <c r="DL547" s="259"/>
      <c r="DM547" s="259"/>
      <c r="DN547" s="259"/>
      <c r="DO547" s="259"/>
      <c r="DP547" s="259"/>
      <c r="DQ547" s="259"/>
      <c r="DR547" s="259"/>
      <c r="DS547" s="259"/>
      <c r="DT547" s="259"/>
      <c r="DU547" s="259"/>
      <c r="DV547" s="259"/>
      <c r="DW547" s="259"/>
      <c r="DX547" s="259"/>
      <c r="DY547" s="259"/>
      <c r="DZ547" s="259"/>
      <c r="EA547" s="259"/>
      <c r="EB547" s="259"/>
      <c r="EC547" s="259"/>
      <c r="ED547" s="259"/>
      <c r="EE547" s="259"/>
      <c r="EF547" s="259"/>
      <c r="EG547" s="259"/>
      <c r="EH547" s="259"/>
      <c r="EI547" s="259"/>
      <c r="EJ547" s="259"/>
      <c r="EK547" s="259"/>
      <c r="EL547" s="259"/>
      <c r="EM547" s="259"/>
      <c r="EN547" s="259"/>
      <c r="EO547" s="259"/>
      <c r="EP547" s="259"/>
      <c r="EQ547" s="259"/>
      <c r="ER547" s="259"/>
      <c r="ES547" s="259"/>
      <c r="ET547" s="259"/>
      <c r="EU547" s="259"/>
      <c r="EV547" s="259"/>
      <c r="EW547" s="259"/>
      <c r="EX547" s="259"/>
      <c r="EY547" s="259"/>
      <c r="EZ547" s="259"/>
      <c r="FA547" s="259"/>
      <c r="FB547" s="259"/>
      <c r="FC547" s="259"/>
      <c r="FD547" s="259"/>
      <c r="FE547" s="259"/>
      <c r="FF547" s="259"/>
      <c r="FG547" s="259"/>
      <c r="FH547" s="259"/>
      <c r="FI547" s="259"/>
      <c r="FJ547" s="259"/>
      <c r="FK547" s="259"/>
      <c r="FL547" s="259"/>
      <c r="FM547" s="259"/>
      <c r="FN547" s="259"/>
      <c r="FO547" s="259"/>
      <c r="FP547" s="259"/>
      <c r="FQ547" s="259"/>
      <c r="FR547" s="259"/>
      <c r="FS547" s="259"/>
      <c r="FT547" s="259"/>
      <c r="FU547" s="259"/>
      <c r="FV547" s="259"/>
      <c r="FW547" s="259"/>
      <c r="FX547" s="259"/>
      <c r="FY547" s="259"/>
      <c r="FZ547" s="259"/>
      <c r="GA547" s="259"/>
      <c r="GB547" s="259"/>
      <c r="GC547" s="259"/>
      <c r="GD547" s="259"/>
      <c r="GE547" s="259"/>
      <c r="GF547" s="259"/>
      <c r="GG547" s="259"/>
      <c r="GH547" s="259"/>
      <c r="GI547" s="259"/>
      <c r="GJ547" s="259"/>
      <c r="GK547" s="259"/>
      <c r="GL547" s="259"/>
      <c r="GM547" s="259"/>
      <c r="GN547" s="259"/>
      <c r="GO547" s="259"/>
      <c r="GP547" s="259"/>
      <c r="GQ547" s="259"/>
      <c r="GR547" s="259"/>
      <c r="GS547" s="259"/>
      <c r="GT547" s="259"/>
      <c r="GU547" s="259"/>
      <c r="GV547" s="259"/>
      <c r="GW547" s="259"/>
      <c r="GX547" s="259"/>
      <c r="GY547" s="259"/>
      <c r="GZ547" s="259"/>
      <c r="HA547" s="259"/>
      <c r="HB547" s="259"/>
      <c r="HC547" s="259"/>
      <c r="HD547" s="259"/>
      <c r="HE547" s="259"/>
      <c r="HF547" s="259"/>
      <c r="HG547" s="259"/>
      <c r="HH547" s="259"/>
      <c r="HI547" s="259"/>
      <c r="HJ547" s="259"/>
      <c r="HK547" s="259"/>
      <c r="HL547" s="259"/>
      <c r="HM547" s="259"/>
      <c r="HN547" s="259"/>
      <c r="HO547" s="259"/>
      <c r="HP547" s="259"/>
      <c r="HQ547" s="259"/>
      <c r="HR547" s="259"/>
      <c r="HS547" s="259"/>
      <c r="HT547" s="259"/>
      <c r="HU547" s="259"/>
      <c r="HV547" s="259"/>
      <c r="HW547" s="259"/>
      <c r="HX547" s="259"/>
      <c r="HY547" s="259"/>
      <c r="HZ547" s="259"/>
      <c r="IA547" s="259"/>
      <c r="IB547" s="259"/>
      <c r="IC547" s="259"/>
      <c r="ID547" s="259"/>
      <c r="IE547" s="259"/>
      <c r="IF547" s="259"/>
      <c r="IG547" s="259"/>
      <c r="IH547" s="259"/>
      <c r="II547" s="259"/>
      <c r="IJ547" s="259"/>
      <c r="IK547" s="259"/>
      <c r="IL547" s="259"/>
      <c r="IM547" s="259"/>
      <c r="IN547" s="259"/>
      <c r="IO547" s="259"/>
      <c r="IP547" s="259"/>
      <c r="IQ547" s="259"/>
      <c r="IR547" s="259"/>
      <c r="IS547" s="259"/>
      <c r="IT547" s="259"/>
      <c r="IU547" s="259"/>
      <c r="IV547" s="259"/>
      <c r="IW547" s="259"/>
      <c r="IX547" s="259"/>
      <c r="IY547" s="259"/>
      <c r="IZ547" s="259"/>
      <c r="JA547" s="259"/>
      <c r="JB547" s="259"/>
      <c r="JC547" s="259"/>
      <c r="JD547" s="259"/>
      <c r="JE547" s="259"/>
      <c r="JF547" s="259"/>
      <c r="JG547" s="259"/>
      <c r="JH547" s="259"/>
      <c r="JI547" s="259"/>
      <c r="JJ547" s="259"/>
      <c r="JK547" s="259"/>
      <c r="JL547" s="259"/>
      <c r="JM547" s="259"/>
      <c r="JN547" s="259"/>
      <c r="JO547" s="259"/>
      <c r="JP547" s="259"/>
      <c r="JQ547" s="259"/>
      <c r="JR547" s="259"/>
      <c r="JS547" s="259"/>
      <c r="JT547" s="259"/>
      <c r="JU547" s="259"/>
      <c r="JV547" s="259"/>
      <c r="JW547" s="259"/>
      <c r="JX547" s="259"/>
      <c r="JY547" s="259"/>
      <c r="JZ547" s="259"/>
      <c r="KA547" s="259"/>
      <c r="KB547" s="259"/>
      <c r="KC547" s="259"/>
      <c r="KD547" s="259"/>
      <c r="KE547" s="259"/>
      <c r="KF547" s="259"/>
      <c r="KG547" s="259"/>
      <c r="KH547" s="259"/>
      <c r="KI547" s="259"/>
      <c r="KJ547" s="259"/>
      <c r="KK547" s="259"/>
      <c r="KL547" s="259"/>
      <c r="KM547" s="259"/>
      <c r="KN547" s="259"/>
      <c r="KO547" s="259"/>
      <c r="KP547" s="259"/>
      <c r="KQ547" s="259"/>
      <c r="KR547" s="259"/>
      <c r="KS547" s="259"/>
      <c r="KT547" s="259"/>
      <c r="KU547" s="259"/>
      <c r="KV547" s="259"/>
      <c r="KW547" s="259"/>
      <c r="KX547" s="259"/>
      <c r="KY547" s="259"/>
      <c r="KZ547" s="259"/>
      <c r="LA547" s="259"/>
      <c r="LB547" s="259"/>
      <c r="LC547" s="259"/>
      <c r="LD547" s="259"/>
      <c r="LE547" s="259"/>
      <c r="LF547" s="259"/>
      <c r="LG547" s="259"/>
      <c r="LH547" s="259"/>
      <c r="LI547" s="259"/>
      <c r="LJ547" s="259"/>
      <c r="LK547" s="259"/>
      <c r="LL547" s="259"/>
      <c r="LM547" s="259"/>
      <c r="LN547" s="259"/>
      <c r="LO547" s="259"/>
      <c r="LP547" s="259"/>
      <c r="LQ547" s="259"/>
      <c r="LR547" s="259"/>
      <c r="LS547" s="259"/>
      <c r="LT547" s="259"/>
      <c r="LU547" s="259"/>
      <c r="LV547" s="259"/>
      <c r="LW547" s="259"/>
      <c r="LX547" s="259"/>
      <c r="LY547" s="259"/>
      <c r="LZ547" s="259"/>
      <c r="MA547" s="259"/>
      <c r="MB547" s="259"/>
      <c r="MC547" s="259"/>
      <c r="MD547" s="259"/>
      <c r="ME547" s="259"/>
      <c r="MF547" s="259"/>
      <c r="MG547" s="259"/>
      <c r="MH547" s="259"/>
      <c r="MI547" s="259"/>
      <c r="MJ547" s="259"/>
      <c r="MK547" s="259"/>
      <c r="ML547" s="259"/>
      <c r="MM547" s="259"/>
      <c r="MN547" s="259"/>
      <c r="MO547" s="259"/>
      <c r="MP547" s="259"/>
      <c r="MQ547" s="259"/>
      <c r="MR547" s="259"/>
      <c r="MS547" s="259"/>
      <c r="MT547" s="259"/>
      <c r="MU547" s="259"/>
      <c r="MV547" s="259"/>
      <c r="MW547" s="259"/>
      <c r="MX547" s="259"/>
      <c r="MY547" s="259"/>
      <c r="MZ547" s="259"/>
      <c r="NA547" s="259"/>
      <c r="NB547" s="259"/>
      <c r="NC547" s="259"/>
      <c r="ND547" s="259"/>
      <c r="NE547" s="259"/>
      <c r="NF547" s="259"/>
      <c r="NG547" s="259"/>
      <c r="NH547" s="259"/>
      <c r="NI547" s="259"/>
      <c r="NJ547" s="259"/>
      <c r="NK547" s="259"/>
      <c r="NL547" s="259"/>
      <c r="NM547" s="259"/>
      <c r="NN547" s="259"/>
      <c r="NO547" s="259"/>
      <c r="NP547" s="259"/>
      <c r="NQ547" s="259"/>
      <c r="NR547" s="259"/>
      <c r="NS547" s="259"/>
      <c r="NT547" s="259"/>
      <c r="NU547" s="259"/>
      <c r="NV547" s="259"/>
      <c r="NW547" s="259"/>
      <c r="NX547" s="259"/>
      <c r="NY547" s="259"/>
      <c r="NZ547" s="259"/>
      <c r="OA547" s="259"/>
      <c r="OB547" s="259"/>
      <c r="OC547" s="259"/>
      <c r="OD547" s="259"/>
      <c r="OE547" s="259"/>
      <c r="OF547" s="259"/>
      <c r="OG547" s="259"/>
      <c r="OH547" s="259"/>
      <c r="OI547" s="259"/>
      <c r="OJ547" s="259"/>
      <c r="OK547" s="259"/>
      <c r="OL547" s="259"/>
      <c r="OM547" s="259"/>
      <c r="ON547" s="259"/>
      <c r="OO547" s="259"/>
      <c r="OP547" s="259"/>
      <c r="OQ547" s="259"/>
      <c r="OR547" s="259"/>
      <c r="OS547" s="259"/>
      <c r="OT547" s="259"/>
      <c r="OU547" s="259"/>
      <c r="OV547" s="259"/>
      <c r="OW547" s="259"/>
      <c r="OX547" s="259"/>
      <c r="OY547" s="259"/>
      <c r="OZ547" s="259"/>
      <c r="PA547" s="259"/>
      <c r="PB547" s="259"/>
      <c r="PC547" s="259"/>
      <c r="PD547" s="259"/>
      <c r="PE547" s="259"/>
      <c r="PF547" s="259"/>
      <c r="PG547" s="259"/>
      <c r="PH547" s="259"/>
      <c r="PI547" s="259"/>
      <c r="PJ547" s="259"/>
      <c r="PK547" s="259"/>
      <c r="PL547" s="259"/>
      <c r="PM547" s="259"/>
      <c r="PN547" s="259"/>
      <c r="PO547" s="259"/>
      <c r="PP547" s="259"/>
      <c r="PQ547" s="259"/>
      <c r="PR547" s="259"/>
      <c r="PS547" s="259"/>
      <c r="PT547" s="259"/>
      <c r="PU547" s="259"/>
      <c r="PV547" s="259"/>
      <c r="PW547" s="259"/>
      <c r="PX547" s="259"/>
      <c r="PY547" s="259"/>
      <c r="PZ547" s="259"/>
      <c r="QA547" s="259"/>
      <c r="QB547" s="259"/>
      <c r="QC547" s="259"/>
      <c r="QD547" s="259"/>
      <c r="QE547" s="259"/>
      <c r="QF547" s="259"/>
      <c r="QG547" s="259"/>
      <c r="QH547" s="259"/>
      <c r="QI547" s="259"/>
      <c r="QJ547" s="259"/>
      <c r="QK547" s="259"/>
      <c r="QL547" s="259"/>
      <c r="QM547" s="259"/>
      <c r="QN547" s="259"/>
      <c r="QO547" s="259"/>
      <c r="QP547" s="259"/>
      <c r="QQ547" s="259"/>
      <c r="QR547" s="259"/>
      <c r="QS547" s="259"/>
      <c r="QT547" s="259"/>
      <c r="QU547" s="259"/>
      <c r="QV547" s="259"/>
      <c r="QW547" s="259"/>
      <c r="QX547" s="259"/>
      <c r="QY547" s="259"/>
      <c r="QZ547" s="259"/>
      <c r="RA547" s="259"/>
      <c r="RB547" s="259"/>
      <c r="RC547" s="259"/>
      <c r="RD547" s="259"/>
      <c r="RE547" s="259"/>
      <c r="RF547" s="259"/>
      <c r="RG547" s="259"/>
      <c r="RH547" s="259"/>
      <c r="RI547" s="259"/>
      <c r="RJ547" s="259"/>
      <c r="RK547" s="259"/>
      <c r="RL547" s="259"/>
      <c r="RM547" s="259"/>
      <c r="RN547" s="259"/>
      <c r="RO547" s="259"/>
      <c r="RP547" s="259"/>
      <c r="RQ547" s="259"/>
      <c r="RR547" s="259"/>
      <c r="RS547" s="259"/>
      <c r="RT547" s="259"/>
      <c r="RU547" s="259"/>
      <c r="RV547" s="259"/>
      <c r="RW547" s="259"/>
      <c r="RX547" s="259"/>
      <c r="RY547" s="259"/>
      <c r="RZ547" s="259"/>
      <c r="SA547" s="259"/>
      <c r="SB547" s="259"/>
      <c r="SC547" s="259"/>
      <c r="SD547" s="259"/>
      <c r="SE547" s="259"/>
      <c r="SF547" s="259"/>
      <c r="SG547" s="259"/>
      <c r="SH547" s="259"/>
      <c r="SI547" s="259"/>
      <c r="SJ547" s="259"/>
      <c r="SK547" s="259"/>
      <c r="SL547" s="259"/>
      <c r="SM547" s="259"/>
      <c r="SN547" s="259"/>
      <c r="SO547" s="259"/>
      <c r="SP547" s="259"/>
      <c r="SQ547" s="259"/>
      <c r="SR547" s="259"/>
      <c r="SS547" s="259"/>
      <c r="ST547" s="259"/>
      <c r="SU547" s="259"/>
      <c r="SV547" s="259"/>
      <c r="SW547" s="259"/>
      <c r="SX547" s="259"/>
      <c r="SY547" s="259"/>
      <c r="SZ547" s="259"/>
      <c r="TA547" s="259"/>
      <c r="TB547" s="259"/>
      <c r="TC547" s="259"/>
      <c r="TD547" s="259"/>
      <c r="TE547" s="259"/>
      <c r="TF547" s="259"/>
      <c r="TG547" s="259"/>
      <c r="TH547" s="259"/>
      <c r="TI547" s="259"/>
      <c r="TJ547" s="259"/>
      <c r="TK547" s="259"/>
      <c r="TL547" s="259"/>
      <c r="TM547" s="259"/>
      <c r="TN547" s="259"/>
      <c r="TO547" s="259"/>
      <c r="TP547" s="259"/>
      <c r="TQ547" s="259"/>
      <c r="TR547" s="259"/>
      <c r="TS547" s="259"/>
      <c r="TT547" s="259"/>
      <c r="TU547" s="259"/>
      <c r="TV547" s="259"/>
      <c r="TW547" s="259"/>
      <c r="TX547" s="259"/>
      <c r="TY547" s="259"/>
      <c r="TZ547" s="259"/>
      <c r="UA547" s="259"/>
      <c r="UB547" s="259"/>
      <c r="UC547" s="259"/>
      <c r="UD547" s="259"/>
      <c r="UE547" s="259"/>
      <c r="UF547" s="259"/>
      <c r="UG547" s="259"/>
      <c r="UH547" s="259"/>
      <c r="UI547" s="259"/>
    </row>
    <row r="548" spans="1:555" ht="40.5">
      <c r="A548" s="57">
        <v>246</v>
      </c>
      <c r="B548" s="58" t="s">
        <v>2924</v>
      </c>
      <c r="C548" s="59">
        <v>8507335</v>
      </c>
      <c r="D548" s="170" t="s">
        <v>8070</v>
      </c>
      <c r="E548" s="60">
        <v>42458</v>
      </c>
      <c r="F548" s="61">
        <v>42430</v>
      </c>
      <c r="G548" s="62" t="s">
        <v>2925</v>
      </c>
      <c r="H548" s="58" t="s">
        <v>625</v>
      </c>
      <c r="I548" s="58" t="s">
        <v>183</v>
      </c>
      <c r="J548" s="60"/>
      <c r="K548" s="61"/>
      <c r="L548" s="62"/>
      <c r="M548" s="58"/>
      <c r="N548" s="58"/>
      <c r="O548" s="60"/>
      <c r="P548" s="63"/>
      <c r="Q548" s="62"/>
      <c r="R548" s="58"/>
      <c r="S548" s="58"/>
      <c r="T548" s="60"/>
      <c r="U548" s="61"/>
      <c r="V548" s="62"/>
      <c r="W548" s="58"/>
      <c r="X548" s="58"/>
      <c r="Y548" s="60"/>
      <c r="Z548" s="61"/>
      <c r="AA548" s="62"/>
      <c r="AB548" s="58"/>
      <c r="AC548" s="58"/>
      <c r="AD548" s="60"/>
      <c r="AE548" s="61"/>
      <c r="AF548" s="62"/>
      <c r="AG548" s="58"/>
      <c r="AH548" s="58"/>
      <c r="AI548" s="66"/>
      <c r="AJ548" s="61"/>
      <c r="AK548" s="62"/>
      <c r="AL548" s="58"/>
      <c r="AM548" s="58"/>
      <c r="AN548" s="58" t="s">
        <v>2926</v>
      </c>
      <c r="AO548" s="478"/>
      <c r="AP548" s="58"/>
      <c r="AQ548" s="62" t="s">
        <v>2927</v>
      </c>
      <c r="AR548" s="58" t="s">
        <v>161</v>
      </c>
      <c r="AS548" s="60">
        <v>40452</v>
      </c>
      <c r="AT548" s="60">
        <v>40618</v>
      </c>
      <c r="AU548" s="58" t="s">
        <v>2928</v>
      </c>
      <c r="AV548" s="58"/>
      <c r="AW548" s="58" t="s">
        <v>69</v>
      </c>
      <c r="AX548" s="58" t="s">
        <v>328</v>
      </c>
      <c r="AY548" s="60">
        <v>42318</v>
      </c>
      <c r="AZ548" s="58" t="s">
        <v>67</v>
      </c>
      <c r="BA548" s="60" t="s">
        <v>67</v>
      </c>
      <c r="BB548" s="382"/>
      <c r="BC548" s="58" t="s">
        <v>95</v>
      </c>
      <c r="BD548" s="58" t="s">
        <v>566</v>
      </c>
      <c r="BE548" s="58"/>
      <c r="BF548" s="62"/>
      <c r="BG548" s="62"/>
      <c r="BH548" s="62"/>
      <c r="BI548" s="62"/>
      <c r="BJ548" s="74">
        <v>13742157</v>
      </c>
      <c r="BK548" s="67"/>
      <c r="BL548" s="68"/>
      <c r="BM548" s="60"/>
      <c r="BN548" s="69"/>
      <c r="BO548" s="463"/>
      <c r="BP548" s="122"/>
      <c r="BQ548" s="58"/>
      <c r="BR548" s="70"/>
      <c r="BS548" s="62"/>
      <c r="BT548" s="62"/>
      <c r="BU548" s="62"/>
      <c r="BV548" s="62"/>
      <c r="BW548" s="71"/>
      <c r="BX548" s="66"/>
      <c r="BY548" s="60"/>
      <c r="BZ548" s="72"/>
    </row>
    <row r="549" spans="1:555" ht="108">
      <c r="A549" s="502">
        <v>250</v>
      </c>
      <c r="B549" s="686" t="s">
        <v>2965</v>
      </c>
      <c r="C549" s="810">
        <v>19396785</v>
      </c>
      <c r="D549" s="688" t="s">
        <v>906</v>
      </c>
      <c r="E549" s="27">
        <v>42471</v>
      </c>
      <c r="F549" s="689">
        <v>42461</v>
      </c>
      <c r="G549" s="690" t="s">
        <v>2966</v>
      </c>
      <c r="H549" s="686" t="s">
        <v>625</v>
      </c>
      <c r="I549" s="686" t="s">
        <v>183</v>
      </c>
      <c r="J549" s="27">
        <v>42786</v>
      </c>
      <c r="K549" s="689">
        <v>42767</v>
      </c>
      <c r="L549" s="690" t="s">
        <v>2967</v>
      </c>
      <c r="M549" s="686" t="s">
        <v>5</v>
      </c>
      <c r="N549" s="686" t="s">
        <v>101</v>
      </c>
      <c r="O549" s="27"/>
      <c r="P549" s="691"/>
      <c r="Q549" s="690"/>
      <c r="R549" s="686"/>
      <c r="S549" s="686"/>
      <c r="T549" s="27"/>
      <c r="U549" s="689"/>
      <c r="V549" s="690"/>
      <c r="W549" s="686"/>
      <c r="X549" s="686"/>
      <c r="Y549" s="27"/>
      <c r="Z549" s="689"/>
      <c r="AA549" s="690"/>
      <c r="AB549" s="686"/>
      <c r="AC549" s="686"/>
      <c r="AD549" s="27"/>
      <c r="AE549" s="689"/>
      <c r="AF549" s="690"/>
      <c r="AG549" s="686"/>
      <c r="AH549" s="686"/>
      <c r="AI549" s="693"/>
      <c r="AJ549" s="689"/>
      <c r="AK549" s="690"/>
      <c r="AL549" s="686"/>
      <c r="AM549" s="686"/>
      <c r="AN549" s="686" t="s">
        <v>2968</v>
      </c>
      <c r="AO549" s="694">
        <v>42786</v>
      </c>
      <c r="AP549" s="686"/>
      <c r="AQ549" s="690" t="s">
        <v>2969</v>
      </c>
      <c r="AR549" s="686" t="s">
        <v>161</v>
      </c>
      <c r="AS549" s="27">
        <v>40501</v>
      </c>
      <c r="AT549" s="27">
        <v>40908</v>
      </c>
      <c r="AU549" s="686" t="s">
        <v>2970</v>
      </c>
      <c r="AV549" s="686"/>
      <c r="AW549" s="686" t="s">
        <v>69</v>
      </c>
      <c r="AX549" s="686" t="s">
        <v>2971</v>
      </c>
      <c r="AY549" s="27">
        <v>42128</v>
      </c>
      <c r="AZ549" s="686" t="s">
        <v>2657</v>
      </c>
      <c r="BA549" s="27">
        <v>42292</v>
      </c>
      <c r="BB549" s="27">
        <v>42466</v>
      </c>
      <c r="BC549" s="701" t="s">
        <v>912</v>
      </c>
      <c r="BD549" s="701" t="s">
        <v>566</v>
      </c>
      <c r="BE549" s="686"/>
      <c r="BF549" s="690"/>
      <c r="BG549" s="690"/>
      <c r="BH549" s="690"/>
      <c r="BI549" s="690"/>
      <c r="BJ549" s="696">
        <f>+[99]MATRIZ!$J$47</f>
        <v>0</v>
      </c>
      <c r="BK549" s="696"/>
      <c r="BL549" s="697"/>
      <c r="BM549" s="27"/>
      <c r="BN549" s="698"/>
      <c r="BO549" s="699"/>
      <c r="BP549" s="700"/>
      <c r="BQ549" s="686"/>
      <c r="BR549" s="701"/>
      <c r="BS549" s="690"/>
      <c r="BT549" s="690"/>
      <c r="BU549" s="690"/>
      <c r="BV549" s="690"/>
      <c r="BW549" s="702"/>
      <c r="BX549" s="693"/>
      <c r="BY549" s="27"/>
      <c r="BZ549" s="703"/>
      <c r="CA549" s="259"/>
      <c r="CB549" s="259"/>
      <c r="CC549" s="259"/>
      <c r="CD549" s="259"/>
      <c r="CE549" s="259"/>
      <c r="CF549" s="259"/>
      <c r="CG549" s="259"/>
      <c r="CH549" s="259"/>
      <c r="CI549" s="259"/>
      <c r="CJ549" s="259"/>
      <c r="CK549" s="259"/>
      <c r="CL549" s="259"/>
      <c r="CM549" s="259"/>
      <c r="CN549" s="259"/>
      <c r="CO549" s="259"/>
      <c r="CP549" s="259"/>
      <c r="CQ549" s="259"/>
      <c r="CR549" s="259"/>
      <c r="CS549" s="259"/>
      <c r="CT549" s="259"/>
      <c r="CU549" s="259"/>
      <c r="CV549" s="259"/>
      <c r="CW549" s="259"/>
      <c r="CX549" s="259"/>
      <c r="CY549" s="259"/>
      <c r="CZ549" s="259"/>
      <c r="DA549" s="259"/>
      <c r="DB549" s="259"/>
      <c r="DC549" s="259"/>
      <c r="DD549" s="259"/>
      <c r="DE549" s="259"/>
      <c r="DF549" s="259"/>
      <c r="DG549" s="259"/>
      <c r="DH549" s="259"/>
      <c r="DI549" s="259"/>
      <c r="DJ549" s="259"/>
      <c r="DK549" s="259"/>
      <c r="DL549" s="259"/>
      <c r="DM549" s="259"/>
      <c r="DN549" s="259"/>
      <c r="DO549" s="259"/>
      <c r="DP549" s="259"/>
      <c r="DQ549" s="259"/>
      <c r="DR549" s="259"/>
      <c r="DS549" s="259"/>
      <c r="DT549" s="259"/>
      <c r="DU549" s="259"/>
      <c r="DV549" s="259"/>
      <c r="DW549" s="259"/>
      <c r="DX549" s="259"/>
      <c r="DY549" s="259"/>
      <c r="DZ549" s="259"/>
      <c r="EA549" s="259"/>
      <c r="EB549" s="259"/>
      <c r="EC549" s="259"/>
      <c r="ED549" s="259"/>
      <c r="EE549" s="259"/>
      <c r="EF549" s="259"/>
      <c r="EG549" s="259"/>
      <c r="EH549" s="259"/>
      <c r="EI549" s="259"/>
      <c r="EJ549" s="259"/>
      <c r="EK549" s="259"/>
      <c r="EL549" s="259"/>
      <c r="EM549" s="259"/>
      <c r="EN549" s="259"/>
      <c r="EO549" s="259"/>
      <c r="EP549" s="259"/>
      <c r="EQ549" s="259"/>
      <c r="ER549" s="259"/>
      <c r="ES549" s="259"/>
      <c r="ET549" s="259"/>
      <c r="EU549" s="259"/>
      <c r="EV549" s="259"/>
      <c r="EW549" s="259"/>
      <c r="EX549" s="259"/>
      <c r="EY549" s="259"/>
      <c r="EZ549" s="259"/>
      <c r="FA549" s="259"/>
      <c r="FB549" s="259"/>
      <c r="FC549" s="259"/>
      <c r="FD549" s="259"/>
      <c r="FE549" s="259"/>
      <c r="FF549" s="259"/>
      <c r="FG549" s="259"/>
      <c r="FH549" s="259"/>
      <c r="FI549" s="259"/>
      <c r="FJ549" s="259"/>
      <c r="FK549" s="259"/>
      <c r="FL549" s="259"/>
      <c r="FM549" s="259"/>
      <c r="FN549" s="259"/>
      <c r="FO549" s="259"/>
      <c r="FP549" s="259"/>
      <c r="FQ549" s="259"/>
      <c r="FR549" s="259"/>
      <c r="FS549" s="259"/>
      <c r="FT549" s="259"/>
      <c r="FU549" s="259"/>
      <c r="FV549" s="259"/>
      <c r="FW549" s="259"/>
      <c r="FX549" s="259"/>
      <c r="FY549" s="259"/>
      <c r="FZ549" s="259"/>
      <c r="GA549" s="259"/>
      <c r="GB549" s="259"/>
      <c r="GC549" s="259"/>
      <c r="GD549" s="259"/>
      <c r="GE549" s="259"/>
      <c r="GF549" s="259"/>
      <c r="GG549" s="259"/>
      <c r="GH549" s="259"/>
      <c r="GI549" s="259"/>
      <c r="GJ549" s="259"/>
      <c r="GK549" s="259"/>
      <c r="GL549" s="259"/>
      <c r="GM549" s="259"/>
      <c r="GN549" s="259"/>
      <c r="GO549" s="259"/>
      <c r="GP549" s="259"/>
      <c r="GQ549" s="259"/>
      <c r="GR549" s="259"/>
      <c r="GS549" s="259"/>
      <c r="GT549" s="259"/>
      <c r="GU549" s="259"/>
      <c r="GV549" s="259"/>
      <c r="GW549" s="259"/>
      <c r="GX549" s="259"/>
      <c r="GY549" s="259"/>
      <c r="GZ549" s="259"/>
      <c r="HA549" s="259"/>
      <c r="HB549" s="259"/>
      <c r="HC549" s="259"/>
      <c r="HD549" s="259"/>
      <c r="HE549" s="259"/>
      <c r="HF549" s="259"/>
      <c r="HG549" s="259"/>
      <c r="HH549" s="259"/>
      <c r="HI549" s="259"/>
      <c r="HJ549" s="259"/>
      <c r="HK549" s="259"/>
      <c r="HL549" s="259"/>
      <c r="HM549" s="259"/>
      <c r="HN549" s="259"/>
      <c r="HO549" s="259"/>
      <c r="HP549" s="259"/>
      <c r="HQ549" s="259"/>
      <c r="HR549" s="259"/>
      <c r="HS549" s="259"/>
      <c r="HT549" s="259"/>
      <c r="HU549" s="259"/>
      <c r="HV549" s="259"/>
      <c r="HW549" s="259"/>
      <c r="HX549" s="259"/>
      <c r="HY549" s="259"/>
      <c r="HZ549" s="259"/>
      <c r="IA549" s="259"/>
      <c r="IB549" s="259"/>
      <c r="IC549" s="259"/>
      <c r="ID549" s="259"/>
      <c r="IE549" s="259"/>
      <c r="IF549" s="259"/>
      <c r="IG549" s="259"/>
      <c r="IH549" s="259"/>
      <c r="II549" s="259"/>
      <c r="IJ549" s="259"/>
      <c r="IK549" s="259"/>
      <c r="IL549" s="259"/>
      <c r="IM549" s="259"/>
      <c r="IN549" s="259"/>
      <c r="IO549" s="259"/>
      <c r="IP549" s="259"/>
      <c r="IQ549" s="259"/>
      <c r="IR549" s="259"/>
      <c r="IS549" s="259"/>
      <c r="IT549" s="259"/>
      <c r="IU549" s="259"/>
      <c r="IV549" s="259"/>
      <c r="IW549" s="259"/>
      <c r="IX549" s="259"/>
      <c r="IY549" s="259"/>
      <c r="IZ549" s="259"/>
      <c r="JA549" s="259"/>
      <c r="JB549" s="259"/>
      <c r="JC549" s="259"/>
      <c r="JD549" s="259"/>
      <c r="JE549" s="259"/>
      <c r="JF549" s="259"/>
      <c r="JG549" s="259"/>
      <c r="JH549" s="259"/>
      <c r="JI549" s="259"/>
      <c r="JJ549" s="259"/>
      <c r="JK549" s="259"/>
      <c r="JL549" s="259"/>
      <c r="JM549" s="259"/>
      <c r="JN549" s="259"/>
      <c r="JO549" s="259"/>
      <c r="JP549" s="259"/>
      <c r="JQ549" s="259"/>
      <c r="JR549" s="259"/>
      <c r="JS549" s="259"/>
      <c r="JT549" s="259"/>
      <c r="JU549" s="259"/>
      <c r="JV549" s="259"/>
      <c r="JW549" s="259"/>
      <c r="JX549" s="259"/>
      <c r="JY549" s="259"/>
      <c r="JZ549" s="259"/>
      <c r="KA549" s="259"/>
      <c r="KB549" s="259"/>
      <c r="KC549" s="259"/>
      <c r="KD549" s="259"/>
      <c r="KE549" s="259"/>
      <c r="KF549" s="259"/>
      <c r="KG549" s="259"/>
      <c r="KH549" s="259"/>
      <c r="KI549" s="259"/>
      <c r="KJ549" s="259"/>
      <c r="KK549" s="259"/>
      <c r="KL549" s="259"/>
      <c r="KM549" s="259"/>
      <c r="KN549" s="259"/>
      <c r="KO549" s="259"/>
      <c r="KP549" s="259"/>
      <c r="KQ549" s="259"/>
      <c r="KR549" s="259"/>
      <c r="KS549" s="259"/>
      <c r="KT549" s="259"/>
      <c r="KU549" s="259"/>
      <c r="KV549" s="259"/>
      <c r="KW549" s="259"/>
      <c r="KX549" s="259"/>
      <c r="KY549" s="259"/>
      <c r="KZ549" s="259"/>
      <c r="LA549" s="259"/>
      <c r="LB549" s="259"/>
      <c r="LC549" s="259"/>
      <c r="LD549" s="259"/>
      <c r="LE549" s="259"/>
      <c r="LF549" s="259"/>
      <c r="LG549" s="259"/>
      <c r="LH549" s="259"/>
      <c r="LI549" s="259"/>
      <c r="LJ549" s="259"/>
      <c r="LK549" s="259"/>
      <c r="LL549" s="259"/>
      <c r="LM549" s="259"/>
      <c r="LN549" s="259"/>
      <c r="LO549" s="259"/>
      <c r="LP549" s="259"/>
      <c r="LQ549" s="259"/>
      <c r="LR549" s="259"/>
      <c r="LS549" s="259"/>
      <c r="LT549" s="259"/>
      <c r="LU549" s="259"/>
      <c r="LV549" s="259"/>
      <c r="LW549" s="259"/>
      <c r="LX549" s="259"/>
      <c r="LY549" s="259"/>
      <c r="LZ549" s="259"/>
      <c r="MA549" s="259"/>
      <c r="MB549" s="259"/>
      <c r="MC549" s="259"/>
      <c r="MD549" s="259"/>
      <c r="ME549" s="259"/>
      <c r="MF549" s="259"/>
      <c r="MG549" s="259"/>
      <c r="MH549" s="259"/>
      <c r="MI549" s="259"/>
      <c r="MJ549" s="259"/>
      <c r="MK549" s="259"/>
      <c r="ML549" s="259"/>
      <c r="MM549" s="259"/>
      <c r="MN549" s="259"/>
      <c r="MO549" s="259"/>
      <c r="MP549" s="259"/>
      <c r="MQ549" s="259"/>
      <c r="MR549" s="259"/>
      <c r="MS549" s="259"/>
      <c r="MT549" s="259"/>
      <c r="MU549" s="259"/>
      <c r="MV549" s="259"/>
      <c r="MW549" s="259"/>
      <c r="MX549" s="259"/>
      <c r="MY549" s="259"/>
      <c r="MZ549" s="259"/>
      <c r="NA549" s="259"/>
      <c r="NB549" s="259"/>
      <c r="NC549" s="259"/>
      <c r="ND549" s="259"/>
      <c r="NE549" s="259"/>
      <c r="NF549" s="259"/>
      <c r="NG549" s="259"/>
      <c r="NH549" s="259"/>
      <c r="NI549" s="259"/>
      <c r="NJ549" s="259"/>
      <c r="NK549" s="259"/>
      <c r="NL549" s="259"/>
      <c r="NM549" s="259"/>
      <c r="NN549" s="259"/>
      <c r="NO549" s="259"/>
      <c r="NP549" s="259"/>
      <c r="NQ549" s="259"/>
      <c r="NR549" s="259"/>
      <c r="NS549" s="259"/>
      <c r="NT549" s="259"/>
      <c r="NU549" s="259"/>
      <c r="NV549" s="259"/>
      <c r="NW549" s="259"/>
      <c r="NX549" s="259"/>
      <c r="NY549" s="259"/>
      <c r="NZ549" s="259"/>
      <c r="OA549" s="259"/>
      <c r="OB549" s="259"/>
      <c r="OC549" s="259"/>
      <c r="OD549" s="259"/>
      <c r="OE549" s="259"/>
      <c r="OF549" s="259"/>
      <c r="OG549" s="259"/>
      <c r="OH549" s="259"/>
      <c r="OI549" s="259"/>
      <c r="OJ549" s="259"/>
      <c r="OK549" s="259"/>
      <c r="OL549" s="259"/>
      <c r="OM549" s="259"/>
      <c r="ON549" s="259"/>
      <c r="OO549" s="259"/>
      <c r="OP549" s="259"/>
      <c r="OQ549" s="259"/>
      <c r="OR549" s="259"/>
      <c r="OS549" s="259"/>
      <c r="OT549" s="259"/>
      <c r="OU549" s="259"/>
      <c r="OV549" s="259"/>
      <c r="OW549" s="259"/>
      <c r="OX549" s="259"/>
      <c r="OY549" s="259"/>
      <c r="OZ549" s="259"/>
      <c r="PA549" s="259"/>
      <c r="PB549" s="259"/>
      <c r="PC549" s="259"/>
      <c r="PD549" s="259"/>
      <c r="PE549" s="259"/>
      <c r="PF549" s="259"/>
      <c r="PG549" s="259"/>
      <c r="PH549" s="259"/>
      <c r="PI549" s="259"/>
      <c r="PJ549" s="259"/>
      <c r="PK549" s="259"/>
      <c r="PL549" s="259"/>
      <c r="PM549" s="259"/>
      <c r="PN549" s="259"/>
      <c r="PO549" s="259"/>
      <c r="PP549" s="259"/>
      <c r="PQ549" s="259"/>
      <c r="PR549" s="259"/>
      <c r="PS549" s="259"/>
      <c r="PT549" s="259"/>
      <c r="PU549" s="259"/>
      <c r="PV549" s="259"/>
      <c r="PW549" s="259"/>
      <c r="PX549" s="259"/>
      <c r="PY549" s="259"/>
      <c r="PZ549" s="259"/>
      <c r="QA549" s="259"/>
      <c r="QB549" s="259"/>
      <c r="QC549" s="259"/>
      <c r="QD549" s="259"/>
      <c r="QE549" s="259"/>
      <c r="QF549" s="259"/>
      <c r="QG549" s="259"/>
      <c r="QH549" s="259"/>
      <c r="QI549" s="259"/>
      <c r="QJ549" s="259"/>
      <c r="QK549" s="259"/>
      <c r="QL549" s="259"/>
      <c r="QM549" s="259"/>
      <c r="QN549" s="259"/>
      <c r="QO549" s="259"/>
      <c r="QP549" s="259"/>
      <c r="QQ549" s="259"/>
      <c r="QR549" s="259"/>
      <c r="QS549" s="259"/>
      <c r="QT549" s="259"/>
      <c r="QU549" s="259"/>
      <c r="QV549" s="259"/>
      <c r="QW549" s="259"/>
      <c r="QX549" s="259"/>
      <c r="QY549" s="259"/>
      <c r="QZ549" s="259"/>
      <c r="RA549" s="259"/>
      <c r="RB549" s="259"/>
      <c r="RC549" s="259"/>
      <c r="RD549" s="259"/>
      <c r="RE549" s="259"/>
      <c r="RF549" s="259"/>
      <c r="RG549" s="259"/>
      <c r="RH549" s="259"/>
      <c r="RI549" s="259"/>
      <c r="RJ549" s="259"/>
      <c r="RK549" s="259"/>
      <c r="RL549" s="259"/>
      <c r="RM549" s="259"/>
      <c r="RN549" s="259"/>
      <c r="RO549" s="259"/>
      <c r="RP549" s="259"/>
      <c r="RQ549" s="259"/>
      <c r="RR549" s="259"/>
      <c r="RS549" s="259"/>
      <c r="RT549" s="259"/>
      <c r="RU549" s="259"/>
      <c r="RV549" s="259"/>
      <c r="RW549" s="259"/>
      <c r="RX549" s="259"/>
      <c r="RY549" s="259"/>
      <c r="RZ549" s="259"/>
      <c r="SA549" s="259"/>
      <c r="SB549" s="259"/>
      <c r="SC549" s="259"/>
      <c r="SD549" s="259"/>
      <c r="SE549" s="259"/>
      <c r="SF549" s="259"/>
      <c r="SG549" s="259"/>
      <c r="SH549" s="259"/>
      <c r="SI549" s="259"/>
      <c r="SJ549" s="259"/>
      <c r="SK549" s="259"/>
      <c r="SL549" s="259"/>
      <c r="SM549" s="259"/>
      <c r="SN549" s="259"/>
      <c r="SO549" s="259"/>
      <c r="SP549" s="259"/>
      <c r="SQ549" s="259"/>
      <c r="SR549" s="259"/>
      <c r="SS549" s="259"/>
      <c r="ST549" s="259"/>
      <c r="SU549" s="259"/>
      <c r="SV549" s="259"/>
      <c r="SW549" s="259"/>
      <c r="SX549" s="259"/>
      <c r="SY549" s="259"/>
      <c r="SZ549" s="259"/>
      <c r="TA549" s="259"/>
      <c r="TB549" s="259"/>
      <c r="TC549" s="259"/>
      <c r="TD549" s="259"/>
      <c r="TE549" s="259"/>
      <c r="TF549" s="259"/>
      <c r="TG549" s="259"/>
      <c r="TH549" s="259"/>
      <c r="TI549" s="259"/>
      <c r="TJ549" s="259"/>
      <c r="TK549" s="259"/>
      <c r="TL549" s="259"/>
      <c r="TM549" s="259"/>
      <c r="TN549" s="259"/>
      <c r="TO549" s="259"/>
      <c r="TP549" s="259"/>
      <c r="TQ549" s="259"/>
      <c r="TR549" s="259"/>
      <c r="TS549" s="259"/>
      <c r="TT549" s="259"/>
      <c r="TU549" s="259"/>
      <c r="TV549" s="259"/>
      <c r="TW549" s="259"/>
      <c r="TX549" s="259"/>
      <c r="TY549" s="259"/>
      <c r="TZ549" s="259"/>
      <c r="UA549" s="259"/>
      <c r="UB549" s="259"/>
      <c r="UC549" s="259"/>
      <c r="UD549" s="259"/>
      <c r="UE549" s="259"/>
      <c r="UF549" s="259"/>
      <c r="UG549" s="259"/>
      <c r="UH549" s="259"/>
      <c r="UI549" s="259"/>
    </row>
    <row r="550" spans="1:555" ht="81.75" thickBot="1">
      <c r="A550" s="296">
        <v>251</v>
      </c>
      <c r="B550" s="297" t="s">
        <v>2972</v>
      </c>
      <c r="C550" s="298">
        <v>93293892</v>
      </c>
      <c r="D550" s="354" t="s">
        <v>167</v>
      </c>
      <c r="E550" s="299">
        <v>42474</v>
      </c>
      <c r="F550" s="300">
        <v>42461</v>
      </c>
      <c r="G550" s="301" t="s">
        <v>2973</v>
      </c>
      <c r="H550" s="297" t="s">
        <v>1493</v>
      </c>
      <c r="I550" s="297" t="s">
        <v>183</v>
      </c>
      <c r="J550" s="299">
        <v>42698</v>
      </c>
      <c r="K550" s="300">
        <v>42675</v>
      </c>
      <c r="L550" s="301" t="s">
        <v>2974</v>
      </c>
      <c r="M550" s="297" t="s">
        <v>5</v>
      </c>
      <c r="N550" s="297" t="s">
        <v>101</v>
      </c>
      <c r="O550" s="299"/>
      <c r="P550" s="302"/>
      <c r="Q550" s="301"/>
      <c r="R550" s="297"/>
      <c r="S550" s="297"/>
      <c r="T550" s="299"/>
      <c r="U550" s="300"/>
      <c r="V550" s="301"/>
      <c r="W550" s="297"/>
      <c r="X550" s="297"/>
      <c r="Y550" s="299"/>
      <c r="Z550" s="300"/>
      <c r="AA550" s="301"/>
      <c r="AB550" s="297"/>
      <c r="AC550" s="297"/>
      <c r="AD550" s="299"/>
      <c r="AE550" s="300"/>
      <c r="AF550" s="301"/>
      <c r="AG550" s="297"/>
      <c r="AH550" s="297"/>
      <c r="AI550" s="304"/>
      <c r="AJ550" s="300"/>
      <c r="AK550" s="301"/>
      <c r="AL550" s="297"/>
      <c r="AM550" s="297"/>
      <c r="AN550" s="297" t="s">
        <v>2961</v>
      </c>
      <c r="AO550" s="540">
        <v>42699</v>
      </c>
      <c r="AP550" s="297"/>
      <c r="AQ550" s="301" t="s">
        <v>2975</v>
      </c>
      <c r="AR550" s="297" t="s">
        <v>161</v>
      </c>
      <c r="AS550" s="299">
        <v>38785</v>
      </c>
      <c r="AT550" s="299">
        <v>39794</v>
      </c>
      <c r="AU550" s="297" t="s">
        <v>2976</v>
      </c>
      <c r="AV550" s="297"/>
      <c r="AW550" s="297" t="s">
        <v>92</v>
      </c>
      <c r="AX550" s="297" t="s">
        <v>2977</v>
      </c>
      <c r="AY550" s="299">
        <v>41439</v>
      </c>
      <c r="AZ550" s="297" t="s">
        <v>94</v>
      </c>
      <c r="BA550" s="299">
        <v>42430</v>
      </c>
      <c r="BB550" s="299">
        <v>42444</v>
      </c>
      <c r="BC550" s="297" t="s">
        <v>95</v>
      </c>
      <c r="BD550" s="297" t="s">
        <v>566</v>
      </c>
      <c r="BE550" s="297"/>
      <c r="BF550" s="301"/>
      <c r="BG550" s="301"/>
      <c r="BH550" s="301" t="s">
        <v>10556</v>
      </c>
      <c r="BI550" s="301"/>
      <c r="BJ550" s="312">
        <f>+[100]MATRIZ!$J$64</f>
        <v>0</v>
      </c>
      <c r="BK550" s="312">
        <v>92947469</v>
      </c>
      <c r="BL550" s="313"/>
      <c r="BM550" s="299"/>
      <c r="BN550" s="314"/>
      <c r="BO550" s="872" t="s">
        <v>10557</v>
      </c>
      <c r="BP550" s="390" t="s">
        <v>67</v>
      </c>
      <c r="BQ550" s="297" t="s">
        <v>67</v>
      </c>
      <c r="BR550" s="303"/>
      <c r="BS550" s="301"/>
      <c r="BT550" s="301"/>
      <c r="BU550" s="301"/>
      <c r="BV550" s="301"/>
      <c r="BW550" s="316"/>
      <c r="BX550" s="304"/>
      <c r="BY550" s="299"/>
      <c r="BZ550" s="317"/>
    </row>
    <row r="551" spans="1:555" ht="108">
      <c r="A551" s="502">
        <v>252</v>
      </c>
      <c r="B551" s="686" t="s">
        <v>2978</v>
      </c>
      <c r="C551" s="687">
        <v>79530201</v>
      </c>
      <c r="D551" s="688" t="s">
        <v>597</v>
      </c>
      <c r="E551" s="27">
        <v>42474</v>
      </c>
      <c r="F551" s="689">
        <v>42461</v>
      </c>
      <c r="G551" s="690" t="s">
        <v>2979</v>
      </c>
      <c r="H551" s="686" t="s">
        <v>625</v>
      </c>
      <c r="I551" s="686" t="s">
        <v>183</v>
      </c>
      <c r="J551" s="27">
        <v>42478</v>
      </c>
      <c r="K551" s="689">
        <v>42461</v>
      </c>
      <c r="L551" s="690" t="s">
        <v>2980</v>
      </c>
      <c r="M551" s="686" t="s">
        <v>63</v>
      </c>
      <c r="N551" s="686" t="s">
        <v>183</v>
      </c>
      <c r="O551" s="27">
        <v>42529</v>
      </c>
      <c r="P551" s="691">
        <v>42522</v>
      </c>
      <c r="Q551" s="690" t="s">
        <v>2981</v>
      </c>
      <c r="R551" s="686" t="s">
        <v>63</v>
      </c>
      <c r="S551" s="686" t="s">
        <v>101</v>
      </c>
      <c r="T551" s="27">
        <v>42865</v>
      </c>
      <c r="U551" s="689">
        <v>42856</v>
      </c>
      <c r="V551" s="690" t="s">
        <v>2982</v>
      </c>
      <c r="W551" s="686" t="s">
        <v>63</v>
      </c>
      <c r="X551" s="686" t="s">
        <v>2983</v>
      </c>
      <c r="Y551" s="27">
        <v>42811</v>
      </c>
      <c r="Z551" s="689">
        <v>42795</v>
      </c>
      <c r="AA551" s="690" t="s">
        <v>2984</v>
      </c>
      <c r="AB551" s="686" t="s">
        <v>63</v>
      </c>
      <c r="AC551" s="686" t="s">
        <v>2985</v>
      </c>
      <c r="AD551" s="27" t="s">
        <v>2986</v>
      </c>
      <c r="AE551" s="689" t="s">
        <v>874</v>
      </c>
      <c r="AF551" s="690" t="s">
        <v>2987</v>
      </c>
      <c r="AG551" s="686" t="s">
        <v>2988</v>
      </c>
      <c r="AH551" s="686" t="s">
        <v>2989</v>
      </c>
      <c r="AI551" s="693"/>
      <c r="AJ551" s="689"/>
      <c r="AK551" s="690"/>
      <c r="AL551" s="686"/>
      <c r="AM551" s="686"/>
      <c r="AN551" s="686" t="s">
        <v>1359</v>
      </c>
      <c r="AO551" s="694">
        <v>42817</v>
      </c>
      <c r="AP551" s="686"/>
      <c r="AQ551" s="690" t="s">
        <v>2990</v>
      </c>
      <c r="AR551" s="686" t="s">
        <v>161</v>
      </c>
      <c r="AS551" s="27">
        <v>37620</v>
      </c>
      <c r="AT551" s="27">
        <v>39806</v>
      </c>
      <c r="AU551" s="686" t="s">
        <v>2991</v>
      </c>
      <c r="AV551" s="686"/>
      <c r="AW551" s="686" t="s">
        <v>92</v>
      </c>
      <c r="AX551" s="686" t="s">
        <v>2992</v>
      </c>
      <c r="AY551" s="27">
        <v>41253</v>
      </c>
      <c r="AZ551" s="686" t="s">
        <v>94</v>
      </c>
      <c r="BA551" s="27">
        <v>42416</v>
      </c>
      <c r="BB551" s="27">
        <v>42430</v>
      </c>
      <c r="BC551" s="686" t="s">
        <v>95</v>
      </c>
      <c r="BD551" s="686" t="s">
        <v>566</v>
      </c>
      <c r="BE551" s="686"/>
      <c r="BF551" s="690"/>
      <c r="BG551" s="690"/>
      <c r="BH551" s="690"/>
      <c r="BI551" s="690"/>
      <c r="BJ551" s="696">
        <f>+[101]MATRIZ!$J$77</f>
        <v>0</v>
      </c>
      <c r="BK551" s="696"/>
      <c r="BL551" s="697"/>
      <c r="BM551" s="27"/>
      <c r="BN551" s="698"/>
      <c r="BO551" s="699"/>
      <c r="BP551" s="700"/>
      <c r="BQ551" s="686"/>
      <c r="BR551" s="701"/>
      <c r="BS551" s="690"/>
      <c r="BT551" s="690"/>
      <c r="BU551" s="690"/>
      <c r="BV551" s="690"/>
      <c r="BW551" s="702"/>
      <c r="BX551" s="693"/>
      <c r="BY551" s="27"/>
      <c r="BZ551" s="703"/>
      <c r="CA551" s="259"/>
      <c r="CB551" s="259"/>
      <c r="CC551" s="259"/>
      <c r="CD551" s="259"/>
      <c r="CE551" s="259"/>
      <c r="CF551" s="259"/>
      <c r="CG551" s="259"/>
      <c r="CH551" s="259"/>
      <c r="CI551" s="259"/>
      <c r="CJ551" s="259"/>
      <c r="CK551" s="259"/>
      <c r="CL551" s="259"/>
      <c r="CM551" s="259"/>
      <c r="CN551" s="259"/>
      <c r="CO551" s="259"/>
      <c r="CP551" s="259"/>
      <c r="CQ551" s="259"/>
      <c r="CR551" s="259"/>
      <c r="CS551" s="259"/>
      <c r="CT551" s="259"/>
      <c r="CU551" s="259"/>
      <c r="CV551" s="259"/>
      <c r="CW551" s="259"/>
      <c r="CX551" s="259"/>
      <c r="CY551" s="259"/>
      <c r="CZ551" s="259"/>
      <c r="DA551" s="259"/>
      <c r="DB551" s="259"/>
      <c r="DC551" s="259"/>
      <c r="DD551" s="259"/>
      <c r="DE551" s="259"/>
      <c r="DF551" s="259"/>
      <c r="DG551" s="259"/>
      <c r="DH551" s="259"/>
      <c r="DI551" s="259"/>
      <c r="DJ551" s="259"/>
      <c r="DK551" s="259"/>
      <c r="DL551" s="259"/>
      <c r="DM551" s="259"/>
      <c r="DN551" s="259"/>
      <c r="DO551" s="259"/>
      <c r="DP551" s="259"/>
      <c r="DQ551" s="259"/>
      <c r="DR551" s="259"/>
      <c r="DS551" s="259"/>
      <c r="DT551" s="259"/>
      <c r="DU551" s="259"/>
      <c r="DV551" s="259"/>
      <c r="DW551" s="259"/>
      <c r="DX551" s="259"/>
      <c r="DY551" s="259"/>
      <c r="DZ551" s="259"/>
      <c r="EA551" s="259"/>
      <c r="EB551" s="259"/>
      <c r="EC551" s="259"/>
      <c r="ED551" s="259"/>
      <c r="EE551" s="259"/>
      <c r="EF551" s="259"/>
      <c r="EG551" s="259"/>
      <c r="EH551" s="259"/>
      <c r="EI551" s="259"/>
      <c r="EJ551" s="259"/>
      <c r="EK551" s="259"/>
      <c r="EL551" s="259"/>
      <c r="EM551" s="259"/>
      <c r="EN551" s="259"/>
      <c r="EO551" s="259"/>
      <c r="EP551" s="259"/>
      <c r="EQ551" s="259"/>
      <c r="ER551" s="259"/>
      <c r="ES551" s="259"/>
      <c r="ET551" s="259"/>
      <c r="EU551" s="259"/>
      <c r="EV551" s="259"/>
      <c r="EW551" s="259"/>
      <c r="EX551" s="259"/>
      <c r="EY551" s="259"/>
      <c r="EZ551" s="259"/>
      <c r="FA551" s="259"/>
      <c r="FB551" s="259"/>
      <c r="FC551" s="259"/>
      <c r="FD551" s="259"/>
      <c r="FE551" s="259"/>
      <c r="FF551" s="259"/>
      <c r="FG551" s="259"/>
      <c r="FH551" s="259"/>
      <c r="FI551" s="259"/>
      <c r="FJ551" s="259"/>
      <c r="FK551" s="259"/>
      <c r="FL551" s="259"/>
      <c r="FM551" s="259"/>
      <c r="FN551" s="259"/>
      <c r="FO551" s="259"/>
      <c r="FP551" s="259"/>
      <c r="FQ551" s="259"/>
      <c r="FR551" s="259"/>
      <c r="FS551" s="259"/>
      <c r="FT551" s="259"/>
      <c r="FU551" s="259"/>
      <c r="FV551" s="259"/>
      <c r="FW551" s="259"/>
      <c r="FX551" s="259"/>
      <c r="FY551" s="259"/>
      <c r="FZ551" s="259"/>
      <c r="GA551" s="259"/>
      <c r="GB551" s="259"/>
      <c r="GC551" s="259"/>
      <c r="GD551" s="259"/>
      <c r="GE551" s="259"/>
      <c r="GF551" s="259"/>
      <c r="GG551" s="259"/>
      <c r="GH551" s="259"/>
      <c r="GI551" s="259"/>
      <c r="GJ551" s="259"/>
      <c r="GK551" s="259"/>
      <c r="GL551" s="259"/>
      <c r="GM551" s="259"/>
      <c r="GN551" s="259"/>
      <c r="GO551" s="259"/>
      <c r="GP551" s="259"/>
      <c r="GQ551" s="259"/>
      <c r="GR551" s="259"/>
      <c r="GS551" s="259"/>
      <c r="GT551" s="259"/>
      <c r="GU551" s="259"/>
      <c r="GV551" s="259"/>
      <c r="GW551" s="259"/>
      <c r="GX551" s="259"/>
      <c r="GY551" s="259"/>
      <c r="GZ551" s="259"/>
      <c r="HA551" s="259"/>
      <c r="HB551" s="259"/>
      <c r="HC551" s="259"/>
      <c r="HD551" s="259"/>
      <c r="HE551" s="259"/>
      <c r="HF551" s="259"/>
      <c r="HG551" s="259"/>
      <c r="HH551" s="259"/>
      <c r="HI551" s="259"/>
      <c r="HJ551" s="259"/>
      <c r="HK551" s="259"/>
      <c r="HL551" s="259"/>
      <c r="HM551" s="259"/>
      <c r="HN551" s="259"/>
      <c r="HO551" s="259"/>
      <c r="HP551" s="259"/>
      <c r="HQ551" s="259"/>
      <c r="HR551" s="259"/>
      <c r="HS551" s="259"/>
      <c r="HT551" s="259"/>
      <c r="HU551" s="259"/>
      <c r="HV551" s="259"/>
      <c r="HW551" s="259"/>
      <c r="HX551" s="259"/>
      <c r="HY551" s="259"/>
      <c r="HZ551" s="259"/>
      <c r="IA551" s="259"/>
      <c r="IB551" s="259"/>
      <c r="IC551" s="259"/>
      <c r="ID551" s="259"/>
      <c r="IE551" s="259"/>
      <c r="IF551" s="259"/>
      <c r="IG551" s="259"/>
      <c r="IH551" s="259"/>
      <c r="II551" s="259"/>
      <c r="IJ551" s="259"/>
      <c r="IK551" s="259"/>
      <c r="IL551" s="259"/>
      <c r="IM551" s="259"/>
      <c r="IN551" s="259"/>
      <c r="IO551" s="259"/>
      <c r="IP551" s="259"/>
      <c r="IQ551" s="259"/>
      <c r="IR551" s="259"/>
      <c r="IS551" s="259"/>
      <c r="IT551" s="259"/>
      <c r="IU551" s="259"/>
      <c r="IV551" s="259"/>
      <c r="IW551" s="259"/>
      <c r="IX551" s="259"/>
      <c r="IY551" s="259"/>
      <c r="IZ551" s="259"/>
      <c r="JA551" s="259"/>
      <c r="JB551" s="259"/>
      <c r="JC551" s="259"/>
      <c r="JD551" s="259"/>
      <c r="JE551" s="259"/>
      <c r="JF551" s="259"/>
      <c r="JG551" s="259"/>
      <c r="JH551" s="259"/>
      <c r="JI551" s="259"/>
      <c r="JJ551" s="259"/>
      <c r="JK551" s="259"/>
      <c r="JL551" s="259"/>
      <c r="JM551" s="259"/>
      <c r="JN551" s="259"/>
      <c r="JO551" s="259"/>
      <c r="JP551" s="259"/>
      <c r="JQ551" s="259"/>
      <c r="JR551" s="259"/>
      <c r="JS551" s="259"/>
      <c r="JT551" s="259"/>
      <c r="JU551" s="259"/>
      <c r="JV551" s="259"/>
      <c r="JW551" s="259"/>
      <c r="JX551" s="259"/>
      <c r="JY551" s="259"/>
      <c r="JZ551" s="259"/>
      <c r="KA551" s="259"/>
      <c r="KB551" s="259"/>
      <c r="KC551" s="259"/>
      <c r="KD551" s="259"/>
      <c r="KE551" s="259"/>
      <c r="KF551" s="259"/>
      <c r="KG551" s="259"/>
      <c r="KH551" s="259"/>
      <c r="KI551" s="259"/>
      <c r="KJ551" s="259"/>
      <c r="KK551" s="259"/>
      <c r="KL551" s="259"/>
      <c r="KM551" s="259"/>
      <c r="KN551" s="259"/>
      <c r="KO551" s="259"/>
      <c r="KP551" s="259"/>
      <c r="KQ551" s="259"/>
      <c r="KR551" s="259"/>
      <c r="KS551" s="259"/>
      <c r="KT551" s="259"/>
      <c r="KU551" s="259"/>
      <c r="KV551" s="259"/>
      <c r="KW551" s="259"/>
      <c r="KX551" s="259"/>
      <c r="KY551" s="259"/>
      <c r="KZ551" s="259"/>
      <c r="LA551" s="259"/>
      <c r="LB551" s="259"/>
      <c r="LC551" s="259"/>
      <c r="LD551" s="259"/>
      <c r="LE551" s="259"/>
      <c r="LF551" s="259"/>
      <c r="LG551" s="259"/>
      <c r="LH551" s="259"/>
      <c r="LI551" s="259"/>
      <c r="LJ551" s="259"/>
      <c r="LK551" s="259"/>
      <c r="LL551" s="259"/>
      <c r="LM551" s="259"/>
      <c r="LN551" s="259"/>
      <c r="LO551" s="259"/>
      <c r="LP551" s="259"/>
      <c r="LQ551" s="259"/>
      <c r="LR551" s="259"/>
      <c r="LS551" s="259"/>
      <c r="LT551" s="259"/>
      <c r="LU551" s="259"/>
      <c r="LV551" s="259"/>
      <c r="LW551" s="259"/>
      <c r="LX551" s="259"/>
      <c r="LY551" s="259"/>
      <c r="LZ551" s="259"/>
      <c r="MA551" s="259"/>
      <c r="MB551" s="259"/>
      <c r="MC551" s="259"/>
      <c r="MD551" s="259"/>
      <c r="ME551" s="259"/>
      <c r="MF551" s="259"/>
      <c r="MG551" s="259"/>
      <c r="MH551" s="259"/>
      <c r="MI551" s="259"/>
      <c r="MJ551" s="259"/>
      <c r="MK551" s="259"/>
      <c r="ML551" s="259"/>
      <c r="MM551" s="259"/>
      <c r="MN551" s="259"/>
      <c r="MO551" s="259"/>
      <c r="MP551" s="259"/>
      <c r="MQ551" s="259"/>
      <c r="MR551" s="259"/>
      <c r="MS551" s="259"/>
      <c r="MT551" s="259"/>
      <c r="MU551" s="259"/>
      <c r="MV551" s="259"/>
      <c r="MW551" s="259"/>
      <c r="MX551" s="259"/>
      <c r="MY551" s="259"/>
      <c r="MZ551" s="259"/>
      <c r="NA551" s="259"/>
      <c r="NB551" s="259"/>
      <c r="NC551" s="259"/>
      <c r="ND551" s="259"/>
      <c r="NE551" s="259"/>
      <c r="NF551" s="259"/>
      <c r="NG551" s="259"/>
      <c r="NH551" s="259"/>
      <c r="NI551" s="259"/>
      <c r="NJ551" s="259"/>
      <c r="NK551" s="259"/>
      <c r="NL551" s="259"/>
      <c r="NM551" s="259"/>
      <c r="NN551" s="259"/>
      <c r="NO551" s="259"/>
      <c r="NP551" s="259"/>
      <c r="NQ551" s="259"/>
      <c r="NR551" s="259"/>
      <c r="NS551" s="259"/>
      <c r="NT551" s="259"/>
      <c r="NU551" s="259"/>
      <c r="NV551" s="259"/>
      <c r="NW551" s="259"/>
      <c r="NX551" s="259"/>
      <c r="NY551" s="259"/>
      <c r="NZ551" s="259"/>
      <c r="OA551" s="259"/>
      <c r="OB551" s="259"/>
      <c r="OC551" s="259"/>
      <c r="OD551" s="259"/>
      <c r="OE551" s="259"/>
      <c r="OF551" s="259"/>
      <c r="OG551" s="259"/>
      <c r="OH551" s="259"/>
      <c r="OI551" s="259"/>
      <c r="OJ551" s="259"/>
      <c r="OK551" s="259"/>
      <c r="OL551" s="259"/>
      <c r="OM551" s="259"/>
      <c r="ON551" s="259"/>
      <c r="OO551" s="259"/>
      <c r="OP551" s="259"/>
      <c r="OQ551" s="259"/>
      <c r="OR551" s="259"/>
      <c r="OS551" s="259"/>
      <c r="OT551" s="259"/>
      <c r="OU551" s="259"/>
      <c r="OV551" s="259"/>
      <c r="OW551" s="259"/>
      <c r="OX551" s="259"/>
      <c r="OY551" s="259"/>
      <c r="OZ551" s="259"/>
      <c r="PA551" s="259"/>
      <c r="PB551" s="259"/>
      <c r="PC551" s="259"/>
      <c r="PD551" s="259"/>
      <c r="PE551" s="259"/>
      <c r="PF551" s="259"/>
      <c r="PG551" s="259"/>
      <c r="PH551" s="259"/>
      <c r="PI551" s="259"/>
      <c r="PJ551" s="259"/>
      <c r="PK551" s="259"/>
      <c r="PL551" s="259"/>
      <c r="PM551" s="259"/>
      <c r="PN551" s="259"/>
      <c r="PO551" s="259"/>
      <c r="PP551" s="259"/>
      <c r="PQ551" s="259"/>
      <c r="PR551" s="259"/>
      <c r="PS551" s="259"/>
      <c r="PT551" s="259"/>
      <c r="PU551" s="259"/>
      <c r="PV551" s="259"/>
      <c r="PW551" s="259"/>
      <c r="PX551" s="259"/>
      <c r="PY551" s="259"/>
      <c r="PZ551" s="259"/>
      <c r="QA551" s="259"/>
      <c r="QB551" s="259"/>
      <c r="QC551" s="259"/>
      <c r="QD551" s="259"/>
      <c r="QE551" s="259"/>
      <c r="QF551" s="259"/>
      <c r="QG551" s="259"/>
      <c r="QH551" s="259"/>
      <c r="QI551" s="259"/>
      <c r="QJ551" s="259"/>
      <c r="QK551" s="259"/>
      <c r="QL551" s="259"/>
      <c r="QM551" s="259"/>
      <c r="QN551" s="259"/>
      <c r="QO551" s="259"/>
      <c r="QP551" s="259"/>
      <c r="QQ551" s="259"/>
      <c r="QR551" s="259"/>
      <c r="QS551" s="259"/>
      <c r="QT551" s="259"/>
      <c r="QU551" s="259"/>
      <c r="QV551" s="259"/>
      <c r="QW551" s="259"/>
      <c r="QX551" s="259"/>
      <c r="QY551" s="259"/>
      <c r="QZ551" s="259"/>
      <c r="RA551" s="259"/>
      <c r="RB551" s="259"/>
      <c r="RC551" s="259"/>
      <c r="RD551" s="259"/>
      <c r="RE551" s="259"/>
      <c r="RF551" s="259"/>
      <c r="RG551" s="259"/>
      <c r="RH551" s="259"/>
      <c r="RI551" s="259"/>
      <c r="RJ551" s="259"/>
      <c r="RK551" s="259"/>
      <c r="RL551" s="259"/>
      <c r="RM551" s="259"/>
      <c r="RN551" s="259"/>
      <c r="RO551" s="259"/>
      <c r="RP551" s="259"/>
      <c r="RQ551" s="259"/>
      <c r="RR551" s="259"/>
      <c r="RS551" s="259"/>
      <c r="RT551" s="259"/>
      <c r="RU551" s="259"/>
      <c r="RV551" s="259"/>
      <c r="RW551" s="259"/>
      <c r="RX551" s="259"/>
      <c r="RY551" s="259"/>
      <c r="RZ551" s="259"/>
      <c r="SA551" s="259"/>
      <c r="SB551" s="259"/>
      <c r="SC551" s="259"/>
      <c r="SD551" s="259"/>
      <c r="SE551" s="259"/>
      <c r="SF551" s="259"/>
      <c r="SG551" s="259"/>
      <c r="SH551" s="259"/>
      <c r="SI551" s="259"/>
      <c r="SJ551" s="259"/>
      <c r="SK551" s="259"/>
      <c r="SL551" s="259"/>
      <c r="SM551" s="259"/>
      <c r="SN551" s="259"/>
      <c r="SO551" s="259"/>
      <c r="SP551" s="259"/>
      <c r="SQ551" s="259"/>
      <c r="SR551" s="259"/>
      <c r="SS551" s="259"/>
      <c r="ST551" s="259"/>
      <c r="SU551" s="259"/>
      <c r="SV551" s="259"/>
      <c r="SW551" s="259"/>
      <c r="SX551" s="259"/>
      <c r="SY551" s="259"/>
      <c r="SZ551" s="259"/>
      <c r="TA551" s="259"/>
      <c r="TB551" s="259"/>
      <c r="TC551" s="259"/>
      <c r="TD551" s="259"/>
      <c r="TE551" s="259"/>
      <c r="TF551" s="259"/>
      <c r="TG551" s="259"/>
      <c r="TH551" s="259"/>
      <c r="TI551" s="259"/>
      <c r="TJ551" s="259"/>
      <c r="TK551" s="259"/>
      <c r="TL551" s="259"/>
      <c r="TM551" s="259"/>
      <c r="TN551" s="259"/>
      <c r="TO551" s="259"/>
      <c r="TP551" s="259"/>
      <c r="TQ551" s="259"/>
      <c r="TR551" s="259"/>
      <c r="TS551" s="259"/>
      <c r="TT551" s="259"/>
      <c r="TU551" s="259"/>
      <c r="TV551" s="259"/>
      <c r="TW551" s="259"/>
      <c r="TX551" s="259"/>
      <c r="TY551" s="259"/>
      <c r="TZ551" s="259"/>
      <c r="UA551" s="259"/>
      <c r="UB551" s="259"/>
      <c r="UC551" s="259"/>
      <c r="UD551" s="259"/>
      <c r="UE551" s="259"/>
      <c r="UF551" s="259"/>
      <c r="UG551" s="259"/>
      <c r="UH551" s="259"/>
      <c r="UI551" s="259"/>
    </row>
    <row r="552" spans="1:555" ht="108">
      <c r="A552" s="296">
        <v>253</v>
      </c>
      <c r="B552" s="297" t="s">
        <v>2993</v>
      </c>
      <c r="C552" s="339">
        <v>79687846</v>
      </c>
      <c r="D552" s="354" t="s">
        <v>597</v>
      </c>
      <c r="E552" s="299">
        <v>42474</v>
      </c>
      <c r="F552" s="300">
        <v>42461</v>
      </c>
      <c r="G552" s="301" t="s">
        <v>2994</v>
      </c>
      <c r="H552" s="297" t="s">
        <v>1493</v>
      </c>
      <c r="I552" s="297" t="s">
        <v>183</v>
      </c>
      <c r="J552" s="299">
        <v>42478</v>
      </c>
      <c r="K552" s="300">
        <v>42461</v>
      </c>
      <c r="L552" s="301" t="s">
        <v>2995</v>
      </c>
      <c r="M552" s="297" t="s">
        <v>63</v>
      </c>
      <c r="N552" s="297" t="s">
        <v>183</v>
      </c>
      <c r="O552" s="299">
        <v>42493</v>
      </c>
      <c r="P552" s="302">
        <v>42491</v>
      </c>
      <c r="Q552" s="301" t="s">
        <v>2996</v>
      </c>
      <c r="R552" s="297" t="s">
        <v>63</v>
      </c>
      <c r="S552" s="297" t="s">
        <v>101</v>
      </c>
      <c r="T552" s="299"/>
      <c r="U552" s="300"/>
      <c r="V552" s="301"/>
      <c r="W552" s="297"/>
      <c r="X552" s="297"/>
      <c r="Y552" s="299"/>
      <c r="Z552" s="300"/>
      <c r="AA552" s="301"/>
      <c r="AB552" s="297"/>
      <c r="AC552" s="297"/>
      <c r="AD552" s="299"/>
      <c r="AE552" s="300"/>
      <c r="AF552" s="301"/>
      <c r="AG552" s="297"/>
      <c r="AH552" s="297"/>
      <c r="AI552" s="304"/>
      <c r="AJ552" s="300"/>
      <c r="AK552" s="301"/>
      <c r="AL552" s="297"/>
      <c r="AM552" s="297"/>
      <c r="AN552" s="297" t="s">
        <v>2997</v>
      </c>
      <c r="AO552" s="540">
        <v>42559</v>
      </c>
      <c r="AP552" s="297"/>
      <c r="AQ552" s="967" t="s">
        <v>2998</v>
      </c>
      <c r="AR552" s="297" t="s">
        <v>161</v>
      </c>
      <c r="AS552" s="299">
        <v>38621</v>
      </c>
      <c r="AT552" s="299">
        <v>39806</v>
      </c>
      <c r="AU552" s="297" t="s">
        <v>2999</v>
      </c>
      <c r="AV552" s="297"/>
      <c r="AW552" s="297" t="s">
        <v>92</v>
      </c>
      <c r="AX552" s="297" t="s">
        <v>2748</v>
      </c>
      <c r="AY552" s="299">
        <v>41578</v>
      </c>
      <c r="AZ552" s="297" t="s">
        <v>94</v>
      </c>
      <c r="BA552" s="299" t="s">
        <v>9881</v>
      </c>
      <c r="BB552" s="299">
        <v>42437</v>
      </c>
      <c r="BC552" s="297" t="s">
        <v>95</v>
      </c>
      <c r="BD552" s="297" t="s">
        <v>1792</v>
      </c>
      <c r="BE552" s="297"/>
      <c r="BF552" s="301"/>
      <c r="BG552" s="301"/>
      <c r="BH552" s="301" t="s">
        <v>10554</v>
      </c>
      <c r="BI552" s="301"/>
      <c r="BJ552" s="968">
        <f>+[102]MATRIZ!$J$62</f>
        <v>0</v>
      </c>
      <c r="BK552" s="312"/>
      <c r="BL552" s="313"/>
      <c r="BM552" s="299"/>
      <c r="BN552" s="314"/>
      <c r="BO552" s="460" t="s">
        <v>10555</v>
      </c>
      <c r="BP552" s="390"/>
      <c r="BQ552" s="297"/>
      <c r="BR552" s="303"/>
      <c r="BS552" s="301"/>
      <c r="BT552" s="301"/>
      <c r="BU552" s="301"/>
      <c r="BV552" s="301"/>
      <c r="BW552" s="316"/>
      <c r="BX552" s="304"/>
      <c r="BY552" s="299"/>
      <c r="BZ552" s="317"/>
    </row>
    <row r="553" spans="1:555" ht="65.25" customHeight="1">
      <c r="A553" s="502">
        <v>256</v>
      </c>
      <c r="B553" s="686" t="s">
        <v>3014</v>
      </c>
      <c r="C553" s="796">
        <v>73162931</v>
      </c>
      <c r="D553" s="688" t="s">
        <v>597</v>
      </c>
      <c r="E553" s="27">
        <v>42478</v>
      </c>
      <c r="F553" s="689">
        <v>42461</v>
      </c>
      <c r="G553" s="690" t="s">
        <v>3015</v>
      </c>
      <c r="H553" s="686" t="s">
        <v>63</v>
      </c>
      <c r="I553" s="686" t="s">
        <v>183</v>
      </c>
      <c r="J553" s="27">
        <v>42489</v>
      </c>
      <c r="K553" s="689">
        <v>42461</v>
      </c>
      <c r="L553" s="690" t="s">
        <v>3016</v>
      </c>
      <c r="M553" s="686" t="s">
        <v>625</v>
      </c>
      <c r="N553" s="686" t="s">
        <v>183</v>
      </c>
      <c r="O553" s="27">
        <v>42524</v>
      </c>
      <c r="P553" s="691">
        <v>42522</v>
      </c>
      <c r="Q553" s="690" t="s">
        <v>3017</v>
      </c>
      <c r="R553" s="686" t="s">
        <v>63</v>
      </c>
      <c r="S553" s="686" t="s">
        <v>101</v>
      </c>
      <c r="T553" s="27">
        <v>43073</v>
      </c>
      <c r="U553" s="689">
        <v>43070</v>
      </c>
      <c r="V553" s="690" t="s">
        <v>3018</v>
      </c>
      <c r="W553" s="686" t="s">
        <v>5</v>
      </c>
      <c r="X553" s="686" t="s">
        <v>3019</v>
      </c>
      <c r="Y553" s="27"/>
      <c r="Z553" s="689"/>
      <c r="AA553" s="690"/>
      <c r="AB553" s="686"/>
      <c r="AC553" s="686"/>
      <c r="AD553" s="27"/>
      <c r="AE553" s="689"/>
      <c r="AF553" s="690"/>
      <c r="AG553" s="686"/>
      <c r="AH553" s="686"/>
      <c r="AI553" s="693"/>
      <c r="AJ553" s="689"/>
      <c r="AK553" s="690"/>
      <c r="AL553" s="686"/>
      <c r="AM553" s="686"/>
      <c r="AN553" s="686" t="s">
        <v>3020</v>
      </c>
      <c r="AO553" s="694">
        <v>43073</v>
      </c>
      <c r="AP553" s="686"/>
      <c r="AQ553" s="797" t="s">
        <v>3021</v>
      </c>
      <c r="AR553" s="686" t="s">
        <v>161</v>
      </c>
      <c r="AS553" s="27">
        <v>38869</v>
      </c>
      <c r="AT553" s="27">
        <v>39813</v>
      </c>
      <c r="AU553" s="686" t="s">
        <v>3022</v>
      </c>
      <c r="AV553" s="686"/>
      <c r="AW553" s="686" t="s">
        <v>92</v>
      </c>
      <c r="AX553" s="686" t="s">
        <v>3023</v>
      </c>
      <c r="AY553" s="27">
        <v>40896</v>
      </c>
      <c r="AZ553" s="686" t="s">
        <v>94</v>
      </c>
      <c r="BA553" s="27">
        <v>42416</v>
      </c>
      <c r="BB553" s="27">
        <v>42430</v>
      </c>
      <c r="BC553" s="686" t="s">
        <v>95</v>
      </c>
      <c r="BD553" s="686" t="s">
        <v>566</v>
      </c>
      <c r="BE553" s="686"/>
      <c r="BF553" s="690" t="s">
        <v>7409</v>
      </c>
      <c r="BG553" s="690"/>
      <c r="BH553" s="690"/>
      <c r="BI553" s="690"/>
      <c r="BJ553" s="803">
        <f>+[103]MATRIZ!$J$65</f>
        <v>0</v>
      </c>
      <c r="BK553" s="696"/>
      <c r="BL553" s="697"/>
      <c r="BM553" s="27"/>
      <c r="BN553" s="698"/>
      <c r="BO553" s="699"/>
      <c r="BP553" s="700"/>
      <c r="BQ553" s="686"/>
      <c r="BR553" s="701"/>
      <c r="BS553" s="690"/>
      <c r="BT553" s="690"/>
      <c r="BU553" s="690"/>
      <c r="BV553" s="690"/>
      <c r="BW553" s="702"/>
      <c r="BX553" s="693"/>
      <c r="BY553" s="27"/>
      <c r="BZ553" s="703"/>
      <c r="CA553" s="259"/>
      <c r="CB553" s="259"/>
      <c r="CC553" s="259"/>
      <c r="CD553" s="259"/>
      <c r="CE553" s="259"/>
      <c r="CF553" s="259"/>
      <c r="CG553" s="259"/>
      <c r="CH553" s="259"/>
      <c r="CI553" s="259"/>
      <c r="CJ553" s="259"/>
      <c r="CK553" s="259"/>
      <c r="CL553" s="259"/>
      <c r="CM553" s="259"/>
      <c r="CN553" s="259"/>
      <c r="CO553" s="259"/>
      <c r="CP553" s="259"/>
      <c r="CQ553" s="259"/>
      <c r="CR553" s="259"/>
      <c r="CS553" s="259"/>
      <c r="CT553" s="259"/>
      <c r="CU553" s="259"/>
      <c r="CV553" s="259"/>
      <c r="CW553" s="259"/>
      <c r="CX553" s="259"/>
      <c r="CY553" s="259"/>
      <c r="CZ553" s="259"/>
      <c r="DA553" s="259"/>
      <c r="DB553" s="259"/>
      <c r="DC553" s="259"/>
      <c r="DD553" s="259"/>
      <c r="DE553" s="259"/>
      <c r="DF553" s="259"/>
      <c r="DG553" s="259"/>
      <c r="DH553" s="259"/>
      <c r="DI553" s="259"/>
      <c r="DJ553" s="259"/>
      <c r="DK553" s="259"/>
      <c r="DL553" s="259"/>
      <c r="DM553" s="259"/>
      <c r="DN553" s="259"/>
      <c r="DO553" s="259"/>
      <c r="DP553" s="259"/>
      <c r="DQ553" s="259"/>
      <c r="DR553" s="259"/>
      <c r="DS553" s="259"/>
      <c r="DT553" s="259"/>
      <c r="DU553" s="259"/>
      <c r="DV553" s="259"/>
      <c r="DW553" s="259"/>
      <c r="DX553" s="259"/>
      <c r="DY553" s="259"/>
      <c r="DZ553" s="259"/>
      <c r="EA553" s="259"/>
      <c r="EB553" s="259"/>
      <c r="EC553" s="259"/>
      <c r="ED553" s="259"/>
      <c r="EE553" s="259"/>
      <c r="EF553" s="259"/>
      <c r="EG553" s="259"/>
      <c r="EH553" s="259"/>
      <c r="EI553" s="259"/>
      <c r="EJ553" s="259"/>
      <c r="EK553" s="259"/>
      <c r="EL553" s="259"/>
      <c r="EM553" s="259"/>
      <c r="EN553" s="259"/>
      <c r="EO553" s="259"/>
      <c r="EP553" s="259"/>
      <c r="EQ553" s="259"/>
      <c r="ER553" s="259"/>
      <c r="ES553" s="259"/>
      <c r="ET553" s="259"/>
      <c r="EU553" s="259"/>
      <c r="EV553" s="259"/>
      <c r="EW553" s="259"/>
      <c r="EX553" s="259"/>
      <c r="EY553" s="259"/>
      <c r="EZ553" s="259"/>
      <c r="FA553" s="259"/>
      <c r="FB553" s="259"/>
      <c r="FC553" s="259"/>
      <c r="FD553" s="259"/>
      <c r="FE553" s="259"/>
      <c r="FF553" s="259"/>
      <c r="FG553" s="259"/>
      <c r="FH553" s="259"/>
      <c r="FI553" s="259"/>
      <c r="FJ553" s="259"/>
      <c r="FK553" s="259"/>
      <c r="FL553" s="259"/>
      <c r="FM553" s="259"/>
      <c r="FN553" s="259"/>
      <c r="FO553" s="259"/>
      <c r="FP553" s="259"/>
      <c r="FQ553" s="259"/>
      <c r="FR553" s="259"/>
      <c r="FS553" s="259"/>
      <c r="FT553" s="259"/>
      <c r="FU553" s="259"/>
      <c r="FV553" s="259"/>
      <c r="FW553" s="259"/>
      <c r="FX553" s="259"/>
      <c r="FY553" s="259"/>
      <c r="FZ553" s="259"/>
      <c r="GA553" s="259"/>
      <c r="GB553" s="259"/>
      <c r="GC553" s="259"/>
      <c r="GD553" s="259"/>
      <c r="GE553" s="259"/>
      <c r="GF553" s="259"/>
      <c r="GG553" s="259"/>
      <c r="GH553" s="259"/>
      <c r="GI553" s="259"/>
      <c r="GJ553" s="259"/>
      <c r="GK553" s="259"/>
      <c r="GL553" s="259"/>
      <c r="GM553" s="259"/>
      <c r="GN553" s="259"/>
      <c r="GO553" s="259"/>
      <c r="GP553" s="259"/>
      <c r="GQ553" s="259"/>
      <c r="GR553" s="259"/>
      <c r="GS553" s="259"/>
      <c r="GT553" s="259"/>
      <c r="GU553" s="259"/>
      <c r="GV553" s="259"/>
      <c r="GW553" s="259"/>
      <c r="GX553" s="259"/>
      <c r="GY553" s="259"/>
      <c r="GZ553" s="259"/>
      <c r="HA553" s="259"/>
      <c r="HB553" s="259"/>
      <c r="HC553" s="259"/>
      <c r="HD553" s="259"/>
      <c r="HE553" s="259"/>
      <c r="HF553" s="259"/>
      <c r="HG553" s="259"/>
      <c r="HH553" s="259"/>
      <c r="HI553" s="259"/>
      <c r="HJ553" s="259"/>
      <c r="HK553" s="259"/>
      <c r="HL553" s="259"/>
      <c r="HM553" s="259"/>
      <c r="HN553" s="259"/>
      <c r="HO553" s="259"/>
      <c r="HP553" s="259"/>
      <c r="HQ553" s="259"/>
      <c r="HR553" s="259"/>
      <c r="HS553" s="259"/>
      <c r="HT553" s="259"/>
      <c r="HU553" s="259"/>
      <c r="HV553" s="259"/>
      <c r="HW553" s="259"/>
      <c r="HX553" s="259"/>
      <c r="HY553" s="259"/>
      <c r="HZ553" s="259"/>
      <c r="IA553" s="259"/>
      <c r="IB553" s="259"/>
      <c r="IC553" s="259"/>
      <c r="ID553" s="259"/>
      <c r="IE553" s="259"/>
      <c r="IF553" s="259"/>
      <c r="IG553" s="259"/>
      <c r="IH553" s="259"/>
      <c r="II553" s="259"/>
      <c r="IJ553" s="259"/>
      <c r="IK553" s="259"/>
      <c r="IL553" s="259"/>
      <c r="IM553" s="259"/>
      <c r="IN553" s="259"/>
      <c r="IO553" s="259"/>
      <c r="IP553" s="259"/>
      <c r="IQ553" s="259"/>
      <c r="IR553" s="259"/>
      <c r="IS553" s="259"/>
      <c r="IT553" s="259"/>
      <c r="IU553" s="259"/>
      <c r="IV553" s="259"/>
      <c r="IW553" s="259"/>
      <c r="IX553" s="259"/>
      <c r="IY553" s="259"/>
      <c r="IZ553" s="259"/>
      <c r="JA553" s="259"/>
      <c r="JB553" s="259"/>
      <c r="JC553" s="259"/>
      <c r="JD553" s="259"/>
      <c r="JE553" s="259"/>
      <c r="JF553" s="259"/>
      <c r="JG553" s="259"/>
      <c r="JH553" s="259"/>
      <c r="JI553" s="259"/>
      <c r="JJ553" s="259"/>
      <c r="JK553" s="259"/>
      <c r="JL553" s="259"/>
      <c r="JM553" s="259"/>
      <c r="JN553" s="259"/>
      <c r="JO553" s="259"/>
      <c r="JP553" s="259"/>
      <c r="JQ553" s="259"/>
      <c r="JR553" s="259"/>
      <c r="JS553" s="259"/>
      <c r="JT553" s="259"/>
      <c r="JU553" s="259"/>
      <c r="JV553" s="259"/>
      <c r="JW553" s="259"/>
      <c r="JX553" s="259"/>
      <c r="JY553" s="259"/>
      <c r="JZ553" s="259"/>
      <c r="KA553" s="259"/>
      <c r="KB553" s="259"/>
      <c r="KC553" s="259"/>
      <c r="KD553" s="259"/>
      <c r="KE553" s="259"/>
      <c r="KF553" s="259"/>
      <c r="KG553" s="259"/>
      <c r="KH553" s="259"/>
      <c r="KI553" s="259"/>
      <c r="KJ553" s="259"/>
      <c r="KK553" s="259"/>
      <c r="KL553" s="259"/>
      <c r="KM553" s="259"/>
      <c r="KN553" s="259"/>
      <c r="KO553" s="259"/>
      <c r="KP553" s="259"/>
      <c r="KQ553" s="259"/>
      <c r="KR553" s="259"/>
      <c r="KS553" s="259"/>
      <c r="KT553" s="259"/>
      <c r="KU553" s="259"/>
      <c r="KV553" s="259"/>
      <c r="KW553" s="259"/>
      <c r="KX553" s="259"/>
      <c r="KY553" s="259"/>
      <c r="KZ553" s="259"/>
      <c r="LA553" s="259"/>
      <c r="LB553" s="259"/>
      <c r="LC553" s="259"/>
      <c r="LD553" s="259"/>
      <c r="LE553" s="259"/>
      <c r="LF553" s="259"/>
      <c r="LG553" s="259"/>
      <c r="LH553" s="259"/>
      <c r="LI553" s="259"/>
      <c r="LJ553" s="259"/>
      <c r="LK553" s="259"/>
      <c r="LL553" s="259"/>
      <c r="LM553" s="259"/>
      <c r="LN553" s="259"/>
      <c r="LO553" s="259"/>
      <c r="LP553" s="259"/>
      <c r="LQ553" s="259"/>
      <c r="LR553" s="259"/>
      <c r="LS553" s="259"/>
      <c r="LT553" s="259"/>
      <c r="LU553" s="259"/>
      <c r="LV553" s="259"/>
      <c r="LW553" s="259"/>
      <c r="LX553" s="259"/>
      <c r="LY553" s="259"/>
      <c r="LZ553" s="259"/>
      <c r="MA553" s="259"/>
      <c r="MB553" s="259"/>
      <c r="MC553" s="259"/>
      <c r="MD553" s="259"/>
      <c r="ME553" s="259"/>
      <c r="MF553" s="259"/>
      <c r="MG553" s="259"/>
      <c r="MH553" s="259"/>
      <c r="MI553" s="259"/>
      <c r="MJ553" s="259"/>
      <c r="MK553" s="259"/>
      <c r="ML553" s="259"/>
      <c r="MM553" s="259"/>
      <c r="MN553" s="259"/>
      <c r="MO553" s="259"/>
      <c r="MP553" s="259"/>
      <c r="MQ553" s="259"/>
      <c r="MR553" s="259"/>
      <c r="MS553" s="259"/>
      <c r="MT553" s="259"/>
      <c r="MU553" s="259"/>
      <c r="MV553" s="259"/>
      <c r="MW553" s="259"/>
      <c r="MX553" s="259"/>
      <c r="MY553" s="259"/>
      <c r="MZ553" s="259"/>
      <c r="NA553" s="259"/>
      <c r="NB553" s="259"/>
      <c r="NC553" s="259"/>
      <c r="ND553" s="259"/>
      <c r="NE553" s="259"/>
      <c r="NF553" s="259"/>
      <c r="NG553" s="259"/>
      <c r="NH553" s="259"/>
      <c r="NI553" s="259"/>
      <c r="NJ553" s="259"/>
      <c r="NK553" s="259"/>
      <c r="NL553" s="259"/>
      <c r="NM553" s="259"/>
      <c r="NN553" s="259"/>
      <c r="NO553" s="259"/>
      <c r="NP553" s="259"/>
      <c r="NQ553" s="259"/>
      <c r="NR553" s="259"/>
      <c r="NS553" s="259"/>
      <c r="NT553" s="259"/>
      <c r="NU553" s="259"/>
      <c r="NV553" s="259"/>
      <c r="NW553" s="259"/>
      <c r="NX553" s="259"/>
      <c r="NY553" s="259"/>
      <c r="NZ553" s="259"/>
      <c r="OA553" s="259"/>
      <c r="OB553" s="259"/>
      <c r="OC553" s="259"/>
      <c r="OD553" s="259"/>
      <c r="OE553" s="259"/>
      <c r="OF553" s="259"/>
      <c r="OG553" s="259"/>
      <c r="OH553" s="259"/>
      <c r="OI553" s="259"/>
      <c r="OJ553" s="259"/>
      <c r="OK553" s="259"/>
      <c r="OL553" s="259"/>
      <c r="OM553" s="259"/>
      <c r="ON553" s="259"/>
      <c r="OO553" s="259"/>
      <c r="OP553" s="259"/>
      <c r="OQ553" s="259"/>
      <c r="OR553" s="259"/>
      <c r="OS553" s="259"/>
      <c r="OT553" s="259"/>
      <c r="OU553" s="259"/>
      <c r="OV553" s="259"/>
      <c r="OW553" s="259"/>
      <c r="OX553" s="259"/>
      <c r="OY553" s="259"/>
      <c r="OZ553" s="259"/>
      <c r="PA553" s="259"/>
      <c r="PB553" s="259"/>
      <c r="PC553" s="259"/>
      <c r="PD553" s="259"/>
      <c r="PE553" s="259"/>
      <c r="PF553" s="259"/>
      <c r="PG553" s="259"/>
      <c r="PH553" s="259"/>
      <c r="PI553" s="259"/>
      <c r="PJ553" s="259"/>
      <c r="PK553" s="259"/>
      <c r="PL553" s="259"/>
      <c r="PM553" s="259"/>
      <c r="PN553" s="259"/>
      <c r="PO553" s="259"/>
      <c r="PP553" s="259"/>
      <c r="PQ553" s="259"/>
      <c r="PR553" s="259"/>
      <c r="PS553" s="259"/>
      <c r="PT553" s="259"/>
      <c r="PU553" s="259"/>
      <c r="PV553" s="259"/>
      <c r="PW553" s="259"/>
      <c r="PX553" s="259"/>
      <c r="PY553" s="259"/>
      <c r="PZ553" s="259"/>
      <c r="QA553" s="259"/>
      <c r="QB553" s="259"/>
      <c r="QC553" s="259"/>
      <c r="QD553" s="259"/>
      <c r="QE553" s="259"/>
      <c r="QF553" s="259"/>
      <c r="QG553" s="259"/>
      <c r="QH553" s="259"/>
      <c r="QI553" s="259"/>
      <c r="QJ553" s="259"/>
      <c r="QK553" s="259"/>
      <c r="QL553" s="259"/>
      <c r="QM553" s="259"/>
      <c r="QN553" s="259"/>
      <c r="QO553" s="259"/>
      <c r="QP553" s="259"/>
      <c r="QQ553" s="259"/>
      <c r="QR553" s="259"/>
      <c r="QS553" s="259"/>
      <c r="QT553" s="259"/>
      <c r="QU553" s="259"/>
      <c r="QV553" s="259"/>
      <c r="QW553" s="259"/>
      <c r="QX553" s="259"/>
      <c r="QY553" s="259"/>
      <c r="QZ553" s="259"/>
      <c r="RA553" s="259"/>
      <c r="RB553" s="259"/>
      <c r="RC553" s="259"/>
      <c r="RD553" s="259"/>
      <c r="RE553" s="259"/>
      <c r="RF553" s="259"/>
      <c r="RG553" s="259"/>
      <c r="RH553" s="259"/>
      <c r="RI553" s="259"/>
      <c r="RJ553" s="259"/>
      <c r="RK553" s="259"/>
      <c r="RL553" s="259"/>
      <c r="RM553" s="259"/>
      <c r="RN553" s="259"/>
      <c r="RO553" s="259"/>
      <c r="RP553" s="259"/>
      <c r="RQ553" s="259"/>
      <c r="RR553" s="259"/>
      <c r="RS553" s="259"/>
      <c r="RT553" s="259"/>
      <c r="RU553" s="259"/>
      <c r="RV553" s="259"/>
      <c r="RW553" s="259"/>
      <c r="RX553" s="259"/>
      <c r="RY553" s="259"/>
      <c r="RZ553" s="259"/>
      <c r="SA553" s="259"/>
      <c r="SB553" s="259"/>
      <c r="SC553" s="259"/>
      <c r="SD553" s="259"/>
      <c r="SE553" s="259"/>
      <c r="SF553" s="259"/>
      <c r="SG553" s="259"/>
      <c r="SH553" s="259"/>
      <c r="SI553" s="259"/>
      <c r="SJ553" s="259"/>
      <c r="SK553" s="259"/>
      <c r="SL553" s="259"/>
      <c r="SM553" s="259"/>
      <c r="SN553" s="259"/>
      <c r="SO553" s="259"/>
      <c r="SP553" s="259"/>
      <c r="SQ553" s="259"/>
      <c r="SR553" s="259"/>
      <c r="SS553" s="259"/>
      <c r="ST553" s="259"/>
      <c r="SU553" s="259"/>
      <c r="SV553" s="259"/>
      <c r="SW553" s="259"/>
      <c r="SX553" s="259"/>
      <c r="SY553" s="259"/>
      <c r="SZ553" s="259"/>
      <c r="TA553" s="259"/>
      <c r="TB553" s="259"/>
      <c r="TC553" s="259"/>
      <c r="TD553" s="259"/>
      <c r="TE553" s="259"/>
      <c r="TF553" s="259"/>
      <c r="TG553" s="259"/>
      <c r="TH553" s="259"/>
      <c r="TI553" s="259"/>
      <c r="TJ553" s="259"/>
      <c r="TK553" s="259"/>
      <c r="TL553" s="259"/>
      <c r="TM553" s="259"/>
      <c r="TN553" s="259"/>
      <c r="TO553" s="259"/>
      <c r="TP553" s="259"/>
      <c r="TQ553" s="259"/>
      <c r="TR553" s="259"/>
      <c r="TS553" s="259"/>
      <c r="TT553" s="259"/>
      <c r="TU553" s="259"/>
      <c r="TV553" s="259"/>
      <c r="TW553" s="259"/>
      <c r="TX553" s="259"/>
      <c r="TY553" s="259"/>
      <c r="TZ553" s="259"/>
      <c r="UA553" s="259"/>
      <c r="UB553" s="259"/>
      <c r="UC553" s="259"/>
      <c r="UD553" s="259"/>
      <c r="UE553" s="259"/>
      <c r="UF553" s="259"/>
      <c r="UG553" s="259"/>
      <c r="UH553" s="259"/>
      <c r="UI553" s="259"/>
    </row>
    <row r="554" spans="1:555" ht="61.5" customHeight="1">
      <c r="A554" s="57">
        <v>259</v>
      </c>
      <c r="B554" s="58" t="s">
        <v>3040</v>
      </c>
      <c r="C554" s="59">
        <v>79616902</v>
      </c>
      <c r="D554" s="170" t="s">
        <v>5810</v>
      </c>
      <c r="E554" s="60">
        <v>42447</v>
      </c>
      <c r="F554" s="61">
        <v>42447</v>
      </c>
      <c r="G554" s="62" t="s">
        <v>8168</v>
      </c>
      <c r="H554" s="58" t="s">
        <v>625</v>
      </c>
      <c r="I554" s="58" t="s">
        <v>2395</v>
      </c>
      <c r="J554" s="60">
        <v>43370</v>
      </c>
      <c r="K554" s="61">
        <v>43370</v>
      </c>
      <c r="L554" s="62" t="s">
        <v>3042</v>
      </c>
      <c r="M554" s="58" t="s">
        <v>576</v>
      </c>
      <c r="N554" s="58" t="s">
        <v>183</v>
      </c>
      <c r="O554" s="60">
        <v>43339</v>
      </c>
      <c r="P554" s="63">
        <v>43339</v>
      </c>
      <c r="Q554" s="62" t="s">
        <v>3041</v>
      </c>
      <c r="R554" s="58" t="s">
        <v>576</v>
      </c>
      <c r="S554" s="58" t="s">
        <v>2395</v>
      </c>
      <c r="T554" s="60">
        <v>43370</v>
      </c>
      <c r="U554" s="61">
        <v>43370</v>
      </c>
      <c r="V554" s="62" t="s">
        <v>3042</v>
      </c>
      <c r="W554" s="58" t="s">
        <v>576</v>
      </c>
      <c r="X554" s="58" t="s">
        <v>3043</v>
      </c>
      <c r="Y554" s="60">
        <v>43511</v>
      </c>
      <c r="Z554" s="61">
        <v>43511</v>
      </c>
      <c r="AA554" s="62" t="s">
        <v>8577</v>
      </c>
      <c r="AB554" s="58" t="s">
        <v>5</v>
      </c>
      <c r="AC554" s="58" t="s">
        <v>79</v>
      </c>
      <c r="AD554" s="60"/>
      <c r="AE554" s="61"/>
      <c r="AF554" s="62"/>
      <c r="AG554" s="58"/>
      <c r="AH554" s="58"/>
      <c r="AI554" s="66"/>
      <c r="AJ554" s="61"/>
      <c r="AK554" s="62"/>
      <c r="AL554" s="58"/>
      <c r="AM554" s="58"/>
      <c r="AN554" s="58" t="s">
        <v>3044</v>
      </c>
      <c r="AO554" s="478"/>
      <c r="AP554" s="58" t="s">
        <v>2558</v>
      </c>
      <c r="AQ554" s="62" t="s">
        <v>3045</v>
      </c>
      <c r="AR554" s="58" t="s">
        <v>161</v>
      </c>
      <c r="AS554" s="60">
        <v>38355</v>
      </c>
      <c r="AT554" s="60">
        <v>40862</v>
      </c>
      <c r="AU554" s="58" t="s">
        <v>3046</v>
      </c>
      <c r="AV554" s="58"/>
      <c r="AW554" s="58" t="s">
        <v>69</v>
      </c>
      <c r="AX554" s="58" t="s">
        <v>3047</v>
      </c>
      <c r="AY554" s="60">
        <v>42411</v>
      </c>
      <c r="AZ554" s="58" t="s">
        <v>3048</v>
      </c>
      <c r="BA554" s="60">
        <v>43300</v>
      </c>
      <c r="BB554" s="382">
        <v>43342</v>
      </c>
      <c r="BC554" s="58" t="s">
        <v>95</v>
      </c>
      <c r="BD554" s="58" t="s">
        <v>1792</v>
      </c>
      <c r="BE554" s="58"/>
      <c r="BF554" s="62"/>
      <c r="BG554" s="62"/>
      <c r="BH554" s="62"/>
      <c r="BI554" s="62"/>
      <c r="BJ554" s="138">
        <f>+'[104]MATRIZ DE CONTRATOS '!$J$80</f>
        <v>0</v>
      </c>
      <c r="BK554" s="67"/>
      <c r="BL554" s="68"/>
      <c r="BM554" s="60"/>
      <c r="BN554" s="69"/>
      <c r="BO554" s="463"/>
      <c r="BP554" s="122"/>
      <c r="BQ554" s="58"/>
      <c r="BR554" s="70"/>
      <c r="BS554" s="62"/>
      <c r="BT554" s="62"/>
      <c r="BU554" s="62"/>
      <c r="BV554" s="62"/>
      <c r="BW554" s="71"/>
      <c r="BX554" s="66"/>
      <c r="BY554" s="60"/>
      <c r="BZ554" s="72"/>
    </row>
    <row r="555" spans="1:555" s="509" customFormat="1" ht="202.5">
      <c r="A555" s="88">
        <v>260</v>
      </c>
      <c r="B555" s="75" t="s">
        <v>3049</v>
      </c>
      <c r="C555" s="76">
        <v>79919302</v>
      </c>
      <c r="D555" s="441" t="s">
        <v>597</v>
      </c>
      <c r="E555" s="77">
        <v>42481</v>
      </c>
      <c r="F555" s="78">
        <v>42461</v>
      </c>
      <c r="G555" s="79" t="s">
        <v>271</v>
      </c>
      <c r="H555" s="75" t="s">
        <v>625</v>
      </c>
      <c r="I555" s="75" t="s">
        <v>2223</v>
      </c>
      <c r="J555" s="77">
        <v>42930</v>
      </c>
      <c r="K555" s="78">
        <v>42917</v>
      </c>
      <c r="L555" s="79" t="s">
        <v>3050</v>
      </c>
      <c r="M555" s="75" t="s">
        <v>63</v>
      </c>
      <c r="N555" s="75" t="s">
        <v>336</v>
      </c>
      <c r="O555" s="77">
        <v>42807</v>
      </c>
      <c r="P555" s="80">
        <v>42795</v>
      </c>
      <c r="Q555" s="79" t="s">
        <v>3051</v>
      </c>
      <c r="R555" s="75" t="s">
        <v>625</v>
      </c>
      <c r="S555" s="75" t="s">
        <v>1690</v>
      </c>
      <c r="T555" s="77">
        <v>42888</v>
      </c>
      <c r="U555" s="78">
        <v>42887</v>
      </c>
      <c r="V555" s="79" t="s">
        <v>3052</v>
      </c>
      <c r="W555" s="75" t="s">
        <v>63</v>
      </c>
      <c r="X555" s="75" t="s">
        <v>79</v>
      </c>
      <c r="Y555" s="77">
        <v>42447</v>
      </c>
      <c r="Z555" s="78">
        <v>42430</v>
      </c>
      <c r="AA555" s="79" t="s">
        <v>3053</v>
      </c>
      <c r="AB555" s="75" t="s">
        <v>625</v>
      </c>
      <c r="AC555" s="75" t="s">
        <v>2395</v>
      </c>
      <c r="AD555" s="77" t="s">
        <v>3054</v>
      </c>
      <c r="AE555" s="78" t="s">
        <v>3055</v>
      </c>
      <c r="AF555" s="79" t="s">
        <v>3056</v>
      </c>
      <c r="AG555" s="75" t="s">
        <v>3057</v>
      </c>
      <c r="AH555" s="75" t="s">
        <v>3058</v>
      </c>
      <c r="AI555" s="81" t="s">
        <v>10680</v>
      </c>
      <c r="AJ555" s="78" t="s">
        <v>10681</v>
      </c>
      <c r="AK555" s="79" t="s">
        <v>10679</v>
      </c>
      <c r="AL555" s="75" t="s">
        <v>10682</v>
      </c>
      <c r="AM555" s="75" t="s">
        <v>10683</v>
      </c>
      <c r="AN555" s="75" t="s">
        <v>3059</v>
      </c>
      <c r="AO555" s="479">
        <v>42930</v>
      </c>
      <c r="AP555" s="75" t="s">
        <v>2558</v>
      </c>
      <c r="AQ555" s="79" t="s">
        <v>3060</v>
      </c>
      <c r="AR555" s="75" t="s">
        <v>161</v>
      </c>
      <c r="AS555" s="77">
        <v>39264</v>
      </c>
      <c r="AT555" s="77">
        <v>40862</v>
      </c>
      <c r="AU555" s="75" t="s">
        <v>3061</v>
      </c>
      <c r="AV555" s="75"/>
      <c r="AW555" s="75" t="s">
        <v>69</v>
      </c>
      <c r="AX555" s="75" t="s">
        <v>3047</v>
      </c>
      <c r="AY555" s="77" t="s">
        <v>3062</v>
      </c>
      <c r="AZ555" s="75" t="s">
        <v>67</v>
      </c>
      <c r="BA555" s="77" t="s">
        <v>67</v>
      </c>
      <c r="BB555" s="382">
        <v>42801</v>
      </c>
      <c r="BC555" s="75" t="s">
        <v>95</v>
      </c>
      <c r="BD555" s="75" t="s">
        <v>566</v>
      </c>
      <c r="BE555" s="75"/>
      <c r="BF555" s="79"/>
      <c r="BG555" s="79"/>
      <c r="BH555" s="79"/>
      <c r="BI555" s="79"/>
      <c r="BJ555" s="138">
        <f>+[105]MATRIZ!$J$63</f>
        <v>0</v>
      </c>
      <c r="BK555" s="82"/>
      <c r="BL555" s="83"/>
      <c r="BM555" s="77"/>
      <c r="BN555" s="84"/>
      <c r="BO555" s="464"/>
      <c r="BP555" s="400"/>
      <c r="BQ555" s="75"/>
      <c r="BR555" s="85"/>
      <c r="BS555" s="79"/>
      <c r="BT555" s="79"/>
      <c r="BU555" s="79"/>
      <c r="BV555" s="79"/>
      <c r="BW555" s="86"/>
      <c r="BX555" s="81"/>
      <c r="BY555" s="77"/>
      <c r="BZ555" s="87"/>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c r="JW555" s="1"/>
      <c r="JX555" s="1"/>
      <c r="JY555" s="1"/>
      <c r="JZ555" s="1"/>
      <c r="KA555" s="1"/>
      <c r="KB555" s="1"/>
      <c r="KC555" s="1"/>
      <c r="KD555" s="1"/>
      <c r="KE555" s="1"/>
      <c r="KF555" s="1"/>
      <c r="KG555" s="1"/>
      <c r="KH555" s="1"/>
      <c r="KI555" s="1"/>
      <c r="KJ555" s="1"/>
      <c r="KK555" s="1"/>
      <c r="KL555" s="1"/>
      <c r="KM555" s="1"/>
      <c r="KN555" s="1"/>
      <c r="KO555" s="1"/>
      <c r="KP555" s="1"/>
      <c r="KQ555" s="1"/>
      <c r="KR555" s="1"/>
      <c r="KS555" s="1"/>
      <c r="KT555" s="1"/>
      <c r="KU555" s="1"/>
      <c r="KV555" s="1"/>
      <c r="KW555" s="1"/>
      <c r="KX555" s="1"/>
      <c r="KY555" s="1"/>
      <c r="KZ555" s="1"/>
      <c r="LA555" s="1"/>
      <c r="LB555" s="1"/>
      <c r="LC555" s="1"/>
      <c r="LD555" s="1"/>
      <c r="LE555" s="1"/>
      <c r="LF555" s="1"/>
      <c r="LG555" s="1"/>
      <c r="LH555" s="1"/>
      <c r="LI555" s="1"/>
      <c r="LJ555" s="1"/>
      <c r="LK555" s="1"/>
      <c r="LL555" s="1"/>
      <c r="LM555" s="1"/>
      <c r="LN555" s="1"/>
      <c r="LO555" s="1"/>
      <c r="LP555" s="1"/>
      <c r="LQ555" s="1"/>
      <c r="LR555" s="1"/>
      <c r="LS555" s="1"/>
      <c r="LT555" s="1"/>
      <c r="LU555" s="1"/>
      <c r="LV555" s="1"/>
      <c r="LW555" s="1"/>
      <c r="LX555" s="1"/>
      <c r="LY555" s="1"/>
      <c r="LZ555" s="1"/>
      <c r="MA555" s="1"/>
      <c r="MB555" s="1"/>
      <c r="MC555" s="1"/>
      <c r="MD555" s="1"/>
      <c r="ME555" s="1"/>
      <c r="MF555" s="1"/>
      <c r="MG555" s="1"/>
      <c r="MH555" s="1"/>
      <c r="MI555" s="1"/>
      <c r="MJ555" s="1"/>
      <c r="MK555" s="1"/>
      <c r="ML555" s="1"/>
      <c r="MM555" s="1"/>
      <c r="MN555" s="1"/>
      <c r="MO555" s="1"/>
      <c r="MP555" s="1"/>
      <c r="MQ555" s="1"/>
      <c r="MR555" s="1"/>
      <c r="MS555" s="1"/>
      <c r="MT555" s="1"/>
      <c r="MU555" s="1"/>
      <c r="MV555" s="1"/>
      <c r="MW555" s="1"/>
      <c r="MX555" s="1"/>
      <c r="MY555" s="1"/>
      <c r="MZ555" s="1"/>
      <c r="NA555" s="1"/>
      <c r="NB555" s="1"/>
      <c r="NC555" s="1"/>
      <c r="ND555" s="1"/>
      <c r="NE555" s="1"/>
      <c r="NF555" s="1"/>
      <c r="NG555" s="1"/>
      <c r="NH555" s="1"/>
      <c r="NI555" s="1"/>
      <c r="NJ555" s="1"/>
      <c r="NK555" s="1"/>
      <c r="NL555" s="1"/>
      <c r="NM555" s="1"/>
      <c r="NN555" s="1"/>
      <c r="NO555" s="1"/>
      <c r="NP555" s="1"/>
      <c r="NQ555" s="1"/>
      <c r="NR555" s="1"/>
      <c r="NS555" s="1"/>
      <c r="NT555" s="1"/>
      <c r="NU555" s="1"/>
      <c r="NV555" s="1"/>
      <c r="NW555" s="1"/>
      <c r="NX555" s="1"/>
      <c r="NY555" s="1"/>
      <c r="NZ555" s="1"/>
      <c r="OA555" s="1"/>
      <c r="OB555" s="1"/>
      <c r="OC555" s="1"/>
      <c r="OD555" s="1"/>
      <c r="OE555" s="1"/>
      <c r="OF555" s="1"/>
      <c r="OG555" s="1"/>
      <c r="OH555" s="1"/>
      <c r="OI555" s="1"/>
      <c r="OJ555" s="1"/>
      <c r="OK555" s="1"/>
      <c r="OL555" s="1"/>
      <c r="OM555" s="1"/>
      <c r="ON555" s="1"/>
      <c r="OO555" s="1"/>
      <c r="OP555" s="1"/>
      <c r="OQ555" s="1"/>
      <c r="OR555" s="1"/>
      <c r="OS555" s="1"/>
      <c r="OT555" s="1"/>
      <c r="OU555" s="1"/>
      <c r="OV555" s="1"/>
      <c r="OW555" s="1"/>
      <c r="OX555" s="1"/>
      <c r="OY555" s="1"/>
      <c r="OZ555" s="1"/>
      <c r="PA555" s="1"/>
      <c r="PB555" s="1"/>
      <c r="PC555" s="1"/>
      <c r="PD555" s="1"/>
      <c r="PE555" s="1"/>
      <c r="PF555" s="1"/>
      <c r="PG555" s="1"/>
      <c r="PH555" s="1"/>
      <c r="PI555" s="1"/>
      <c r="PJ555" s="1"/>
      <c r="PK555" s="1"/>
      <c r="PL555" s="1"/>
      <c r="PM555" s="1"/>
      <c r="PN555" s="1"/>
      <c r="PO555" s="1"/>
      <c r="PP555" s="1"/>
      <c r="PQ555" s="1"/>
      <c r="PR555" s="1"/>
      <c r="PS555" s="1"/>
      <c r="PT555" s="1"/>
      <c r="PU555" s="1"/>
      <c r="PV555" s="1"/>
      <c r="PW555" s="1"/>
      <c r="PX555" s="1"/>
      <c r="PY555" s="1"/>
      <c r="PZ555" s="1"/>
      <c r="QA555" s="1"/>
      <c r="QB555" s="1"/>
      <c r="QC555" s="1"/>
      <c r="QD555" s="1"/>
      <c r="QE555" s="1"/>
      <c r="QF555" s="1"/>
      <c r="QG555" s="1"/>
      <c r="QH555" s="1"/>
      <c r="QI555" s="1"/>
      <c r="QJ555" s="1"/>
      <c r="QK555" s="1"/>
      <c r="QL555" s="1"/>
      <c r="QM555" s="1"/>
      <c r="QN555" s="1"/>
      <c r="QO555" s="1"/>
      <c r="QP555" s="1"/>
      <c r="QQ555" s="1"/>
      <c r="QR555" s="1"/>
      <c r="QS555" s="1"/>
      <c r="QT555" s="1"/>
      <c r="QU555" s="1"/>
      <c r="QV555" s="1"/>
      <c r="QW555" s="1"/>
      <c r="QX555" s="1"/>
      <c r="QY555" s="1"/>
      <c r="QZ555" s="1"/>
      <c r="RA555" s="1"/>
      <c r="RB555" s="1"/>
      <c r="RC555" s="1"/>
      <c r="RD555" s="1"/>
      <c r="RE555" s="1"/>
      <c r="RF555" s="1"/>
      <c r="RG555" s="1"/>
      <c r="RH555" s="1"/>
      <c r="RI555" s="1"/>
      <c r="RJ555" s="1"/>
      <c r="RK555" s="1"/>
      <c r="RL555" s="1"/>
      <c r="RM555" s="1"/>
      <c r="RN555" s="1"/>
      <c r="RO555" s="1"/>
      <c r="RP555" s="1"/>
      <c r="RQ555" s="1"/>
      <c r="RR555" s="1"/>
      <c r="RS555" s="1"/>
      <c r="RT555" s="1"/>
      <c r="RU555" s="1"/>
      <c r="RV555" s="1"/>
      <c r="RW555" s="1"/>
      <c r="RX555" s="1"/>
      <c r="RY555" s="1"/>
      <c r="RZ555" s="1"/>
      <c r="SA555" s="1"/>
      <c r="SB555" s="1"/>
      <c r="SC555" s="1"/>
      <c r="SD555" s="1"/>
      <c r="SE555" s="1"/>
      <c r="SF555" s="1"/>
      <c r="SG555" s="1"/>
      <c r="SH555" s="1"/>
      <c r="SI555" s="1"/>
      <c r="SJ555" s="1"/>
      <c r="SK555" s="1"/>
      <c r="SL555" s="1"/>
      <c r="SM555" s="1"/>
      <c r="SN555" s="1"/>
      <c r="SO555" s="1"/>
      <c r="SP555" s="1"/>
      <c r="SQ555" s="1"/>
      <c r="SR555" s="1"/>
      <c r="SS555" s="1"/>
      <c r="ST555" s="1"/>
      <c r="SU555" s="1"/>
      <c r="SV555" s="1"/>
      <c r="SW555" s="1"/>
      <c r="SX555" s="1"/>
      <c r="SY555" s="1"/>
      <c r="SZ555" s="1"/>
      <c r="TA555" s="1"/>
      <c r="TB555" s="1"/>
      <c r="TC555" s="1"/>
      <c r="TD555" s="1"/>
      <c r="TE555" s="1"/>
      <c r="TF555" s="1"/>
      <c r="TG555" s="1"/>
      <c r="TH555" s="1"/>
      <c r="TI555" s="1"/>
      <c r="TJ555" s="1"/>
      <c r="TK555" s="1"/>
      <c r="TL555" s="1"/>
      <c r="TM555" s="1"/>
      <c r="TN555" s="1"/>
      <c r="TO555" s="1"/>
      <c r="TP555" s="1"/>
      <c r="TQ555" s="1"/>
      <c r="TR555" s="1"/>
      <c r="TS555" s="1"/>
      <c r="TT555" s="1"/>
      <c r="TU555" s="1"/>
      <c r="TV555" s="1"/>
      <c r="TW555" s="1"/>
      <c r="TX555" s="1"/>
      <c r="TY555" s="1"/>
      <c r="TZ555" s="1"/>
      <c r="UA555" s="1"/>
      <c r="UB555" s="1"/>
      <c r="UC555" s="1"/>
      <c r="UD555" s="1"/>
      <c r="UE555" s="1"/>
      <c r="UF555" s="1"/>
      <c r="UG555" s="1"/>
      <c r="UH555" s="1"/>
      <c r="UI555" s="1"/>
    </row>
    <row r="556" spans="1:555" ht="175.5">
      <c r="A556" s="502">
        <v>261</v>
      </c>
      <c r="B556" s="686" t="s">
        <v>7300</v>
      </c>
      <c r="C556" s="790" t="s">
        <v>7299</v>
      </c>
      <c r="D556" s="688" t="s">
        <v>3063</v>
      </c>
      <c r="E556" s="27">
        <v>42481</v>
      </c>
      <c r="F556" s="689">
        <v>42461</v>
      </c>
      <c r="G556" s="690" t="s">
        <v>3064</v>
      </c>
      <c r="H556" s="686" t="s">
        <v>5</v>
      </c>
      <c r="I556" s="686" t="s">
        <v>101</v>
      </c>
      <c r="J556" s="27">
        <v>42513</v>
      </c>
      <c r="K556" s="689">
        <v>42491</v>
      </c>
      <c r="L556" s="690" t="s">
        <v>3065</v>
      </c>
      <c r="M556" s="686" t="s">
        <v>1974</v>
      </c>
      <c r="N556" s="686" t="s">
        <v>183</v>
      </c>
      <c r="O556" s="27">
        <v>42767</v>
      </c>
      <c r="P556" s="691">
        <v>42767</v>
      </c>
      <c r="Q556" s="690" t="s">
        <v>3066</v>
      </c>
      <c r="R556" s="686" t="s">
        <v>5</v>
      </c>
      <c r="S556" s="686" t="s">
        <v>131</v>
      </c>
      <c r="T556" s="27">
        <v>42860</v>
      </c>
      <c r="U556" s="689">
        <v>42856</v>
      </c>
      <c r="V556" s="690" t="s">
        <v>3067</v>
      </c>
      <c r="W556" s="686" t="s">
        <v>5</v>
      </c>
      <c r="X556" s="686" t="s">
        <v>3068</v>
      </c>
      <c r="Y556" s="27">
        <v>42893</v>
      </c>
      <c r="Z556" s="689">
        <v>42887</v>
      </c>
      <c r="AA556" s="690" t="s">
        <v>3069</v>
      </c>
      <c r="AB556" s="686" t="s">
        <v>3070</v>
      </c>
      <c r="AC556" s="686" t="s">
        <v>2676</v>
      </c>
      <c r="AD556" s="27" t="s">
        <v>3071</v>
      </c>
      <c r="AE556" s="689" t="s">
        <v>3072</v>
      </c>
      <c r="AF556" s="690" t="s">
        <v>3073</v>
      </c>
      <c r="AG556" s="686" t="s">
        <v>3074</v>
      </c>
      <c r="AH556" s="686" t="s">
        <v>3075</v>
      </c>
      <c r="AI556" s="16" t="s">
        <v>10719</v>
      </c>
      <c r="AJ556" s="689" t="s">
        <v>10720</v>
      </c>
      <c r="AK556" s="781" t="s">
        <v>10718</v>
      </c>
      <c r="AL556" s="686" t="s">
        <v>10721</v>
      </c>
      <c r="AM556" s="701" t="s">
        <v>10722</v>
      </c>
      <c r="AN556" s="686" t="s">
        <v>3077</v>
      </c>
      <c r="AO556" s="694">
        <v>42860</v>
      </c>
      <c r="AP556" s="686"/>
      <c r="AQ556" s="690" t="s">
        <v>3078</v>
      </c>
      <c r="AR556" s="686" t="s">
        <v>161</v>
      </c>
      <c r="AS556" s="27" t="s">
        <v>67</v>
      </c>
      <c r="AT556" s="27" t="s">
        <v>67</v>
      </c>
      <c r="AU556" s="686" t="s">
        <v>3079</v>
      </c>
      <c r="AV556" s="686"/>
      <c r="AW556" s="686" t="s">
        <v>92</v>
      </c>
      <c r="AX556" s="686" t="s">
        <v>3080</v>
      </c>
      <c r="AY556" s="27">
        <v>39217</v>
      </c>
      <c r="AZ556" s="686" t="s">
        <v>576</v>
      </c>
      <c r="BA556" s="27">
        <v>42424</v>
      </c>
      <c r="BB556" s="27">
        <v>42460</v>
      </c>
      <c r="BC556" s="701" t="s">
        <v>561</v>
      </c>
      <c r="BD556" s="701" t="s">
        <v>1439</v>
      </c>
      <c r="BE556" s="686" t="s">
        <v>3081</v>
      </c>
      <c r="BF556" s="690" t="s">
        <v>7414</v>
      </c>
      <c r="BG556" s="690"/>
      <c r="BH556" s="690"/>
      <c r="BI556" s="690"/>
      <c r="BJ556" s="803">
        <f>+[106]MATRIZ!$L$26</f>
        <v>3484949557.5453596</v>
      </c>
      <c r="BK556" s="696"/>
      <c r="BL556" s="697"/>
      <c r="BM556" s="27"/>
      <c r="BN556" s="698"/>
      <c r="BO556" s="699"/>
      <c r="BP556" s="700"/>
      <c r="BQ556" s="686"/>
      <c r="BR556" s="701"/>
      <c r="BS556" s="690" t="s">
        <v>3082</v>
      </c>
      <c r="BT556" s="690"/>
      <c r="BU556" s="690"/>
      <c r="BV556" s="690"/>
      <c r="BW556" s="702"/>
      <c r="BX556" s="693"/>
      <c r="BY556" s="27"/>
      <c r="BZ556" s="703"/>
      <c r="CA556" s="259"/>
      <c r="CB556" s="259"/>
      <c r="CC556" s="259"/>
      <c r="CD556" s="259"/>
      <c r="CE556" s="259"/>
      <c r="CF556" s="259"/>
      <c r="CG556" s="259"/>
      <c r="CH556" s="259"/>
      <c r="CI556" s="259"/>
      <c r="CJ556" s="259"/>
      <c r="CK556" s="259"/>
      <c r="CL556" s="259"/>
      <c r="CM556" s="259"/>
      <c r="CN556" s="259"/>
      <c r="CO556" s="259"/>
      <c r="CP556" s="259"/>
      <c r="CQ556" s="259"/>
      <c r="CR556" s="259"/>
      <c r="CS556" s="259"/>
      <c r="CT556" s="259"/>
      <c r="CU556" s="259"/>
      <c r="CV556" s="259"/>
      <c r="CW556" s="259"/>
      <c r="CX556" s="259"/>
      <c r="CY556" s="259"/>
      <c r="CZ556" s="259"/>
      <c r="DA556" s="259"/>
      <c r="DB556" s="259"/>
      <c r="DC556" s="259"/>
      <c r="DD556" s="259"/>
      <c r="DE556" s="259"/>
      <c r="DF556" s="259"/>
      <c r="DG556" s="259"/>
      <c r="DH556" s="259"/>
      <c r="DI556" s="259"/>
      <c r="DJ556" s="259"/>
      <c r="DK556" s="259"/>
      <c r="DL556" s="259"/>
      <c r="DM556" s="259"/>
      <c r="DN556" s="259"/>
      <c r="DO556" s="259"/>
      <c r="DP556" s="259"/>
      <c r="DQ556" s="259"/>
      <c r="DR556" s="259"/>
      <c r="DS556" s="259"/>
      <c r="DT556" s="259"/>
      <c r="DU556" s="259"/>
      <c r="DV556" s="259"/>
      <c r="DW556" s="259"/>
      <c r="DX556" s="259"/>
      <c r="DY556" s="259"/>
      <c r="DZ556" s="259"/>
      <c r="EA556" s="259"/>
      <c r="EB556" s="259"/>
      <c r="EC556" s="259"/>
      <c r="ED556" s="259"/>
      <c r="EE556" s="259"/>
      <c r="EF556" s="259"/>
      <c r="EG556" s="259"/>
      <c r="EH556" s="259"/>
      <c r="EI556" s="259"/>
      <c r="EJ556" s="259"/>
      <c r="EK556" s="259"/>
      <c r="EL556" s="259"/>
      <c r="EM556" s="259"/>
      <c r="EN556" s="259"/>
      <c r="EO556" s="259"/>
      <c r="EP556" s="259"/>
      <c r="EQ556" s="259"/>
      <c r="ER556" s="259"/>
      <c r="ES556" s="259"/>
      <c r="ET556" s="259"/>
      <c r="EU556" s="259"/>
      <c r="EV556" s="259"/>
      <c r="EW556" s="259"/>
      <c r="EX556" s="259"/>
      <c r="EY556" s="259"/>
      <c r="EZ556" s="259"/>
      <c r="FA556" s="259"/>
      <c r="FB556" s="259"/>
      <c r="FC556" s="259"/>
      <c r="FD556" s="259"/>
      <c r="FE556" s="259"/>
      <c r="FF556" s="259"/>
      <c r="FG556" s="259"/>
      <c r="FH556" s="259"/>
      <c r="FI556" s="259"/>
      <c r="FJ556" s="259"/>
      <c r="FK556" s="259"/>
      <c r="FL556" s="259"/>
      <c r="FM556" s="259"/>
      <c r="FN556" s="259"/>
      <c r="FO556" s="259"/>
      <c r="FP556" s="259"/>
      <c r="FQ556" s="259"/>
      <c r="FR556" s="259"/>
      <c r="FS556" s="259"/>
      <c r="FT556" s="259"/>
      <c r="FU556" s="259"/>
      <c r="FV556" s="259"/>
      <c r="FW556" s="259"/>
      <c r="FX556" s="259"/>
      <c r="FY556" s="259"/>
      <c r="FZ556" s="259"/>
      <c r="GA556" s="259"/>
      <c r="GB556" s="259"/>
      <c r="GC556" s="259"/>
      <c r="GD556" s="259"/>
      <c r="GE556" s="259"/>
      <c r="GF556" s="259"/>
      <c r="GG556" s="259"/>
      <c r="GH556" s="259"/>
      <c r="GI556" s="259"/>
      <c r="GJ556" s="259"/>
      <c r="GK556" s="259"/>
      <c r="GL556" s="259"/>
      <c r="GM556" s="259"/>
      <c r="GN556" s="259"/>
      <c r="GO556" s="259"/>
      <c r="GP556" s="259"/>
      <c r="GQ556" s="259"/>
      <c r="GR556" s="259"/>
      <c r="GS556" s="259"/>
      <c r="GT556" s="259"/>
      <c r="GU556" s="259"/>
      <c r="GV556" s="259"/>
      <c r="GW556" s="259"/>
      <c r="GX556" s="259"/>
      <c r="GY556" s="259"/>
      <c r="GZ556" s="259"/>
      <c r="HA556" s="259"/>
      <c r="HB556" s="259"/>
      <c r="HC556" s="259"/>
      <c r="HD556" s="259"/>
      <c r="HE556" s="259"/>
      <c r="HF556" s="259"/>
      <c r="HG556" s="259"/>
      <c r="HH556" s="259"/>
      <c r="HI556" s="259"/>
      <c r="HJ556" s="259"/>
      <c r="HK556" s="259"/>
      <c r="HL556" s="259"/>
      <c r="HM556" s="259"/>
      <c r="HN556" s="259"/>
      <c r="HO556" s="259"/>
      <c r="HP556" s="259"/>
      <c r="HQ556" s="259"/>
      <c r="HR556" s="259"/>
      <c r="HS556" s="259"/>
      <c r="HT556" s="259"/>
      <c r="HU556" s="259"/>
      <c r="HV556" s="259"/>
      <c r="HW556" s="259"/>
      <c r="HX556" s="259"/>
      <c r="HY556" s="259"/>
      <c r="HZ556" s="259"/>
      <c r="IA556" s="259"/>
      <c r="IB556" s="259"/>
      <c r="IC556" s="259"/>
      <c r="ID556" s="259"/>
      <c r="IE556" s="259"/>
      <c r="IF556" s="259"/>
      <c r="IG556" s="259"/>
      <c r="IH556" s="259"/>
      <c r="II556" s="259"/>
      <c r="IJ556" s="259"/>
      <c r="IK556" s="259"/>
      <c r="IL556" s="259"/>
      <c r="IM556" s="259"/>
      <c r="IN556" s="259"/>
      <c r="IO556" s="259"/>
      <c r="IP556" s="259"/>
      <c r="IQ556" s="259"/>
      <c r="IR556" s="259"/>
      <c r="IS556" s="259"/>
      <c r="IT556" s="259"/>
      <c r="IU556" s="259"/>
      <c r="IV556" s="259"/>
      <c r="IW556" s="259"/>
      <c r="IX556" s="259"/>
      <c r="IY556" s="259"/>
      <c r="IZ556" s="259"/>
      <c r="JA556" s="259"/>
      <c r="JB556" s="259"/>
      <c r="JC556" s="259"/>
      <c r="JD556" s="259"/>
      <c r="JE556" s="259"/>
      <c r="JF556" s="259"/>
      <c r="JG556" s="259"/>
      <c r="JH556" s="259"/>
      <c r="JI556" s="259"/>
      <c r="JJ556" s="259"/>
      <c r="JK556" s="259"/>
      <c r="JL556" s="259"/>
      <c r="JM556" s="259"/>
      <c r="JN556" s="259"/>
      <c r="JO556" s="259"/>
      <c r="JP556" s="259"/>
      <c r="JQ556" s="259"/>
      <c r="JR556" s="259"/>
      <c r="JS556" s="259"/>
      <c r="JT556" s="259"/>
      <c r="JU556" s="259"/>
      <c r="JV556" s="259"/>
      <c r="JW556" s="259"/>
      <c r="JX556" s="259"/>
      <c r="JY556" s="259"/>
      <c r="JZ556" s="259"/>
      <c r="KA556" s="259"/>
      <c r="KB556" s="259"/>
      <c r="KC556" s="259"/>
      <c r="KD556" s="259"/>
      <c r="KE556" s="259"/>
      <c r="KF556" s="259"/>
      <c r="KG556" s="259"/>
      <c r="KH556" s="259"/>
      <c r="KI556" s="259"/>
      <c r="KJ556" s="259"/>
      <c r="KK556" s="259"/>
      <c r="KL556" s="259"/>
      <c r="KM556" s="259"/>
      <c r="KN556" s="259"/>
      <c r="KO556" s="259"/>
      <c r="KP556" s="259"/>
      <c r="KQ556" s="259"/>
      <c r="KR556" s="259"/>
      <c r="KS556" s="259"/>
      <c r="KT556" s="259"/>
      <c r="KU556" s="259"/>
      <c r="KV556" s="259"/>
      <c r="KW556" s="259"/>
      <c r="KX556" s="259"/>
      <c r="KY556" s="259"/>
      <c r="KZ556" s="259"/>
      <c r="LA556" s="259"/>
      <c r="LB556" s="259"/>
      <c r="LC556" s="259"/>
      <c r="LD556" s="259"/>
      <c r="LE556" s="259"/>
      <c r="LF556" s="259"/>
      <c r="LG556" s="259"/>
      <c r="LH556" s="259"/>
      <c r="LI556" s="259"/>
      <c r="LJ556" s="259"/>
      <c r="LK556" s="259"/>
      <c r="LL556" s="259"/>
      <c r="LM556" s="259"/>
      <c r="LN556" s="259"/>
      <c r="LO556" s="259"/>
      <c r="LP556" s="259"/>
      <c r="LQ556" s="259"/>
      <c r="LR556" s="259"/>
      <c r="LS556" s="259"/>
      <c r="LT556" s="259"/>
      <c r="LU556" s="259"/>
      <c r="LV556" s="259"/>
      <c r="LW556" s="259"/>
      <c r="LX556" s="259"/>
      <c r="LY556" s="259"/>
      <c r="LZ556" s="259"/>
      <c r="MA556" s="259"/>
      <c r="MB556" s="259"/>
      <c r="MC556" s="259"/>
      <c r="MD556" s="259"/>
      <c r="ME556" s="259"/>
      <c r="MF556" s="259"/>
      <c r="MG556" s="259"/>
      <c r="MH556" s="259"/>
      <c r="MI556" s="259"/>
      <c r="MJ556" s="259"/>
      <c r="MK556" s="259"/>
      <c r="ML556" s="259"/>
      <c r="MM556" s="259"/>
      <c r="MN556" s="259"/>
      <c r="MO556" s="259"/>
      <c r="MP556" s="259"/>
      <c r="MQ556" s="259"/>
      <c r="MR556" s="259"/>
      <c r="MS556" s="259"/>
      <c r="MT556" s="259"/>
      <c r="MU556" s="259"/>
      <c r="MV556" s="259"/>
      <c r="MW556" s="259"/>
      <c r="MX556" s="259"/>
      <c r="MY556" s="259"/>
      <c r="MZ556" s="259"/>
      <c r="NA556" s="259"/>
      <c r="NB556" s="259"/>
      <c r="NC556" s="259"/>
      <c r="ND556" s="259"/>
      <c r="NE556" s="259"/>
      <c r="NF556" s="259"/>
      <c r="NG556" s="259"/>
      <c r="NH556" s="259"/>
      <c r="NI556" s="259"/>
      <c r="NJ556" s="259"/>
      <c r="NK556" s="259"/>
      <c r="NL556" s="259"/>
      <c r="NM556" s="259"/>
      <c r="NN556" s="259"/>
      <c r="NO556" s="259"/>
      <c r="NP556" s="259"/>
      <c r="NQ556" s="259"/>
      <c r="NR556" s="259"/>
      <c r="NS556" s="259"/>
      <c r="NT556" s="259"/>
      <c r="NU556" s="259"/>
      <c r="NV556" s="259"/>
      <c r="NW556" s="259"/>
      <c r="NX556" s="259"/>
      <c r="NY556" s="259"/>
      <c r="NZ556" s="259"/>
      <c r="OA556" s="259"/>
      <c r="OB556" s="259"/>
      <c r="OC556" s="259"/>
      <c r="OD556" s="259"/>
      <c r="OE556" s="259"/>
      <c r="OF556" s="259"/>
      <c r="OG556" s="259"/>
      <c r="OH556" s="259"/>
      <c r="OI556" s="259"/>
      <c r="OJ556" s="259"/>
      <c r="OK556" s="259"/>
      <c r="OL556" s="259"/>
      <c r="OM556" s="259"/>
      <c r="ON556" s="259"/>
      <c r="OO556" s="259"/>
      <c r="OP556" s="259"/>
      <c r="OQ556" s="259"/>
      <c r="OR556" s="259"/>
      <c r="OS556" s="259"/>
      <c r="OT556" s="259"/>
      <c r="OU556" s="259"/>
      <c r="OV556" s="259"/>
      <c r="OW556" s="259"/>
      <c r="OX556" s="259"/>
      <c r="OY556" s="259"/>
      <c r="OZ556" s="259"/>
      <c r="PA556" s="259"/>
      <c r="PB556" s="259"/>
      <c r="PC556" s="259"/>
      <c r="PD556" s="259"/>
      <c r="PE556" s="259"/>
      <c r="PF556" s="259"/>
      <c r="PG556" s="259"/>
      <c r="PH556" s="259"/>
      <c r="PI556" s="259"/>
      <c r="PJ556" s="259"/>
      <c r="PK556" s="259"/>
      <c r="PL556" s="259"/>
      <c r="PM556" s="259"/>
      <c r="PN556" s="259"/>
      <c r="PO556" s="259"/>
      <c r="PP556" s="259"/>
      <c r="PQ556" s="259"/>
      <c r="PR556" s="259"/>
      <c r="PS556" s="259"/>
      <c r="PT556" s="259"/>
      <c r="PU556" s="259"/>
      <c r="PV556" s="259"/>
      <c r="PW556" s="259"/>
      <c r="PX556" s="259"/>
      <c r="PY556" s="259"/>
      <c r="PZ556" s="259"/>
      <c r="QA556" s="259"/>
      <c r="QB556" s="259"/>
      <c r="QC556" s="259"/>
      <c r="QD556" s="259"/>
      <c r="QE556" s="259"/>
      <c r="QF556" s="259"/>
      <c r="QG556" s="259"/>
      <c r="QH556" s="259"/>
      <c r="QI556" s="259"/>
      <c r="QJ556" s="259"/>
      <c r="QK556" s="259"/>
      <c r="QL556" s="259"/>
      <c r="QM556" s="259"/>
      <c r="QN556" s="259"/>
      <c r="QO556" s="259"/>
      <c r="QP556" s="259"/>
      <c r="QQ556" s="259"/>
      <c r="QR556" s="259"/>
      <c r="QS556" s="259"/>
      <c r="QT556" s="259"/>
      <c r="QU556" s="259"/>
      <c r="QV556" s="259"/>
      <c r="QW556" s="259"/>
      <c r="QX556" s="259"/>
      <c r="QY556" s="259"/>
      <c r="QZ556" s="259"/>
      <c r="RA556" s="259"/>
      <c r="RB556" s="259"/>
      <c r="RC556" s="259"/>
      <c r="RD556" s="259"/>
      <c r="RE556" s="259"/>
      <c r="RF556" s="259"/>
      <c r="RG556" s="259"/>
      <c r="RH556" s="259"/>
      <c r="RI556" s="259"/>
      <c r="RJ556" s="259"/>
      <c r="RK556" s="259"/>
      <c r="RL556" s="259"/>
      <c r="RM556" s="259"/>
      <c r="RN556" s="259"/>
      <c r="RO556" s="259"/>
      <c r="RP556" s="259"/>
      <c r="RQ556" s="259"/>
      <c r="RR556" s="259"/>
      <c r="RS556" s="259"/>
      <c r="RT556" s="259"/>
      <c r="RU556" s="259"/>
      <c r="RV556" s="259"/>
      <c r="RW556" s="259"/>
      <c r="RX556" s="259"/>
      <c r="RY556" s="259"/>
      <c r="RZ556" s="259"/>
      <c r="SA556" s="259"/>
      <c r="SB556" s="259"/>
      <c r="SC556" s="259"/>
      <c r="SD556" s="259"/>
      <c r="SE556" s="259"/>
      <c r="SF556" s="259"/>
      <c r="SG556" s="259"/>
      <c r="SH556" s="259"/>
      <c r="SI556" s="259"/>
      <c r="SJ556" s="259"/>
      <c r="SK556" s="259"/>
      <c r="SL556" s="259"/>
      <c r="SM556" s="259"/>
      <c r="SN556" s="259"/>
      <c r="SO556" s="259"/>
      <c r="SP556" s="259"/>
      <c r="SQ556" s="259"/>
      <c r="SR556" s="259"/>
      <c r="SS556" s="259"/>
      <c r="ST556" s="259"/>
      <c r="SU556" s="259"/>
      <c r="SV556" s="259"/>
      <c r="SW556" s="259"/>
      <c r="SX556" s="259"/>
      <c r="SY556" s="259"/>
      <c r="SZ556" s="259"/>
      <c r="TA556" s="259"/>
      <c r="TB556" s="259"/>
      <c r="TC556" s="259"/>
      <c r="TD556" s="259"/>
      <c r="TE556" s="259"/>
      <c r="TF556" s="259"/>
      <c r="TG556" s="259"/>
      <c r="TH556" s="259"/>
      <c r="TI556" s="259"/>
      <c r="TJ556" s="259"/>
      <c r="TK556" s="259"/>
      <c r="TL556" s="259"/>
      <c r="TM556" s="259"/>
      <c r="TN556" s="259"/>
      <c r="TO556" s="259"/>
      <c r="TP556" s="259"/>
      <c r="TQ556" s="259"/>
      <c r="TR556" s="259"/>
      <c r="TS556" s="259"/>
      <c r="TT556" s="259"/>
      <c r="TU556" s="259"/>
      <c r="TV556" s="259"/>
      <c r="TW556" s="259"/>
      <c r="TX556" s="259"/>
      <c r="TY556" s="259"/>
      <c r="TZ556" s="259"/>
      <c r="UA556" s="259"/>
      <c r="UB556" s="259"/>
      <c r="UC556" s="259"/>
      <c r="UD556" s="259"/>
      <c r="UE556" s="259"/>
      <c r="UF556" s="259"/>
      <c r="UG556" s="259"/>
      <c r="UH556" s="259"/>
      <c r="UI556" s="259"/>
    </row>
    <row r="557" spans="1:555" ht="67.5">
      <c r="A557" s="502">
        <v>266</v>
      </c>
      <c r="B557" s="686" t="s">
        <v>3124</v>
      </c>
      <c r="C557" s="687">
        <v>10272278</v>
      </c>
      <c r="D557" s="688" t="s">
        <v>906</v>
      </c>
      <c r="E557" s="27">
        <v>42500</v>
      </c>
      <c r="F557" s="689">
        <v>42491</v>
      </c>
      <c r="G557" s="690" t="s">
        <v>3125</v>
      </c>
      <c r="H557" s="686" t="s">
        <v>171</v>
      </c>
      <c r="I557" s="686" t="s">
        <v>183</v>
      </c>
      <c r="J557" s="27">
        <v>42620</v>
      </c>
      <c r="K557" s="689">
        <v>42614</v>
      </c>
      <c r="L557" s="690" t="s">
        <v>3126</v>
      </c>
      <c r="M557" s="686" t="s">
        <v>5</v>
      </c>
      <c r="N557" s="686" t="s">
        <v>101</v>
      </c>
      <c r="O557" s="27"/>
      <c r="P557" s="691"/>
      <c r="Q557" s="690"/>
      <c r="R557" s="686"/>
      <c r="S557" s="686"/>
      <c r="T557" s="27"/>
      <c r="U557" s="689"/>
      <c r="V557" s="690"/>
      <c r="W557" s="686"/>
      <c r="X557" s="686"/>
      <c r="Y557" s="27"/>
      <c r="Z557" s="689"/>
      <c r="AA557" s="690"/>
      <c r="AB557" s="686"/>
      <c r="AC557" s="686"/>
      <c r="AD557" s="27"/>
      <c r="AE557" s="689"/>
      <c r="AF557" s="690"/>
      <c r="AG557" s="686"/>
      <c r="AH557" s="686"/>
      <c r="AI557" s="693"/>
      <c r="AJ557" s="689"/>
      <c r="AK557" s="690"/>
      <c r="AL557" s="686"/>
      <c r="AM557" s="686"/>
      <c r="AN557" s="686" t="s">
        <v>908</v>
      </c>
      <c r="AO557" s="705"/>
      <c r="AP557" s="686"/>
      <c r="AQ557" s="690" t="s">
        <v>3127</v>
      </c>
      <c r="AR557" s="686" t="s">
        <v>161</v>
      </c>
      <c r="AS557" s="27">
        <v>39951</v>
      </c>
      <c r="AT557" s="27">
        <v>40895</v>
      </c>
      <c r="AU557" s="686" t="s">
        <v>3128</v>
      </c>
      <c r="AV557" s="686"/>
      <c r="AW557" s="686" t="s">
        <v>69</v>
      </c>
      <c r="AX557" s="686" t="s">
        <v>3129</v>
      </c>
      <c r="AY557" s="27">
        <v>41988</v>
      </c>
      <c r="AZ557" s="686" t="s">
        <v>3130</v>
      </c>
      <c r="BA557" s="27">
        <v>42412</v>
      </c>
      <c r="BB557" s="27">
        <v>42417</v>
      </c>
      <c r="BC557" s="701" t="s">
        <v>912</v>
      </c>
      <c r="BD557" s="701" t="s">
        <v>566</v>
      </c>
      <c r="BE557" s="686"/>
      <c r="BF557" s="690"/>
      <c r="BG557" s="690"/>
      <c r="BH557" s="690"/>
      <c r="BI557" s="690"/>
      <c r="BJ557" s="696">
        <f>+[107]MATRIZ!$J$59</f>
        <v>25543161.182441298</v>
      </c>
      <c r="BK557" s="696"/>
      <c r="BL557" s="697"/>
      <c r="BM557" s="27"/>
      <c r="BN557" s="698"/>
      <c r="BO557" s="699"/>
      <c r="BP557" s="700"/>
      <c r="BQ557" s="686"/>
      <c r="BR557" s="701"/>
      <c r="BS557" s="690"/>
      <c r="BT557" s="690"/>
      <c r="BU557" s="690"/>
      <c r="BV557" s="690"/>
      <c r="BW557" s="702"/>
      <c r="BX557" s="693"/>
      <c r="BY557" s="27"/>
      <c r="BZ557" s="703"/>
      <c r="CA557" s="259"/>
      <c r="CB557" s="259"/>
      <c r="CC557" s="259"/>
      <c r="CD557" s="259"/>
      <c r="CE557" s="259"/>
      <c r="CF557" s="259"/>
      <c r="CG557" s="259"/>
      <c r="CH557" s="259"/>
      <c r="CI557" s="259"/>
      <c r="CJ557" s="259"/>
      <c r="CK557" s="259"/>
      <c r="CL557" s="259"/>
      <c r="CM557" s="259"/>
      <c r="CN557" s="259"/>
      <c r="CO557" s="259"/>
      <c r="CP557" s="259"/>
      <c r="CQ557" s="259"/>
      <c r="CR557" s="259"/>
      <c r="CS557" s="259"/>
      <c r="CT557" s="259"/>
      <c r="CU557" s="259"/>
      <c r="CV557" s="259"/>
      <c r="CW557" s="259"/>
      <c r="CX557" s="259"/>
      <c r="CY557" s="259"/>
      <c r="CZ557" s="259"/>
      <c r="DA557" s="259"/>
      <c r="DB557" s="259"/>
      <c r="DC557" s="259"/>
      <c r="DD557" s="259"/>
      <c r="DE557" s="259"/>
      <c r="DF557" s="259"/>
      <c r="DG557" s="259"/>
      <c r="DH557" s="259"/>
      <c r="DI557" s="259"/>
      <c r="DJ557" s="259"/>
      <c r="DK557" s="259"/>
      <c r="DL557" s="259"/>
      <c r="DM557" s="259"/>
      <c r="DN557" s="259"/>
      <c r="DO557" s="259"/>
      <c r="DP557" s="259"/>
      <c r="DQ557" s="259"/>
      <c r="DR557" s="259"/>
      <c r="DS557" s="259"/>
      <c r="DT557" s="259"/>
      <c r="DU557" s="259"/>
      <c r="DV557" s="259"/>
      <c r="DW557" s="259"/>
      <c r="DX557" s="259"/>
      <c r="DY557" s="259"/>
      <c r="DZ557" s="259"/>
      <c r="EA557" s="259"/>
      <c r="EB557" s="259"/>
      <c r="EC557" s="259"/>
      <c r="ED557" s="259"/>
      <c r="EE557" s="259"/>
      <c r="EF557" s="259"/>
      <c r="EG557" s="259"/>
      <c r="EH557" s="259"/>
      <c r="EI557" s="259"/>
      <c r="EJ557" s="259"/>
      <c r="EK557" s="259"/>
      <c r="EL557" s="259"/>
      <c r="EM557" s="259"/>
      <c r="EN557" s="259"/>
      <c r="EO557" s="259"/>
      <c r="EP557" s="259"/>
      <c r="EQ557" s="259"/>
      <c r="ER557" s="259"/>
      <c r="ES557" s="259"/>
      <c r="ET557" s="259"/>
      <c r="EU557" s="259"/>
      <c r="EV557" s="259"/>
      <c r="EW557" s="259"/>
      <c r="EX557" s="259"/>
      <c r="EY557" s="259"/>
      <c r="EZ557" s="259"/>
      <c r="FA557" s="259"/>
      <c r="FB557" s="259"/>
      <c r="FC557" s="259"/>
      <c r="FD557" s="259"/>
      <c r="FE557" s="259"/>
      <c r="FF557" s="259"/>
      <c r="FG557" s="259"/>
      <c r="FH557" s="259"/>
      <c r="FI557" s="259"/>
      <c r="FJ557" s="259"/>
      <c r="FK557" s="259"/>
      <c r="FL557" s="259"/>
      <c r="FM557" s="259"/>
      <c r="FN557" s="259"/>
      <c r="FO557" s="259"/>
      <c r="FP557" s="259"/>
      <c r="FQ557" s="259"/>
      <c r="FR557" s="259"/>
      <c r="FS557" s="259"/>
      <c r="FT557" s="259"/>
      <c r="FU557" s="259"/>
      <c r="FV557" s="259"/>
      <c r="FW557" s="259"/>
      <c r="FX557" s="259"/>
      <c r="FY557" s="259"/>
      <c r="FZ557" s="259"/>
      <c r="GA557" s="259"/>
      <c r="GB557" s="259"/>
      <c r="GC557" s="259"/>
      <c r="GD557" s="259"/>
      <c r="GE557" s="259"/>
      <c r="GF557" s="259"/>
      <c r="GG557" s="259"/>
      <c r="GH557" s="259"/>
      <c r="GI557" s="259"/>
      <c r="GJ557" s="259"/>
      <c r="GK557" s="259"/>
      <c r="GL557" s="259"/>
      <c r="GM557" s="259"/>
      <c r="GN557" s="259"/>
      <c r="GO557" s="259"/>
      <c r="GP557" s="259"/>
      <c r="GQ557" s="259"/>
      <c r="GR557" s="259"/>
      <c r="GS557" s="259"/>
      <c r="GT557" s="259"/>
      <c r="GU557" s="259"/>
      <c r="GV557" s="259"/>
      <c r="GW557" s="259"/>
      <c r="GX557" s="259"/>
      <c r="GY557" s="259"/>
      <c r="GZ557" s="259"/>
      <c r="HA557" s="259"/>
      <c r="HB557" s="259"/>
      <c r="HC557" s="259"/>
      <c r="HD557" s="259"/>
      <c r="HE557" s="259"/>
      <c r="HF557" s="259"/>
      <c r="HG557" s="259"/>
      <c r="HH557" s="259"/>
      <c r="HI557" s="259"/>
      <c r="HJ557" s="259"/>
      <c r="HK557" s="259"/>
      <c r="HL557" s="259"/>
      <c r="HM557" s="259"/>
      <c r="HN557" s="259"/>
      <c r="HO557" s="259"/>
      <c r="HP557" s="259"/>
      <c r="HQ557" s="259"/>
      <c r="HR557" s="259"/>
      <c r="HS557" s="259"/>
      <c r="HT557" s="259"/>
      <c r="HU557" s="259"/>
      <c r="HV557" s="259"/>
      <c r="HW557" s="259"/>
      <c r="HX557" s="259"/>
      <c r="HY557" s="259"/>
      <c r="HZ557" s="259"/>
      <c r="IA557" s="259"/>
      <c r="IB557" s="259"/>
      <c r="IC557" s="259"/>
      <c r="ID557" s="259"/>
      <c r="IE557" s="259"/>
      <c r="IF557" s="259"/>
      <c r="IG557" s="259"/>
      <c r="IH557" s="259"/>
      <c r="II557" s="259"/>
      <c r="IJ557" s="259"/>
      <c r="IK557" s="259"/>
      <c r="IL557" s="259"/>
      <c r="IM557" s="259"/>
      <c r="IN557" s="259"/>
      <c r="IO557" s="259"/>
      <c r="IP557" s="259"/>
      <c r="IQ557" s="259"/>
      <c r="IR557" s="259"/>
      <c r="IS557" s="259"/>
      <c r="IT557" s="259"/>
      <c r="IU557" s="259"/>
      <c r="IV557" s="259"/>
      <c r="IW557" s="259"/>
      <c r="IX557" s="259"/>
      <c r="IY557" s="259"/>
      <c r="IZ557" s="259"/>
      <c r="JA557" s="259"/>
      <c r="JB557" s="259"/>
      <c r="JC557" s="259"/>
      <c r="JD557" s="259"/>
      <c r="JE557" s="259"/>
      <c r="JF557" s="259"/>
      <c r="JG557" s="259"/>
      <c r="JH557" s="259"/>
      <c r="JI557" s="259"/>
      <c r="JJ557" s="259"/>
      <c r="JK557" s="259"/>
      <c r="JL557" s="259"/>
      <c r="JM557" s="259"/>
      <c r="JN557" s="259"/>
      <c r="JO557" s="259"/>
      <c r="JP557" s="259"/>
      <c r="JQ557" s="259"/>
      <c r="JR557" s="259"/>
      <c r="JS557" s="259"/>
      <c r="JT557" s="259"/>
      <c r="JU557" s="259"/>
      <c r="JV557" s="259"/>
      <c r="JW557" s="259"/>
      <c r="JX557" s="259"/>
      <c r="JY557" s="259"/>
      <c r="JZ557" s="259"/>
      <c r="KA557" s="259"/>
      <c r="KB557" s="259"/>
      <c r="KC557" s="259"/>
      <c r="KD557" s="259"/>
      <c r="KE557" s="259"/>
      <c r="KF557" s="259"/>
      <c r="KG557" s="259"/>
      <c r="KH557" s="259"/>
      <c r="KI557" s="259"/>
      <c r="KJ557" s="259"/>
      <c r="KK557" s="259"/>
      <c r="KL557" s="259"/>
      <c r="KM557" s="259"/>
      <c r="KN557" s="259"/>
      <c r="KO557" s="259"/>
      <c r="KP557" s="259"/>
      <c r="KQ557" s="259"/>
      <c r="KR557" s="259"/>
      <c r="KS557" s="259"/>
      <c r="KT557" s="259"/>
      <c r="KU557" s="259"/>
      <c r="KV557" s="259"/>
      <c r="KW557" s="259"/>
      <c r="KX557" s="259"/>
      <c r="KY557" s="259"/>
      <c r="KZ557" s="259"/>
      <c r="LA557" s="259"/>
      <c r="LB557" s="259"/>
      <c r="LC557" s="259"/>
      <c r="LD557" s="259"/>
      <c r="LE557" s="259"/>
      <c r="LF557" s="259"/>
      <c r="LG557" s="259"/>
      <c r="LH557" s="259"/>
      <c r="LI557" s="259"/>
      <c r="LJ557" s="259"/>
      <c r="LK557" s="259"/>
      <c r="LL557" s="259"/>
      <c r="LM557" s="259"/>
      <c r="LN557" s="259"/>
      <c r="LO557" s="259"/>
      <c r="LP557" s="259"/>
      <c r="LQ557" s="259"/>
      <c r="LR557" s="259"/>
      <c r="LS557" s="259"/>
      <c r="LT557" s="259"/>
      <c r="LU557" s="259"/>
      <c r="LV557" s="259"/>
      <c r="LW557" s="259"/>
      <c r="LX557" s="259"/>
      <c r="LY557" s="259"/>
      <c r="LZ557" s="259"/>
      <c r="MA557" s="259"/>
      <c r="MB557" s="259"/>
      <c r="MC557" s="259"/>
      <c r="MD557" s="259"/>
      <c r="ME557" s="259"/>
      <c r="MF557" s="259"/>
      <c r="MG557" s="259"/>
      <c r="MH557" s="259"/>
      <c r="MI557" s="259"/>
      <c r="MJ557" s="259"/>
      <c r="MK557" s="259"/>
      <c r="ML557" s="259"/>
      <c r="MM557" s="259"/>
      <c r="MN557" s="259"/>
      <c r="MO557" s="259"/>
      <c r="MP557" s="259"/>
      <c r="MQ557" s="259"/>
      <c r="MR557" s="259"/>
      <c r="MS557" s="259"/>
      <c r="MT557" s="259"/>
      <c r="MU557" s="259"/>
      <c r="MV557" s="259"/>
      <c r="MW557" s="259"/>
      <c r="MX557" s="259"/>
      <c r="MY557" s="259"/>
      <c r="MZ557" s="259"/>
      <c r="NA557" s="259"/>
      <c r="NB557" s="259"/>
      <c r="NC557" s="259"/>
      <c r="ND557" s="259"/>
      <c r="NE557" s="259"/>
      <c r="NF557" s="259"/>
      <c r="NG557" s="259"/>
      <c r="NH557" s="259"/>
      <c r="NI557" s="259"/>
      <c r="NJ557" s="259"/>
      <c r="NK557" s="259"/>
      <c r="NL557" s="259"/>
      <c r="NM557" s="259"/>
      <c r="NN557" s="259"/>
      <c r="NO557" s="259"/>
      <c r="NP557" s="259"/>
      <c r="NQ557" s="259"/>
      <c r="NR557" s="259"/>
      <c r="NS557" s="259"/>
      <c r="NT557" s="259"/>
      <c r="NU557" s="259"/>
      <c r="NV557" s="259"/>
      <c r="NW557" s="259"/>
      <c r="NX557" s="259"/>
      <c r="NY557" s="259"/>
      <c r="NZ557" s="259"/>
      <c r="OA557" s="259"/>
      <c r="OB557" s="259"/>
      <c r="OC557" s="259"/>
      <c r="OD557" s="259"/>
      <c r="OE557" s="259"/>
      <c r="OF557" s="259"/>
      <c r="OG557" s="259"/>
      <c r="OH557" s="259"/>
      <c r="OI557" s="259"/>
      <c r="OJ557" s="259"/>
      <c r="OK557" s="259"/>
      <c r="OL557" s="259"/>
      <c r="OM557" s="259"/>
      <c r="ON557" s="259"/>
      <c r="OO557" s="259"/>
      <c r="OP557" s="259"/>
      <c r="OQ557" s="259"/>
      <c r="OR557" s="259"/>
      <c r="OS557" s="259"/>
      <c r="OT557" s="259"/>
      <c r="OU557" s="259"/>
      <c r="OV557" s="259"/>
      <c r="OW557" s="259"/>
      <c r="OX557" s="259"/>
      <c r="OY557" s="259"/>
      <c r="OZ557" s="259"/>
      <c r="PA557" s="259"/>
      <c r="PB557" s="259"/>
      <c r="PC557" s="259"/>
      <c r="PD557" s="259"/>
      <c r="PE557" s="259"/>
      <c r="PF557" s="259"/>
      <c r="PG557" s="259"/>
      <c r="PH557" s="259"/>
      <c r="PI557" s="259"/>
      <c r="PJ557" s="259"/>
      <c r="PK557" s="259"/>
      <c r="PL557" s="259"/>
      <c r="PM557" s="259"/>
      <c r="PN557" s="259"/>
      <c r="PO557" s="259"/>
      <c r="PP557" s="259"/>
      <c r="PQ557" s="259"/>
      <c r="PR557" s="259"/>
      <c r="PS557" s="259"/>
      <c r="PT557" s="259"/>
      <c r="PU557" s="259"/>
      <c r="PV557" s="259"/>
      <c r="PW557" s="259"/>
      <c r="PX557" s="259"/>
      <c r="PY557" s="259"/>
      <c r="PZ557" s="259"/>
      <c r="QA557" s="259"/>
      <c r="QB557" s="259"/>
      <c r="QC557" s="259"/>
      <c r="QD557" s="259"/>
      <c r="QE557" s="259"/>
      <c r="QF557" s="259"/>
      <c r="QG557" s="259"/>
      <c r="QH557" s="259"/>
      <c r="QI557" s="259"/>
      <c r="QJ557" s="259"/>
      <c r="QK557" s="259"/>
      <c r="QL557" s="259"/>
      <c r="QM557" s="259"/>
      <c r="QN557" s="259"/>
      <c r="QO557" s="259"/>
      <c r="QP557" s="259"/>
      <c r="QQ557" s="259"/>
      <c r="QR557" s="259"/>
      <c r="QS557" s="259"/>
      <c r="QT557" s="259"/>
      <c r="QU557" s="259"/>
      <c r="QV557" s="259"/>
      <c r="QW557" s="259"/>
      <c r="QX557" s="259"/>
      <c r="QY557" s="259"/>
      <c r="QZ557" s="259"/>
      <c r="RA557" s="259"/>
      <c r="RB557" s="259"/>
      <c r="RC557" s="259"/>
      <c r="RD557" s="259"/>
      <c r="RE557" s="259"/>
      <c r="RF557" s="259"/>
      <c r="RG557" s="259"/>
      <c r="RH557" s="259"/>
      <c r="RI557" s="259"/>
      <c r="RJ557" s="259"/>
      <c r="RK557" s="259"/>
      <c r="RL557" s="259"/>
      <c r="RM557" s="259"/>
      <c r="RN557" s="259"/>
      <c r="RO557" s="259"/>
      <c r="RP557" s="259"/>
      <c r="RQ557" s="259"/>
      <c r="RR557" s="259"/>
      <c r="RS557" s="259"/>
      <c r="RT557" s="259"/>
      <c r="RU557" s="259"/>
      <c r="RV557" s="259"/>
      <c r="RW557" s="259"/>
      <c r="RX557" s="259"/>
      <c r="RY557" s="259"/>
      <c r="RZ557" s="259"/>
      <c r="SA557" s="259"/>
      <c r="SB557" s="259"/>
      <c r="SC557" s="259"/>
      <c r="SD557" s="259"/>
      <c r="SE557" s="259"/>
      <c r="SF557" s="259"/>
      <c r="SG557" s="259"/>
      <c r="SH557" s="259"/>
      <c r="SI557" s="259"/>
      <c r="SJ557" s="259"/>
      <c r="SK557" s="259"/>
      <c r="SL557" s="259"/>
      <c r="SM557" s="259"/>
      <c r="SN557" s="259"/>
      <c r="SO557" s="259"/>
      <c r="SP557" s="259"/>
      <c r="SQ557" s="259"/>
      <c r="SR557" s="259"/>
      <c r="SS557" s="259"/>
      <c r="ST557" s="259"/>
      <c r="SU557" s="259"/>
      <c r="SV557" s="259"/>
      <c r="SW557" s="259"/>
      <c r="SX557" s="259"/>
      <c r="SY557" s="259"/>
      <c r="SZ557" s="259"/>
      <c r="TA557" s="259"/>
      <c r="TB557" s="259"/>
      <c r="TC557" s="259"/>
      <c r="TD557" s="259"/>
      <c r="TE557" s="259"/>
      <c r="TF557" s="259"/>
      <c r="TG557" s="259"/>
      <c r="TH557" s="259"/>
      <c r="TI557" s="259"/>
      <c r="TJ557" s="259"/>
      <c r="TK557" s="259"/>
      <c r="TL557" s="259"/>
      <c r="TM557" s="259"/>
      <c r="TN557" s="259"/>
      <c r="TO557" s="259"/>
      <c r="TP557" s="259"/>
      <c r="TQ557" s="259"/>
      <c r="TR557" s="259"/>
      <c r="TS557" s="259"/>
      <c r="TT557" s="259"/>
      <c r="TU557" s="259"/>
      <c r="TV557" s="259"/>
      <c r="TW557" s="259"/>
      <c r="TX557" s="259"/>
      <c r="TY557" s="259"/>
      <c r="TZ557" s="259"/>
      <c r="UA557" s="259"/>
      <c r="UB557" s="259"/>
      <c r="UC557" s="259"/>
      <c r="UD557" s="259"/>
      <c r="UE557" s="259"/>
      <c r="UF557" s="259"/>
      <c r="UG557" s="259"/>
      <c r="UH557" s="259"/>
      <c r="UI557" s="259"/>
    </row>
    <row r="558" spans="1:555" ht="108">
      <c r="A558" s="296">
        <v>272</v>
      </c>
      <c r="B558" s="297" t="s">
        <v>3170</v>
      </c>
      <c r="C558" s="329">
        <v>80234881</v>
      </c>
      <c r="D558" s="354" t="s">
        <v>167</v>
      </c>
      <c r="E558" s="299">
        <v>42508</v>
      </c>
      <c r="F558" s="300">
        <v>42491</v>
      </c>
      <c r="G558" s="301" t="s">
        <v>3171</v>
      </c>
      <c r="H558" s="297" t="s">
        <v>625</v>
      </c>
      <c r="I558" s="297" t="s">
        <v>183</v>
      </c>
      <c r="J558" s="299">
        <v>42530</v>
      </c>
      <c r="K558" s="300">
        <v>42522</v>
      </c>
      <c r="L558" s="301" t="s">
        <v>3172</v>
      </c>
      <c r="M558" s="297" t="s">
        <v>171</v>
      </c>
      <c r="N558" s="297" t="s">
        <v>183</v>
      </c>
      <c r="O558" s="299">
        <v>42643</v>
      </c>
      <c r="P558" s="302">
        <v>42614</v>
      </c>
      <c r="Q558" s="301" t="s">
        <v>3173</v>
      </c>
      <c r="R558" s="297" t="s">
        <v>5</v>
      </c>
      <c r="S558" s="297" t="s">
        <v>101</v>
      </c>
      <c r="T558" s="299"/>
      <c r="U558" s="300"/>
      <c r="V558" s="301"/>
      <c r="W558" s="297"/>
      <c r="X558" s="297"/>
      <c r="Y558" s="299"/>
      <c r="Z558" s="300"/>
      <c r="AA558" s="301"/>
      <c r="AB558" s="297"/>
      <c r="AC558" s="297"/>
      <c r="AD558" s="299"/>
      <c r="AE558" s="300"/>
      <c r="AF558" s="301"/>
      <c r="AG558" s="297"/>
      <c r="AH558" s="297"/>
      <c r="AI558" s="304"/>
      <c r="AJ558" s="300"/>
      <c r="AK558" s="301"/>
      <c r="AL558" s="297"/>
      <c r="AM558" s="297"/>
      <c r="AN558" s="297" t="s">
        <v>3174</v>
      </c>
      <c r="AO558" s="540">
        <v>42643</v>
      </c>
      <c r="AP558" s="297"/>
      <c r="AQ558" s="301" t="s">
        <v>3175</v>
      </c>
      <c r="AR558" s="297" t="s">
        <v>161</v>
      </c>
      <c r="AS558" s="299">
        <v>39646</v>
      </c>
      <c r="AT558" s="299">
        <v>40694</v>
      </c>
      <c r="AU558" s="297" t="s">
        <v>3176</v>
      </c>
      <c r="AV558" s="297"/>
      <c r="AW558" s="297" t="s">
        <v>92</v>
      </c>
      <c r="AX558" s="297" t="s">
        <v>3177</v>
      </c>
      <c r="AY558" s="299">
        <v>41309</v>
      </c>
      <c r="AZ558" s="297" t="s">
        <v>94</v>
      </c>
      <c r="BA558" s="299">
        <v>42411</v>
      </c>
      <c r="BB558" s="299">
        <v>42446</v>
      </c>
      <c r="BC558" s="297" t="s">
        <v>95</v>
      </c>
      <c r="BD558" s="297" t="s">
        <v>566</v>
      </c>
      <c r="BE558" s="297"/>
      <c r="BF558" s="301" t="s">
        <v>7410</v>
      </c>
      <c r="BG558" s="301"/>
      <c r="BH558" s="301" t="s">
        <v>10564</v>
      </c>
      <c r="BI558" s="301"/>
      <c r="BJ558" s="312">
        <f>[108]MATRIZ!$J$62</f>
        <v>0</v>
      </c>
      <c r="BK558" s="312">
        <v>136865048</v>
      </c>
      <c r="BL558" s="313"/>
      <c r="BM558" s="299"/>
      <c r="BN558" s="314"/>
      <c r="BO558" s="460" t="s">
        <v>10565</v>
      </c>
      <c r="BP558" s="390">
        <v>18578858</v>
      </c>
      <c r="BQ558" s="297" t="s">
        <v>10566</v>
      </c>
      <c r="BR558" s="303"/>
      <c r="BS558" s="301"/>
      <c r="BT558" s="301"/>
      <c r="BU558" s="301"/>
      <c r="BV558" s="301"/>
      <c r="BW558" s="316"/>
      <c r="BX558" s="304"/>
      <c r="BY558" s="299"/>
      <c r="BZ558" s="317"/>
    </row>
    <row r="559" spans="1:555" s="509" customFormat="1" ht="108" customHeight="1">
      <c r="A559" s="296">
        <v>278</v>
      </c>
      <c r="B559" s="297" t="s">
        <v>3225</v>
      </c>
      <c r="C559" s="298" t="s">
        <v>3226</v>
      </c>
      <c r="D559" s="354" t="s">
        <v>3227</v>
      </c>
      <c r="E559" s="299">
        <v>42521</v>
      </c>
      <c r="F559" s="300">
        <v>42491</v>
      </c>
      <c r="G559" s="301" t="s">
        <v>3228</v>
      </c>
      <c r="H559" s="297" t="s">
        <v>1974</v>
      </c>
      <c r="I559" s="297" t="s">
        <v>183</v>
      </c>
      <c r="J559" s="299" t="s">
        <v>3229</v>
      </c>
      <c r="K559" s="300">
        <v>42614</v>
      </c>
      <c r="L559" s="301" t="s">
        <v>3230</v>
      </c>
      <c r="M559" s="297" t="s">
        <v>2346</v>
      </c>
      <c r="N559" s="297" t="s">
        <v>101</v>
      </c>
      <c r="O559" s="299">
        <v>42663</v>
      </c>
      <c r="P559" s="302">
        <v>42644</v>
      </c>
      <c r="Q559" s="301" t="s">
        <v>3231</v>
      </c>
      <c r="R559" s="297" t="s">
        <v>625</v>
      </c>
      <c r="S559" s="297" t="s">
        <v>183</v>
      </c>
      <c r="T559" s="299">
        <v>42723</v>
      </c>
      <c r="U559" s="300">
        <v>42705</v>
      </c>
      <c r="V559" s="301" t="s">
        <v>3232</v>
      </c>
      <c r="W559" s="297" t="s">
        <v>5</v>
      </c>
      <c r="X559" s="297" t="s">
        <v>131</v>
      </c>
      <c r="Y559" s="299">
        <v>42782</v>
      </c>
      <c r="Z559" s="300">
        <v>42767</v>
      </c>
      <c r="AA559" s="301" t="s">
        <v>3233</v>
      </c>
      <c r="AB559" s="297" t="s">
        <v>5</v>
      </c>
      <c r="AC559" s="297" t="s">
        <v>85</v>
      </c>
      <c r="AD559" s="299" t="s">
        <v>3234</v>
      </c>
      <c r="AE559" s="300" t="s">
        <v>3235</v>
      </c>
      <c r="AF559" s="301" t="s">
        <v>3236</v>
      </c>
      <c r="AG559" s="297" t="s">
        <v>3237</v>
      </c>
      <c r="AH559" s="297" t="s">
        <v>3238</v>
      </c>
      <c r="AI559" s="305" t="s">
        <v>10466</v>
      </c>
      <c r="AJ559" s="300" t="s">
        <v>10467</v>
      </c>
      <c r="AK559" s="315" t="s">
        <v>10465</v>
      </c>
      <c r="AL559" s="889" t="s">
        <v>10468</v>
      </c>
      <c r="AM559" s="315" t="s">
        <v>10469</v>
      </c>
      <c r="AN559" s="297" t="s">
        <v>1359</v>
      </c>
      <c r="AO559" s="540">
        <v>42782</v>
      </c>
      <c r="AP559" s="297"/>
      <c r="AQ559" s="301" t="s">
        <v>3239</v>
      </c>
      <c r="AR559" s="297" t="s">
        <v>161</v>
      </c>
      <c r="AS559" s="299" t="s">
        <v>67</v>
      </c>
      <c r="AT559" s="299" t="s">
        <v>67</v>
      </c>
      <c r="AU559" s="297" t="s">
        <v>9623</v>
      </c>
      <c r="AV559" s="297"/>
      <c r="AW559" s="297" t="s">
        <v>92</v>
      </c>
      <c r="AX559" s="297" t="s">
        <v>3240</v>
      </c>
      <c r="AY559" s="299">
        <v>39049</v>
      </c>
      <c r="AZ559" s="297" t="s">
        <v>3241</v>
      </c>
      <c r="BA559" s="299">
        <v>42396</v>
      </c>
      <c r="BB559" s="299">
        <v>42480</v>
      </c>
      <c r="BC559" s="303" t="s">
        <v>561</v>
      </c>
      <c r="BD559" s="303" t="s">
        <v>3242</v>
      </c>
      <c r="BE559" s="297" t="s">
        <v>3243</v>
      </c>
      <c r="BF559" s="301"/>
      <c r="BG559" s="301"/>
      <c r="BH559" s="690" t="s">
        <v>10464</v>
      </c>
      <c r="BI559" s="301"/>
      <c r="BJ559" s="312">
        <f>+[109]MATRIZ!$J$52</f>
        <v>0</v>
      </c>
      <c r="BK559" s="696">
        <v>783636898</v>
      </c>
      <c r="BL559" s="313"/>
      <c r="BM559" s="299"/>
      <c r="BN559" s="314"/>
      <c r="BO559" s="699" t="s">
        <v>10563</v>
      </c>
      <c r="BP559" s="700" t="s">
        <v>67</v>
      </c>
      <c r="BQ559" s="686" t="s">
        <v>67</v>
      </c>
      <c r="BR559" s="303"/>
      <c r="BS559" s="301" t="s">
        <v>9407</v>
      </c>
      <c r="BT559" s="301"/>
      <c r="BU559" s="301"/>
      <c r="BV559" s="301"/>
      <c r="BW559" s="316"/>
      <c r="BX559" s="304"/>
      <c r="BY559" s="299"/>
      <c r="BZ559" s="317"/>
    </row>
    <row r="560" spans="1:555" ht="70.5" customHeight="1">
      <c r="A560" s="502">
        <v>279</v>
      </c>
      <c r="B560" s="686" t="s">
        <v>3244</v>
      </c>
      <c r="C560" s="687">
        <v>79769511</v>
      </c>
      <c r="D560" s="688" t="s">
        <v>2446</v>
      </c>
      <c r="E560" s="27">
        <v>42522</v>
      </c>
      <c r="F560" s="689">
        <v>42522</v>
      </c>
      <c r="G560" s="690" t="s">
        <v>3245</v>
      </c>
      <c r="H560" s="686" t="s">
        <v>5</v>
      </c>
      <c r="I560" s="686" t="s">
        <v>101</v>
      </c>
      <c r="J560" s="27">
        <v>42944</v>
      </c>
      <c r="K560" s="689">
        <v>42917</v>
      </c>
      <c r="L560" s="690" t="s">
        <v>3246</v>
      </c>
      <c r="M560" s="686" t="s">
        <v>5</v>
      </c>
      <c r="N560" s="686" t="s">
        <v>79</v>
      </c>
      <c r="O560" s="27">
        <v>42881</v>
      </c>
      <c r="P560" s="691">
        <v>42856</v>
      </c>
      <c r="Q560" s="690" t="s">
        <v>3247</v>
      </c>
      <c r="R560" s="692" t="s">
        <v>625</v>
      </c>
      <c r="S560" s="686" t="s">
        <v>3248</v>
      </c>
      <c r="T560" s="27"/>
      <c r="U560" s="689"/>
      <c r="V560" s="690"/>
      <c r="W560" s="686"/>
      <c r="X560" s="686"/>
      <c r="Y560" s="27"/>
      <c r="Z560" s="689"/>
      <c r="AA560" s="690"/>
      <c r="AB560" s="686"/>
      <c r="AC560" s="686"/>
      <c r="AD560" s="27"/>
      <c r="AE560" s="689"/>
      <c r="AF560" s="690"/>
      <c r="AG560" s="686"/>
      <c r="AH560" s="686"/>
      <c r="AI560" s="693"/>
      <c r="AJ560" s="689"/>
      <c r="AK560" s="690"/>
      <c r="AL560" s="686"/>
      <c r="AM560" s="686"/>
      <c r="AN560" s="686" t="s">
        <v>600</v>
      </c>
      <c r="AO560" s="694">
        <v>42522</v>
      </c>
      <c r="AP560" s="686"/>
      <c r="AQ560" s="690" t="s">
        <v>3249</v>
      </c>
      <c r="AR560" s="686" t="s">
        <v>161</v>
      </c>
      <c r="AS560" s="27">
        <v>37834</v>
      </c>
      <c r="AT560" s="27">
        <v>40268</v>
      </c>
      <c r="AU560" s="686" t="s">
        <v>3250</v>
      </c>
      <c r="AV560" s="686"/>
      <c r="AW560" s="686" t="s">
        <v>69</v>
      </c>
      <c r="AX560" s="686" t="s">
        <v>2665</v>
      </c>
      <c r="AY560" s="27">
        <v>42111</v>
      </c>
      <c r="AZ560" s="686" t="s">
        <v>67</v>
      </c>
      <c r="BA560" s="27" t="s">
        <v>67</v>
      </c>
      <c r="BB560" s="27">
        <v>42488</v>
      </c>
      <c r="BC560" s="686" t="s">
        <v>95</v>
      </c>
      <c r="BD560" s="686" t="s">
        <v>566</v>
      </c>
      <c r="BE560" s="686"/>
      <c r="BF560" s="690" t="s">
        <v>7444</v>
      </c>
      <c r="BG560" s="690"/>
      <c r="BH560" s="690"/>
      <c r="BI560" s="690"/>
      <c r="BJ560" s="803">
        <f>+[110]MATRIZ!$J$78</f>
        <v>0</v>
      </c>
      <c r="BK560" s="696"/>
      <c r="BL560" s="697"/>
      <c r="BM560" s="27"/>
      <c r="BN560" s="698"/>
      <c r="BO560" s="699"/>
      <c r="BP560" s="700"/>
      <c r="BQ560" s="686"/>
      <c r="BR560" s="701"/>
      <c r="BS560" s="690"/>
      <c r="BT560" s="690"/>
      <c r="BU560" s="690"/>
      <c r="BV560" s="690"/>
      <c r="BW560" s="702"/>
      <c r="BX560" s="693"/>
      <c r="BY560" s="27"/>
      <c r="BZ560" s="703"/>
      <c r="CA560" s="259"/>
      <c r="CB560" s="259"/>
      <c r="CC560" s="259"/>
      <c r="CD560" s="259"/>
      <c r="CE560" s="259"/>
      <c r="CF560" s="259"/>
      <c r="CG560" s="259"/>
      <c r="CH560" s="259"/>
      <c r="CI560" s="259"/>
      <c r="CJ560" s="259"/>
      <c r="CK560" s="259"/>
      <c r="CL560" s="259"/>
      <c r="CM560" s="259"/>
      <c r="CN560" s="259"/>
      <c r="CO560" s="259"/>
      <c r="CP560" s="259"/>
      <c r="CQ560" s="259"/>
      <c r="CR560" s="259"/>
      <c r="CS560" s="259"/>
      <c r="CT560" s="259"/>
      <c r="CU560" s="259"/>
      <c r="CV560" s="259"/>
      <c r="CW560" s="259"/>
      <c r="CX560" s="259"/>
      <c r="CY560" s="259"/>
      <c r="CZ560" s="259"/>
      <c r="DA560" s="259"/>
      <c r="DB560" s="259"/>
      <c r="DC560" s="259"/>
      <c r="DD560" s="259"/>
      <c r="DE560" s="259"/>
      <c r="DF560" s="259"/>
      <c r="DG560" s="259"/>
      <c r="DH560" s="259"/>
      <c r="DI560" s="259"/>
      <c r="DJ560" s="259"/>
      <c r="DK560" s="259"/>
      <c r="DL560" s="259"/>
      <c r="DM560" s="259"/>
      <c r="DN560" s="259"/>
      <c r="DO560" s="259"/>
      <c r="DP560" s="259"/>
      <c r="DQ560" s="259"/>
      <c r="DR560" s="259"/>
      <c r="DS560" s="259"/>
      <c r="DT560" s="259"/>
      <c r="DU560" s="259"/>
      <c r="DV560" s="259"/>
      <c r="DW560" s="259"/>
      <c r="DX560" s="259"/>
      <c r="DY560" s="259"/>
      <c r="DZ560" s="259"/>
      <c r="EA560" s="259"/>
      <c r="EB560" s="259"/>
      <c r="EC560" s="259"/>
      <c r="ED560" s="259"/>
      <c r="EE560" s="259"/>
      <c r="EF560" s="259"/>
      <c r="EG560" s="259"/>
      <c r="EH560" s="259"/>
      <c r="EI560" s="259"/>
      <c r="EJ560" s="259"/>
      <c r="EK560" s="259"/>
      <c r="EL560" s="259"/>
      <c r="EM560" s="259"/>
      <c r="EN560" s="259"/>
      <c r="EO560" s="259"/>
      <c r="EP560" s="259"/>
      <c r="EQ560" s="259"/>
      <c r="ER560" s="259"/>
      <c r="ES560" s="259"/>
      <c r="ET560" s="259"/>
      <c r="EU560" s="259"/>
      <c r="EV560" s="259"/>
      <c r="EW560" s="259"/>
      <c r="EX560" s="259"/>
      <c r="EY560" s="259"/>
      <c r="EZ560" s="259"/>
      <c r="FA560" s="259"/>
      <c r="FB560" s="259"/>
      <c r="FC560" s="259"/>
      <c r="FD560" s="259"/>
      <c r="FE560" s="259"/>
      <c r="FF560" s="259"/>
      <c r="FG560" s="259"/>
      <c r="FH560" s="259"/>
      <c r="FI560" s="259"/>
      <c r="FJ560" s="259"/>
      <c r="FK560" s="259"/>
      <c r="FL560" s="259"/>
      <c r="FM560" s="259"/>
      <c r="FN560" s="259"/>
      <c r="FO560" s="259"/>
      <c r="FP560" s="259"/>
      <c r="FQ560" s="259"/>
      <c r="FR560" s="259"/>
      <c r="FS560" s="259"/>
      <c r="FT560" s="259"/>
      <c r="FU560" s="259"/>
      <c r="FV560" s="259"/>
      <c r="FW560" s="259"/>
      <c r="FX560" s="259"/>
      <c r="FY560" s="259"/>
      <c r="FZ560" s="259"/>
      <c r="GA560" s="259"/>
      <c r="GB560" s="259"/>
      <c r="GC560" s="259"/>
      <c r="GD560" s="259"/>
      <c r="GE560" s="259"/>
      <c r="GF560" s="259"/>
      <c r="GG560" s="259"/>
      <c r="GH560" s="259"/>
      <c r="GI560" s="259"/>
      <c r="GJ560" s="259"/>
      <c r="GK560" s="259"/>
      <c r="GL560" s="259"/>
      <c r="GM560" s="259"/>
      <c r="GN560" s="259"/>
      <c r="GO560" s="259"/>
      <c r="GP560" s="259"/>
      <c r="GQ560" s="259"/>
      <c r="GR560" s="259"/>
      <c r="GS560" s="259"/>
      <c r="GT560" s="259"/>
      <c r="GU560" s="259"/>
      <c r="GV560" s="259"/>
      <c r="GW560" s="259"/>
      <c r="GX560" s="259"/>
      <c r="GY560" s="259"/>
      <c r="GZ560" s="259"/>
      <c r="HA560" s="259"/>
      <c r="HB560" s="259"/>
      <c r="HC560" s="259"/>
      <c r="HD560" s="259"/>
      <c r="HE560" s="259"/>
      <c r="HF560" s="259"/>
      <c r="HG560" s="259"/>
      <c r="HH560" s="259"/>
      <c r="HI560" s="259"/>
      <c r="HJ560" s="259"/>
      <c r="HK560" s="259"/>
      <c r="HL560" s="259"/>
      <c r="HM560" s="259"/>
      <c r="HN560" s="259"/>
      <c r="HO560" s="259"/>
      <c r="HP560" s="259"/>
      <c r="HQ560" s="259"/>
      <c r="HR560" s="259"/>
      <c r="HS560" s="259"/>
      <c r="HT560" s="259"/>
      <c r="HU560" s="259"/>
      <c r="HV560" s="259"/>
      <c r="HW560" s="259"/>
      <c r="HX560" s="259"/>
      <c r="HY560" s="259"/>
      <c r="HZ560" s="259"/>
      <c r="IA560" s="259"/>
      <c r="IB560" s="259"/>
      <c r="IC560" s="259"/>
      <c r="ID560" s="259"/>
      <c r="IE560" s="259"/>
      <c r="IF560" s="259"/>
      <c r="IG560" s="259"/>
      <c r="IH560" s="259"/>
      <c r="II560" s="259"/>
      <c r="IJ560" s="259"/>
      <c r="IK560" s="259"/>
      <c r="IL560" s="259"/>
      <c r="IM560" s="259"/>
      <c r="IN560" s="259"/>
      <c r="IO560" s="259"/>
      <c r="IP560" s="259"/>
      <c r="IQ560" s="259"/>
      <c r="IR560" s="259"/>
      <c r="IS560" s="259"/>
      <c r="IT560" s="259"/>
      <c r="IU560" s="259"/>
      <c r="IV560" s="259"/>
      <c r="IW560" s="259"/>
      <c r="IX560" s="259"/>
      <c r="IY560" s="259"/>
      <c r="IZ560" s="259"/>
      <c r="JA560" s="259"/>
      <c r="JB560" s="259"/>
      <c r="JC560" s="259"/>
      <c r="JD560" s="259"/>
      <c r="JE560" s="259"/>
      <c r="JF560" s="259"/>
      <c r="JG560" s="259"/>
      <c r="JH560" s="259"/>
      <c r="JI560" s="259"/>
      <c r="JJ560" s="259"/>
      <c r="JK560" s="259"/>
      <c r="JL560" s="259"/>
      <c r="JM560" s="259"/>
      <c r="JN560" s="259"/>
      <c r="JO560" s="259"/>
      <c r="JP560" s="259"/>
      <c r="JQ560" s="259"/>
      <c r="JR560" s="259"/>
      <c r="JS560" s="259"/>
      <c r="JT560" s="259"/>
      <c r="JU560" s="259"/>
      <c r="JV560" s="259"/>
      <c r="JW560" s="259"/>
      <c r="JX560" s="259"/>
      <c r="JY560" s="259"/>
      <c r="JZ560" s="259"/>
      <c r="KA560" s="259"/>
      <c r="KB560" s="259"/>
      <c r="KC560" s="259"/>
      <c r="KD560" s="259"/>
      <c r="KE560" s="259"/>
      <c r="KF560" s="259"/>
      <c r="KG560" s="259"/>
      <c r="KH560" s="259"/>
      <c r="KI560" s="259"/>
      <c r="KJ560" s="259"/>
      <c r="KK560" s="259"/>
      <c r="KL560" s="259"/>
      <c r="KM560" s="259"/>
      <c r="KN560" s="259"/>
      <c r="KO560" s="259"/>
      <c r="KP560" s="259"/>
      <c r="KQ560" s="259"/>
      <c r="KR560" s="259"/>
      <c r="KS560" s="259"/>
      <c r="KT560" s="259"/>
      <c r="KU560" s="259"/>
      <c r="KV560" s="259"/>
      <c r="KW560" s="259"/>
      <c r="KX560" s="259"/>
      <c r="KY560" s="259"/>
      <c r="KZ560" s="259"/>
      <c r="LA560" s="259"/>
      <c r="LB560" s="259"/>
      <c r="LC560" s="259"/>
      <c r="LD560" s="259"/>
      <c r="LE560" s="259"/>
      <c r="LF560" s="259"/>
      <c r="LG560" s="259"/>
      <c r="LH560" s="259"/>
      <c r="LI560" s="259"/>
      <c r="LJ560" s="259"/>
      <c r="LK560" s="259"/>
      <c r="LL560" s="259"/>
      <c r="LM560" s="259"/>
      <c r="LN560" s="259"/>
      <c r="LO560" s="259"/>
      <c r="LP560" s="259"/>
      <c r="LQ560" s="259"/>
      <c r="LR560" s="259"/>
      <c r="LS560" s="259"/>
      <c r="LT560" s="259"/>
      <c r="LU560" s="259"/>
      <c r="LV560" s="259"/>
      <c r="LW560" s="259"/>
      <c r="LX560" s="259"/>
      <c r="LY560" s="259"/>
      <c r="LZ560" s="259"/>
      <c r="MA560" s="259"/>
      <c r="MB560" s="259"/>
      <c r="MC560" s="259"/>
      <c r="MD560" s="259"/>
      <c r="ME560" s="259"/>
      <c r="MF560" s="259"/>
      <c r="MG560" s="259"/>
      <c r="MH560" s="259"/>
      <c r="MI560" s="259"/>
      <c r="MJ560" s="259"/>
      <c r="MK560" s="259"/>
      <c r="ML560" s="259"/>
      <c r="MM560" s="259"/>
      <c r="MN560" s="259"/>
      <c r="MO560" s="259"/>
      <c r="MP560" s="259"/>
      <c r="MQ560" s="259"/>
      <c r="MR560" s="259"/>
      <c r="MS560" s="259"/>
      <c r="MT560" s="259"/>
      <c r="MU560" s="259"/>
      <c r="MV560" s="259"/>
      <c r="MW560" s="259"/>
      <c r="MX560" s="259"/>
      <c r="MY560" s="259"/>
      <c r="MZ560" s="259"/>
      <c r="NA560" s="259"/>
      <c r="NB560" s="259"/>
      <c r="NC560" s="259"/>
      <c r="ND560" s="259"/>
      <c r="NE560" s="259"/>
      <c r="NF560" s="259"/>
      <c r="NG560" s="259"/>
      <c r="NH560" s="259"/>
      <c r="NI560" s="259"/>
      <c r="NJ560" s="259"/>
      <c r="NK560" s="259"/>
      <c r="NL560" s="259"/>
      <c r="NM560" s="259"/>
      <c r="NN560" s="259"/>
      <c r="NO560" s="259"/>
      <c r="NP560" s="259"/>
      <c r="NQ560" s="259"/>
      <c r="NR560" s="259"/>
      <c r="NS560" s="259"/>
      <c r="NT560" s="259"/>
      <c r="NU560" s="259"/>
      <c r="NV560" s="259"/>
      <c r="NW560" s="259"/>
      <c r="NX560" s="259"/>
      <c r="NY560" s="259"/>
      <c r="NZ560" s="259"/>
      <c r="OA560" s="259"/>
      <c r="OB560" s="259"/>
      <c r="OC560" s="259"/>
      <c r="OD560" s="259"/>
      <c r="OE560" s="259"/>
      <c r="OF560" s="259"/>
      <c r="OG560" s="259"/>
      <c r="OH560" s="259"/>
      <c r="OI560" s="259"/>
      <c r="OJ560" s="259"/>
      <c r="OK560" s="259"/>
      <c r="OL560" s="259"/>
      <c r="OM560" s="259"/>
      <c r="ON560" s="259"/>
      <c r="OO560" s="259"/>
      <c r="OP560" s="259"/>
      <c r="OQ560" s="259"/>
      <c r="OR560" s="259"/>
      <c r="OS560" s="259"/>
      <c r="OT560" s="259"/>
      <c r="OU560" s="259"/>
      <c r="OV560" s="259"/>
      <c r="OW560" s="259"/>
      <c r="OX560" s="259"/>
      <c r="OY560" s="259"/>
      <c r="OZ560" s="259"/>
      <c r="PA560" s="259"/>
      <c r="PB560" s="259"/>
      <c r="PC560" s="259"/>
      <c r="PD560" s="259"/>
      <c r="PE560" s="259"/>
      <c r="PF560" s="259"/>
      <c r="PG560" s="259"/>
      <c r="PH560" s="259"/>
      <c r="PI560" s="259"/>
      <c r="PJ560" s="259"/>
      <c r="PK560" s="259"/>
      <c r="PL560" s="259"/>
      <c r="PM560" s="259"/>
      <c r="PN560" s="259"/>
      <c r="PO560" s="259"/>
      <c r="PP560" s="259"/>
      <c r="PQ560" s="259"/>
      <c r="PR560" s="259"/>
      <c r="PS560" s="259"/>
      <c r="PT560" s="259"/>
      <c r="PU560" s="259"/>
      <c r="PV560" s="259"/>
      <c r="PW560" s="259"/>
      <c r="PX560" s="259"/>
      <c r="PY560" s="259"/>
      <c r="PZ560" s="259"/>
      <c r="QA560" s="259"/>
      <c r="QB560" s="259"/>
      <c r="QC560" s="259"/>
      <c r="QD560" s="259"/>
      <c r="QE560" s="259"/>
      <c r="QF560" s="259"/>
      <c r="QG560" s="259"/>
      <c r="QH560" s="259"/>
      <c r="QI560" s="259"/>
      <c r="QJ560" s="259"/>
      <c r="QK560" s="259"/>
      <c r="QL560" s="259"/>
      <c r="QM560" s="259"/>
      <c r="QN560" s="259"/>
      <c r="QO560" s="259"/>
      <c r="QP560" s="259"/>
      <c r="QQ560" s="259"/>
      <c r="QR560" s="259"/>
      <c r="QS560" s="259"/>
      <c r="QT560" s="259"/>
      <c r="QU560" s="259"/>
      <c r="QV560" s="259"/>
      <c r="QW560" s="259"/>
      <c r="QX560" s="259"/>
      <c r="QY560" s="259"/>
      <c r="QZ560" s="259"/>
      <c r="RA560" s="259"/>
      <c r="RB560" s="259"/>
      <c r="RC560" s="259"/>
      <c r="RD560" s="259"/>
      <c r="RE560" s="259"/>
      <c r="RF560" s="259"/>
      <c r="RG560" s="259"/>
      <c r="RH560" s="259"/>
      <c r="RI560" s="259"/>
      <c r="RJ560" s="259"/>
      <c r="RK560" s="259"/>
      <c r="RL560" s="259"/>
      <c r="RM560" s="259"/>
      <c r="RN560" s="259"/>
      <c r="RO560" s="259"/>
      <c r="RP560" s="259"/>
      <c r="RQ560" s="259"/>
      <c r="RR560" s="259"/>
      <c r="RS560" s="259"/>
      <c r="RT560" s="259"/>
      <c r="RU560" s="259"/>
      <c r="RV560" s="259"/>
      <c r="RW560" s="259"/>
      <c r="RX560" s="259"/>
      <c r="RY560" s="259"/>
      <c r="RZ560" s="259"/>
      <c r="SA560" s="259"/>
      <c r="SB560" s="259"/>
      <c r="SC560" s="259"/>
      <c r="SD560" s="259"/>
      <c r="SE560" s="259"/>
      <c r="SF560" s="259"/>
      <c r="SG560" s="259"/>
      <c r="SH560" s="259"/>
      <c r="SI560" s="259"/>
      <c r="SJ560" s="259"/>
      <c r="SK560" s="259"/>
      <c r="SL560" s="259"/>
      <c r="SM560" s="259"/>
      <c r="SN560" s="259"/>
      <c r="SO560" s="259"/>
      <c r="SP560" s="259"/>
      <c r="SQ560" s="259"/>
      <c r="SR560" s="259"/>
      <c r="SS560" s="259"/>
      <c r="ST560" s="259"/>
      <c r="SU560" s="259"/>
      <c r="SV560" s="259"/>
      <c r="SW560" s="259"/>
      <c r="SX560" s="259"/>
      <c r="SY560" s="259"/>
      <c r="SZ560" s="259"/>
      <c r="TA560" s="259"/>
      <c r="TB560" s="259"/>
      <c r="TC560" s="259"/>
      <c r="TD560" s="259"/>
      <c r="TE560" s="259"/>
      <c r="TF560" s="259"/>
      <c r="TG560" s="259"/>
      <c r="TH560" s="259"/>
      <c r="TI560" s="259"/>
      <c r="TJ560" s="259"/>
      <c r="TK560" s="259"/>
      <c r="TL560" s="259"/>
      <c r="TM560" s="259"/>
      <c r="TN560" s="259"/>
      <c r="TO560" s="259"/>
      <c r="TP560" s="259"/>
      <c r="TQ560" s="259"/>
      <c r="TR560" s="259"/>
      <c r="TS560" s="259"/>
      <c r="TT560" s="259"/>
      <c r="TU560" s="259"/>
      <c r="TV560" s="259"/>
      <c r="TW560" s="259"/>
      <c r="TX560" s="259"/>
      <c r="TY560" s="259"/>
      <c r="TZ560" s="259"/>
      <c r="UA560" s="259"/>
      <c r="UB560" s="259"/>
      <c r="UC560" s="259"/>
      <c r="UD560" s="259"/>
      <c r="UE560" s="259"/>
      <c r="UF560" s="259"/>
      <c r="UG560" s="259"/>
      <c r="UH560" s="259"/>
      <c r="UI560" s="259"/>
    </row>
    <row r="561" spans="1:555" s="259" customFormat="1" ht="61.5" customHeight="1">
      <c r="A561" s="502">
        <v>283</v>
      </c>
      <c r="B561" s="686" t="s">
        <v>3275</v>
      </c>
      <c r="C561" s="687">
        <v>79806094</v>
      </c>
      <c r="D561" s="688" t="s">
        <v>597</v>
      </c>
      <c r="E561" s="27">
        <v>42529</v>
      </c>
      <c r="F561" s="689">
        <v>42522</v>
      </c>
      <c r="G561" s="690" t="s">
        <v>3276</v>
      </c>
      <c r="H561" s="686" t="s">
        <v>63</v>
      </c>
      <c r="I561" s="686" t="s">
        <v>3277</v>
      </c>
      <c r="J561" s="27">
        <v>42528</v>
      </c>
      <c r="K561" s="689">
        <v>42522</v>
      </c>
      <c r="L561" s="690" t="s">
        <v>3278</v>
      </c>
      <c r="M561" s="686" t="s">
        <v>625</v>
      </c>
      <c r="N561" s="686" t="s">
        <v>183</v>
      </c>
      <c r="O561" s="27">
        <v>42650</v>
      </c>
      <c r="P561" s="691">
        <v>42644</v>
      </c>
      <c r="Q561" s="690" t="s">
        <v>3279</v>
      </c>
      <c r="R561" s="686" t="s">
        <v>1493</v>
      </c>
      <c r="S561" s="686" t="s">
        <v>183</v>
      </c>
      <c r="T561" s="27">
        <v>42752</v>
      </c>
      <c r="U561" s="689">
        <v>42736</v>
      </c>
      <c r="V561" s="690" t="s">
        <v>3280</v>
      </c>
      <c r="W561" s="686" t="s">
        <v>63</v>
      </c>
      <c r="X561" s="686" t="s">
        <v>101</v>
      </c>
      <c r="Y561" s="27">
        <v>42765</v>
      </c>
      <c r="Z561" s="689">
        <v>42736</v>
      </c>
      <c r="AA561" s="690" t="s">
        <v>3281</v>
      </c>
      <c r="AB561" s="686" t="s">
        <v>63</v>
      </c>
      <c r="AC561" s="686" t="s">
        <v>3282</v>
      </c>
      <c r="AD561" s="27">
        <v>43032</v>
      </c>
      <c r="AE561" s="689">
        <v>43009</v>
      </c>
      <c r="AF561" s="690" t="s">
        <v>3283</v>
      </c>
      <c r="AG561" s="686" t="s">
        <v>63</v>
      </c>
      <c r="AH561" s="686" t="s">
        <v>3284</v>
      </c>
      <c r="AI561" s="693"/>
      <c r="AJ561" s="689"/>
      <c r="AK561" s="690"/>
      <c r="AL561" s="686"/>
      <c r="AM561" s="686"/>
      <c r="AN561" s="686" t="s">
        <v>1359</v>
      </c>
      <c r="AO561" s="694">
        <v>42752</v>
      </c>
      <c r="AP561" s="686"/>
      <c r="AQ561" s="690" t="s">
        <v>3285</v>
      </c>
      <c r="AR561" s="686" t="s">
        <v>161</v>
      </c>
      <c r="AS561" s="27">
        <v>38543</v>
      </c>
      <c r="AT561" s="27">
        <v>40625</v>
      </c>
      <c r="AU561" s="686" t="s">
        <v>3286</v>
      </c>
      <c r="AV561" s="686"/>
      <c r="AW561" s="686" t="s">
        <v>69</v>
      </c>
      <c r="AX561" s="686" t="s">
        <v>2721</v>
      </c>
      <c r="AY561" s="27">
        <v>42073</v>
      </c>
      <c r="AZ561" s="686" t="s">
        <v>94</v>
      </c>
      <c r="BA561" s="27">
        <v>42474</v>
      </c>
      <c r="BB561" s="27">
        <v>42530</v>
      </c>
      <c r="BC561" s="686" t="s">
        <v>95</v>
      </c>
      <c r="BD561" s="686" t="s">
        <v>566</v>
      </c>
      <c r="BE561" s="686"/>
      <c r="BF561" s="690" t="s">
        <v>7311</v>
      </c>
      <c r="BG561" s="690"/>
      <c r="BH561" s="690"/>
      <c r="BI561" s="690"/>
      <c r="BJ561" s="803">
        <f>+[111]MATRIZ!$J$85</f>
        <v>0</v>
      </c>
      <c r="BK561" s="696"/>
      <c r="BL561" s="697"/>
      <c r="BM561" s="27"/>
      <c r="BN561" s="698"/>
      <c r="BO561" s="699"/>
      <c r="BP561" s="700"/>
      <c r="BQ561" s="686"/>
      <c r="BR561" s="701"/>
      <c r="BS561" s="690"/>
      <c r="BT561" s="690"/>
      <c r="BU561" s="690"/>
      <c r="BV561" s="690"/>
      <c r="BW561" s="702"/>
      <c r="BX561" s="693"/>
      <c r="BY561" s="27"/>
      <c r="BZ561" s="703"/>
    </row>
    <row r="562" spans="1:555" ht="108">
      <c r="A562" s="296">
        <v>286</v>
      </c>
      <c r="B562" s="297" t="s">
        <v>3306</v>
      </c>
      <c r="C562" s="298">
        <v>3103062</v>
      </c>
      <c r="D562" s="354" t="s">
        <v>906</v>
      </c>
      <c r="E562" s="299">
        <v>42536</v>
      </c>
      <c r="F562" s="300">
        <v>42522</v>
      </c>
      <c r="G562" s="301" t="s">
        <v>3307</v>
      </c>
      <c r="H562" s="297" t="s">
        <v>195</v>
      </c>
      <c r="I562" s="297" t="s">
        <v>336</v>
      </c>
      <c r="J562" s="299">
        <v>42706</v>
      </c>
      <c r="K562" s="300">
        <v>42705</v>
      </c>
      <c r="L562" s="301" t="s">
        <v>3308</v>
      </c>
      <c r="M562" s="297" t="s">
        <v>5</v>
      </c>
      <c r="N562" s="297" t="s">
        <v>101</v>
      </c>
      <c r="O562" s="299"/>
      <c r="P562" s="302"/>
      <c r="Q562" s="301"/>
      <c r="R562" s="297"/>
      <c r="S562" s="297"/>
      <c r="T562" s="299"/>
      <c r="U562" s="300"/>
      <c r="V562" s="301"/>
      <c r="W562" s="297"/>
      <c r="X562" s="297"/>
      <c r="Y562" s="299"/>
      <c r="Z562" s="300"/>
      <c r="AA562" s="301"/>
      <c r="AB562" s="297"/>
      <c r="AC562" s="297"/>
      <c r="AD562" s="299"/>
      <c r="AE562" s="300"/>
      <c r="AF562" s="301"/>
      <c r="AG562" s="297"/>
      <c r="AH562" s="297"/>
      <c r="AI562" s="322"/>
      <c r="AJ562" s="300"/>
      <c r="AK562" s="301"/>
      <c r="AL562" s="297"/>
      <c r="AM562" s="297"/>
      <c r="AN562" s="297" t="s">
        <v>2968</v>
      </c>
      <c r="AO562" s="540">
        <v>42706</v>
      </c>
      <c r="AP562" s="297"/>
      <c r="AQ562" s="301" t="s">
        <v>3309</v>
      </c>
      <c r="AR562" s="297" t="s">
        <v>161</v>
      </c>
      <c r="AS562" s="299">
        <v>40474</v>
      </c>
      <c r="AT562" s="299">
        <v>40908</v>
      </c>
      <c r="AU562" s="297" t="s">
        <v>3310</v>
      </c>
      <c r="AV562" s="297"/>
      <c r="AW562" s="297" t="s">
        <v>69</v>
      </c>
      <c r="AX562" s="297" t="s">
        <v>1746</v>
      </c>
      <c r="AY562" s="299">
        <v>42209</v>
      </c>
      <c r="AZ562" s="297" t="s">
        <v>3311</v>
      </c>
      <c r="BA562" s="299">
        <v>42460</v>
      </c>
      <c r="BB562" s="299">
        <v>42492</v>
      </c>
      <c r="BC562" s="303" t="s">
        <v>912</v>
      </c>
      <c r="BD562" s="303" t="s">
        <v>566</v>
      </c>
      <c r="BE562" s="297"/>
      <c r="BF562" s="301"/>
      <c r="BG562" s="308"/>
      <c r="BH562" s="301" t="s">
        <v>10574</v>
      </c>
      <c r="BI562" s="308"/>
      <c r="BJ562" s="312">
        <f>+[112]MATRIZ!$J$47</f>
        <v>0</v>
      </c>
      <c r="BK562" s="312"/>
      <c r="BL562" s="313"/>
      <c r="BM562" s="299"/>
      <c r="BN562" s="314"/>
      <c r="BO562" s="460"/>
      <c r="BP562" s="390"/>
      <c r="BQ562" s="297"/>
      <c r="BR562" s="303"/>
      <c r="BS562" s="301"/>
      <c r="BT562" s="301"/>
      <c r="BU562" s="301"/>
      <c r="BV562" s="301"/>
      <c r="BW562" s="316"/>
      <c r="BX562" s="304"/>
      <c r="BY562" s="299"/>
      <c r="BZ562" s="317"/>
    </row>
    <row r="563" spans="1:555" ht="108">
      <c r="A563" s="296">
        <v>288</v>
      </c>
      <c r="B563" s="297" t="s">
        <v>3321</v>
      </c>
      <c r="C563" s="321">
        <v>80426571</v>
      </c>
      <c r="D563" s="354" t="s">
        <v>906</v>
      </c>
      <c r="E563" s="299">
        <v>42542</v>
      </c>
      <c r="F563" s="300">
        <v>42522</v>
      </c>
      <c r="G563" s="301" t="s">
        <v>3322</v>
      </c>
      <c r="H563" s="297" t="s">
        <v>171</v>
      </c>
      <c r="I563" s="297" t="s">
        <v>183</v>
      </c>
      <c r="J563" s="299">
        <v>42650</v>
      </c>
      <c r="K563" s="300">
        <v>42644</v>
      </c>
      <c r="L563" s="301" t="s">
        <v>2820</v>
      </c>
      <c r="M563" s="297" t="s">
        <v>171</v>
      </c>
      <c r="N563" s="297" t="s">
        <v>2223</v>
      </c>
      <c r="O563" s="299">
        <v>42706</v>
      </c>
      <c r="P563" s="302">
        <v>42705</v>
      </c>
      <c r="Q563" s="301" t="s">
        <v>3323</v>
      </c>
      <c r="R563" s="297" t="s">
        <v>5</v>
      </c>
      <c r="S563" s="297" t="s">
        <v>336</v>
      </c>
      <c r="T563" s="299">
        <v>43622</v>
      </c>
      <c r="U563" s="300">
        <v>43622</v>
      </c>
      <c r="V563" s="301" t="s">
        <v>8779</v>
      </c>
      <c r="W563" s="297" t="s">
        <v>5</v>
      </c>
      <c r="X563" s="297" t="s">
        <v>85</v>
      </c>
      <c r="Y563" s="299"/>
      <c r="Z563" s="300"/>
      <c r="AA563" s="301"/>
      <c r="AB563" s="297"/>
      <c r="AC563" s="297"/>
      <c r="AD563" s="299"/>
      <c r="AE563" s="300"/>
      <c r="AF563" s="301"/>
      <c r="AG563" s="297"/>
      <c r="AH563" s="297"/>
      <c r="AI563" s="322"/>
      <c r="AJ563" s="300"/>
      <c r="AK563" s="301"/>
      <c r="AL563" s="297"/>
      <c r="AM563" s="297"/>
      <c r="AN563" s="297" t="s">
        <v>2968</v>
      </c>
      <c r="AO563" s="540">
        <v>42706</v>
      </c>
      <c r="AP563" s="297"/>
      <c r="AQ563" s="301" t="s">
        <v>3324</v>
      </c>
      <c r="AR563" s="297" t="s">
        <v>161</v>
      </c>
      <c r="AS563" s="299">
        <v>40490</v>
      </c>
      <c r="AT563" s="299">
        <v>40908</v>
      </c>
      <c r="AU563" s="297" t="s">
        <v>3325</v>
      </c>
      <c r="AV563" s="297"/>
      <c r="AW563" s="297" t="s">
        <v>69</v>
      </c>
      <c r="AX563" s="297" t="s">
        <v>2721</v>
      </c>
      <c r="AY563" s="299">
        <v>42145</v>
      </c>
      <c r="AZ563" s="297" t="s">
        <v>3326</v>
      </c>
      <c r="BA563" s="299">
        <v>42424</v>
      </c>
      <c r="BB563" s="299">
        <v>42424</v>
      </c>
      <c r="BC563" s="303" t="s">
        <v>912</v>
      </c>
      <c r="BD563" s="303" t="s">
        <v>566</v>
      </c>
      <c r="BE563" s="297"/>
      <c r="BF563" s="301"/>
      <c r="BG563" s="308"/>
      <c r="BH563" s="301"/>
      <c r="BI563" s="308"/>
      <c r="BJ563" s="312">
        <f>+'[113]MATRIZ '!$J$48</f>
        <v>0</v>
      </c>
      <c r="BK563" s="312"/>
      <c r="BL563" s="313"/>
      <c r="BM563" s="299"/>
      <c r="BN563" s="314"/>
      <c r="BO563" s="460"/>
      <c r="BP563" s="390"/>
      <c r="BQ563" s="297"/>
      <c r="BR563" s="303"/>
      <c r="BS563" s="301"/>
      <c r="BT563" s="301"/>
      <c r="BU563" s="301"/>
      <c r="BV563" s="301"/>
      <c r="BW563" s="316"/>
      <c r="BX563" s="304"/>
      <c r="BY563" s="299"/>
      <c r="BZ563" s="317"/>
    </row>
    <row r="564" spans="1:555" ht="175.5">
      <c r="A564" s="57">
        <v>289</v>
      </c>
      <c r="B564" s="58" t="s">
        <v>7296</v>
      </c>
      <c r="C564" s="59" t="s">
        <v>7297</v>
      </c>
      <c r="D564" s="170"/>
      <c r="E564" s="60">
        <v>42544</v>
      </c>
      <c r="F564" s="61">
        <v>42522</v>
      </c>
      <c r="G564" s="62" t="s">
        <v>3327</v>
      </c>
      <c r="H564" s="58" t="s">
        <v>625</v>
      </c>
      <c r="I564" s="58" t="s">
        <v>183</v>
      </c>
      <c r="J564" s="60"/>
      <c r="K564" s="61"/>
      <c r="L564" s="62"/>
      <c r="M564" s="58"/>
      <c r="N564" s="58"/>
      <c r="O564" s="60"/>
      <c r="P564" s="63"/>
      <c r="Q564" s="62"/>
      <c r="R564" s="58"/>
      <c r="S564" s="58"/>
      <c r="T564" s="60"/>
      <c r="U564" s="61"/>
      <c r="V564" s="62"/>
      <c r="W564" s="58"/>
      <c r="X564" s="58"/>
      <c r="Y564" s="60"/>
      <c r="Z564" s="61"/>
      <c r="AA564" s="62"/>
      <c r="AB564" s="58"/>
      <c r="AC564" s="58"/>
      <c r="AD564" s="60"/>
      <c r="AE564" s="61"/>
      <c r="AF564" s="62"/>
      <c r="AG564" s="58"/>
      <c r="AH564" s="58"/>
      <c r="AI564" s="117"/>
      <c r="AJ564" s="61"/>
      <c r="AK564" s="62"/>
      <c r="AL564" s="58"/>
      <c r="AM564" s="58"/>
      <c r="AN564" s="70" t="s">
        <v>3328</v>
      </c>
      <c r="AO564" s="481" t="s">
        <v>7946</v>
      </c>
      <c r="AP564" s="70"/>
      <c r="AQ564" s="62" t="s">
        <v>3329</v>
      </c>
      <c r="AR564" s="58" t="s">
        <v>161</v>
      </c>
      <c r="AS564" s="60" t="s">
        <v>67</v>
      </c>
      <c r="AT564" s="60" t="s">
        <v>67</v>
      </c>
      <c r="AU564" s="58" t="s">
        <v>3330</v>
      </c>
      <c r="AV564" s="58"/>
      <c r="AW564" s="58" t="s">
        <v>92</v>
      </c>
      <c r="AX564" s="58" t="s">
        <v>202</v>
      </c>
      <c r="AY564" s="60">
        <v>41912</v>
      </c>
      <c r="AZ564" s="58" t="s">
        <v>627</v>
      </c>
      <c r="BA564" s="60">
        <v>42247</v>
      </c>
      <c r="BB564" s="382">
        <v>42509</v>
      </c>
      <c r="BC564" s="70" t="s">
        <v>561</v>
      </c>
      <c r="BD564" s="70" t="s">
        <v>566</v>
      </c>
      <c r="BE564" s="58" t="s">
        <v>3331</v>
      </c>
      <c r="BF564" s="62"/>
      <c r="BG564" s="92"/>
      <c r="BH564" s="62"/>
      <c r="BI564" s="92"/>
      <c r="BJ564" s="74">
        <f>+[114]MATRIZ!$K$28</f>
        <v>121419245.66879109</v>
      </c>
      <c r="BK564" s="67"/>
      <c r="BL564" s="68"/>
      <c r="BM564" s="60"/>
      <c r="BN564" s="69"/>
      <c r="BO564" s="463"/>
      <c r="BP564" s="122"/>
      <c r="BQ564" s="58"/>
      <c r="BR564" s="70"/>
      <c r="BS564" s="62"/>
      <c r="BT564" s="62"/>
      <c r="BU564" s="62"/>
      <c r="BV564" s="62"/>
      <c r="BW564" s="71"/>
      <c r="BX564" s="66"/>
      <c r="BY564" s="60"/>
      <c r="BZ564" s="72"/>
    </row>
    <row r="565" spans="1:555" ht="41.25" customHeight="1" thickBot="1">
      <c r="A565" s="296">
        <v>290</v>
      </c>
      <c r="B565" s="297" t="s">
        <v>3332</v>
      </c>
      <c r="C565" s="298">
        <v>3228150</v>
      </c>
      <c r="D565" s="354" t="s">
        <v>167</v>
      </c>
      <c r="E565" s="299">
        <v>42546</v>
      </c>
      <c r="F565" s="300">
        <v>42522</v>
      </c>
      <c r="G565" s="301" t="s">
        <v>3333</v>
      </c>
      <c r="H565" s="297" t="s">
        <v>625</v>
      </c>
      <c r="I565" s="297" t="s">
        <v>183</v>
      </c>
      <c r="J565" s="299">
        <v>42699</v>
      </c>
      <c r="K565" s="300">
        <v>42675</v>
      </c>
      <c r="L565" s="301" t="s">
        <v>3334</v>
      </c>
      <c r="M565" s="297" t="s">
        <v>5</v>
      </c>
      <c r="N565" s="297" t="s">
        <v>101</v>
      </c>
      <c r="O565" s="299">
        <v>43357</v>
      </c>
      <c r="P565" s="302">
        <v>43357</v>
      </c>
      <c r="Q565" s="537" t="s">
        <v>3335</v>
      </c>
      <c r="R565" s="297" t="s">
        <v>5</v>
      </c>
      <c r="S565" s="537" t="s">
        <v>79</v>
      </c>
      <c r="T565" s="299"/>
      <c r="U565" s="300"/>
      <c r="V565" s="301"/>
      <c r="W565" s="297"/>
      <c r="X565" s="297"/>
      <c r="Y565" s="299"/>
      <c r="Z565" s="300"/>
      <c r="AA565" s="301"/>
      <c r="AB565" s="297"/>
      <c r="AC565" s="297"/>
      <c r="AD565" s="299"/>
      <c r="AE565" s="300"/>
      <c r="AF565" s="301"/>
      <c r="AG565" s="297"/>
      <c r="AH565" s="297"/>
      <c r="AI565" s="322"/>
      <c r="AJ565" s="300"/>
      <c r="AK565" s="301"/>
      <c r="AL565" s="297"/>
      <c r="AM565" s="297"/>
      <c r="AN565" s="297" t="s">
        <v>3336</v>
      </c>
      <c r="AO565" s="540">
        <v>42699</v>
      </c>
      <c r="AP565" s="297"/>
      <c r="AQ565" s="301" t="s">
        <v>3337</v>
      </c>
      <c r="AR565" s="297" t="s">
        <v>161</v>
      </c>
      <c r="AS565" s="299">
        <v>37249</v>
      </c>
      <c r="AT565" s="299">
        <v>40694</v>
      </c>
      <c r="AU565" s="297" t="s">
        <v>3338</v>
      </c>
      <c r="AV565" s="297"/>
      <c r="AW565" s="297" t="s">
        <v>92</v>
      </c>
      <c r="AX565" s="297" t="s">
        <v>3300</v>
      </c>
      <c r="AY565" s="299">
        <v>41547</v>
      </c>
      <c r="AZ565" s="297" t="s">
        <v>2657</v>
      </c>
      <c r="BA565" s="299">
        <v>42516</v>
      </c>
      <c r="BB565" s="299">
        <v>42535</v>
      </c>
      <c r="BC565" s="297" t="s">
        <v>95</v>
      </c>
      <c r="BD565" s="297" t="s">
        <v>566</v>
      </c>
      <c r="BE565" s="297"/>
      <c r="BF565" s="301" t="s">
        <v>7312</v>
      </c>
      <c r="BG565" s="301"/>
      <c r="BH565" s="301"/>
      <c r="BI565" s="301"/>
      <c r="BJ565" s="312">
        <f>+'[115]MATRIZ '!$J$84</f>
        <v>345535295.37460923</v>
      </c>
      <c r="BK565" s="312"/>
      <c r="BL565" s="313"/>
      <c r="BM565" s="299"/>
      <c r="BN565" s="314"/>
      <c r="BO565" s="872"/>
      <c r="BP565" s="390"/>
      <c r="BQ565" s="297"/>
      <c r="BR565" s="303"/>
      <c r="BS565" s="301"/>
      <c r="BT565" s="301"/>
      <c r="BU565" s="301"/>
      <c r="BV565" s="301"/>
      <c r="BW565" s="316"/>
      <c r="BX565" s="304"/>
      <c r="BY565" s="299"/>
      <c r="BZ565" s="317"/>
    </row>
    <row r="566" spans="1:555" ht="175.5">
      <c r="A566" s="296">
        <v>292</v>
      </c>
      <c r="B566" s="297" t="s">
        <v>3356</v>
      </c>
      <c r="C566" s="298">
        <v>17545900</v>
      </c>
      <c r="D566" s="354" t="s">
        <v>667</v>
      </c>
      <c r="E566" s="299">
        <v>42557</v>
      </c>
      <c r="F566" s="300">
        <v>42552</v>
      </c>
      <c r="G566" s="301" t="s">
        <v>3357</v>
      </c>
      <c r="H566" s="297" t="s">
        <v>625</v>
      </c>
      <c r="I566" s="297" t="s">
        <v>183</v>
      </c>
      <c r="J566" s="299">
        <v>42881</v>
      </c>
      <c r="K566" s="300">
        <v>42856</v>
      </c>
      <c r="L566" s="301" t="s">
        <v>3358</v>
      </c>
      <c r="M566" s="297" t="s">
        <v>63</v>
      </c>
      <c r="N566" s="297" t="s">
        <v>570</v>
      </c>
      <c r="O566" s="299">
        <v>43150</v>
      </c>
      <c r="P566" s="302">
        <v>43132</v>
      </c>
      <c r="Q566" s="301" t="s">
        <v>1142</v>
      </c>
      <c r="R566" s="297" t="s">
        <v>63</v>
      </c>
      <c r="S566" s="297" t="s">
        <v>107</v>
      </c>
      <c r="T566" s="299">
        <v>43206</v>
      </c>
      <c r="U566" s="300">
        <v>43191</v>
      </c>
      <c r="V566" s="301" t="s">
        <v>3359</v>
      </c>
      <c r="W566" s="297" t="s">
        <v>63</v>
      </c>
      <c r="X566" s="297" t="s">
        <v>107</v>
      </c>
      <c r="Y566" s="299">
        <v>43847</v>
      </c>
      <c r="Z566" s="300">
        <v>43847</v>
      </c>
      <c r="AA566" s="301" t="s">
        <v>9386</v>
      </c>
      <c r="AB566" s="297" t="s">
        <v>208</v>
      </c>
      <c r="AC566" s="297" t="s">
        <v>1114</v>
      </c>
      <c r="AD566" s="299">
        <v>43879</v>
      </c>
      <c r="AE566" s="300">
        <v>43879</v>
      </c>
      <c r="AF566" s="301" t="s">
        <v>9471</v>
      </c>
      <c r="AG566" s="297" t="s">
        <v>63</v>
      </c>
      <c r="AH566" s="297" t="s">
        <v>9472</v>
      </c>
      <c r="AI566" s="299" t="s">
        <v>10404</v>
      </c>
      <c r="AJ566" s="300" t="s">
        <v>10405</v>
      </c>
      <c r="AK566" s="301" t="s">
        <v>10403</v>
      </c>
      <c r="AL566" s="297" t="s">
        <v>10406</v>
      </c>
      <c r="AM566" s="297" t="s">
        <v>10407</v>
      </c>
      <c r="AN566" s="297" t="s">
        <v>3360</v>
      </c>
      <c r="AO566" s="540">
        <v>42881</v>
      </c>
      <c r="AP566" s="297"/>
      <c r="AQ566" s="301" t="s">
        <v>3361</v>
      </c>
      <c r="AR566" s="297" t="s">
        <v>161</v>
      </c>
      <c r="AS566" s="299">
        <v>38596</v>
      </c>
      <c r="AT566" s="299">
        <v>40786</v>
      </c>
      <c r="AU566" s="297" t="s">
        <v>7254</v>
      </c>
      <c r="AV566" s="297"/>
      <c r="AW566" s="297" t="s">
        <v>92</v>
      </c>
      <c r="AX566" s="297" t="s">
        <v>318</v>
      </c>
      <c r="AY566" s="299">
        <v>41547</v>
      </c>
      <c r="AZ566" s="297" t="s">
        <v>94</v>
      </c>
      <c r="BA566" s="299">
        <v>42516</v>
      </c>
      <c r="BB566" s="299">
        <v>42531</v>
      </c>
      <c r="BC566" s="297" t="s">
        <v>95</v>
      </c>
      <c r="BD566" s="297" t="s">
        <v>566</v>
      </c>
      <c r="BE566" s="297"/>
      <c r="BF566" s="301"/>
      <c r="BG566" s="308"/>
      <c r="BH566" s="301"/>
      <c r="BI566" s="308"/>
      <c r="BJ566" s="312">
        <f>+[116]MATRIZ!$J$65</f>
        <v>0</v>
      </c>
      <c r="BK566" s="312"/>
      <c r="BL566" s="313"/>
      <c r="BM566" s="299"/>
      <c r="BN566" s="314"/>
      <c r="BO566" s="460"/>
      <c r="BP566" s="390"/>
      <c r="BQ566" s="297"/>
      <c r="BR566" s="303"/>
      <c r="BS566" s="301"/>
      <c r="BT566" s="301"/>
      <c r="BU566" s="301"/>
      <c r="BV566" s="301"/>
      <c r="BW566" s="316"/>
      <c r="BX566" s="304"/>
      <c r="BY566" s="299"/>
      <c r="BZ566" s="317"/>
    </row>
    <row r="567" spans="1:555" ht="135">
      <c r="A567" s="502">
        <v>294</v>
      </c>
      <c r="B567" s="686" t="s">
        <v>4419</v>
      </c>
      <c r="C567" s="687">
        <v>96192807</v>
      </c>
      <c r="D567" s="688" t="s">
        <v>906</v>
      </c>
      <c r="E567" s="27"/>
      <c r="F567" s="689">
        <v>42552</v>
      </c>
      <c r="G567" s="690" t="s">
        <v>8204</v>
      </c>
      <c r="H567" s="686" t="s">
        <v>625</v>
      </c>
      <c r="I567" s="686" t="s">
        <v>183</v>
      </c>
      <c r="J567" s="27">
        <v>42566</v>
      </c>
      <c r="K567" s="689">
        <v>42552</v>
      </c>
      <c r="L567" s="690" t="s">
        <v>3371</v>
      </c>
      <c r="M567" s="686" t="s">
        <v>195</v>
      </c>
      <c r="N567" s="686" t="s">
        <v>183</v>
      </c>
      <c r="O567" s="27">
        <v>42578</v>
      </c>
      <c r="P567" s="691">
        <v>42552</v>
      </c>
      <c r="Q567" s="690" t="s">
        <v>3372</v>
      </c>
      <c r="R567" s="686" t="s">
        <v>171</v>
      </c>
      <c r="S567" s="686" t="s">
        <v>1544</v>
      </c>
      <c r="T567" s="27">
        <v>42591</v>
      </c>
      <c r="U567" s="689">
        <v>42583</v>
      </c>
      <c r="V567" s="690" t="s">
        <v>3373</v>
      </c>
      <c r="W567" s="686" t="s">
        <v>171</v>
      </c>
      <c r="X567" s="686" t="s">
        <v>183</v>
      </c>
      <c r="Y567" s="27">
        <v>42874</v>
      </c>
      <c r="Z567" s="689">
        <v>42856</v>
      </c>
      <c r="AA567" s="690" t="s">
        <v>3374</v>
      </c>
      <c r="AB567" s="686" t="s">
        <v>5</v>
      </c>
      <c r="AC567" s="686" t="s">
        <v>3375</v>
      </c>
      <c r="AD567" s="27"/>
      <c r="AE567" s="689"/>
      <c r="AF567" s="690"/>
      <c r="AG567" s="686"/>
      <c r="AH567" s="686"/>
      <c r="AI567" s="704"/>
      <c r="AJ567" s="689"/>
      <c r="AK567" s="690"/>
      <c r="AL567" s="686"/>
      <c r="AM567" s="686"/>
      <c r="AN567" s="686" t="s">
        <v>3376</v>
      </c>
      <c r="AO567" s="694">
        <v>42874</v>
      </c>
      <c r="AP567" s="686"/>
      <c r="AQ567" s="690" t="s">
        <v>3377</v>
      </c>
      <c r="AR567" s="686" t="s">
        <v>161</v>
      </c>
      <c r="AS567" s="27">
        <v>38062</v>
      </c>
      <c r="AT567" s="27">
        <v>40908</v>
      </c>
      <c r="AU567" s="686" t="s">
        <v>3378</v>
      </c>
      <c r="AV567" s="686"/>
      <c r="AW567" s="686" t="s">
        <v>69</v>
      </c>
      <c r="AX567" s="686" t="s">
        <v>3379</v>
      </c>
      <c r="AY567" s="27">
        <v>42200</v>
      </c>
      <c r="AZ567" s="686" t="s">
        <v>3380</v>
      </c>
      <c r="BA567" s="27">
        <v>42523</v>
      </c>
      <c r="BB567" s="27">
        <v>42562</v>
      </c>
      <c r="BC567" s="701" t="s">
        <v>912</v>
      </c>
      <c r="BD567" s="701" t="s">
        <v>566</v>
      </c>
      <c r="BE567" s="686"/>
      <c r="BF567" s="690"/>
      <c r="BG567" s="781"/>
      <c r="BH567" s="690"/>
      <c r="BI567" s="781"/>
      <c r="BJ567" s="696">
        <f>+[117]MATRIZ!$J$56</f>
        <v>7460579.1683253385</v>
      </c>
      <c r="BK567" s="696"/>
      <c r="BL567" s="697"/>
      <c r="BM567" s="27"/>
      <c r="BN567" s="698"/>
      <c r="BO567" s="699"/>
      <c r="BP567" s="700"/>
      <c r="BQ567" s="686"/>
      <c r="BR567" s="701"/>
      <c r="BS567" s="690"/>
      <c r="BT567" s="690"/>
      <c r="BU567" s="690"/>
      <c r="BV567" s="690"/>
      <c r="BW567" s="702"/>
      <c r="BX567" s="693"/>
      <c r="BY567" s="27"/>
      <c r="BZ567" s="703"/>
      <c r="CA567" s="259"/>
      <c r="CB567" s="259"/>
      <c r="CC567" s="259"/>
      <c r="CD567" s="259"/>
      <c r="CE567" s="259"/>
      <c r="CF567" s="259"/>
      <c r="CG567" s="259"/>
      <c r="CH567" s="259"/>
      <c r="CI567" s="259"/>
      <c r="CJ567" s="259"/>
      <c r="CK567" s="259"/>
      <c r="CL567" s="259"/>
      <c r="CM567" s="259"/>
      <c r="CN567" s="259"/>
      <c r="CO567" s="259"/>
      <c r="CP567" s="259"/>
      <c r="CQ567" s="259"/>
      <c r="CR567" s="259"/>
      <c r="CS567" s="259"/>
      <c r="CT567" s="259"/>
      <c r="CU567" s="259"/>
      <c r="CV567" s="259"/>
      <c r="CW567" s="259"/>
      <c r="CX567" s="259"/>
      <c r="CY567" s="259"/>
      <c r="CZ567" s="259"/>
      <c r="DA567" s="259"/>
      <c r="DB567" s="259"/>
      <c r="DC567" s="259"/>
      <c r="DD567" s="259"/>
      <c r="DE567" s="259"/>
      <c r="DF567" s="259"/>
      <c r="DG567" s="259"/>
      <c r="DH567" s="259"/>
      <c r="DI567" s="259"/>
      <c r="DJ567" s="259"/>
      <c r="DK567" s="259"/>
      <c r="DL567" s="259"/>
      <c r="DM567" s="259"/>
      <c r="DN567" s="259"/>
      <c r="DO567" s="259"/>
      <c r="DP567" s="259"/>
      <c r="DQ567" s="259"/>
      <c r="DR567" s="259"/>
      <c r="DS567" s="259"/>
      <c r="DT567" s="259"/>
      <c r="DU567" s="259"/>
      <c r="DV567" s="259"/>
      <c r="DW567" s="259"/>
      <c r="DX567" s="259"/>
      <c r="DY567" s="259"/>
      <c r="DZ567" s="259"/>
      <c r="EA567" s="259"/>
      <c r="EB567" s="259"/>
      <c r="EC567" s="259"/>
      <c r="ED567" s="259"/>
      <c r="EE567" s="259"/>
      <c r="EF567" s="259"/>
      <c r="EG567" s="259"/>
      <c r="EH567" s="259"/>
      <c r="EI567" s="259"/>
      <c r="EJ567" s="259"/>
      <c r="EK567" s="259"/>
      <c r="EL567" s="259"/>
      <c r="EM567" s="259"/>
      <c r="EN567" s="259"/>
      <c r="EO567" s="259"/>
      <c r="EP567" s="259"/>
      <c r="EQ567" s="259"/>
      <c r="ER567" s="259"/>
      <c r="ES567" s="259"/>
      <c r="ET567" s="259"/>
      <c r="EU567" s="259"/>
      <c r="EV567" s="259"/>
      <c r="EW567" s="259"/>
      <c r="EX567" s="259"/>
      <c r="EY567" s="259"/>
      <c r="EZ567" s="259"/>
      <c r="FA567" s="259"/>
      <c r="FB567" s="259"/>
      <c r="FC567" s="259"/>
      <c r="FD567" s="259"/>
      <c r="FE567" s="259"/>
      <c r="FF567" s="259"/>
      <c r="FG567" s="259"/>
      <c r="FH567" s="259"/>
      <c r="FI567" s="259"/>
      <c r="FJ567" s="259"/>
      <c r="FK567" s="259"/>
      <c r="FL567" s="259"/>
      <c r="FM567" s="259"/>
      <c r="FN567" s="259"/>
      <c r="FO567" s="259"/>
      <c r="FP567" s="259"/>
      <c r="FQ567" s="259"/>
      <c r="FR567" s="259"/>
      <c r="FS567" s="259"/>
      <c r="FT567" s="259"/>
      <c r="FU567" s="259"/>
      <c r="FV567" s="259"/>
      <c r="FW567" s="259"/>
      <c r="FX567" s="259"/>
      <c r="FY567" s="259"/>
      <c r="FZ567" s="259"/>
      <c r="GA567" s="259"/>
      <c r="GB567" s="259"/>
      <c r="GC567" s="259"/>
      <c r="GD567" s="259"/>
      <c r="GE567" s="259"/>
      <c r="GF567" s="259"/>
      <c r="GG567" s="259"/>
      <c r="GH567" s="259"/>
      <c r="GI567" s="259"/>
      <c r="GJ567" s="259"/>
      <c r="GK567" s="259"/>
      <c r="GL567" s="259"/>
      <c r="GM567" s="259"/>
      <c r="GN567" s="259"/>
      <c r="GO567" s="259"/>
      <c r="GP567" s="259"/>
      <c r="GQ567" s="259"/>
      <c r="GR567" s="259"/>
      <c r="GS567" s="259"/>
      <c r="GT567" s="259"/>
      <c r="GU567" s="259"/>
      <c r="GV567" s="259"/>
      <c r="GW567" s="259"/>
      <c r="GX567" s="259"/>
      <c r="GY567" s="259"/>
      <c r="GZ567" s="259"/>
      <c r="HA567" s="259"/>
      <c r="HB567" s="259"/>
      <c r="HC567" s="259"/>
      <c r="HD567" s="259"/>
      <c r="HE567" s="259"/>
      <c r="HF567" s="259"/>
      <c r="HG567" s="259"/>
      <c r="HH567" s="259"/>
      <c r="HI567" s="259"/>
      <c r="HJ567" s="259"/>
      <c r="HK567" s="259"/>
      <c r="HL567" s="259"/>
      <c r="HM567" s="259"/>
      <c r="HN567" s="259"/>
      <c r="HO567" s="259"/>
      <c r="HP567" s="259"/>
      <c r="HQ567" s="259"/>
      <c r="HR567" s="259"/>
      <c r="HS567" s="259"/>
      <c r="HT567" s="259"/>
      <c r="HU567" s="259"/>
      <c r="HV567" s="259"/>
      <c r="HW567" s="259"/>
      <c r="HX567" s="259"/>
      <c r="HY567" s="259"/>
      <c r="HZ567" s="259"/>
      <c r="IA567" s="259"/>
      <c r="IB567" s="259"/>
      <c r="IC567" s="259"/>
      <c r="ID567" s="259"/>
      <c r="IE567" s="259"/>
      <c r="IF567" s="259"/>
      <c r="IG567" s="259"/>
      <c r="IH567" s="259"/>
      <c r="II567" s="259"/>
      <c r="IJ567" s="259"/>
      <c r="IK567" s="259"/>
      <c r="IL567" s="259"/>
      <c r="IM567" s="259"/>
      <c r="IN567" s="259"/>
      <c r="IO567" s="259"/>
      <c r="IP567" s="259"/>
      <c r="IQ567" s="259"/>
      <c r="IR567" s="259"/>
      <c r="IS567" s="259"/>
      <c r="IT567" s="259"/>
      <c r="IU567" s="259"/>
      <c r="IV567" s="259"/>
      <c r="IW567" s="259"/>
      <c r="IX567" s="259"/>
      <c r="IY567" s="259"/>
      <c r="IZ567" s="259"/>
      <c r="JA567" s="259"/>
      <c r="JB567" s="259"/>
      <c r="JC567" s="259"/>
      <c r="JD567" s="259"/>
      <c r="JE567" s="259"/>
      <c r="JF567" s="259"/>
      <c r="JG567" s="259"/>
      <c r="JH567" s="259"/>
      <c r="JI567" s="259"/>
      <c r="JJ567" s="259"/>
      <c r="JK567" s="259"/>
      <c r="JL567" s="259"/>
      <c r="JM567" s="259"/>
      <c r="JN567" s="259"/>
      <c r="JO567" s="259"/>
      <c r="JP567" s="259"/>
      <c r="JQ567" s="259"/>
      <c r="JR567" s="259"/>
      <c r="JS567" s="259"/>
      <c r="JT567" s="259"/>
      <c r="JU567" s="259"/>
      <c r="JV567" s="259"/>
      <c r="JW567" s="259"/>
      <c r="JX567" s="259"/>
      <c r="JY567" s="259"/>
      <c r="JZ567" s="259"/>
      <c r="KA567" s="259"/>
      <c r="KB567" s="259"/>
      <c r="KC567" s="259"/>
      <c r="KD567" s="259"/>
      <c r="KE567" s="259"/>
      <c r="KF567" s="259"/>
      <c r="KG567" s="259"/>
      <c r="KH567" s="259"/>
      <c r="KI567" s="259"/>
      <c r="KJ567" s="259"/>
      <c r="KK567" s="259"/>
      <c r="KL567" s="259"/>
      <c r="KM567" s="259"/>
      <c r="KN567" s="259"/>
      <c r="KO567" s="259"/>
      <c r="KP567" s="259"/>
      <c r="KQ567" s="259"/>
      <c r="KR567" s="259"/>
      <c r="KS567" s="259"/>
      <c r="KT567" s="259"/>
      <c r="KU567" s="259"/>
      <c r="KV567" s="259"/>
      <c r="KW567" s="259"/>
      <c r="KX567" s="259"/>
      <c r="KY567" s="259"/>
      <c r="KZ567" s="259"/>
      <c r="LA567" s="259"/>
      <c r="LB567" s="259"/>
      <c r="LC567" s="259"/>
      <c r="LD567" s="259"/>
      <c r="LE567" s="259"/>
      <c r="LF567" s="259"/>
      <c r="LG567" s="259"/>
      <c r="LH567" s="259"/>
      <c r="LI567" s="259"/>
      <c r="LJ567" s="259"/>
      <c r="LK567" s="259"/>
      <c r="LL567" s="259"/>
      <c r="LM567" s="259"/>
      <c r="LN567" s="259"/>
      <c r="LO567" s="259"/>
      <c r="LP567" s="259"/>
      <c r="LQ567" s="259"/>
      <c r="LR567" s="259"/>
      <c r="LS567" s="259"/>
      <c r="LT567" s="259"/>
      <c r="LU567" s="259"/>
      <c r="LV567" s="259"/>
      <c r="LW567" s="259"/>
      <c r="LX567" s="259"/>
      <c r="LY567" s="259"/>
      <c r="LZ567" s="259"/>
      <c r="MA567" s="259"/>
      <c r="MB567" s="259"/>
      <c r="MC567" s="259"/>
      <c r="MD567" s="259"/>
      <c r="ME567" s="259"/>
      <c r="MF567" s="259"/>
      <c r="MG567" s="259"/>
      <c r="MH567" s="259"/>
      <c r="MI567" s="259"/>
      <c r="MJ567" s="259"/>
      <c r="MK567" s="259"/>
      <c r="ML567" s="259"/>
      <c r="MM567" s="259"/>
      <c r="MN567" s="259"/>
      <c r="MO567" s="259"/>
      <c r="MP567" s="259"/>
      <c r="MQ567" s="259"/>
      <c r="MR567" s="259"/>
      <c r="MS567" s="259"/>
      <c r="MT567" s="259"/>
      <c r="MU567" s="259"/>
      <c r="MV567" s="259"/>
      <c r="MW567" s="259"/>
      <c r="MX567" s="259"/>
      <c r="MY567" s="259"/>
      <c r="MZ567" s="259"/>
      <c r="NA567" s="259"/>
      <c r="NB567" s="259"/>
      <c r="NC567" s="259"/>
      <c r="ND567" s="259"/>
      <c r="NE567" s="259"/>
      <c r="NF567" s="259"/>
      <c r="NG567" s="259"/>
      <c r="NH567" s="259"/>
      <c r="NI567" s="259"/>
      <c r="NJ567" s="259"/>
      <c r="NK567" s="259"/>
      <c r="NL567" s="259"/>
      <c r="NM567" s="259"/>
      <c r="NN567" s="259"/>
      <c r="NO567" s="259"/>
      <c r="NP567" s="259"/>
      <c r="NQ567" s="259"/>
      <c r="NR567" s="259"/>
      <c r="NS567" s="259"/>
      <c r="NT567" s="259"/>
      <c r="NU567" s="259"/>
      <c r="NV567" s="259"/>
      <c r="NW567" s="259"/>
      <c r="NX567" s="259"/>
      <c r="NY567" s="259"/>
      <c r="NZ567" s="259"/>
      <c r="OA567" s="259"/>
      <c r="OB567" s="259"/>
      <c r="OC567" s="259"/>
      <c r="OD567" s="259"/>
      <c r="OE567" s="259"/>
      <c r="OF567" s="259"/>
      <c r="OG567" s="259"/>
      <c r="OH567" s="259"/>
      <c r="OI567" s="259"/>
      <c r="OJ567" s="259"/>
      <c r="OK567" s="259"/>
      <c r="OL567" s="259"/>
      <c r="OM567" s="259"/>
      <c r="ON567" s="259"/>
      <c r="OO567" s="259"/>
      <c r="OP567" s="259"/>
      <c r="OQ567" s="259"/>
      <c r="OR567" s="259"/>
      <c r="OS567" s="259"/>
      <c r="OT567" s="259"/>
      <c r="OU567" s="259"/>
      <c r="OV567" s="259"/>
      <c r="OW567" s="259"/>
      <c r="OX567" s="259"/>
      <c r="OY567" s="259"/>
      <c r="OZ567" s="259"/>
      <c r="PA567" s="259"/>
      <c r="PB567" s="259"/>
      <c r="PC567" s="259"/>
      <c r="PD567" s="259"/>
      <c r="PE567" s="259"/>
      <c r="PF567" s="259"/>
      <c r="PG567" s="259"/>
      <c r="PH567" s="259"/>
      <c r="PI567" s="259"/>
      <c r="PJ567" s="259"/>
      <c r="PK567" s="259"/>
      <c r="PL567" s="259"/>
      <c r="PM567" s="259"/>
      <c r="PN567" s="259"/>
      <c r="PO567" s="259"/>
      <c r="PP567" s="259"/>
      <c r="PQ567" s="259"/>
      <c r="PR567" s="259"/>
      <c r="PS567" s="259"/>
      <c r="PT567" s="259"/>
      <c r="PU567" s="259"/>
      <c r="PV567" s="259"/>
      <c r="PW567" s="259"/>
      <c r="PX567" s="259"/>
      <c r="PY567" s="259"/>
      <c r="PZ567" s="259"/>
      <c r="QA567" s="259"/>
      <c r="QB567" s="259"/>
      <c r="QC567" s="259"/>
      <c r="QD567" s="259"/>
      <c r="QE567" s="259"/>
      <c r="QF567" s="259"/>
      <c r="QG567" s="259"/>
      <c r="QH567" s="259"/>
      <c r="QI567" s="259"/>
      <c r="QJ567" s="259"/>
      <c r="QK567" s="259"/>
      <c r="QL567" s="259"/>
      <c r="QM567" s="259"/>
      <c r="QN567" s="259"/>
      <c r="QO567" s="259"/>
      <c r="QP567" s="259"/>
      <c r="QQ567" s="259"/>
      <c r="QR567" s="259"/>
      <c r="QS567" s="259"/>
      <c r="QT567" s="259"/>
      <c r="QU567" s="259"/>
      <c r="QV567" s="259"/>
      <c r="QW567" s="259"/>
      <c r="QX567" s="259"/>
      <c r="QY567" s="259"/>
      <c r="QZ567" s="259"/>
      <c r="RA567" s="259"/>
      <c r="RB567" s="259"/>
      <c r="RC567" s="259"/>
      <c r="RD567" s="259"/>
      <c r="RE567" s="259"/>
      <c r="RF567" s="259"/>
      <c r="RG567" s="259"/>
      <c r="RH567" s="259"/>
      <c r="RI567" s="259"/>
      <c r="RJ567" s="259"/>
      <c r="RK567" s="259"/>
      <c r="RL567" s="259"/>
      <c r="RM567" s="259"/>
      <c r="RN567" s="259"/>
      <c r="RO567" s="259"/>
      <c r="RP567" s="259"/>
      <c r="RQ567" s="259"/>
      <c r="RR567" s="259"/>
      <c r="RS567" s="259"/>
      <c r="RT567" s="259"/>
      <c r="RU567" s="259"/>
      <c r="RV567" s="259"/>
      <c r="RW567" s="259"/>
      <c r="RX567" s="259"/>
      <c r="RY567" s="259"/>
      <c r="RZ567" s="259"/>
      <c r="SA567" s="259"/>
      <c r="SB567" s="259"/>
      <c r="SC567" s="259"/>
      <c r="SD567" s="259"/>
      <c r="SE567" s="259"/>
      <c r="SF567" s="259"/>
      <c r="SG567" s="259"/>
      <c r="SH567" s="259"/>
      <c r="SI567" s="259"/>
      <c r="SJ567" s="259"/>
      <c r="SK567" s="259"/>
      <c r="SL567" s="259"/>
      <c r="SM567" s="259"/>
      <c r="SN567" s="259"/>
      <c r="SO567" s="259"/>
      <c r="SP567" s="259"/>
      <c r="SQ567" s="259"/>
      <c r="SR567" s="259"/>
      <c r="SS567" s="259"/>
      <c r="ST567" s="259"/>
      <c r="SU567" s="259"/>
      <c r="SV567" s="259"/>
      <c r="SW567" s="259"/>
      <c r="SX567" s="259"/>
      <c r="SY567" s="259"/>
      <c r="SZ567" s="259"/>
      <c r="TA567" s="259"/>
      <c r="TB567" s="259"/>
      <c r="TC567" s="259"/>
      <c r="TD567" s="259"/>
      <c r="TE567" s="259"/>
      <c r="TF567" s="259"/>
      <c r="TG567" s="259"/>
      <c r="TH567" s="259"/>
      <c r="TI567" s="259"/>
      <c r="TJ567" s="259"/>
      <c r="TK567" s="259"/>
      <c r="TL567" s="259"/>
      <c r="TM567" s="259"/>
      <c r="TN567" s="259"/>
      <c r="TO567" s="259"/>
      <c r="TP567" s="259"/>
      <c r="TQ567" s="259"/>
      <c r="TR567" s="259"/>
      <c r="TS567" s="259"/>
      <c r="TT567" s="259"/>
      <c r="TU567" s="259"/>
      <c r="TV567" s="259"/>
      <c r="TW567" s="259"/>
      <c r="TX567" s="259"/>
      <c r="TY567" s="259"/>
      <c r="TZ567" s="259"/>
      <c r="UA567" s="259"/>
      <c r="UB567" s="259"/>
      <c r="UC567" s="259"/>
      <c r="UD567" s="259"/>
      <c r="UE567" s="259"/>
      <c r="UF567" s="259"/>
      <c r="UG567" s="259"/>
      <c r="UH567" s="259"/>
      <c r="UI567" s="259"/>
    </row>
    <row r="568" spans="1:555" ht="108">
      <c r="A568" s="502">
        <v>296</v>
      </c>
      <c r="B568" s="686" t="s">
        <v>3392</v>
      </c>
      <c r="C568" s="687">
        <v>71637704</v>
      </c>
      <c r="D568" s="688" t="s">
        <v>906</v>
      </c>
      <c r="E568" s="27">
        <v>42558</v>
      </c>
      <c r="F568" s="689">
        <v>42552</v>
      </c>
      <c r="G568" s="690" t="s">
        <v>3393</v>
      </c>
      <c r="H568" s="686" t="s">
        <v>625</v>
      </c>
      <c r="I568" s="686" t="s">
        <v>183</v>
      </c>
      <c r="J568" s="27">
        <v>42566</v>
      </c>
      <c r="K568" s="689">
        <v>42552</v>
      </c>
      <c r="L568" s="690" t="s">
        <v>3394</v>
      </c>
      <c r="M568" s="686" t="s">
        <v>195</v>
      </c>
      <c r="N568" s="686" t="s">
        <v>336</v>
      </c>
      <c r="O568" s="27">
        <v>42578</v>
      </c>
      <c r="P568" s="691">
        <v>42552</v>
      </c>
      <c r="Q568" s="690" t="s">
        <v>3372</v>
      </c>
      <c r="R568" s="686" t="s">
        <v>171</v>
      </c>
      <c r="S568" s="686" t="s">
        <v>2223</v>
      </c>
      <c r="T568" s="27">
        <v>42816</v>
      </c>
      <c r="U568" s="689">
        <v>42795</v>
      </c>
      <c r="V568" s="690" t="s">
        <v>3395</v>
      </c>
      <c r="W568" s="686" t="s">
        <v>5</v>
      </c>
      <c r="X568" s="686" t="s">
        <v>79</v>
      </c>
      <c r="Y568" s="27">
        <v>42752</v>
      </c>
      <c r="Z568" s="689">
        <v>42736</v>
      </c>
      <c r="AA568" s="690" t="s">
        <v>3396</v>
      </c>
      <c r="AB568" s="686" t="s">
        <v>5</v>
      </c>
      <c r="AC568" s="686" t="s">
        <v>582</v>
      </c>
      <c r="AD568" s="16">
        <v>43455</v>
      </c>
      <c r="AE568" s="689">
        <v>43455</v>
      </c>
      <c r="AF568" s="706" t="s">
        <v>7997</v>
      </c>
      <c r="AG568" s="706" t="s">
        <v>208</v>
      </c>
      <c r="AH568" s="706" t="s">
        <v>7998</v>
      </c>
      <c r="AI568" s="27">
        <v>43882</v>
      </c>
      <c r="AJ568" s="689">
        <v>43882</v>
      </c>
      <c r="AK568" s="690" t="s">
        <v>9470</v>
      </c>
      <c r="AL568" s="686" t="s">
        <v>208</v>
      </c>
      <c r="AM568" s="686" t="s">
        <v>8255</v>
      </c>
      <c r="AN568" s="686" t="s">
        <v>2968</v>
      </c>
      <c r="AO568" s="694">
        <v>42816</v>
      </c>
      <c r="AP568" s="686"/>
      <c r="AQ568" s="690" t="s">
        <v>3397</v>
      </c>
      <c r="AR568" s="686" t="s">
        <v>161</v>
      </c>
      <c r="AS568" s="27">
        <v>36417</v>
      </c>
      <c r="AT568" s="27">
        <v>40908</v>
      </c>
      <c r="AU568" s="686" t="s">
        <v>3398</v>
      </c>
      <c r="AV568" s="686"/>
      <c r="AW568" s="686" t="s">
        <v>69</v>
      </c>
      <c r="AX568" s="686" t="s">
        <v>2910</v>
      </c>
      <c r="AY568" s="27">
        <v>42158</v>
      </c>
      <c r="AZ568" s="686" t="s">
        <v>94</v>
      </c>
      <c r="BA568" s="27">
        <v>42523</v>
      </c>
      <c r="BB568" s="27">
        <v>42562</v>
      </c>
      <c r="BC568" s="701" t="s">
        <v>912</v>
      </c>
      <c r="BD568" s="701" t="s">
        <v>566</v>
      </c>
      <c r="BE568" s="686"/>
      <c r="BF568" s="690"/>
      <c r="BG568" s="781"/>
      <c r="BH568" s="690"/>
      <c r="BI568" s="781"/>
      <c r="BJ568" s="696">
        <f>+[118]MATRIZ!$J$48</f>
        <v>0</v>
      </c>
      <c r="BK568" s="696"/>
      <c r="BL568" s="697"/>
      <c r="BM568" s="27"/>
      <c r="BN568" s="698"/>
      <c r="BO568" s="699"/>
      <c r="BP568" s="700"/>
      <c r="BQ568" s="686"/>
      <c r="BR568" s="701"/>
      <c r="BS568" s="690"/>
      <c r="BT568" s="690"/>
      <c r="BU568" s="690"/>
      <c r="BV568" s="690"/>
      <c r="BW568" s="702"/>
      <c r="BX568" s="693"/>
      <c r="BY568" s="27"/>
      <c r="BZ568" s="703"/>
      <c r="CA568" s="259"/>
      <c r="CB568" s="259"/>
      <c r="CC568" s="259"/>
      <c r="CD568" s="259"/>
      <c r="CE568" s="259"/>
      <c r="CF568" s="259"/>
      <c r="CG568" s="259"/>
      <c r="CH568" s="259"/>
      <c r="CI568" s="259"/>
      <c r="CJ568" s="259"/>
      <c r="CK568" s="259"/>
      <c r="CL568" s="259"/>
      <c r="CM568" s="259"/>
      <c r="CN568" s="259"/>
      <c r="CO568" s="259"/>
      <c r="CP568" s="259"/>
      <c r="CQ568" s="259"/>
      <c r="CR568" s="259"/>
      <c r="CS568" s="259"/>
      <c r="CT568" s="259"/>
      <c r="CU568" s="259"/>
      <c r="CV568" s="259"/>
      <c r="CW568" s="259"/>
      <c r="CX568" s="259"/>
      <c r="CY568" s="259"/>
      <c r="CZ568" s="259"/>
      <c r="DA568" s="259"/>
      <c r="DB568" s="259"/>
      <c r="DC568" s="259"/>
      <c r="DD568" s="259"/>
      <c r="DE568" s="259"/>
      <c r="DF568" s="259"/>
      <c r="DG568" s="259"/>
      <c r="DH568" s="259"/>
      <c r="DI568" s="259"/>
      <c r="DJ568" s="259"/>
      <c r="DK568" s="259"/>
      <c r="DL568" s="259"/>
      <c r="DM568" s="259"/>
      <c r="DN568" s="259"/>
      <c r="DO568" s="259"/>
      <c r="DP568" s="259"/>
      <c r="DQ568" s="259"/>
      <c r="DR568" s="259"/>
      <c r="DS568" s="259"/>
      <c r="DT568" s="259"/>
      <c r="DU568" s="259"/>
      <c r="DV568" s="259"/>
      <c r="DW568" s="259"/>
      <c r="DX568" s="259"/>
      <c r="DY568" s="259"/>
      <c r="DZ568" s="259"/>
      <c r="EA568" s="259"/>
      <c r="EB568" s="259"/>
      <c r="EC568" s="259"/>
      <c r="ED568" s="259"/>
      <c r="EE568" s="259"/>
      <c r="EF568" s="259"/>
      <c r="EG568" s="259"/>
      <c r="EH568" s="259"/>
      <c r="EI568" s="259"/>
      <c r="EJ568" s="259"/>
      <c r="EK568" s="259"/>
      <c r="EL568" s="259"/>
      <c r="EM568" s="259"/>
      <c r="EN568" s="259"/>
      <c r="EO568" s="259"/>
      <c r="EP568" s="259"/>
      <c r="EQ568" s="259"/>
      <c r="ER568" s="259"/>
      <c r="ES568" s="259"/>
      <c r="ET568" s="259"/>
      <c r="EU568" s="259"/>
      <c r="EV568" s="259"/>
      <c r="EW568" s="259"/>
      <c r="EX568" s="259"/>
      <c r="EY568" s="259"/>
      <c r="EZ568" s="259"/>
      <c r="FA568" s="259"/>
      <c r="FB568" s="259"/>
      <c r="FC568" s="259"/>
      <c r="FD568" s="259"/>
      <c r="FE568" s="259"/>
      <c r="FF568" s="259"/>
      <c r="FG568" s="259"/>
      <c r="FH568" s="259"/>
      <c r="FI568" s="259"/>
      <c r="FJ568" s="259"/>
      <c r="FK568" s="259"/>
      <c r="FL568" s="259"/>
      <c r="FM568" s="259"/>
      <c r="FN568" s="259"/>
      <c r="FO568" s="259"/>
      <c r="FP568" s="259"/>
      <c r="FQ568" s="259"/>
      <c r="FR568" s="259"/>
      <c r="FS568" s="259"/>
      <c r="FT568" s="259"/>
      <c r="FU568" s="259"/>
      <c r="FV568" s="259"/>
      <c r="FW568" s="259"/>
      <c r="FX568" s="259"/>
      <c r="FY568" s="259"/>
      <c r="FZ568" s="259"/>
      <c r="GA568" s="259"/>
      <c r="GB568" s="259"/>
      <c r="GC568" s="259"/>
      <c r="GD568" s="259"/>
      <c r="GE568" s="259"/>
      <c r="GF568" s="259"/>
      <c r="GG568" s="259"/>
      <c r="GH568" s="259"/>
      <c r="GI568" s="259"/>
      <c r="GJ568" s="259"/>
      <c r="GK568" s="259"/>
      <c r="GL568" s="259"/>
      <c r="GM568" s="259"/>
      <c r="GN568" s="259"/>
      <c r="GO568" s="259"/>
      <c r="GP568" s="259"/>
      <c r="GQ568" s="259"/>
      <c r="GR568" s="259"/>
      <c r="GS568" s="259"/>
      <c r="GT568" s="259"/>
      <c r="GU568" s="259"/>
      <c r="GV568" s="259"/>
      <c r="GW568" s="259"/>
      <c r="GX568" s="259"/>
      <c r="GY568" s="259"/>
      <c r="GZ568" s="259"/>
      <c r="HA568" s="259"/>
      <c r="HB568" s="259"/>
      <c r="HC568" s="259"/>
      <c r="HD568" s="259"/>
      <c r="HE568" s="259"/>
      <c r="HF568" s="259"/>
      <c r="HG568" s="259"/>
      <c r="HH568" s="259"/>
      <c r="HI568" s="259"/>
      <c r="HJ568" s="259"/>
      <c r="HK568" s="259"/>
      <c r="HL568" s="259"/>
      <c r="HM568" s="259"/>
      <c r="HN568" s="259"/>
      <c r="HO568" s="259"/>
      <c r="HP568" s="259"/>
      <c r="HQ568" s="259"/>
      <c r="HR568" s="259"/>
      <c r="HS568" s="259"/>
      <c r="HT568" s="259"/>
      <c r="HU568" s="259"/>
      <c r="HV568" s="259"/>
      <c r="HW568" s="259"/>
      <c r="HX568" s="259"/>
      <c r="HY568" s="259"/>
      <c r="HZ568" s="259"/>
      <c r="IA568" s="259"/>
      <c r="IB568" s="259"/>
      <c r="IC568" s="259"/>
      <c r="ID568" s="259"/>
      <c r="IE568" s="259"/>
      <c r="IF568" s="259"/>
      <c r="IG568" s="259"/>
      <c r="IH568" s="259"/>
      <c r="II568" s="259"/>
      <c r="IJ568" s="259"/>
      <c r="IK568" s="259"/>
      <c r="IL568" s="259"/>
      <c r="IM568" s="259"/>
      <c r="IN568" s="259"/>
      <c r="IO568" s="259"/>
      <c r="IP568" s="259"/>
      <c r="IQ568" s="259"/>
      <c r="IR568" s="259"/>
      <c r="IS568" s="259"/>
      <c r="IT568" s="259"/>
      <c r="IU568" s="259"/>
      <c r="IV568" s="259"/>
      <c r="IW568" s="259"/>
      <c r="IX568" s="259"/>
      <c r="IY568" s="259"/>
      <c r="IZ568" s="259"/>
      <c r="JA568" s="259"/>
      <c r="JB568" s="259"/>
      <c r="JC568" s="259"/>
      <c r="JD568" s="259"/>
      <c r="JE568" s="259"/>
      <c r="JF568" s="259"/>
      <c r="JG568" s="259"/>
      <c r="JH568" s="259"/>
      <c r="JI568" s="259"/>
      <c r="JJ568" s="259"/>
      <c r="JK568" s="259"/>
      <c r="JL568" s="259"/>
      <c r="JM568" s="259"/>
      <c r="JN568" s="259"/>
      <c r="JO568" s="259"/>
      <c r="JP568" s="259"/>
      <c r="JQ568" s="259"/>
      <c r="JR568" s="259"/>
      <c r="JS568" s="259"/>
      <c r="JT568" s="259"/>
      <c r="JU568" s="259"/>
      <c r="JV568" s="259"/>
      <c r="JW568" s="259"/>
      <c r="JX568" s="259"/>
      <c r="JY568" s="259"/>
      <c r="JZ568" s="259"/>
      <c r="KA568" s="259"/>
      <c r="KB568" s="259"/>
      <c r="KC568" s="259"/>
      <c r="KD568" s="259"/>
      <c r="KE568" s="259"/>
      <c r="KF568" s="259"/>
      <c r="KG568" s="259"/>
      <c r="KH568" s="259"/>
      <c r="KI568" s="259"/>
      <c r="KJ568" s="259"/>
      <c r="KK568" s="259"/>
      <c r="KL568" s="259"/>
      <c r="KM568" s="259"/>
      <c r="KN568" s="259"/>
      <c r="KO568" s="259"/>
      <c r="KP568" s="259"/>
      <c r="KQ568" s="259"/>
      <c r="KR568" s="259"/>
      <c r="KS568" s="259"/>
      <c r="KT568" s="259"/>
      <c r="KU568" s="259"/>
      <c r="KV568" s="259"/>
      <c r="KW568" s="259"/>
      <c r="KX568" s="259"/>
      <c r="KY568" s="259"/>
      <c r="KZ568" s="259"/>
      <c r="LA568" s="259"/>
      <c r="LB568" s="259"/>
      <c r="LC568" s="259"/>
      <c r="LD568" s="259"/>
      <c r="LE568" s="259"/>
      <c r="LF568" s="259"/>
      <c r="LG568" s="259"/>
      <c r="LH568" s="259"/>
      <c r="LI568" s="259"/>
      <c r="LJ568" s="259"/>
      <c r="LK568" s="259"/>
      <c r="LL568" s="259"/>
      <c r="LM568" s="259"/>
      <c r="LN568" s="259"/>
      <c r="LO568" s="259"/>
      <c r="LP568" s="259"/>
      <c r="LQ568" s="259"/>
      <c r="LR568" s="259"/>
      <c r="LS568" s="259"/>
      <c r="LT568" s="259"/>
      <c r="LU568" s="259"/>
      <c r="LV568" s="259"/>
      <c r="LW568" s="259"/>
      <c r="LX568" s="259"/>
      <c r="LY568" s="259"/>
      <c r="LZ568" s="259"/>
      <c r="MA568" s="259"/>
      <c r="MB568" s="259"/>
      <c r="MC568" s="259"/>
      <c r="MD568" s="259"/>
      <c r="ME568" s="259"/>
      <c r="MF568" s="259"/>
      <c r="MG568" s="259"/>
      <c r="MH568" s="259"/>
      <c r="MI568" s="259"/>
      <c r="MJ568" s="259"/>
      <c r="MK568" s="259"/>
      <c r="ML568" s="259"/>
      <c r="MM568" s="259"/>
      <c r="MN568" s="259"/>
      <c r="MO568" s="259"/>
      <c r="MP568" s="259"/>
      <c r="MQ568" s="259"/>
      <c r="MR568" s="259"/>
      <c r="MS568" s="259"/>
      <c r="MT568" s="259"/>
      <c r="MU568" s="259"/>
      <c r="MV568" s="259"/>
      <c r="MW568" s="259"/>
      <c r="MX568" s="259"/>
      <c r="MY568" s="259"/>
      <c r="MZ568" s="259"/>
      <c r="NA568" s="259"/>
      <c r="NB568" s="259"/>
      <c r="NC568" s="259"/>
      <c r="ND568" s="259"/>
      <c r="NE568" s="259"/>
      <c r="NF568" s="259"/>
      <c r="NG568" s="259"/>
      <c r="NH568" s="259"/>
      <c r="NI568" s="259"/>
      <c r="NJ568" s="259"/>
      <c r="NK568" s="259"/>
      <c r="NL568" s="259"/>
      <c r="NM568" s="259"/>
      <c r="NN568" s="259"/>
      <c r="NO568" s="259"/>
      <c r="NP568" s="259"/>
      <c r="NQ568" s="259"/>
      <c r="NR568" s="259"/>
      <c r="NS568" s="259"/>
      <c r="NT568" s="259"/>
      <c r="NU568" s="259"/>
      <c r="NV568" s="259"/>
      <c r="NW568" s="259"/>
      <c r="NX568" s="259"/>
      <c r="NY568" s="259"/>
      <c r="NZ568" s="259"/>
      <c r="OA568" s="259"/>
      <c r="OB568" s="259"/>
      <c r="OC568" s="259"/>
      <c r="OD568" s="259"/>
      <c r="OE568" s="259"/>
      <c r="OF568" s="259"/>
      <c r="OG568" s="259"/>
      <c r="OH568" s="259"/>
      <c r="OI568" s="259"/>
      <c r="OJ568" s="259"/>
      <c r="OK568" s="259"/>
      <c r="OL568" s="259"/>
      <c r="OM568" s="259"/>
      <c r="ON568" s="259"/>
      <c r="OO568" s="259"/>
      <c r="OP568" s="259"/>
      <c r="OQ568" s="259"/>
      <c r="OR568" s="259"/>
      <c r="OS568" s="259"/>
      <c r="OT568" s="259"/>
      <c r="OU568" s="259"/>
      <c r="OV568" s="259"/>
      <c r="OW568" s="259"/>
      <c r="OX568" s="259"/>
      <c r="OY568" s="259"/>
      <c r="OZ568" s="259"/>
      <c r="PA568" s="259"/>
      <c r="PB568" s="259"/>
      <c r="PC568" s="259"/>
      <c r="PD568" s="259"/>
      <c r="PE568" s="259"/>
      <c r="PF568" s="259"/>
      <c r="PG568" s="259"/>
      <c r="PH568" s="259"/>
      <c r="PI568" s="259"/>
      <c r="PJ568" s="259"/>
      <c r="PK568" s="259"/>
      <c r="PL568" s="259"/>
      <c r="PM568" s="259"/>
      <c r="PN568" s="259"/>
      <c r="PO568" s="259"/>
      <c r="PP568" s="259"/>
      <c r="PQ568" s="259"/>
      <c r="PR568" s="259"/>
      <c r="PS568" s="259"/>
      <c r="PT568" s="259"/>
      <c r="PU568" s="259"/>
      <c r="PV568" s="259"/>
      <c r="PW568" s="259"/>
      <c r="PX568" s="259"/>
      <c r="PY568" s="259"/>
      <c r="PZ568" s="259"/>
      <c r="QA568" s="259"/>
      <c r="QB568" s="259"/>
      <c r="QC568" s="259"/>
      <c r="QD568" s="259"/>
      <c r="QE568" s="259"/>
      <c r="QF568" s="259"/>
      <c r="QG568" s="259"/>
      <c r="QH568" s="259"/>
      <c r="QI568" s="259"/>
      <c r="QJ568" s="259"/>
      <c r="QK568" s="259"/>
      <c r="QL568" s="259"/>
      <c r="QM568" s="259"/>
      <c r="QN568" s="259"/>
      <c r="QO568" s="259"/>
      <c r="QP568" s="259"/>
      <c r="QQ568" s="259"/>
      <c r="QR568" s="259"/>
      <c r="QS568" s="259"/>
      <c r="QT568" s="259"/>
      <c r="QU568" s="259"/>
      <c r="QV568" s="259"/>
      <c r="QW568" s="259"/>
      <c r="QX568" s="259"/>
      <c r="QY568" s="259"/>
      <c r="QZ568" s="259"/>
      <c r="RA568" s="259"/>
      <c r="RB568" s="259"/>
      <c r="RC568" s="259"/>
      <c r="RD568" s="259"/>
      <c r="RE568" s="259"/>
      <c r="RF568" s="259"/>
      <c r="RG568" s="259"/>
      <c r="RH568" s="259"/>
      <c r="RI568" s="259"/>
      <c r="RJ568" s="259"/>
      <c r="RK568" s="259"/>
      <c r="RL568" s="259"/>
      <c r="RM568" s="259"/>
      <c r="RN568" s="259"/>
      <c r="RO568" s="259"/>
      <c r="RP568" s="259"/>
      <c r="RQ568" s="259"/>
      <c r="RR568" s="259"/>
      <c r="RS568" s="259"/>
      <c r="RT568" s="259"/>
      <c r="RU568" s="259"/>
      <c r="RV568" s="259"/>
      <c r="RW568" s="259"/>
      <c r="RX568" s="259"/>
      <c r="RY568" s="259"/>
      <c r="RZ568" s="259"/>
      <c r="SA568" s="259"/>
      <c r="SB568" s="259"/>
      <c r="SC568" s="259"/>
      <c r="SD568" s="259"/>
      <c r="SE568" s="259"/>
      <c r="SF568" s="259"/>
      <c r="SG568" s="259"/>
      <c r="SH568" s="259"/>
      <c r="SI568" s="259"/>
      <c r="SJ568" s="259"/>
      <c r="SK568" s="259"/>
      <c r="SL568" s="259"/>
      <c r="SM568" s="259"/>
      <c r="SN568" s="259"/>
      <c r="SO568" s="259"/>
      <c r="SP568" s="259"/>
      <c r="SQ568" s="259"/>
      <c r="SR568" s="259"/>
      <c r="SS568" s="259"/>
      <c r="ST568" s="259"/>
      <c r="SU568" s="259"/>
      <c r="SV568" s="259"/>
      <c r="SW568" s="259"/>
      <c r="SX568" s="259"/>
      <c r="SY568" s="259"/>
      <c r="SZ568" s="259"/>
      <c r="TA568" s="259"/>
      <c r="TB568" s="259"/>
      <c r="TC568" s="259"/>
      <c r="TD568" s="259"/>
      <c r="TE568" s="259"/>
      <c r="TF568" s="259"/>
      <c r="TG568" s="259"/>
      <c r="TH568" s="259"/>
      <c r="TI568" s="259"/>
      <c r="TJ568" s="259"/>
      <c r="TK568" s="259"/>
      <c r="TL568" s="259"/>
      <c r="TM568" s="259"/>
      <c r="TN568" s="259"/>
      <c r="TO568" s="259"/>
      <c r="TP568" s="259"/>
      <c r="TQ568" s="259"/>
      <c r="TR568" s="259"/>
      <c r="TS568" s="259"/>
      <c r="TT568" s="259"/>
      <c r="TU568" s="259"/>
      <c r="TV568" s="259"/>
      <c r="TW568" s="259"/>
      <c r="TX568" s="259"/>
      <c r="TY568" s="259"/>
      <c r="TZ568" s="259"/>
      <c r="UA568" s="259"/>
      <c r="UB568" s="259"/>
      <c r="UC568" s="259"/>
      <c r="UD568" s="259"/>
      <c r="UE568" s="259"/>
      <c r="UF568" s="259"/>
      <c r="UG568" s="259"/>
      <c r="UH568" s="259"/>
      <c r="UI568" s="259"/>
    </row>
    <row r="569" spans="1:555" ht="135">
      <c r="A569" s="502">
        <v>299</v>
      </c>
      <c r="B569" s="686" t="s">
        <v>7404</v>
      </c>
      <c r="C569" s="804">
        <v>93130848</v>
      </c>
      <c r="D569" s="688" t="s">
        <v>906</v>
      </c>
      <c r="E569" s="27">
        <v>42562</v>
      </c>
      <c r="F569" s="689">
        <v>42552</v>
      </c>
      <c r="G569" s="690" t="s">
        <v>3418</v>
      </c>
      <c r="H569" s="686" t="s">
        <v>625</v>
      </c>
      <c r="I569" s="686" t="s">
        <v>183</v>
      </c>
      <c r="J569" s="27">
        <v>42577</v>
      </c>
      <c r="K569" s="689">
        <v>42552</v>
      </c>
      <c r="L569" s="690" t="s">
        <v>3419</v>
      </c>
      <c r="M569" s="686" t="s">
        <v>195</v>
      </c>
      <c r="N569" s="686" t="s">
        <v>336</v>
      </c>
      <c r="O569" s="27">
        <v>42584</v>
      </c>
      <c r="P569" s="691">
        <v>42583</v>
      </c>
      <c r="Q569" s="690" t="s">
        <v>3420</v>
      </c>
      <c r="R569" s="686" t="s">
        <v>195</v>
      </c>
      <c r="S569" s="686" t="s">
        <v>336</v>
      </c>
      <c r="T569" s="27">
        <v>42683</v>
      </c>
      <c r="U569" s="689">
        <v>42675</v>
      </c>
      <c r="V569" s="690" t="s">
        <v>3421</v>
      </c>
      <c r="W569" s="686" t="s">
        <v>171</v>
      </c>
      <c r="X569" s="686" t="s">
        <v>1544</v>
      </c>
      <c r="Y569" s="27">
        <v>43061</v>
      </c>
      <c r="Z569" s="689">
        <v>43040</v>
      </c>
      <c r="AA569" s="690" t="s">
        <v>3422</v>
      </c>
      <c r="AB569" s="686" t="s">
        <v>171</v>
      </c>
      <c r="AC569" s="686" t="s">
        <v>3423</v>
      </c>
      <c r="AD569" s="27">
        <v>43126</v>
      </c>
      <c r="AE569" s="689">
        <v>43101</v>
      </c>
      <c r="AF569" s="690" t="s">
        <v>3424</v>
      </c>
      <c r="AG569" s="686" t="s">
        <v>5</v>
      </c>
      <c r="AH569" s="686" t="s">
        <v>570</v>
      </c>
      <c r="AI569" s="27">
        <v>43425</v>
      </c>
      <c r="AJ569" s="689">
        <v>43425</v>
      </c>
      <c r="AK569" s="690" t="s">
        <v>7407</v>
      </c>
      <c r="AL569" s="686" t="s">
        <v>195</v>
      </c>
      <c r="AM569" s="686" t="s">
        <v>570</v>
      </c>
      <c r="AN569" s="686" t="s">
        <v>3255</v>
      </c>
      <c r="AO569" s="705"/>
      <c r="AP569" s="686"/>
      <c r="AQ569" s="690" t="s">
        <v>3425</v>
      </c>
      <c r="AR569" s="686" t="s">
        <v>161</v>
      </c>
      <c r="AS569" s="27">
        <v>36238</v>
      </c>
      <c r="AT569" s="27">
        <v>40908</v>
      </c>
      <c r="AU569" s="686" t="s">
        <v>3426</v>
      </c>
      <c r="AV569" s="686"/>
      <c r="AW569" s="686" t="s">
        <v>69</v>
      </c>
      <c r="AX569" s="686" t="s">
        <v>3427</v>
      </c>
      <c r="AY569" s="27">
        <v>42235</v>
      </c>
      <c r="AZ569" s="686" t="s">
        <v>94</v>
      </c>
      <c r="BA569" s="27">
        <v>42481</v>
      </c>
      <c r="BB569" s="27" t="s">
        <v>7408</v>
      </c>
      <c r="BC569" s="701" t="s">
        <v>912</v>
      </c>
      <c r="BD569" s="701" t="s">
        <v>566</v>
      </c>
      <c r="BE569" s="686"/>
      <c r="BF569" s="690"/>
      <c r="BG569" s="781"/>
      <c r="BH569" s="690"/>
      <c r="BI569" s="781"/>
      <c r="BJ569" s="696">
        <f>+[119]MATRIZ!$J$54</f>
        <v>0</v>
      </c>
      <c r="BK569" s="696"/>
      <c r="BL569" s="697"/>
      <c r="BM569" s="27"/>
      <c r="BN569" s="698"/>
      <c r="BO569" s="699"/>
      <c r="BP569" s="700"/>
      <c r="BQ569" s="686"/>
      <c r="BR569" s="701"/>
      <c r="BS569" s="690"/>
      <c r="BT569" s="690"/>
      <c r="BU569" s="690"/>
      <c r="BV569" s="690"/>
      <c r="BW569" s="702"/>
      <c r="BX569" s="693"/>
      <c r="BY569" s="27"/>
      <c r="BZ569" s="703"/>
      <c r="CA569" s="259"/>
      <c r="CB569" s="259"/>
      <c r="CC569" s="259"/>
      <c r="CD569" s="259"/>
      <c r="CE569" s="259"/>
      <c r="CF569" s="259"/>
      <c r="CG569" s="259"/>
      <c r="CH569" s="259"/>
      <c r="CI569" s="259"/>
      <c r="CJ569" s="259"/>
      <c r="CK569" s="259"/>
      <c r="CL569" s="259"/>
      <c r="CM569" s="259"/>
      <c r="CN569" s="259"/>
      <c r="CO569" s="259"/>
      <c r="CP569" s="259"/>
      <c r="CQ569" s="259"/>
      <c r="CR569" s="259"/>
      <c r="CS569" s="259"/>
      <c r="CT569" s="259"/>
      <c r="CU569" s="259"/>
      <c r="CV569" s="259"/>
      <c r="CW569" s="259"/>
      <c r="CX569" s="259"/>
      <c r="CY569" s="259"/>
      <c r="CZ569" s="259"/>
      <c r="DA569" s="259"/>
      <c r="DB569" s="259"/>
      <c r="DC569" s="259"/>
      <c r="DD569" s="259"/>
      <c r="DE569" s="259"/>
      <c r="DF569" s="259"/>
      <c r="DG569" s="259"/>
      <c r="DH569" s="259"/>
      <c r="DI569" s="259"/>
      <c r="DJ569" s="259"/>
      <c r="DK569" s="259"/>
      <c r="DL569" s="259"/>
      <c r="DM569" s="259"/>
      <c r="DN569" s="259"/>
      <c r="DO569" s="259"/>
      <c r="DP569" s="259"/>
      <c r="DQ569" s="259"/>
      <c r="DR569" s="259"/>
      <c r="DS569" s="259"/>
      <c r="DT569" s="259"/>
      <c r="DU569" s="259"/>
      <c r="DV569" s="259"/>
      <c r="DW569" s="259"/>
      <c r="DX569" s="259"/>
      <c r="DY569" s="259"/>
      <c r="DZ569" s="259"/>
      <c r="EA569" s="259"/>
      <c r="EB569" s="259"/>
      <c r="EC569" s="259"/>
      <c r="ED569" s="259"/>
      <c r="EE569" s="259"/>
      <c r="EF569" s="259"/>
      <c r="EG569" s="259"/>
      <c r="EH569" s="259"/>
      <c r="EI569" s="259"/>
      <c r="EJ569" s="259"/>
      <c r="EK569" s="259"/>
      <c r="EL569" s="259"/>
      <c r="EM569" s="259"/>
      <c r="EN569" s="259"/>
      <c r="EO569" s="259"/>
      <c r="EP569" s="259"/>
      <c r="EQ569" s="259"/>
      <c r="ER569" s="259"/>
      <c r="ES569" s="259"/>
      <c r="ET569" s="259"/>
      <c r="EU569" s="259"/>
      <c r="EV569" s="259"/>
      <c r="EW569" s="259"/>
      <c r="EX569" s="259"/>
      <c r="EY569" s="259"/>
      <c r="EZ569" s="259"/>
      <c r="FA569" s="259"/>
      <c r="FB569" s="259"/>
      <c r="FC569" s="259"/>
      <c r="FD569" s="259"/>
      <c r="FE569" s="259"/>
      <c r="FF569" s="259"/>
      <c r="FG569" s="259"/>
      <c r="FH569" s="259"/>
      <c r="FI569" s="259"/>
      <c r="FJ569" s="259"/>
      <c r="FK569" s="259"/>
      <c r="FL569" s="259"/>
      <c r="FM569" s="259"/>
      <c r="FN569" s="259"/>
      <c r="FO569" s="259"/>
      <c r="FP569" s="259"/>
      <c r="FQ569" s="259"/>
      <c r="FR569" s="259"/>
      <c r="FS569" s="259"/>
      <c r="FT569" s="259"/>
      <c r="FU569" s="259"/>
      <c r="FV569" s="259"/>
      <c r="FW569" s="259"/>
      <c r="FX569" s="259"/>
      <c r="FY569" s="259"/>
      <c r="FZ569" s="259"/>
      <c r="GA569" s="259"/>
      <c r="GB569" s="259"/>
      <c r="GC569" s="259"/>
      <c r="GD569" s="259"/>
      <c r="GE569" s="259"/>
      <c r="GF569" s="259"/>
      <c r="GG569" s="259"/>
      <c r="GH569" s="259"/>
      <c r="GI569" s="259"/>
      <c r="GJ569" s="259"/>
      <c r="GK569" s="259"/>
      <c r="GL569" s="259"/>
      <c r="GM569" s="259"/>
      <c r="GN569" s="259"/>
      <c r="GO569" s="259"/>
      <c r="GP569" s="259"/>
      <c r="GQ569" s="259"/>
      <c r="GR569" s="259"/>
      <c r="GS569" s="259"/>
      <c r="GT569" s="259"/>
      <c r="GU569" s="259"/>
      <c r="GV569" s="259"/>
      <c r="GW569" s="259"/>
      <c r="GX569" s="259"/>
      <c r="GY569" s="259"/>
      <c r="GZ569" s="259"/>
      <c r="HA569" s="259"/>
      <c r="HB569" s="259"/>
      <c r="HC569" s="259"/>
      <c r="HD569" s="259"/>
      <c r="HE569" s="259"/>
      <c r="HF569" s="259"/>
      <c r="HG569" s="259"/>
      <c r="HH569" s="259"/>
      <c r="HI569" s="259"/>
      <c r="HJ569" s="259"/>
      <c r="HK569" s="259"/>
      <c r="HL569" s="259"/>
      <c r="HM569" s="259"/>
      <c r="HN569" s="259"/>
      <c r="HO569" s="259"/>
      <c r="HP569" s="259"/>
      <c r="HQ569" s="259"/>
      <c r="HR569" s="259"/>
      <c r="HS569" s="259"/>
      <c r="HT569" s="259"/>
      <c r="HU569" s="259"/>
      <c r="HV569" s="259"/>
      <c r="HW569" s="259"/>
      <c r="HX569" s="259"/>
      <c r="HY569" s="259"/>
      <c r="HZ569" s="259"/>
      <c r="IA569" s="259"/>
      <c r="IB569" s="259"/>
      <c r="IC569" s="259"/>
      <c r="ID569" s="259"/>
      <c r="IE569" s="259"/>
      <c r="IF569" s="259"/>
      <c r="IG569" s="259"/>
      <c r="IH569" s="259"/>
      <c r="II569" s="259"/>
      <c r="IJ569" s="259"/>
      <c r="IK569" s="259"/>
      <c r="IL569" s="259"/>
      <c r="IM569" s="259"/>
      <c r="IN569" s="259"/>
      <c r="IO569" s="259"/>
      <c r="IP569" s="259"/>
      <c r="IQ569" s="259"/>
      <c r="IR569" s="259"/>
      <c r="IS569" s="259"/>
      <c r="IT569" s="259"/>
      <c r="IU569" s="259"/>
      <c r="IV569" s="259"/>
      <c r="IW569" s="259"/>
      <c r="IX569" s="259"/>
      <c r="IY569" s="259"/>
      <c r="IZ569" s="259"/>
      <c r="JA569" s="259"/>
      <c r="JB569" s="259"/>
      <c r="JC569" s="259"/>
      <c r="JD569" s="259"/>
      <c r="JE569" s="259"/>
      <c r="JF569" s="259"/>
      <c r="JG569" s="259"/>
      <c r="JH569" s="259"/>
      <c r="JI569" s="259"/>
      <c r="JJ569" s="259"/>
      <c r="JK569" s="259"/>
      <c r="JL569" s="259"/>
      <c r="JM569" s="259"/>
      <c r="JN569" s="259"/>
      <c r="JO569" s="259"/>
      <c r="JP569" s="259"/>
      <c r="JQ569" s="259"/>
      <c r="JR569" s="259"/>
      <c r="JS569" s="259"/>
      <c r="JT569" s="259"/>
      <c r="JU569" s="259"/>
      <c r="JV569" s="259"/>
      <c r="JW569" s="259"/>
      <c r="JX569" s="259"/>
      <c r="JY569" s="259"/>
      <c r="JZ569" s="259"/>
      <c r="KA569" s="259"/>
      <c r="KB569" s="259"/>
      <c r="KC569" s="259"/>
      <c r="KD569" s="259"/>
      <c r="KE569" s="259"/>
      <c r="KF569" s="259"/>
      <c r="KG569" s="259"/>
      <c r="KH569" s="259"/>
      <c r="KI569" s="259"/>
      <c r="KJ569" s="259"/>
      <c r="KK569" s="259"/>
      <c r="KL569" s="259"/>
      <c r="KM569" s="259"/>
      <c r="KN569" s="259"/>
      <c r="KO569" s="259"/>
      <c r="KP569" s="259"/>
      <c r="KQ569" s="259"/>
      <c r="KR569" s="259"/>
      <c r="KS569" s="259"/>
      <c r="KT569" s="259"/>
      <c r="KU569" s="259"/>
      <c r="KV569" s="259"/>
      <c r="KW569" s="259"/>
      <c r="KX569" s="259"/>
      <c r="KY569" s="259"/>
      <c r="KZ569" s="259"/>
      <c r="LA569" s="259"/>
      <c r="LB569" s="259"/>
      <c r="LC569" s="259"/>
      <c r="LD569" s="259"/>
      <c r="LE569" s="259"/>
      <c r="LF569" s="259"/>
      <c r="LG569" s="259"/>
      <c r="LH569" s="259"/>
      <c r="LI569" s="259"/>
      <c r="LJ569" s="259"/>
      <c r="LK569" s="259"/>
      <c r="LL569" s="259"/>
      <c r="LM569" s="259"/>
      <c r="LN569" s="259"/>
      <c r="LO569" s="259"/>
      <c r="LP569" s="259"/>
      <c r="LQ569" s="259"/>
      <c r="LR569" s="259"/>
      <c r="LS569" s="259"/>
      <c r="LT569" s="259"/>
      <c r="LU569" s="259"/>
      <c r="LV569" s="259"/>
      <c r="LW569" s="259"/>
      <c r="LX569" s="259"/>
      <c r="LY569" s="259"/>
      <c r="LZ569" s="259"/>
      <c r="MA569" s="259"/>
      <c r="MB569" s="259"/>
      <c r="MC569" s="259"/>
      <c r="MD569" s="259"/>
      <c r="ME569" s="259"/>
      <c r="MF569" s="259"/>
      <c r="MG569" s="259"/>
      <c r="MH569" s="259"/>
      <c r="MI569" s="259"/>
      <c r="MJ569" s="259"/>
      <c r="MK569" s="259"/>
      <c r="ML569" s="259"/>
      <c r="MM569" s="259"/>
      <c r="MN569" s="259"/>
      <c r="MO569" s="259"/>
      <c r="MP569" s="259"/>
      <c r="MQ569" s="259"/>
      <c r="MR569" s="259"/>
      <c r="MS569" s="259"/>
      <c r="MT569" s="259"/>
      <c r="MU569" s="259"/>
      <c r="MV569" s="259"/>
      <c r="MW569" s="259"/>
      <c r="MX569" s="259"/>
      <c r="MY569" s="259"/>
      <c r="MZ569" s="259"/>
      <c r="NA569" s="259"/>
      <c r="NB569" s="259"/>
      <c r="NC569" s="259"/>
      <c r="ND569" s="259"/>
      <c r="NE569" s="259"/>
      <c r="NF569" s="259"/>
      <c r="NG569" s="259"/>
      <c r="NH569" s="259"/>
      <c r="NI569" s="259"/>
      <c r="NJ569" s="259"/>
      <c r="NK569" s="259"/>
      <c r="NL569" s="259"/>
      <c r="NM569" s="259"/>
      <c r="NN569" s="259"/>
      <c r="NO569" s="259"/>
      <c r="NP569" s="259"/>
      <c r="NQ569" s="259"/>
      <c r="NR569" s="259"/>
      <c r="NS569" s="259"/>
      <c r="NT569" s="259"/>
      <c r="NU569" s="259"/>
      <c r="NV569" s="259"/>
      <c r="NW569" s="259"/>
      <c r="NX569" s="259"/>
      <c r="NY569" s="259"/>
      <c r="NZ569" s="259"/>
      <c r="OA569" s="259"/>
      <c r="OB569" s="259"/>
      <c r="OC569" s="259"/>
      <c r="OD569" s="259"/>
      <c r="OE569" s="259"/>
      <c r="OF569" s="259"/>
      <c r="OG569" s="259"/>
      <c r="OH569" s="259"/>
      <c r="OI569" s="259"/>
      <c r="OJ569" s="259"/>
      <c r="OK569" s="259"/>
      <c r="OL569" s="259"/>
      <c r="OM569" s="259"/>
      <c r="ON569" s="259"/>
      <c r="OO569" s="259"/>
      <c r="OP569" s="259"/>
      <c r="OQ569" s="259"/>
      <c r="OR569" s="259"/>
      <c r="OS569" s="259"/>
      <c r="OT569" s="259"/>
      <c r="OU569" s="259"/>
      <c r="OV569" s="259"/>
      <c r="OW569" s="259"/>
      <c r="OX569" s="259"/>
      <c r="OY569" s="259"/>
      <c r="OZ569" s="259"/>
      <c r="PA569" s="259"/>
      <c r="PB569" s="259"/>
      <c r="PC569" s="259"/>
      <c r="PD569" s="259"/>
      <c r="PE569" s="259"/>
      <c r="PF569" s="259"/>
      <c r="PG569" s="259"/>
      <c r="PH569" s="259"/>
      <c r="PI569" s="259"/>
      <c r="PJ569" s="259"/>
      <c r="PK569" s="259"/>
      <c r="PL569" s="259"/>
      <c r="PM569" s="259"/>
      <c r="PN569" s="259"/>
      <c r="PO569" s="259"/>
      <c r="PP569" s="259"/>
      <c r="PQ569" s="259"/>
      <c r="PR569" s="259"/>
      <c r="PS569" s="259"/>
      <c r="PT569" s="259"/>
      <c r="PU569" s="259"/>
      <c r="PV569" s="259"/>
      <c r="PW569" s="259"/>
      <c r="PX569" s="259"/>
      <c r="PY569" s="259"/>
      <c r="PZ569" s="259"/>
      <c r="QA569" s="259"/>
      <c r="QB569" s="259"/>
      <c r="QC569" s="259"/>
      <c r="QD569" s="259"/>
      <c r="QE569" s="259"/>
      <c r="QF569" s="259"/>
      <c r="QG569" s="259"/>
      <c r="QH569" s="259"/>
      <c r="QI569" s="259"/>
      <c r="QJ569" s="259"/>
      <c r="QK569" s="259"/>
      <c r="QL569" s="259"/>
      <c r="QM569" s="259"/>
      <c r="QN569" s="259"/>
      <c r="QO569" s="259"/>
      <c r="QP569" s="259"/>
      <c r="QQ569" s="259"/>
      <c r="QR569" s="259"/>
      <c r="QS569" s="259"/>
      <c r="QT569" s="259"/>
      <c r="QU569" s="259"/>
      <c r="QV569" s="259"/>
      <c r="QW569" s="259"/>
      <c r="QX569" s="259"/>
      <c r="QY569" s="259"/>
      <c r="QZ569" s="259"/>
      <c r="RA569" s="259"/>
      <c r="RB569" s="259"/>
      <c r="RC569" s="259"/>
      <c r="RD569" s="259"/>
      <c r="RE569" s="259"/>
      <c r="RF569" s="259"/>
      <c r="RG569" s="259"/>
      <c r="RH569" s="259"/>
      <c r="RI569" s="259"/>
      <c r="RJ569" s="259"/>
      <c r="RK569" s="259"/>
      <c r="RL569" s="259"/>
      <c r="RM569" s="259"/>
      <c r="RN569" s="259"/>
      <c r="RO569" s="259"/>
      <c r="RP569" s="259"/>
      <c r="RQ569" s="259"/>
      <c r="RR569" s="259"/>
      <c r="RS569" s="259"/>
      <c r="RT569" s="259"/>
      <c r="RU569" s="259"/>
      <c r="RV569" s="259"/>
      <c r="RW569" s="259"/>
      <c r="RX569" s="259"/>
      <c r="RY569" s="259"/>
      <c r="RZ569" s="259"/>
      <c r="SA569" s="259"/>
      <c r="SB569" s="259"/>
      <c r="SC569" s="259"/>
      <c r="SD569" s="259"/>
      <c r="SE569" s="259"/>
      <c r="SF569" s="259"/>
      <c r="SG569" s="259"/>
      <c r="SH569" s="259"/>
      <c r="SI569" s="259"/>
      <c r="SJ569" s="259"/>
      <c r="SK569" s="259"/>
      <c r="SL569" s="259"/>
      <c r="SM569" s="259"/>
      <c r="SN569" s="259"/>
      <c r="SO569" s="259"/>
      <c r="SP569" s="259"/>
      <c r="SQ569" s="259"/>
      <c r="SR569" s="259"/>
      <c r="SS569" s="259"/>
      <c r="ST569" s="259"/>
      <c r="SU569" s="259"/>
      <c r="SV569" s="259"/>
      <c r="SW569" s="259"/>
      <c r="SX569" s="259"/>
      <c r="SY569" s="259"/>
      <c r="SZ569" s="259"/>
      <c r="TA569" s="259"/>
      <c r="TB569" s="259"/>
      <c r="TC569" s="259"/>
      <c r="TD569" s="259"/>
      <c r="TE569" s="259"/>
      <c r="TF569" s="259"/>
      <c r="TG569" s="259"/>
      <c r="TH569" s="259"/>
      <c r="TI569" s="259"/>
      <c r="TJ569" s="259"/>
      <c r="TK569" s="259"/>
      <c r="TL569" s="259"/>
      <c r="TM569" s="259"/>
      <c r="TN569" s="259"/>
      <c r="TO569" s="259"/>
      <c r="TP569" s="259"/>
      <c r="TQ569" s="259"/>
      <c r="TR569" s="259"/>
      <c r="TS569" s="259"/>
      <c r="TT569" s="259"/>
      <c r="TU569" s="259"/>
      <c r="TV569" s="259"/>
      <c r="TW569" s="259"/>
      <c r="TX569" s="259"/>
      <c r="TY569" s="259"/>
      <c r="TZ569" s="259"/>
      <c r="UA569" s="259"/>
      <c r="UB569" s="259"/>
      <c r="UC569" s="259"/>
      <c r="UD569" s="259"/>
      <c r="UE569" s="259"/>
      <c r="UF569" s="259"/>
      <c r="UG569" s="259"/>
      <c r="UH569" s="259"/>
      <c r="UI569" s="259"/>
    </row>
    <row r="570" spans="1:555" ht="162">
      <c r="A570" s="296">
        <v>300</v>
      </c>
      <c r="B570" s="297" t="s">
        <v>3428</v>
      </c>
      <c r="C570" s="298">
        <v>19373634</v>
      </c>
      <c r="D570" s="354" t="s">
        <v>906</v>
      </c>
      <c r="E570" s="299">
        <v>42564</v>
      </c>
      <c r="F570" s="300">
        <v>42552</v>
      </c>
      <c r="G570" s="301" t="s">
        <v>2878</v>
      </c>
      <c r="H570" s="297" t="s">
        <v>171</v>
      </c>
      <c r="I570" s="297" t="s">
        <v>2223</v>
      </c>
      <c r="J570" s="299">
        <v>42591</v>
      </c>
      <c r="K570" s="300">
        <v>42583</v>
      </c>
      <c r="L570" s="301" t="s">
        <v>3429</v>
      </c>
      <c r="M570" s="297" t="s">
        <v>625</v>
      </c>
      <c r="N570" s="297" t="s">
        <v>183</v>
      </c>
      <c r="O570" s="299">
        <v>42926</v>
      </c>
      <c r="P570" s="302">
        <v>42917</v>
      </c>
      <c r="Q570" s="301" t="s">
        <v>3430</v>
      </c>
      <c r="R570" s="297" t="s">
        <v>5</v>
      </c>
      <c r="S570" s="297" t="s">
        <v>570</v>
      </c>
      <c r="T570" s="299"/>
      <c r="U570" s="300"/>
      <c r="V570" s="301"/>
      <c r="W570" s="297"/>
      <c r="X570" s="297"/>
      <c r="Y570" s="299"/>
      <c r="Z570" s="300"/>
      <c r="AA570" s="301"/>
      <c r="AB570" s="297"/>
      <c r="AC570" s="297"/>
      <c r="AD570" s="299"/>
      <c r="AE570" s="300"/>
      <c r="AF570" s="301"/>
      <c r="AG570" s="297"/>
      <c r="AH570" s="297"/>
      <c r="AI570" s="322"/>
      <c r="AJ570" s="300"/>
      <c r="AK570" s="301"/>
      <c r="AL570" s="297"/>
      <c r="AM570" s="297"/>
      <c r="AN570" s="297" t="s">
        <v>3431</v>
      </c>
      <c r="AO570" s="554"/>
      <c r="AP570" s="297"/>
      <c r="AQ570" s="301" t="s">
        <v>3432</v>
      </c>
      <c r="AR570" s="297" t="s">
        <v>161</v>
      </c>
      <c r="AS570" s="299">
        <v>40507</v>
      </c>
      <c r="AT570" s="299">
        <v>40908</v>
      </c>
      <c r="AU570" s="297" t="s">
        <v>3433</v>
      </c>
      <c r="AV570" s="297"/>
      <c r="AW570" s="297" t="s">
        <v>69</v>
      </c>
      <c r="AX570" s="297" t="s">
        <v>3434</v>
      </c>
      <c r="AY570" s="299">
        <v>42061</v>
      </c>
      <c r="AZ570" s="297" t="s">
        <v>3435</v>
      </c>
      <c r="BA570" s="299">
        <v>42468</v>
      </c>
      <c r="BB570" s="299">
        <v>42492</v>
      </c>
      <c r="BC570" s="303" t="s">
        <v>912</v>
      </c>
      <c r="BD570" s="303" t="s">
        <v>566</v>
      </c>
      <c r="BE570" s="297"/>
      <c r="BF570" s="301"/>
      <c r="BG570" s="308"/>
      <c r="BH570" s="301" t="s">
        <v>10570</v>
      </c>
      <c r="BI570" s="308"/>
      <c r="BJ570" s="312">
        <f>+[120]MATRIZ!$J$54</f>
        <v>0</v>
      </c>
      <c r="BK570" s="312">
        <v>13640479</v>
      </c>
      <c r="BL570" s="313"/>
      <c r="BM570" s="299"/>
      <c r="BN570" s="314"/>
      <c r="BO570" s="460" t="s">
        <v>10571</v>
      </c>
      <c r="BP570" s="390" t="s">
        <v>10573</v>
      </c>
      <c r="BQ570" s="297" t="s">
        <v>10572</v>
      </c>
      <c r="BR570" s="303"/>
      <c r="BS570" s="301"/>
      <c r="BT570" s="301"/>
      <c r="BU570" s="301"/>
      <c r="BV570" s="301"/>
      <c r="BW570" s="316"/>
      <c r="BX570" s="304"/>
      <c r="BY570" s="299"/>
      <c r="BZ570" s="317"/>
    </row>
    <row r="571" spans="1:555" ht="108.75" thickBot="1">
      <c r="A571" s="502">
        <v>301</v>
      </c>
      <c r="B571" s="686" t="s">
        <v>3436</v>
      </c>
      <c r="C571" s="687">
        <v>19183998</v>
      </c>
      <c r="D571" s="688" t="s">
        <v>906</v>
      </c>
      <c r="E571" s="27">
        <v>42564</v>
      </c>
      <c r="F571" s="689">
        <v>42552</v>
      </c>
      <c r="G571" s="690" t="s">
        <v>3437</v>
      </c>
      <c r="H571" s="686" t="s">
        <v>171</v>
      </c>
      <c r="I571" s="686" t="s">
        <v>2223</v>
      </c>
      <c r="J571" s="27">
        <v>42569</v>
      </c>
      <c r="K571" s="689">
        <v>42552</v>
      </c>
      <c r="L571" s="690" t="s">
        <v>3438</v>
      </c>
      <c r="M571" s="686" t="s">
        <v>171</v>
      </c>
      <c r="N571" s="686" t="s">
        <v>183</v>
      </c>
      <c r="O571" s="27">
        <v>42706</v>
      </c>
      <c r="P571" s="691">
        <v>42705</v>
      </c>
      <c r="Q571" s="690" t="s">
        <v>3439</v>
      </c>
      <c r="R571" s="686" t="s">
        <v>5</v>
      </c>
      <c r="S571" s="686" t="s">
        <v>101</v>
      </c>
      <c r="T571" s="27"/>
      <c r="U571" s="689"/>
      <c r="V571" s="690"/>
      <c r="W571" s="686"/>
      <c r="X571" s="686"/>
      <c r="Y571" s="27"/>
      <c r="Z571" s="689"/>
      <c r="AA571" s="690"/>
      <c r="AB571" s="686"/>
      <c r="AC571" s="686"/>
      <c r="AD571" s="27"/>
      <c r="AE571" s="689"/>
      <c r="AF571" s="690"/>
      <c r="AG571" s="686"/>
      <c r="AH571" s="686"/>
      <c r="AI571" s="704"/>
      <c r="AJ571" s="689"/>
      <c r="AK571" s="690"/>
      <c r="AL571" s="686"/>
      <c r="AM571" s="686"/>
      <c r="AN571" s="686" t="s">
        <v>2968</v>
      </c>
      <c r="AO571" s="694">
        <v>42706</v>
      </c>
      <c r="AP571" s="686"/>
      <c r="AQ571" s="690" t="s">
        <v>3440</v>
      </c>
      <c r="AR571" s="686" t="s">
        <v>161</v>
      </c>
      <c r="AS571" s="27">
        <v>40516</v>
      </c>
      <c r="AT571" s="27">
        <v>40908</v>
      </c>
      <c r="AU571" s="686" t="s">
        <v>3441</v>
      </c>
      <c r="AV571" s="686"/>
      <c r="AW571" s="686" t="s">
        <v>69</v>
      </c>
      <c r="AX571" s="686" t="s">
        <v>3442</v>
      </c>
      <c r="AY571" s="27">
        <v>42139</v>
      </c>
      <c r="AZ571" s="686" t="s">
        <v>3443</v>
      </c>
      <c r="BA571" s="27">
        <v>42424</v>
      </c>
      <c r="BB571" s="27">
        <v>42424</v>
      </c>
      <c r="BC571" s="701" t="s">
        <v>912</v>
      </c>
      <c r="BD571" s="701" t="s">
        <v>566</v>
      </c>
      <c r="BE571" s="686"/>
      <c r="BF571" s="690"/>
      <c r="BG571" s="781"/>
      <c r="BH571" s="690"/>
      <c r="BI571" s="781"/>
      <c r="BJ571" s="696">
        <f>+'[121]MATRIZ '!$J$49</f>
        <v>0</v>
      </c>
      <c r="BK571" s="696"/>
      <c r="BL571" s="697"/>
      <c r="BM571" s="27"/>
      <c r="BN571" s="698"/>
      <c r="BO571" s="870"/>
      <c r="BP571" s="700"/>
      <c r="BQ571" s="686"/>
      <c r="BR571" s="701"/>
      <c r="BS571" s="690"/>
      <c r="BT571" s="690"/>
      <c r="BU571" s="690"/>
      <c r="BV571" s="690"/>
      <c r="BW571" s="702"/>
      <c r="BX571" s="693"/>
      <c r="BY571" s="27"/>
      <c r="BZ571" s="703"/>
      <c r="CA571" s="259"/>
      <c r="CB571" s="259"/>
      <c r="CC571" s="259"/>
      <c r="CD571" s="259"/>
      <c r="CE571" s="259"/>
      <c r="CF571" s="259"/>
      <c r="CG571" s="259"/>
      <c r="CH571" s="259"/>
      <c r="CI571" s="259"/>
      <c r="CJ571" s="259"/>
      <c r="CK571" s="259"/>
      <c r="CL571" s="259"/>
      <c r="CM571" s="259"/>
      <c r="CN571" s="259"/>
      <c r="CO571" s="259"/>
      <c r="CP571" s="259"/>
      <c r="CQ571" s="259"/>
      <c r="CR571" s="259"/>
      <c r="CS571" s="259"/>
      <c r="CT571" s="259"/>
      <c r="CU571" s="259"/>
      <c r="CV571" s="259"/>
      <c r="CW571" s="259"/>
      <c r="CX571" s="259"/>
      <c r="CY571" s="259"/>
      <c r="CZ571" s="259"/>
      <c r="DA571" s="259"/>
      <c r="DB571" s="259"/>
      <c r="DC571" s="259"/>
      <c r="DD571" s="259"/>
      <c r="DE571" s="259"/>
      <c r="DF571" s="259"/>
      <c r="DG571" s="259"/>
      <c r="DH571" s="259"/>
      <c r="DI571" s="259"/>
      <c r="DJ571" s="259"/>
      <c r="DK571" s="259"/>
      <c r="DL571" s="259"/>
      <c r="DM571" s="259"/>
      <c r="DN571" s="259"/>
      <c r="DO571" s="259"/>
      <c r="DP571" s="259"/>
      <c r="DQ571" s="259"/>
      <c r="DR571" s="259"/>
      <c r="DS571" s="259"/>
      <c r="DT571" s="259"/>
      <c r="DU571" s="259"/>
      <c r="DV571" s="259"/>
      <c r="DW571" s="259"/>
      <c r="DX571" s="259"/>
      <c r="DY571" s="259"/>
      <c r="DZ571" s="259"/>
      <c r="EA571" s="259"/>
      <c r="EB571" s="259"/>
      <c r="EC571" s="259"/>
      <c r="ED571" s="259"/>
      <c r="EE571" s="259"/>
      <c r="EF571" s="259"/>
      <c r="EG571" s="259"/>
      <c r="EH571" s="259"/>
      <c r="EI571" s="259"/>
      <c r="EJ571" s="259"/>
      <c r="EK571" s="259"/>
      <c r="EL571" s="259"/>
      <c r="EM571" s="259"/>
      <c r="EN571" s="259"/>
      <c r="EO571" s="259"/>
      <c r="EP571" s="259"/>
      <c r="EQ571" s="259"/>
      <c r="ER571" s="259"/>
      <c r="ES571" s="259"/>
      <c r="ET571" s="259"/>
      <c r="EU571" s="259"/>
      <c r="EV571" s="259"/>
      <c r="EW571" s="259"/>
      <c r="EX571" s="259"/>
      <c r="EY571" s="259"/>
      <c r="EZ571" s="259"/>
      <c r="FA571" s="259"/>
      <c r="FB571" s="259"/>
      <c r="FC571" s="259"/>
      <c r="FD571" s="259"/>
      <c r="FE571" s="259"/>
      <c r="FF571" s="259"/>
      <c r="FG571" s="259"/>
      <c r="FH571" s="259"/>
      <c r="FI571" s="259"/>
      <c r="FJ571" s="259"/>
      <c r="FK571" s="259"/>
      <c r="FL571" s="259"/>
      <c r="FM571" s="259"/>
      <c r="FN571" s="259"/>
      <c r="FO571" s="259"/>
      <c r="FP571" s="259"/>
      <c r="FQ571" s="259"/>
      <c r="FR571" s="259"/>
      <c r="FS571" s="259"/>
      <c r="FT571" s="259"/>
      <c r="FU571" s="259"/>
      <c r="FV571" s="259"/>
      <c r="FW571" s="259"/>
      <c r="FX571" s="259"/>
      <c r="FY571" s="259"/>
      <c r="FZ571" s="259"/>
      <c r="GA571" s="259"/>
      <c r="GB571" s="259"/>
      <c r="GC571" s="259"/>
      <c r="GD571" s="259"/>
      <c r="GE571" s="259"/>
      <c r="GF571" s="259"/>
      <c r="GG571" s="259"/>
      <c r="GH571" s="259"/>
      <c r="GI571" s="259"/>
      <c r="GJ571" s="259"/>
      <c r="GK571" s="259"/>
      <c r="GL571" s="259"/>
      <c r="GM571" s="259"/>
      <c r="GN571" s="259"/>
      <c r="GO571" s="259"/>
      <c r="GP571" s="259"/>
      <c r="GQ571" s="259"/>
      <c r="GR571" s="259"/>
      <c r="GS571" s="259"/>
      <c r="GT571" s="259"/>
      <c r="GU571" s="259"/>
      <c r="GV571" s="259"/>
      <c r="GW571" s="259"/>
      <c r="GX571" s="259"/>
      <c r="GY571" s="259"/>
      <c r="GZ571" s="259"/>
      <c r="HA571" s="259"/>
      <c r="HB571" s="259"/>
      <c r="HC571" s="259"/>
      <c r="HD571" s="259"/>
      <c r="HE571" s="259"/>
      <c r="HF571" s="259"/>
      <c r="HG571" s="259"/>
      <c r="HH571" s="259"/>
      <c r="HI571" s="259"/>
      <c r="HJ571" s="259"/>
      <c r="HK571" s="259"/>
      <c r="HL571" s="259"/>
      <c r="HM571" s="259"/>
      <c r="HN571" s="259"/>
      <c r="HO571" s="259"/>
      <c r="HP571" s="259"/>
      <c r="HQ571" s="259"/>
      <c r="HR571" s="259"/>
      <c r="HS571" s="259"/>
      <c r="HT571" s="259"/>
      <c r="HU571" s="259"/>
      <c r="HV571" s="259"/>
      <c r="HW571" s="259"/>
      <c r="HX571" s="259"/>
      <c r="HY571" s="259"/>
      <c r="HZ571" s="259"/>
      <c r="IA571" s="259"/>
      <c r="IB571" s="259"/>
      <c r="IC571" s="259"/>
      <c r="ID571" s="259"/>
      <c r="IE571" s="259"/>
      <c r="IF571" s="259"/>
      <c r="IG571" s="259"/>
      <c r="IH571" s="259"/>
      <c r="II571" s="259"/>
      <c r="IJ571" s="259"/>
      <c r="IK571" s="259"/>
      <c r="IL571" s="259"/>
      <c r="IM571" s="259"/>
      <c r="IN571" s="259"/>
      <c r="IO571" s="259"/>
      <c r="IP571" s="259"/>
      <c r="IQ571" s="259"/>
      <c r="IR571" s="259"/>
      <c r="IS571" s="259"/>
      <c r="IT571" s="259"/>
      <c r="IU571" s="259"/>
      <c r="IV571" s="259"/>
      <c r="IW571" s="259"/>
      <c r="IX571" s="259"/>
      <c r="IY571" s="259"/>
      <c r="IZ571" s="259"/>
      <c r="JA571" s="259"/>
      <c r="JB571" s="259"/>
      <c r="JC571" s="259"/>
      <c r="JD571" s="259"/>
      <c r="JE571" s="259"/>
      <c r="JF571" s="259"/>
      <c r="JG571" s="259"/>
      <c r="JH571" s="259"/>
      <c r="JI571" s="259"/>
      <c r="JJ571" s="259"/>
      <c r="JK571" s="259"/>
      <c r="JL571" s="259"/>
      <c r="JM571" s="259"/>
      <c r="JN571" s="259"/>
      <c r="JO571" s="259"/>
      <c r="JP571" s="259"/>
      <c r="JQ571" s="259"/>
      <c r="JR571" s="259"/>
      <c r="JS571" s="259"/>
      <c r="JT571" s="259"/>
      <c r="JU571" s="259"/>
      <c r="JV571" s="259"/>
      <c r="JW571" s="259"/>
      <c r="JX571" s="259"/>
      <c r="JY571" s="259"/>
      <c r="JZ571" s="259"/>
      <c r="KA571" s="259"/>
      <c r="KB571" s="259"/>
      <c r="KC571" s="259"/>
      <c r="KD571" s="259"/>
      <c r="KE571" s="259"/>
      <c r="KF571" s="259"/>
      <c r="KG571" s="259"/>
      <c r="KH571" s="259"/>
      <c r="KI571" s="259"/>
      <c r="KJ571" s="259"/>
      <c r="KK571" s="259"/>
      <c r="KL571" s="259"/>
      <c r="KM571" s="259"/>
      <c r="KN571" s="259"/>
      <c r="KO571" s="259"/>
      <c r="KP571" s="259"/>
      <c r="KQ571" s="259"/>
      <c r="KR571" s="259"/>
      <c r="KS571" s="259"/>
      <c r="KT571" s="259"/>
      <c r="KU571" s="259"/>
      <c r="KV571" s="259"/>
      <c r="KW571" s="259"/>
      <c r="KX571" s="259"/>
      <c r="KY571" s="259"/>
      <c r="KZ571" s="259"/>
      <c r="LA571" s="259"/>
      <c r="LB571" s="259"/>
      <c r="LC571" s="259"/>
      <c r="LD571" s="259"/>
      <c r="LE571" s="259"/>
      <c r="LF571" s="259"/>
      <c r="LG571" s="259"/>
      <c r="LH571" s="259"/>
      <c r="LI571" s="259"/>
      <c r="LJ571" s="259"/>
      <c r="LK571" s="259"/>
      <c r="LL571" s="259"/>
      <c r="LM571" s="259"/>
      <c r="LN571" s="259"/>
      <c r="LO571" s="259"/>
      <c r="LP571" s="259"/>
      <c r="LQ571" s="259"/>
      <c r="LR571" s="259"/>
      <c r="LS571" s="259"/>
      <c r="LT571" s="259"/>
      <c r="LU571" s="259"/>
      <c r="LV571" s="259"/>
      <c r="LW571" s="259"/>
      <c r="LX571" s="259"/>
      <c r="LY571" s="259"/>
      <c r="LZ571" s="259"/>
      <c r="MA571" s="259"/>
      <c r="MB571" s="259"/>
      <c r="MC571" s="259"/>
      <c r="MD571" s="259"/>
      <c r="ME571" s="259"/>
      <c r="MF571" s="259"/>
      <c r="MG571" s="259"/>
      <c r="MH571" s="259"/>
      <c r="MI571" s="259"/>
      <c r="MJ571" s="259"/>
      <c r="MK571" s="259"/>
      <c r="ML571" s="259"/>
      <c r="MM571" s="259"/>
      <c r="MN571" s="259"/>
      <c r="MO571" s="259"/>
      <c r="MP571" s="259"/>
      <c r="MQ571" s="259"/>
      <c r="MR571" s="259"/>
      <c r="MS571" s="259"/>
      <c r="MT571" s="259"/>
      <c r="MU571" s="259"/>
      <c r="MV571" s="259"/>
      <c r="MW571" s="259"/>
      <c r="MX571" s="259"/>
      <c r="MY571" s="259"/>
      <c r="MZ571" s="259"/>
      <c r="NA571" s="259"/>
      <c r="NB571" s="259"/>
      <c r="NC571" s="259"/>
      <c r="ND571" s="259"/>
      <c r="NE571" s="259"/>
      <c r="NF571" s="259"/>
      <c r="NG571" s="259"/>
      <c r="NH571" s="259"/>
      <c r="NI571" s="259"/>
      <c r="NJ571" s="259"/>
      <c r="NK571" s="259"/>
      <c r="NL571" s="259"/>
      <c r="NM571" s="259"/>
      <c r="NN571" s="259"/>
      <c r="NO571" s="259"/>
      <c r="NP571" s="259"/>
      <c r="NQ571" s="259"/>
      <c r="NR571" s="259"/>
      <c r="NS571" s="259"/>
      <c r="NT571" s="259"/>
      <c r="NU571" s="259"/>
      <c r="NV571" s="259"/>
      <c r="NW571" s="259"/>
      <c r="NX571" s="259"/>
      <c r="NY571" s="259"/>
      <c r="NZ571" s="259"/>
      <c r="OA571" s="259"/>
      <c r="OB571" s="259"/>
      <c r="OC571" s="259"/>
      <c r="OD571" s="259"/>
      <c r="OE571" s="259"/>
      <c r="OF571" s="259"/>
      <c r="OG571" s="259"/>
      <c r="OH571" s="259"/>
      <c r="OI571" s="259"/>
      <c r="OJ571" s="259"/>
      <c r="OK571" s="259"/>
      <c r="OL571" s="259"/>
      <c r="OM571" s="259"/>
      <c r="ON571" s="259"/>
      <c r="OO571" s="259"/>
      <c r="OP571" s="259"/>
      <c r="OQ571" s="259"/>
      <c r="OR571" s="259"/>
      <c r="OS571" s="259"/>
      <c r="OT571" s="259"/>
      <c r="OU571" s="259"/>
      <c r="OV571" s="259"/>
      <c r="OW571" s="259"/>
      <c r="OX571" s="259"/>
      <c r="OY571" s="259"/>
      <c r="OZ571" s="259"/>
      <c r="PA571" s="259"/>
      <c r="PB571" s="259"/>
      <c r="PC571" s="259"/>
      <c r="PD571" s="259"/>
      <c r="PE571" s="259"/>
      <c r="PF571" s="259"/>
      <c r="PG571" s="259"/>
      <c r="PH571" s="259"/>
      <c r="PI571" s="259"/>
      <c r="PJ571" s="259"/>
      <c r="PK571" s="259"/>
      <c r="PL571" s="259"/>
      <c r="PM571" s="259"/>
      <c r="PN571" s="259"/>
      <c r="PO571" s="259"/>
      <c r="PP571" s="259"/>
      <c r="PQ571" s="259"/>
      <c r="PR571" s="259"/>
      <c r="PS571" s="259"/>
      <c r="PT571" s="259"/>
      <c r="PU571" s="259"/>
      <c r="PV571" s="259"/>
      <c r="PW571" s="259"/>
      <c r="PX571" s="259"/>
      <c r="PY571" s="259"/>
      <c r="PZ571" s="259"/>
      <c r="QA571" s="259"/>
      <c r="QB571" s="259"/>
      <c r="QC571" s="259"/>
      <c r="QD571" s="259"/>
      <c r="QE571" s="259"/>
      <c r="QF571" s="259"/>
      <c r="QG571" s="259"/>
      <c r="QH571" s="259"/>
      <c r="QI571" s="259"/>
      <c r="QJ571" s="259"/>
      <c r="QK571" s="259"/>
      <c r="QL571" s="259"/>
      <c r="QM571" s="259"/>
      <c r="QN571" s="259"/>
      <c r="QO571" s="259"/>
      <c r="QP571" s="259"/>
      <c r="QQ571" s="259"/>
      <c r="QR571" s="259"/>
      <c r="QS571" s="259"/>
      <c r="QT571" s="259"/>
      <c r="QU571" s="259"/>
      <c r="QV571" s="259"/>
      <c r="QW571" s="259"/>
      <c r="QX571" s="259"/>
      <c r="QY571" s="259"/>
      <c r="QZ571" s="259"/>
      <c r="RA571" s="259"/>
      <c r="RB571" s="259"/>
      <c r="RC571" s="259"/>
      <c r="RD571" s="259"/>
      <c r="RE571" s="259"/>
      <c r="RF571" s="259"/>
      <c r="RG571" s="259"/>
      <c r="RH571" s="259"/>
      <c r="RI571" s="259"/>
      <c r="RJ571" s="259"/>
      <c r="RK571" s="259"/>
      <c r="RL571" s="259"/>
      <c r="RM571" s="259"/>
      <c r="RN571" s="259"/>
      <c r="RO571" s="259"/>
      <c r="RP571" s="259"/>
      <c r="RQ571" s="259"/>
      <c r="RR571" s="259"/>
      <c r="RS571" s="259"/>
      <c r="RT571" s="259"/>
      <c r="RU571" s="259"/>
      <c r="RV571" s="259"/>
      <c r="RW571" s="259"/>
      <c r="RX571" s="259"/>
      <c r="RY571" s="259"/>
      <c r="RZ571" s="259"/>
      <c r="SA571" s="259"/>
      <c r="SB571" s="259"/>
      <c r="SC571" s="259"/>
      <c r="SD571" s="259"/>
      <c r="SE571" s="259"/>
      <c r="SF571" s="259"/>
      <c r="SG571" s="259"/>
      <c r="SH571" s="259"/>
      <c r="SI571" s="259"/>
      <c r="SJ571" s="259"/>
      <c r="SK571" s="259"/>
      <c r="SL571" s="259"/>
      <c r="SM571" s="259"/>
      <c r="SN571" s="259"/>
      <c r="SO571" s="259"/>
      <c r="SP571" s="259"/>
      <c r="SQ571" s="259"/>
      <c r="SR571" s="259"/>
      <c r="SS571" s="259"/>
      <c r="ST571" s="259"/>
      <c r="SU571" s="259"/>
      <c r="SV571" s="259"/>
      <c r="SW571" s="259"/>
      <c r="SX571" s="259"/>
      <c r="SY571" s="259"/>
      <c r="SZ571" s="259"/>
      <c r="TA571" s="259"/>
      <c r="TB571" s="259"/>
      <c r="TC571" s="259"/>
      <c r="TD571" s="259"/>
      <c r="TE571" s="259"/>
      <c r="TF571" s="259"/>
      <c r="TG571" s="259"/>
      <c r="TH571" s="259"/>
      <c r="TI571" s="259"/>
      <c r="TJ571" s="259"/>
      <c r="TK571" s="259"/>
      <c r="TL571" s="259"/>
      <c r="TM571" s="259"/>
      <c r="TN571" s="259"/>
      <c r="TO571" s="259"/>
      <c r="TP571" s="259"/>
      <c r="TQ571" s="259"/>
      <c r="TR571" s="259"/>
      <c r="TS571" s="259"/>
      <c r="TT571" s="259"/>
      <c r="TU571" s="259"/>
      <c r="TV571" s="259"/>
      <c r="TW571" s="259"/>
      <c r="TX571" s="259"/>
      <c r="TY571" s="259"/>
      <c r="TZ571" s="259"/>
      <c r="UA571" s="259"/>
      <c r="UB571" s="259"/>
      <c r="UC571" s="259"/>
      <c r="UD571" s="259"/>
      <c r="UE571" s="259"/>
      <c r="UF571" s="259"/>
      <c r="UG571" s="259"/>
      <c r="UH571" s="259"/>
      <c r="UI571" s="259"/>
    </row>
    <row r="572" spans="1:555" ht="58.5" customHeight="1">
      <c r="A572" s="502">
        <v>304</v>
      </c>
      <c r="B572" s="686" t="s">
        <v>3455</v>
      </c>
      <c r="C572" s="687">
        <v>79733033</v>
      </c>
      <c r="D572" s="688" t="s">
        <v>2315</v>
      </c>
      <c r="E572" s="27">
        <v>42576</v>
      </c>
      <c r="F572" s="689">
        <v>42552</v>
      </c>
      <c r="G572" s="690" t="s">
        <v>3456</v>
      </c>
      <c r="H572" s="686" t="s">
        <v>1974</v>
      </c>
      <c r="I572" s="686" t="s">
        <v>183</v>
      </c>
      <c r="J572" s="27">
        <v>42620</v>
      </c>
      <c r="K572" s="689">
        <v>42614</v>
      </c>
      <c r="L572" s="690" t="s">
        <v>3457</v>
      </c>
      <c r="M572" s="686" t="s">
        <v>503</v>
      </c>
      <c r="N572" s="686" t="s">
        <v>1082</v>
      </c>
      <c r="O572" s="27">
        <v>42709</v>
      </c>
      <c r="P572" s="691">
        <v>42705</v>
      </c>
      <c r="Q572" s="690" t="s">
        <v>3458</v>
      </c>
      <c r="R572" s="686" t="s">
        <v>5</v>
      </c>
      <c r="S572" s="686" t="s">
        <v>101</v>
      </c>
      <c r="T572" s="27">
        <v>42934</v>
      </c>
      <c r="U572" s="689">
        <v>42917</v>
      </c>
      <c r="V572" s="690" t="s">
        <v>3459</v>
      </c>
      <c r="W572" s="686" t="s">
        <v>5</v>
      </c>
      <c r="X572" s="686" t="s">
        <v>3460</v>
      </c>
      <c r="Y572" s="27">
        <v>43018</v>
      </c>
      <c r="Z572" s="689">
        <v>43009</v>
      </c>
      <c r="AA572" s="690" t="s">
        <v>3461</v>
      </c>
      <c r="AB572" s="686" t="s">
        <v>5</v>
      </c>
      <c r="AC572" s="686" t="s">
        <v>3462</v>
      </c>
      <c r="AD572" s="27">
        <v>43138</v>
      </c>
      <c r="AE572" s="689">
        <v>43132</v>
      </c>
      <c r="AF572" s="690" t="s">
        <v>3463</v>
      </c>
      <c r="AG572" s="686" t="s">
        <v>5</v>
      </c>
      <c r="AH572" s="686" t="s">
        <v>2080</v>
      </c>
      <c r="AI572" s="27" t="s">
        <v>10438</v>
      </c>
      <c r="AJ572" s="689" t="s">
        <v>10439</v>
      </c>
      <c r="AK572" s="690" t="s">
        <v>10440</v>
      </c>
      <c r="AL572" s="686" t="s">
        <v>10441</v>
      </c>
      <c r="AM572" s="686" t="s">
        <v>10442</v>
      </c>
      <c r="AN572" s="686" t="s">
        <v>3464</v>
      </c>
      <c r="AO572" s="694">
        <v>42709</v>
      </c>
      <c r="AP572" s="686"/>
      <c r="AQ572" s="690" t="s">
        <v>3465</v>
      </c>
      <c r="AR572" s="686" t="s">
        <v>161</v>
      </c>
      <c r="AS572" s="27">
        <v>38147</v>
      </c>
      <c r="AT572" s="27">
        <v>39856</v>
      </c>
      <c r="AU572" s="686" t="s">
        <v>7292</v>
      </c>
      <c r="AV572" s="686"/>
      <c r="AW572" s="686" t="s">
        <v>92</v>
      </c>
      <c r="AX572" s="686" t="s">
        <v>2657</v>
      </c>
      <c r="AY572" s="27">
        <v>41677</v>
      </c>
      <c r="AZ572" s="686" t="s">
        <v>576</v>
      </c>
      <c r="BA572" s="27">
        <v>42523</v>
      </c>
      <c r="BB572" s="27">
        <v>42552</v>
      </c>
      <c r="BC572" s="686" t="s">
        <v>95</v>
      </c>
      <c r="BD572" s="686" t="s">
        <v>566</v>
      </c>
      <c r="BE572" s="686"/>
      <c r="BF572" s="690" t="s">
        <v>7301</v>
      </c>
      <c r="BG572" s="690"/>
      <c r="BH572" s="690"/>
      <c r="BI572" s="690"/>
      <c r="BJ572" s="696">
        <f>+[122]MATRIZ!$J$62</f>
        <v>0</v>
      </c>
      <c r="BK572" s="696"/>
      <c r="BL572" s="697"/>
      <c r="BM572" s="27"/>
      <c r="BN572" s="698"/>
      <c r="BO572" s="699"/>
      <c r="BP572" s="700"/>
      <c r="BQ572" s="686"/>
      <c r="BR572" s="701"/>
      <c r="BS572" s="690"/>
      <c r="BT572" s="690"/>
      <c r="BU572" s="690"/>
      <c r="BV572" s="690"/>
      <c r="BW572" s="702"/>
      <c r="BX572" s="693"/>
      <c r="BY572" s="27"/>
      <c r="BZ572" s="703"/>
      <c r="CA572" s="259"/>
      <c r="CB572" s="259"/>
      <c r="CC572" s="259"/>
      <c r="CD572" s="259"/>
      <c r="CE572" s="259"/>
      <c r="CF572" s="259"/>
      <c r="CG572" s="259"/>
      <c r="CH572" s="259"/>
      <c r="CI572" s="259"/>
      <c r="CJ572" s="259"/>
      <c r="CK572" s="259"/>
      <c r="CL572" s="259"/>
      <c r="CM572" s="259"/>
      <c r="CN572" s="259"/>
      <c r="CO572" s="259"/>
      <c r="CP572" s="259"/>
      <c r="CQ572" s="259"/>
      <c r="CR572" s="259"/>
      <c r="CS572" s="259"/>
      <c r="CT572" s="259"/>
      <c r="CU572" s="259"/>
      <c r="CV572" s="259"/>
      <c r="CW572" s="259"/>
      <c r="CX572" s="259"/>
      <c r="CY572" s="259"/>
      <c r="CZ572" s="259"/>
      <c r="DA572" s="259"/>
      <c r="DB572" s="259"/>
      <c r="DC572" s="259"/>
      <c r="DD572" s="259"/>
      <c r="DE572" s="259"/>
      <c r="DF572" s="259"/>
      <c r="DG572" s="259"/>
      <c r="DH572" s="259"/>
      <c r="DI572" s="259"/>
      <c r="DJ572" s="259"/>
      <c r="DK572" s="259"/>
      <c r="DL572" s="259"/>
      <c r="DM572" s="259"/>
      <c r="DN572" s="259"/>
      <c r="DO572" s="259"/>
      <c r="DP572" s="259"/>
      <c r="DQ572" s="259"/>
      <c r="DR572" s="259"/>
      <c r="DS572" s="259"/>
      <c r="DT572" s="259"/>
      <c r="DU572" s="259"/>
      <c r="DV572" s="259"/>
      <c r="DW572" s="259"/>
      <c r="DX572" s="259"/>
      <c r="DY572" s="259"/>
      <c r="DZ572" s="259"/>
      <c r="EA572" s="259"/>
      <c r="EB572" s="259"/>
      <c r="EC572" s="259"/>
      <c r="ED572" s="259"/>
      <c r="EE572" s="259"/>
      <c r="EF572" s="259"/>
      <c r="EG572" s="259"/>
      <c r="EH572" s="259"/>
      <c r="EI572" s="259"/>
      <c r="EJ572" s="259"/>
      <c r="EK572" s="259"/>
      <c r="EL572" s="259"/>
      <c r="EM572" s="259"/>
      <c r="EN572" s="259"/>
      <c r="EO572" s="259"/>
      <c r="EP572" s="259"/>
      <c r="EQ572" s="259"/>
      <c r="ER572" s="259"/>
      <c r="ES572" s="259"/>
      <c r="ET572" s="259"/>
      <c r="EU572" s="259"/>
      <c r="EV572" s="259"/>
      <c r="EW572" s="259"/>
      <c r="EX572" s="259"/>
      <c r="EY572" s="259"/>
      <c r="EZ572" s="259"/>
      <c r="FA572" s="259"/>
      <c r="FB572" s="259"/>
      <c r="FC572" s="259"/>
      <c r="FD572" s="259"/>
      <c r="FE572" s="259"/>
      <c r="FF572" s="259"/>
      <c r="FG572" s="259"/>
      <c r="FH572" s="259"/>
      <c r="FI572" s="259"/>
      <c r="FJ572" s="259"/>
      <c r="FK572" s="259"/>
      <c r="FL572" s="259"/>
      <c r="FM572" s="259"/>
      <c r="FN572" s="259"/>
      <c r="FO572" s="259"/>
      <c r="FP572" s="259"/>
      <c r="FQ572" s="259"/>
      <c r="FR572" s="259"/>
      <c r="FS572" s="259"/>
      <c r="FT572" s="259"/>
      <c r="FU572" s="259"/>
      <c r="FV572" s="259"/>
      <c r="FW572" s="259"/>
      <c r="FX572" s="259"/>
      <c r="FY572" s="259"/>
      <c r="FZ572" s="259"/>
      <c r="GA572" s="259"/>
      <c r="GB572" s="259"/>
      <c r="GC572" s="259"/>
      <c r="GD572" s="259"/>
      <c r="GE572" s="259"/>
      <c r="GF572" s="259"/>
      <c r="GG572" s="259"/>
      <c r="GH572" s="259"/>
      <c r="GI572" s="259"/>
      <c r="GJ572" s="259"/>
      <c r="GK572" s="259"/>
      <c r="GL572" s="259"/>
      <c r="GM572" s="259"/>
      <c r="GN572" s="259"/>
      <c r="GO572" s="259"/>
      <c r="GP572" s="259"/>
      <c r="GQ572" s="259"/>
      <c r="GR572" s="259"/>
      <c r="GS572" s="259"/>
      <c r="GT572" s="259"/>
      <c r="GU572" s="259"/>
      <c r="GV572" s="259"/>
      <c r="GW572" s="259"/>
      <c r="GX572" s="259"/>
      <c r="GY572" s="259"/>
      <c r="GZ572" s="259"/>
      <c r="HA572" s="259"/>
      <c r="HB572" s="259"/>
      <c r="HC572" s="259"/>
      <c r="HD572" s="259"/>
      <c r="HE572" s="259"/>
      <c r="HF572" s="259"/>
      <c r="HG572" s="259"/>
      <c r="HH572" s="259"/>
      <c r="HI572" s="259"/>
      <c r="HJ572" s="259"/>
      <c r="HK572" s="259"/>
      <c r="HL572" s="259"/>
      <c r="HM572" s="259"/>
      <c r="HN572" s="259"/>
      <c r="HO572" s="259"/>
      <c r="HP572" s="259"/>
      <c r="HQ572" s="259"/>
      <c r="HR572" s="259"/>
      <c r="HS572" s="259"/>
      <c r="HT572" s="259"/>
      <c r="HU572" s="259"/>
      <c r="HV572" s="259"/>
      <c r="HW572" s="259"/>
      <c r="HX572" s="259"/>
      <c r="HY572" s="259"/>
      <c r="HZ572" s="259"/>
      <c r="IA572" s="259"/>
      <c r="IB572" s="259"/>
      <c r="IC572" s="259"/>
      <c r="ID572" s="259"/>
      <c r="IE572" s="259"/>
      <c r="IF572" s="259"/>
      <c r="IG572" s="259"/>
      <c r="IH572" s="259"/>
      <c r="II572" s="259"/>
      <c r="IJ572" s="259"/>
      <c r="IK572" s="259"/>
      <c r="IL572" s="259"/>
      <c r="IM572" s="259"/>
      <c r="IN572" s="259"/>
      <c r="IO572" s="259"/>
      <c r="IP572" s="259"/>
      <c r="IQ572" s="259"/>
      <c r="IR572" s="259"/>
      <c r="IS572" s="259"/>
      <c r="IT572" s="259"/>
      <c r="IU572" s="259"/>
      <c r="IV572" s="259"/>
      <c r="IW572" s="259"/>
      <c r="IX572" s="259"/>
      <c r="IY572" s="259"/>
      <c r="IZ572" s="259"/>
      <c r="JA572" s="259"/>
      <c r="JB572" s="259"/>
      <c r="JC572" s="259"/>
      <c r="JD572" s="259"/>
      <c r="JE572" s="259"/>
      <c r="JF572" s="259"/>
      <c r="JG572" s="259"/>
      <c r="JH572" s="259"/>
      <c r="JI572" s="259"/>
      <c r="JJ572" s="259"/>
      <c r="JK572" s="259"/>
      <c r="JL572" s="259"/>
      <c r="JM572" s="259"/>
      <c r="JN572" s="259"/>
      <c r="JO572" s="259"/>
      <c r="JP572" s="259"/>
      <c r="JQ572" s="259"/>
      <c r="JR572" s="259"/>
      <c r="JS572" s="259"/>
      <c r="JT572" s="259"/>
      <c r="JU572" s="259"/>
      <c r="JV572" s="259"/>
      <c r="JW572" s="259"/>
      <c r="JX572" s="259"/>
      <c r="JY572" s="259"/>
      <c r="JZ572" s="259"/>
      <c r="KA572" s="259"/>
      <c r="KB572" s="259"/>
      <c r="KC572" s="259"/>
      <c r="KD572" s="259"/>
      <c r="KE572" s="259"/>
      <c r="KF572" s="259"/>
      <c r="KG572" s="259"/>
      <c r="KH572" s="259"/>
      <c r="KI572" s="259"/>
      <c r="KJ572" s="259"/>
      <c r="KK572" s="259"/>
      <c r="KL572" s="259"/>
      <c r="KM572" s="259"/>
      <c r="KN572" s="259"/>
      <c r="KO572" s="259"/>
      <c r="KP572" s="259"/>
      <c r="KQ572" s="259"/>
      <c r="KR572" s="259"/>
      <c r="KS572" s="259"/>
      <c r="KT572" s="259"/>
      <c r="KU572" s="259"/>
      <c r="KV572" s="259"/>
      <c r="KW572" s="259"/>
      <c r="KX572" s="259"/>
      <c r="KY572" s="259"/>
      <c r="KZ572" s="259"/>
      <c r="LA572" s="259"/>
      <c r="LB572" s="259"/>
      <c r="LC572" s="259"/>
      <c r="LD572" s="259"/>
      <c r="LE572" s="259"/>
      <c r="LF572" s="259"/>
      <c r="LG572" s="259"/>
      <c r="LH572" s="259"/>
      <c r="LI572" s="259"/>
      <c r="LJ572" s="259"/>
      <c r="LK572" s="259"/>
      <c r="LL572" s="259"/>
      <c r="LM572" s="259"/>
      <c r="LN572" s="259"/>
      <c r="LO572" s="259"/>
      <c r="LP572" s="259"/>
      <c r="LQ572" s="259"/>
      <c r="LR572" s="259"/>
      <c r="LS572" s="259"/>
      <c r="LT572" s="259"/>
      <c r="LU572" s="259"/>
      <c r="LV572" s="259"/>
      <c r="LW572" s="259"/>
      <c r="LX572" s="259"/>
      <c r="LY572" s="259"/>
      <c r="LZ572" s="259"/>
      <c r="MA572" s="259"/>
      <c r="MB572" s="259"/>
      <c r="MC572" s="259"/>
      <c r="MD572" s="259"/>
      <c r="ME572" s="259"/>
      <c r="MF572" s="259"/>
      <c r="MG572" s="259"/>
      <c r="MH572" s="259"/>
      <c r="MI572" s="259"/>
      <c r="MJ572" s="259"/>
      <c r="MK572" s="259"/>
      <c r="ML572" s="259"/>
      <c r="MM572" s="259"/>
      <c r="MN572" s="259"/>
      <c r="MO572" s="259"/>
      <c r="MP572" s="259"/>
      <c r="MQ572" s="259"/>
      <c r="MR572" s="259"/>
      <c r="MS572" s="259"/>
      <c r="MT572" s="259"/>
      <c r="MU572" s="259"/>
      <c r="MV572" s="259"/>
      <c r="MW572" s="259"/>
      <c r="MX572" s="259"/>
      <c r="MY572" s="259"/>
      <c r="MZ572" s="259"/>
      <c r="NA572" s="259"/>
      <c r="NB572" s="259"/>
      <c r="NC572" s="259"/>
      <c r="ND572" s="259"/>
      <c r="NE572" s="259"/>
      <c r="NF572" s="259"/>
      <c r="NG572" s="259"/>
      <c r="NH572" s="259"/>
      <c r="NI572" s="259"/>
      <c r="NJ572" s="259"/>
      <c r="NK572" s="259"/>
      <c r="NL572" s="259"/>
      <c r="NM572" s="259"/>
      <c r="NN572" s="259"/>
      <c r="NO572" s="259"/>
      <c r="NP572" s="259"/>
      <c r="NQ572" s="259"/>
      <c r="NR572" s="259"/>
      <c r="NS572" s="259"/>
      <c r="NT572" s="259"/>
      <c r="NU572" s="259"/>
      <c r="NV572" s="259"/>
      <c r="NW572" s="259"/>
      <c r="NX572" s="259"/>
      <c r="NY572" s="259"/>
      <c r="NZ572" s="259"/>
      <c r="OA572" s="259"/>
      <c r="OB572" s="259"/>
      <c r="OC572" s="259"/>
      <c r="OD572" s="259"/>
      <c r="OE572" s="259"/>
      <c r="OF572" s="259"/>
      <c r="OG572" s="259"/>
      <c r="OH572" s="259"/>
      <c r="OI572" s="259"/>
      <c r="OJ572" s="259"/>
      <c r="OK572" s="259"/>
      <c r="OL572" s="259"/>
      <c r="OM572" s="259"/>
      <c r="ON572" s="259"/>
      <c r="OO572" s="259"/>
      <c r="OP572" s="259"/>
      <c r="OQ572" s="259"/>
      <c r="OR572" s="259"/>
      <c r="OS572" s="259"/>
      <c r="OT572" s="259"/>
      <c r="OU572" s="259"/>
      <c r="OV572" s="259"/>
      <c r="OW572" s="259"/>
      <c r="OX572" s="259"/>
      <c r="OY572" s="259"/>
      <c r="OZ572" s="259"/>
      <c r="PA572" s="259"/>
      <c r="PB572" s="259"/>
      <c r="PC572" s="259"/>
      <c r="PD572" s="259"/>
      <c r="PE572" s="259"/>
      <c r="PF572" s="259"/>
      <c r="PG572" s="259"/>
      <c r="PH572" s="259"/>
      <c r="PI572" s="259"/>
      <c r="PJ572" s="259"/>
      <c r="PK572" s="259"/>
      <c r="PL572" s="259"/>
      <c r="PM572" s="259"/>
      <c r="PN572" s="259"/>
      <c r="PO572" s="259"/>
      <c r="PP572" s="259"/>
      <c r="PQ572" s="259"/>
      <c r="PR572" s="259"/>
      <c r="PS572" s="259"/>
      <c r="PT572" s="259"/>
      <c r="PU572" s="259"/>
      <c r="PV572" s="259"/>
      <c r="PW572" s="259"/>
      <c r="PX572" s="259"/>
      <c r="PY572" s="259"/>
      <c r="PZ572" s="259"/>
      <c r="QA572" s="259"/>
      <c r="QB572" s="259"/>
      <c r="QC572" s="259"/>
      <c r="QD572" s="259"/>
      <c r="QE572" s="259"/>
      <c r="QF572" s="259"/>
      <c r="QG572" s="259"/>
      <c r="QH572" s="259"/>
      <c r="QI572" s="259"/>
      <c r="QJ572" s="259"/>
      <c r="QK572" s="259"/>
      <c r="QL572" s="259"/>
      <c r="QM572" s="259"/>
      <c r="QN572" s="259"/>
      <c r="QO572" s="259"/>
      <c r="QP572" s="259"/>
      <c r="QQ572" s="259"/>
      <c r="QR572" s="259"/>
      <c r="QS572" s="259"/>
      <c r="QT572" s="259"/>
      <c r="QU572" s="259"/>
      <c r="QV572" s="259"/>
      <c r="QW572" s="259"/>
      <c r="QX572" s="259"/>
      <c r="QY572" s="259"/>
      <c r="QZ572" s="259"/>
      <c r="RA572" s="259"/>
      <c r="RB572" s="259"/>
      <c r="RC572" s="259"/>
      <c r="RD572" s="259"/>
      <c r="RE572" s="259"/>
      <c r="RF572" s="259"/>
      <c r="RG572" s="259"/>
      <c r="RH572" s="259"/>
      <c r="RI572" s="259"/>
      <c r="RJ572" s="259"/>
      <c r="RK572" s="259"/>
      <c r="RL572" s="259"/>
      <c r="RM572" s="259"/>
      <c r="RN572" s="259"/>
      <c r="RO572" s="259"/>
      <c r="RP572" s="259"/>
      <c r="RQ572" s="259"/>
      <c r="RR572" s="259"/>
      <c r="RS572" s="259"/>
      <c r="RT572" s="259"/>
      <c r="RU572" s="259"/>
      <c r="RV572" s="259"/>
      <c r="RW572" s="259"/>
      <c r="RX572" s="259"/>
      <c r="RY572" s="259"/>
      <c r="RZ572" s="259"/>
      <c r="SA572" s="259"/>
      <c r="SB572" s="259"/>
      <c r="SC572" s="259"/>
      <c r="SD572" s="259"/>
      <c r="SE572" s="259"/>
      <c r="SF572" s="259"/>
      <c r="SG572" s="259"/>
      <c r="SH572" s="259"/>
      <c r="SI572" s="259"/>
      <c r="SJ572" s="259"/>
      <c r="SK572" s="259"/>
      <c r="SL572" s="259"/>
      <c r="SM572" s="259"/>
      <c r="SN572" s="259"/>
      <c r="SO572" s="259"/>
      <c r="SP572" s="259"/>
      <c r="SQ572" s="259"/>
      <c r="SR572" s="259"/>
      <c r="SS572" s="259"/>
      <c r="ST572" s="259"/>
      <c r="SU572" s="259"/>
      <c r="SV572" s="259"/>
      <c r="SW572" s="259"/>
      <c r="SX572" s="259"/>
      <c r="SY572" s="259"/>
      <c r="SZ572" s="259"/>
      <c r="TA572" s="259"/>
      <c r="TB572" s="259"/>
      <c r="TC572" s="259"/>
      <c r="TD572" s="259"/>
      <c r="TE572" s="259"/>
      <c r="TF572" s="259"/>
      <c r="TG572" s="259"/>
      <c r="TH572" s="259"/>
      <c r="TI572" s="259"/>
      <c r="TJ572" s="259"/>
      <c r="TK572" s="259"/>
      <c r="TL572" s="259"/>
      <c r="TM572" s="259"/>
      <c r="TN572" s="259"/>
      <c r="TO572" s="259"/>
      <c r="TP572" s="259"/>
      <c r="TQ572" s="259"/>
      <c r="TR572" s="259"/>
      <c r="TS572" s="259"/>
      <c r="TT572" s="259"/>
      <c r="TU572" s="259"/>
      <c r="TV572" s="259"/>
      <c r="TW572" s="259"/>
      <c r="TX572" s="259"/>
      <c r="TY572" s="259"/>
      <c r="TZ572" s="259"/>
      <c r="UA572" s="259"/>
      <c r="UB572" s="259"/>
      <c r="UC572" s="259"/>
      <c r="UD572" s="259"/>
      <c r="UE572" s="259"/>
      <c r="UF572" s="259"/>
      <c r="UG572" s="259"/>
      <c r="UH572" s="259"/>
      <c r="UI572" s="259"/>
    </row>
    <row r="573" spans="1:555" ht="62.25" customHeight="1">
      <c r="A573" s="296">
        <v>305</v>
      </c>
      <c r="B573" s="297" t="s">
        <v>3466</v>
      </c>
      <c r="C573" s="298">
        <v>93403121</v>
      </c>
      <c r="D573" s="354" t="s">
        <v>906</v>
      </c>
      <c r="E573" s="299">
        <v>42578</v>
      </c>
      <c r="F573" s="300">
        <v>42552</v>
      </c>
      <c r="G573" s="301" t="s">
        <v>3467</v>
      </c>
      <c r="H573" s="297" t="s">
        <v>195</v>
      </c>
      <c r="I573" s="297" t="s">
        <v>336</v>
      </c>
      <c r="J573" s="299">
        <v>42710</v>
      </c>
      <c r="K573" s="300">
        <v>42705</v>
      </c>
      <c r="L573" s="301" t="s">
        <v>3468</v>
      </c>
      <c r="M573" s="297" t="s">
        <v>171</v>
      </c>
      <c r="N573" s="297" t="s">
        <v>1854</v>
      </c>
      <c r="O573" s="299">
        <v>43082</v>
      </c>
      <c r="P573" s="302">
        <v>43070</v>
      </c>
      <c r="Q573" s="301" t="s">
        <v>3469</v>
      </c>
      <c r="R573" s="297" t="s">
        <v>208</v>
      </c>
      <c r="S573" s="297" t="s">
        <v>2080</v>
      </c>
      <c r="T573" s="299">
        <v>42067</v>
      </c>
      <c r="U573" s="300">
        <v>42064</v>
      </c>
      <c r="V573" s="301" t="s">
        <v>3470</v>
      </c>
      <c r="W573" s="297" t="s">
        <v>171</v>
      </c>
      <c r="X573" s="297" t="s">
        <v>3471</v>
      </c>
      <c r="Y573" s="299">
        <v>42079</v>
      </c>
      <c r="Z573" s="300">
        <v>42064</v>
      </c>
      <c r="AA573" s="301" t="s">
        <v>3472</v>
      </c>
      <c r="AB573" s="297" t="s">
        <v>195</v>
      </c>
      <c r="AC573" s="297" t="s">
        <v>1864</v>
      </c>
      <c r="AD573" s="299" t="s">
        <v>3473</v>
      </c>
      <c r="AE573" s="300" t="s">
        <v>3474</v>
      </c>
      <c r="AF573" s="301" t="s">
        <v>3475</v>
      </c>
      <c r="AG573" s="297" t="s">
        <v>3476</v>
      </c>
      <c r="AH573" s="297" t="s">
        <v>3477</v>
      </c>
      <c r="AI573" s="322"/>
      <c r="AJ573" s="300"/>
      <c r="AK573" s="301"/>
      <c r="AL573" s="297"/>
      <c r="AM573" s="297"/>
      <c r="AN573" s="297" t="s">
        <v>3431</v>
      </c>
      <c r="AO573" s="554"/>
      <c r="AP573" s="297"/>
      <c r="AQ573" s="301" t="s">
        <v>3478</v>
      </c>
      <c r="AR573" s="297" t="s">
        <v>161</v>
      </c>
      <c r="AS573" s="299">
        <v>36839</v>
      </c>
      <c r="AT573" s="299">
        <v>40908</v>
      </c>
      <c r="AU573" s="297" t="s">
        <v>3479</v>
      </c>
      <c r="AV573" s="297"/>
      <c r="AW573" s="297" t="s">
        <v>69</v>
      </c>
      <c r="AX573" s="297" t="s">
        <v>3480</v>
      </c>
      <c r="AY573" s="299">
        <v>42185</v>
      </c>
      <c r="AZ573" s="297" t="s">
        <v>2657</v>
      </c>
      <c r="BA573" s="299">
        <v>42530</v>
      </c>
      <c r="BB573" s="299">
        <v>42562</v>
      </c>
      <c r="BC573" s="303" t="s">
        <v>912</v>
      </c>
      <c r="BD573" s="303" t="s">
        <v>566</v>
      </c>
      <c r="BE573" s="297"/>
      <c r="BF573" s="301"/>
      <c r="BG573" s="301"/>
      <c r="BH573" s="301"/>
      <c r="BI573" s="301"/>
      <c r="BJ573" s="968">
        <f>+[123]MATRIZ!$J$59</f>
        <v>0</v>
      </c>
      <c r="BK573" s="312"/>
      <c r="BL573" s="313"/>
      <c r="BM573" s="299"/>
      <c r="BN573" s="314"/>
      <c r="BO573" s="460"/>
      <c r="BP573" s="390"/>
      <c r="BQ573" s="297"/>
      <c r="BR573" s="303"/>
      <c r="BS573" s="301"/>
      <c r="BT573" s="301"/>
      <c r="BU573" s="301"/>
      <c r="BV573" s="301"/>
      <c r="BW573" s="316"/>
      <c r="BX573" s="304"/>
      <c r="BY573" s="299"/>
      <c r="BZ573" s="317"/>
    </row>
    <row r="574" spans="1:555" ht="75" customHeight="1">
      <c r="A574" s="502">
        <v>309</v>
      </c>
      <c r="B574" s="686" t="s">
        <v>3505</v>
      </c>
      <c r="C574" s="687">
        <v>79997017</v>
      </c>
      <c r="D574" s="688" t="s">
        <v>906</v>
      </c>
      <c r="E574" s="27">
        <v>42598</v>
      </c>
      <c r="F574" s="689">
        <v>42583</v>
      </c>
      <c r="G574" s="690" t="s">
        <v>3506</v>
      </c>
      <c r="H574" s="686" t="s">
        <v>625</v>
      </c>
      <c r="I574" s="686" t="s">
        <v>183</v>
      </c>
      <c r="J574" s="27">
        <v>42772</v>
      </c>
      <c r="K574" s="689">
        <v>42767</v>
      </c>
      <c r="L574" s="690" t="s">
        <v>3507</v>
      </c>
      <c r="M574" s="686" t="s">
        <v>503</v>
      </c>
      <c r="N574" s="686" t="s">
        <v>3508</v>
      </c>
      <c r="O574" s="27">
        <v>42975</v>
      </c>
      <c r="P574" s="691">
        <v>42948</v>
      </c>
      <c r="Q574" s="690" t="s">
        <v>3509</v>
      </c>
      <c r="R574" s="686" t="s">
        <v>5</v>
      </c>
      <c r="S574" s="686" t="s">
        <v>3510</v>
      </c>
      <c r="T574" s="27">
        <v>42089</v>
      </c>
      <c r="U574" s="689">
        <v>42064</v>
      </c>
      <c r="V574" s="690" t="s">
        <v>3511</v>
      </c>
      <c r="W574" s="686" t="s">
        <v>195</v>
      </c>
      <c r="X574" s="686" t="s">
        <v>3512</v>
      </c>
      <c r="Y574" s="27">
        <v>43174</v>
      </c>
      <c r="Z574" s="689">
        <v>43160</v>
      </c>
      <c r="AA574" s="690" t="s">
        <v>3513</v>
      </c>
      <c r="AB574" s="686" t="s">
        <v>208</v>
      </c>
      <c r="AC574" s="686" t="s">
        <v>107</v>
      </c>
      <c r="AD574" s="27"/>
      <c r="AE574" s="689"/>
      <c r="AF574" s="690"/>
      <c r="AG574" s="686"/>
      <c r="AH574" s="686"/>
      <c r="AI574" s="704"/>
      <c r="AJ574" s="689"/>
      <c r="AK574" s="690"/>
      <c r="AL574" s="686"/>
      <c r="AM574" s="686"/>
      <c r="AN574" s="686" t="s">
        <v>477</v>
      </c>
      <c r="AO574" s="694">
        <v>42975</v>
      </c>
      <c r="AP574" s="686"/>
      <c r="AQ574" s="690" t="s">
        <v>3514</v>
      </c>
      <c r="AR574" s="686" t="s">
        <v>161</v>
      </c>
      <c r="AS574" s="27">
        <v>40496</v>
      </c>
      <c r="AT574" s="27">
        <v>40908</v>
      </c>
      <c r="AU574" s="686" t="s">
        <v>3515</v>
      </c>
      <c r="AV574" s="686"/>
      <c r="AW574" s="686" t="s">
        <v>69</v>
      </c>
      <c r="AX574" s="686" t="s">
        <v>3516</v>
      </c>
      <c r="AY574" s="27">
        <v>42331</v>
      </c>
      <c r="AZ574" s="686" t="s">
        <v>94</v>
      </c>
      <c r="BA574" s="27">
        <v>42558</v>
      </c>
      <c r="BB574" s="27">
        <v>42598</v>
      </c>
      <c r="BC574" s="701" t="s">
        <v>912</v>
      </c>
      <c r="BD574" s="701" t="s">
        <v>566</v>
      </c>
      <c r="BE574" s="686"/>
      <c r="BF574" s="690"/>
      <c r="BG574" s="690"/>
      <c r="BH574" s="690"/>
      <c r="BI574" s="690"/>
      <c r="BJ574" s="696">
        <f>+[124]MATRIZ!$J$53</f>
        <v>0</v>
      </c>
      <c r="BK574" s="696"/>
      <c r="BL574" s="697"/>
      <c r="BM574" s="27"/>
      <c r="BN574" s="698"/>
      <c r="BO574" s="699"/>
      <c r="BP574" s="700"/>
      <c r="BQ574" s="686"/>
      <c r="BR574" s="701"/>
      <c r="BS574" s="690"/>
      <c r="BT574" s="690"/>
      <c r="BU574" s="690"/>
      <c r="BV574" s="690"/>
      <c r="BW574" s="702"/>
      <c r="BX574" s="693"/>
      <c r="BY574" s="27"/>
      <c r="BZ574" s="703"/>
      <c r="CA574" s="259"/>
      <c r="CB574" s="259"/>
      <c r="CC574" s="259"/>
      <c r="CD574" s="259"/>
      <c r="CE574" s="259"/>
      <c r="CF574" s="259"/>
      <c r="CG574" s="259"/>
      <c r="CH574" s="259"/>
      <c r="CI574" s="259"/>
      <c r="CJ574" s="259"/>
      <c r="CK574" s="259"/>
      <c r="CL574" s="259"/>
      <c r="CM574" s="259"/>
      <c r="CN574" s="259"/>
      <c r="CO574" s="259"/>
      <c r="CP574" s="259"/>
      <c r="CQ574" s="259"/>
      <c r="CR574" s="259"/>
      <c r="CS574" s="259"/>
      <c r="CT574" s="259"/>
      <c r="CU574" s="259"/>
      <c r="CV574" s="259"/>
      <c r="CW574" s="259"/>
      <c r="CX574" s="259"/>
      <c r="CY574" s="259"/>
      <c r="CZ574" s="259"/>
      <c r="DA574" s="259"/>
      <c r="DB574" s="259"/>
      <c r="DC574" s="259"/>
      <c r="DD574" s="259"/>
      <c r="DE574" s="259"/>
      <c r="DF574" s="259"/>
      <c r="DG574" s="259"/>
      <c r="DH574" s="259"/>
      <c r="DI574" s="259"/>
      <c r="DJ574" s="259"/>
      <c r="DK574" s="259"/>
      <c r="DL574" s="259"/>
      <c r="DM574" s="259"/>
      <c r="DN574" s="259"/>
      <c r="DO574" s="259"/>
      <c r="DP574" s="259"/>
      <c r="DQ574" s="259"/>
      <c r="DR574" s="259"/>
      <c r="DS574" s="259"/>
      <c r="DT574" s="259"/>
      <c r="DU574" s="259"/>
      <c r="DV574" s="259"/>
      <c r="DW574" s="259"/>
      <c r="DX574" s="259"/>
      <c r="DY574" s="259"/>
      <c r="DZ574" s="259"/>
      <c r="EA574" s="259"/>
      <c r="EB574" s="259"/>
      <c r="EC574" s="259"/>
      <c r="ED574" s="259"/>
      <c r="EE574" s="259"/>
      <c r="EF574" s="259"/>
      <c r="EG574" s="259"/>
      <c r="EH574" s="259"/>
      <c r="EI574" s="259"/>
      <c r="EJ574" s="259"/>
      <c r="EK574" s="259"/>
      <c r="EL574" s="259"/>
      <c r="EM574" s="259"/>
      <c r="EN574" s="259"/>
      <c r="EO574" s="259"/>
      <c r="EP574" s="259"/>
      <c r="EQ574" s="259"/>
      <c r="ER574" s="259"/>
      <c r="ES574" s="259"/>
      <c r="ET574" s="259"/>
      <c r="EU574" s="259"/>
      <c r="EV574" s="259"/>
      <c r="EW574" s="259"/>
      <c r="EX574" s="259"/>
      <c r="EY574" s="259"/>
      <c r="EZ574" s="259"/>
      <c r="FA574" s="259"/>
      <c r="FB574" s="259"/>
      <c r="FC574" s="259"/>
      <c r="FD574" s="259"/>
      <c r="FE574" s="259"/>
      <c r="FF574" s="259"/>
      <c r="FG574" s="259"/>
      <c r="FH574" s="259"/>
      <c r="FI574" s="259"/>
      <c r="FJ574" s="259"/>
      <c r="FK574" s="259"/>
      <c r="FL574" s="259"/>
      <c r="FM574" s="259"/>
      <c r="FN574" s="259"/>
      <c r="FO574" s="259"/>
      <c r="FP574" s="259"/>
      <c r="FQ574" s="259"/>
      <c r="FR574" s="259"/>
      <c r="FS574" s="259"/>
      <c r="FT574" s="259"/>
      <c r="FU574" s="259"/>
      <c r="FV574" s="259"/>
      <c r="FW574" s="259"/>
      <c r="FX574" s="259"/>
      <c r="FY574" s="259"/>
      <c r="FZ574" s="259"/>
      <c r="GA574" s="259"/>
      <c r="GB574" s="259"/>
      <c r="GC574" s="259"/>
      <c r="GD574" s="259"/>
      <c r="GE574" s="259"/>
      <c r="GF574" s="259"/>
      <c r="GG574" s="259"/>
      <c r="GH574" s="259"/>
      <c r="GI574" s="259"/>
      <c r="GJ574" s="259"/>
      <c r="GK574" s="259"/>
      <c r="GL574" s="259"/>
      <c r="GM574" s="259"/>
      <c r="GN574" s="259"/>
      <c r="GO574" s="259"/>
      <c r="GP574" s="259"/>
      <c r="GQ574" s="259"/>
      <c r="GR574" s="259"/>
      <c r="GS574" s="259"/>
      <c r="GT574" s="259"/>
      <c r="GU574" s="259"/>
      <c r="GV574" s="259"/>
      <c r="GW574" s="259"/>
      <c r="GX574" s="259"/>
      <c r="GY574" s="259"/>
      <c r="GZ574" s="259"/>
      <c r="HA574" s="259"/>
      <c r="HB574" s="259"/>
      <c r="HC574" s="259"/>
      <c r="HD574" s="259"/>
      <c r="HE574" s="259"/>
      <c r="HF574" s="259"/>
      <c r="HG574" s="259"/>
      <c r="HH574" s="259"/>
      <c r="HI574" s="259"/>
      <c r="HJ574" s="259"/>
      <c r="HK574" s="259"/>
      <c r="HL574" s="259"/>
      <c r="HM574" s="259"/>
      <c r="HN574" s="259"/>
      <c r="HO574" s="259"/>
      <c r="HP574" s="259"/>
      <c r="HQ574" s="259"/>
      <c r="HR574" s="259"/>
      <c r="HS574" s="259"/>
      <c r="HT574" s="259"/>
      <c r="HU574" s="259"/>
      <c r="HV574" s="259"/>
      <c r="HW574" s="259"/>
      <c r="HX574" s="259"/>
      <c r="HY574" s="259"/>
      <c r="HZ574" s="259"/>
      <c r="IA574" s="259"/>
      <c r="IB574" s="259"/>
      <c r="IC574" s="259"/>
      <c r="ID574" s="259"/>
      <c r="IE574" s="259"/>
      <c r="IF574" s="259"/>
      <c r="IG574" s="259"/>
      <c r="IH574" s="259"/>
      <c r="II574" s="259"/>
      <c r="IJ574" s="259"/>
      <c r="IK574" s="259"/>
      <c r="IL574" s="259"/>
      <c r="IM574" s="259"/>
      <c r="IN574" s="259"/>
      <c r="IO574" s="259"/>
      <c r="IP574" s="259"/>
      <c r="IQ574" s="259"/>
      <c r="IR574" s="259"/>
      <c r="IS574" s="259"/>
      <c r="IT574" s="259"/>
      <c r="IU574" s="259"/>
      <c r="IV574" s="259"/>
      <c r="IW574" s="259"/>
      <c r="IX574" s="259"/>
      <c r="IY574" s="259"/>
      <c r="IZ574" s="259"/>
      <c r="JA574" s="259"/>
      <c r="JB574" s="259"/>
      <c r="JC574" s="259"/>
      <c r="JD574" s="259"/>
      <c r="JE574" s="259"/>
      <c r="JF574" s="259"/>
      <c r="JG574" s="259"/>
      <c r="JH574" s="259"/>
      <c r="JI574" s="259"/>
      <c r="JJ574" s="259"/>
      <c r="JK574" s="259"/>
      <c r="JL574" s="259"/>
      <c r="JM574" s="259"/>
      <c r="JN574" s="259"/>
      <c r="JO574" s="259"/>
      <c r="JP574" s="259"/>
      <c r="JQ574" s="259"/>
      <c r="JR574" s="259"/>
      <c r="JS574" s="259"/>
      <c r="JT574" s="259"/>
      <c r="JU574" s="259"/>
      <c r="JV574" s="259"/>
      <c r="JW574" s="259"/>
      <c r="JX574" s="259"/>
      <c r="JY574" s="259"/>
      <c r="JZ574" s="259"/>
      <c r="KA574" s="259"/>
      <c r="KB574" s="259"/>
      <c r="KC574" s="259"/>
      <c r="KD574" s="259"/>
      <c r="KE574" s="259"/>
      <c r="KF574" s="259"/>
      <c r="KG574" s="259"/>
      <c r="KH574" s="259"/>
      <c r="KI574" s="259"/>
      <c r="KJ574" s="259"/>
      <c r="KK574" s="259"/>
      <c r="KL574" s="259"/>
      <c r="KM574" s="259"/>
      <c r="KN574" s="259"/>
      <c r="KO574" s="259"/>
      <c r="KP574" s="259"/>
      <c r="KQ574" s="259"/>
      <c r="KR574" s="259"/>
      <c r="KS574" s="259"/>
      <c r="KT574" s="259"/>
      <c r="KU574" s="259"/>
      <c r="KV574" s="259"/>
      <c r="KW574" s="259"/>
      <c r="KX574" s="259"/>
      <c r="KY574" s="259"/>
      <c r="KZ574" s="259"/>
      <c r="LA574" s="259"/>
      <c r="LB574" s="259"/>
      <c r="LC574" s="259"/>
      <c r="LD574" s="259"/>
      <c r="LE574" s="259"/>
      <c r="LF574" s="259"/>
      <c r="LG574" s="259"/>
      <c r="LH574" s="259"/>
      <c r="LI574" s="259"/>
      <c r="LJ574" s="259"/>
      <c r="LK574" s="259"/>
      <c r="LL574" s="259"/>
      <c r="LM574" s="259"/>
      <c r="LN574" s="259"/>
      <c r="LO574" s="259"/>
      <c r="LP574" s="259"/>
      <c r="LQ574" s="259"/>
      <c r="LR574" s="259"/>
      <c r="LS574" s="259"/>
      <c r="LT574" s="259"/>
      <c r="LU574" s="259"/>
      <c r="LV574" s="259"/>
      <c r="LW574" s="259"/>
      <c r="LX574" s="259"/>
      <c r="LY574" s="259"/>
      <c r="LZ574" s="259"/>
      <c r="MA574" s="259"/>
      <c r="MB574" s="259"/>
      <c r="MC574" s="259"/>
      <c r="MD574" s="259"/>
      <c r="ME574" s="259"/>
      <c r="MF574" s="259"/>
      <c r="MG574" s="259"/>
      <c r="MH574" s="259"/>
      <c r="MI574" s="259"/>
      <c r="MJ574" s="259"/>
      <c r="MK574" s="259"/>
      <c r="ML574" s="259"/>
      <c r="MM574" s="259"/>
      <c r="MN574" s="259"/>
      <c r="MO574" s="259"/>
      <c r="MP574" s="259"/>
      <c r="MQ574" s="259"/>
      <c r="MR574" s="259"/>
      <c r="MS574" s="259"/>
      <c r="MT574" s="259"/>
      <c r="MU574" s="259"/>
      <c r="MV574" s="259"/>
      <c r="MW574" s="259"/>
      <c r="MX574" s="259"/>
      <c r="MY574" s="259"/>
      <c r="MZ574" s="259"/>
      <c r="NA574" s="259"/>
      <c r="NB574" s="259"/>
      <c r="NC574" s="259"/>
      <c r="ND574" s="259"/>
      <c r="NE574" s="259"/>
      <c r="NF574" s="259"/>
      <c r="NG574" s="259"/>
      <c r="NH574" s="259"/>
      <c r="NI574" s="259"/>
      <c r="NJ574" s="259"/>
      <c r="NK574" s="259"/>
      <c r="NL574" s="259"/>
      <c r="NM574" s="259"/>
      <c r="NN574" s="259"/>
      <c r="NO574" s="259"/>
      <c r="NP574" s="259"/>
      <c r="NQ574" s="259"/>
      <c r="NR574" s="259"/>
      <c r="NS574" s="259"/>
      <c r="NT574" s="259"/>
      <c r="NU574" s="259"/>
      <c r="NV574" s="259"/>
      <c r="NW574" s="259"/>
      <c r="NX574" s="259"/>
      <c r="NY574" s="259"/>
      <c r="NZ574" s="259"/>
      <c r="OA574" s="259"/>
      <c r="OB574" s="259"/>
      <c r="OC574" s="259"/>
      <c r="OD574" s="259"/>
      <c r="OE574" s="259"/>
      <c r="OF574" s="259"/>
      <c r="OG574" s="259"/>
      <c r="OH574" s="259"/>
      <c r="OI574" s="259"/>
      <c r="OJ574" s="259"/>
      <c r="OK574" s="259"/>
      <c r="OL574" s="259"/>
      <c r="OM574" s="259"/>
      <c r="ON574" s="259"/>
      <c r="OO574" s="259"/>
      <c r="OP574" s="259"/>
      <c r="OQ574" s="259"/>
      <c r="OR574" s="259"/>
      <c r="OS574" s="259"/>
      <c r="OT574" s="259"/>
      <c r="OU574" s="259"/>
      <c r="OV574" s="259"/>
      <c r="OW574" s="259"/>
      <c r="OX574" s="259"/>
      <c r="OY574" s="259"/>
      <c r="OZ574" s="259"/>
      <c r="PA574" s="259"/>
      <c r="PB574" s="259"/>
      <c r="PC574" s="259"/>
      <c r="PD574" s="259"/>
      <c r="PE574" s="259"/>
      <c r="PF574" s="259"/>
      <c r="PG574" s="259"/>
      <c r="PH574" s="259"/>
      <c r="PI574" s="259"/>
      <c r="PJ574" s="259"/>
      <c r="PK574" s="259"/>
      <c r="PL574" s="259"/>
      <c r="PM574" s="259"/>
      <c r="PN574" s="259"/>
      <c r="PO574" s="259"/>
      <c r="PP574" s="259"/>
      <c r="PQ574" s="259"/>
      <c r="PR574" s="259"/>
      <c r="PS574" s="259"/>
      <c r="PT574" s="259"/>
      <c r="PU574" s="259"/>
      <c r="PV574" s="259"/>
      <c r="PW574" s="259"/>
      <c r="PX574" s="259"/>
      <c r="PY574" s="259"/>
      <c r="PZ574" s="259"/>
      <c r="QA574" s="259"/>
      <c r="QB574" s="259"/>
      <c r="QC574" s="259"/>
      <c r="QD574" s="259"/>
      <c r="QE574" s="259"/>
      <c r="QF574" s="259"/>
      <c r="QG574" s="259"/>
      <c r="QH574" s="259"/>
      <c r="QI574" s="259"/>
      <c r="QJ574" s="259"/>
      <c r="QK574" s="259"/>
      <c r="QL574" s="259"/>
      <c r="QM574" s="259"/>
      <c r="QN574" s="259"/>
      <c r="QO574" s="259"/>
      <c r="QP574" s="259"/>
      <c r="QQ574" s="259"/>
      <c r="QR574" s="259"/>
      <c r="QS574" s="259"/>
      <c r="QT574" s="259"/>
      <c r="QU574" s="259"/>
      <c r="QV574" s="259"/>
      <c r="QW574" s="259"/>
      <c r="QX574" s="259"/>
      <c r="QY574" s="259"/>
      <c r="QZ574" s="259"/>
      <c r="RA574" s="259"/>
      <c r="RB574" s="259"/>
      <c r="RC574" s="259"/>
      <c r="RD574" s="259"/>
      <c r="RE574" s="259"/>
      <c r="RF574" s="259"/>
      <c r="RG574" s="259"/>
      <c r="RH574" s="259"/>
      <c r="RI574" s="259"/>
      <c r="RJ574" s="259"/>
      <c r="RK574" s="259"/>
      <c r="RL574" s="259"/>
      <c r="RM574" s="259"/>
      <c r="RN574" s="259"/>
      <c r="RO574" s="259"/>
      <c r="RP574" s="259"/>
      <c r="RQ574" s="259"/>
      <c r="RR574" s="259"/>
      <c r="RS574" s="259"/>
      <c r="RT574" s="259"/>
      <c r="RU574" s="259"/>
      <c r="RV574" s="259"/>
      <c r="RW574" s="259"/>
      <c r="RX574" s="259"/>
      <c r="RY574" s="259"/>
      <c r="RZ574" s="259"/>
      <c r="SA574" s="259"/>
      <c r="SB574" s="259"/>
      <c r="SC574" s="259"/>
      <c r="SD574" s="259"/>
      <c r="SE574" s="259"/>
      <c r="SF574" s="259"/>
      <c r="SG574" s="259"/>
      <c r="SH574" s="259"/>
      <c r="SI574" s="259"/>
      <c r="SJ574" s="259"/>
      <c r="SK574" s="259"/>
      <c r="SL574" s="259"/>
      <c r="SM574" s="259"/>
      <c r="SN574" s="259"/>
      <c r="SO574" s="259"/>
      <c r="SP574" s="259"/>
      <c r="SQ574" s="259"/>
      <c r="SR574" s="259"/>
      <c r="SS574" s="259"/>
      <c r="ST574" s="259"/>
      <c r="SU574" s="259"/>
      <c r="SV574" s="259"/>
      <c r="SW574" s="259"/>
      <c r="SX574" s="259"/>
      <c r="SY574" s="259"/>
      <c r="SZ574" s="259"/>
      <c r="TA574" s="259"/>
      <c r="TB574" s="259"/>
      <c r="TC574" s="259"/>
      <c r="TD574" s="259"/>
      <c r="TE574" s="259"/>
      <c r="TF574" s="259"/>
      <c r="TG574" s="259"/>
      <c r="TH574" s="259"/>
      <c r="TI574" s="259"/>
      <c r="TJ574" s="259"/>
      <c r="TK574" s="259"/>
      <c r="TL574" s="259"/>
      <c r="TM574" s="259"/>
      <c r="TN574" s="259"/>
      <c r="TO574" s="259"/>
      <c r="TP574" s="259"/>
      <c r="TQ574" s="259"/>
      <c r="TR574" s="259"/>
      <c r="TS574" s="259"/>
      <c r="TT574" s="259"/>
      <c r="TU574" s="259"/>
      <c r="TV574" s="259"/>
      <c r="TW574" s="259"/>
      <c r="TX574" s="259"/>
      <c r="TY574" s="259"/>
      <c r="TZ574" s="259"/>
      <c r="UA574" s="259"/>
      <c r="UB574" s="259"/>
      <c r="UC574" s="259"/>
      <c r="UD574" s="259"/>
      <c r="UE574" s="259"/>
      <c r="UF574" s="259"/>
      <c r="UG574" s="259"/>
      <c r="UH574" s="259"/>
      <c r="UI574" s="259"/>
    </row>
    <row r="575" spans="1:555" ht="40.5">
      <c r="A575" s="502">
        <v>310</v>
      </c>
      <c r="B575" s="686" t="s">
        <v>3517</v>
      </c>
      <c r="C575" s="687" t="s">
        <v>3518</v>
      </c>
      <c r="D575" s="688" t="s">
        <v>67</v>
      </c>
      <c r="E575" s="27">
        <v>42600</v>
      </c>
      <c r="F575" s="689">
        <v>42583</v>
      </c>
      <c r="G575" s="690" t="s">
        <v>271</v>
      </c>
      <c r="H575" s="686"/>
      <c r="I575" s="686"/>
      <c r="J575" s="27">
        <v>43745</v>
      </c>
      <c r="K575" s="689">
        <v>43745</v>
      </c>
      <c r="L575" s="690" t="s">
        <v>9258</v>
      </c>
      <c r="M575" s="686" t="s">
        <v>63</v>
      </c>
      <c r="N575" s="686" t="s">
        <v>9259</v>
      </c>
      <c r="O575" s="27">
        <v>43818</v>
      </c>
      <c r="P575" s="691">
        <v>43818</v>
      </c>
      <c r="Q575" s="690" t="s">
        <v>9260</v>
      </c>
      <c r="R575" s="686" t="s">
        <v>63</v>
      </c>
      <c r="S575" s="686" t="s">
        <v>9261</v>
      </c>
      <c r="T575" s="27">
        <v>43864</v>
      </c>
      <c r="U575" s="689">
        <v>43864</v>
      </c>
      <c r="V575" s="690" t="s">
        <v>9453</v>
      </c>
      <c r="W575" s="686" t="s">
        <v>63</v>
      </c>
      <c r="X575" s="686" t="s">
        <v>85</v>
      </c>
      <c r="Y575" s="27"/>
      <c r="Z575" s="689"/>
      <c r="AA575" s="690"/>
      <c r="AB575" s="686"/>
      <c r="AC575" s="686"/>
      <c r="AD575" s="27"/>
      <c r="AE575" s="689"/>
      <c r="AF575" s="690"/>
      <c r="AG575" s="686"/>
      <c r="AH575" s="686"/>
      <c r="AI575" s="704"/>
      <c r="AJ575" s="689"/>
      <c r="AK575" s="690"/>
      <c r="AL575" s="686"/>
      <c r="AM575" s="686"/>
      <c r="AN575" s="686"/>
      <c r="AO575" s="686"/>
      <c r="AP575" s="686"/>
      <c r="AQ575" s="690" t="s">
        <v>3519</v>
      </c>
      <c r="AR575" s="686" t="s">
        <v>66</v>
      </c>
      <c r="AS575" s="27" t="s">
        <v>67</v>
      </c>
      <c r="AT575" s="27" t="s">
        <v>67</v>
      </c>
      <c r="AU575" s="686" t="s">
        <v>8045</v>
      </c>
      <c r="AV575" s="686"/>
      <c r="AW575" s="686" t="s">
        <v>69</v>
      </c>
      <c r="AX575" s="686" t="s">
        <v>2657</v>
      </c>
      <c r="AY575" s="27">
        <v>42600</v>
      </c>
      <c r="AZ575" s="686" t="s">
        <v>67</v>
      </c>
      <c r="BA575" s="27" t="s">
        <v>67</v>
      </c>
      <c r="BB575" s="27">
        <v>42600</v>
      </c>
      <c r="BC575" s="686" t="s">
        <v>3520</v>
      </c>
      <c r="BD575" s="686"/>
      <c r="BE575" s="686"/>
      <c r="BF575" s="690"/>
      <c r="BG575" s="690" t="s">
        <v>67</v>
      </c>
      <c r="BH575" s="690" t="s">
        <v>3521</v>
      </c>
      <c r="BI575" s="690" t="s">
        <v>190</v>
      </c>
      <c r="BJ575" s="803">
        <v>1910605487</v>
      </c>
      <c r="BK575" s="696">
        <v>1910605487</v>
      </c>
      <c r="BL575" s="697" t="s">
        <v>3522</v>
      </c>
      <c r="BM575" s="27">
        <v>42667</v>
      </c>
      <c r="BN575" s="698">
        <v>42644</v>
      </c>
      <c r="BO575" s="699"/>
      <c r="BP575" s="700"/>
      <c r="BQ575" s="686"/>
      <c r="BR575" s="701"/>
      <c r="BS575" s="690"/>
      <c r="BT575" s="690"/>
      <c r="BU575" s="690"/>
      <c r="BV575" s="690"/>
      <c r="BW575" s="702"/>
      <c r="BX575" s="693"/>
      <c r="BY575" s="27"/>
      <c r="BZ575" s="703"/>
      <c r="CA575" s="259"/>
      <c r="CB575" s="259"/>
      <c r="CC575" s="259"/>
      <c r="CD575" s="259"/>
      <c r="CE575" s="259"/>
      <c r="CF575" s="259"/>
      <c r="CG575" s="259"/>
      <c r="CH575" s="259"/>
      <c r="CI575" s="259"/>
      <c r="CJ575" s="259"/>
      <c r="CK575" s="259"/>
      <c r="CL575" s="259"/>
      <c r="CM575" s="259"/>
      <c r="CN575" s="259"/>
      <c r="CO575" s="259"/>
      <c r="CP575" s="259"/>
      <c r="CQ575" s="259"/>
      <c r="CR575" s="259"/>
      <c r="CS575" s="259"/>
      <c r="CT575" s="259"/>
      <c r="CU575" s="259"/>
      <c r="CV575" s="259"/>
      <c r="CW575" s="259"/>
      <c r="CX575" s="259"/>
      <c r="CY575" s="259"/>
      <c r="CZ575" s="259"/>
      <c r="DA575" s="259"/>
      <c r="DB575" s="259"/>
      <c r="DC575" s="259"/>
      <c r="DD575" s="259"/>
      <c r="DE575" s="259"/>
      <c r="DF575" s="259"/>
      <c r="DG575" s="259"/>
      <c r="DH575" s="259"/>
      <c r="DI575" s="259"/>
      <c r="DJ575" s="259"/>
      <c r="DK575" s="259"/>
      <c r="DL575" s="259"/>
      <c r="DM575" s="259"/>
      <c r="DN575" s="259"/>
      <c r="DO575" s="259"/>
      <c r="DP575" s="259"/>
      <c r="DQ575" s="259"/>
      <c r="DR575" s="259"/>
      <c r="DS575" s="259"/>
      <c r="DT575" s="259"/>
      <c r="DU575" s="259"/>
      <c r="DV575" s="259"/>
      <c r="DW575" s="259"/>
      <c r="DX575" s="259"/>
      <c r="DY575" s="259"/>
      <c r="DZ575" s="259"/>
      <c r="EA575" s="259"/>
      <c r="EB575" s="259"/>
      <c r="EC575" s="259"/>
      <c r="ED575" s="259"/>
      <c r="EE575" s="259"/>
      <c r="EF575" s="259"/>
      <c r="EG575" s="259"/>
      <c r="EH575" s="259"/>
      <c r="EI575" s="259"/>
      <c r="EJ575" s="259"/>
      <c r="EK575" s="259"/>
      <c r="EL575" s="259"/>
      <c r="EM575" s="259"/>
      <c r="EN575" s="259"/>
      <c r="EO575" s="259"/>
      <c r="EP575" s="259"/>
      <c r="EQ575" s="259"/>
      <c r="ER575" s="259"/>
      <c r="ES575" s="259"/>
      <c r="ET575" s="259"/>
      <c r="EU575" s="259"/>
      <c r="EV575" s="259"/>
      <c r="EW575" s="259"/>
      <c r="EX575" s="259"/>
      <c r="EY575" s="259"/>
      <c r="EZ575" s="259"/>
      <c r="FA575" s="259"/>
      <c r="FB575" s="259"/>
      <c r="FC575" s="259"/>
      <c r="FD575" s="259"/>
      <c r="FE575" s="259"/>
      <c r="FF575" s="259"/>
      <c r="FG575" s="259"/>
      <c r="FH575" s="259"/>
      <c r="FI575" s="259"/>
      <c r="FJ575" s="259"/>
      <c r="FK575" s="259"/>
      <c r="FL575" s="259"/>
      <c r="FM575" s="259"/>
      <c r="FN575" s="259"/>
      <c r="FO575" s="259"/>
      <c r="FP575" s="259"/>
      <c r="FQ575" s="259"/>
      <c r="FR575" s="259"/>
      <c r="FS575" s="259"/>
      <c r="FT575" s="259"/>
      <c r="FU575" s="259"/>
      <c r="FV575" s="259"/>
      <c r="FW575" s="259"/>
      <c r="FX575" s="259"/>
      <c r="FY575" s="259"/>
      <c r="FZ575" s="259"/>
      <c r="GA575" s="259"/>
      <c r="GB575" s="259"/>
      <c r="GC575" s="259"/>
      <c r="GD575" s="259"/>
      <c r="GE575" s="259"/>
      <c r="GF575" s="259"/>
      <c r="GG575" s="259"/>
      <c r="GH575" s="259"/>
      <c r="GI575" s="259"/>
      <c r="GJ575" s="259"/>
      <c r="GK575" s="259"/>
      <c r="GL575" s="259"/>
      <c r="GM575" s="259"/>
      <c r="GN575" s="259"/>
      <c r="GO575" s="259"/>
      <c r="GP575" s="259"/>
      <c r="GQ575" s="259"/>
      <c r="GR575" s="259"/>
      <c r="GS575" s="259"/>
      <c r="GT575" s="259"/>
      <c r="GU575" s="259"/>
      <c r="GV575" s="259"/>
      <c r="GW575" s="259"/>
      <c r="GX575" s="259"/>
      <c r="GY575" s="259"/>
      <c r="GZ575" s="259"/>
      <c r="HA575" s="259"/>
      <c r="HB575" s="259"/>
      <c r="HC575" s="259"/>
      <c r="HD575" s="259"/>
      <c r="HE575" s="259"/>
      <c r="HF575" s="259"/>
      <c r="HG575" s="259"/>
      <c r="HH575" s="259"/>
      <c r="HI575" s="259"/>
      <c r="HJ575" s="259"/>
      <c r="HK575" s="259"/>
      <c r="HL575" s="259"/>
      <c r="HM575" s="259"/>
      <c r="HN575" s="259"/>
      <c r="HO575" s="259"/>
      <c r="HP575" s="259"/>
      <c r="HQ575" s="259"/>
      <c r="HR575" s="259"/>
      <c r="HS575" s="259"/>
      <c r="HT575" s="259"/>
      <c r="HU575" s="259"/>
      <c r="HV575" s="259"/>
      <c r="HW575" s="259"/>
      <c r="HX575" s="259"/>
      <c r="HY575" s="259"/>
      <c r="HZ575" s="259"/>
      <c r="IA575" s="259"/>
      <c r="IB575" s="259"/>
      <c r="IC575" s="259"/>
      <c r="ID575" s="259"/>
      <c r="IE575" s="259"/>
      <c r="IF575" s="259"/>
      <c r="IG575" s="259"/>
      <c r="IH575" s="259"/>
      <c r="II575" s="259"/>
      <c r="IJ575" s="259"/>
      <c r="IK575" s="259"/>
      <c r="IL575" s="259"/>
      <c r="IM575" s="259"/>
      <c r="IN575" s="259"/>
      <c r="IO575" s="259"/>
      <c r="IP575" s="259"/>
      <c r="IQ575" s="259"/>
      <c r="IR575" s="259"/>
      <c r="IS575" s="259"/>
      <c r="IT575" s="259"/>
      <c r="IU575" s="259"/>
      <c r="IV575" s="259"/>
      <c r="IW575" s="259"/>
      <c r="IX575" s="259"/>
      <c r="IY575" s="259"/>
      <c r="IZ575" s="259"/>
      <c r="JA575" s="259"/>
      <c r="JB575" s="259"/>
      <c r="JC575" s="259"/>
      <c r="JD575" s="259"/>
      <c r="JE575" s="259"/>
      <c r="JF575" s="259"/>
      <c r="JG575" s="259"/>
      <c r="JH575" s="259"/>
      <c r="JI575" s="259"/>
      <c r="JJ575" s="259"/>
      <c r="JK575" s="259"/>
      <c r="JL575" s="259"/>
      <c r="JM575" s="259"/>
      <c r="JN575" s="259"/>
      <c r="JO575" s="259"/>
      <c r="JP575" s="259"/>
      <c r="JQ575" s="259"/>
      <c r="JR575" s="259"/>
      <c r="JS575" s="259"/>
      <c r="JT575" s="259"/>
      <c r="JU575" s="259"/>
      <c r="JV575" s="259"/>
      <c r="JW575" s="259"/>
      <c r="JX575" s="259"/>
      <c r="JY575" s="259"/>
      <c r="JZ575" s="259"/>
      <c r="KA575" s="259"/>
      <c r="KB575" s="259"/>
      <c r="KC575" s="259"/>
      <c r="KD575" s="259"/>
      <c r="KE575" s="259"/>
      <c r="KF575" s="259"/>
      <c r="KG575" s="259"/>
      <c r="KH575" s="259"/>
      <c r="KI575" s="259"/>
      <c r="KJ575" s="259"/>
      <c r="KK575" s="259"/>
      <c r="KL575" s="259"/>
      <c r="KM575" s="259"/>
      <c r="KN575" s="259"/>
      <c r="KO575" s="259"/>
      <c r="KP575" s="259"/>
      <c r="KQ575" s="259"/>
      <c r="KR575" s="259"/>
      <c r="KS575" s="259"/>
      <c r="KT575" s="259"/>
      <c r="KU575" s="259"/>
      <c r="KV575" s="259"/>
      <c r="KW575" s="259"/>
      <c r="KX575" s="259"/>
      <c r="KY575" s="259"/>
      <c r="KZ575" s="259"/>
      <c r="LA575" s="259"/>
      <c r="LB575" s="259"/>
      <c r="LC575" s="259"/>
      <c r="LD575" s="259"/>
      <c r="LE575" s="259"/>
      <c r="LF575" s="259"/>
      <c r="LG575" s="259"/>
      <c r="LH575" s="259"/>
      <c r="LI575" s="259"/>
      <c r="LJ575" s="259"/>
      <c r="LK575" s="259"/>
      <c r="LL575" s="259"/>
      <c r="LM575" s="259"/>
      <c r="LN575" s="259"/>
      <c r="LO575" s="259"/>
      <c r="LP575" s="259"/>
      <c r="LQ575" s="259"/>
      <c r="LR575" s="259"/>
      <c r="LS575" s="259"/>
      <c r="LT575" s="259"/>
      <c r="LU575" s="259"/>
      <c r="LV575" s="259"/>
      <c r="LW575" s="259"/>
      <c r="LX575" s="259"/>
      <c r="LY575" s="259"/>
      <c r="LZ575" s="259"/>
      <c r="MA575" s="259"/>
      <c r="MB575" s="259"/>
      <c r="MC575" s="259"/>
      <c r="MD575" s="259"/>
      <c r="ME575" s="259"/>
      <c r="MF575" s="259"/>
      <c r="MG575" s="259"/>
      <c r="MH575" s="259"/>
      <c r="MI575" s="259"/>
      <c r="MJ575" s="259"/>
      <c r="MK575" s="259"/>
      <c r="ML575" s="259"/>
      <c r="MM575" s="259"/>
      <c r="MN575" s="259"/>
      <c r="MO575" s="259"/>
      <c r="MP575" s="259"/>
      <c r="MQ575" s="259"/>
      <c r="MR575" s="259"/>
      <c r="MS575" s="259"/>
      <c r="MT575" s="259"/>
      <c r="MU575" s="259"/>
      <c r="MV575" s="259"/>
      <c r="MW575" s="259"/>
      <c r="MX575" s="259"/>
      <c r="MY575" s="259"/>
      <c r="MZ575" s="259"/>
      <c r="NA575" s="259"/>
      <c r="NB575" s="259"/>
      <c r="NC575" s="259"/>
      <c r="ND575" s="259"/>
      <c r="NE575" s="259"/>
      <c r="NF575" s="259"/>
      <c r="NG575" s="259"/>
      <c r="NH575" s="259"/>
      <c r="NI575" s="259"/>
      <c r="NJ575" s="259"/>
      <c r="NK575" s="259"/>
      <c r="NL575" s="259"/>
      <c r="NM575" s="259"/>
      <c r="NN575" s="259"/>
      <c r="NO575" s="259"/>
      <c r="NP575" s="259"/>
      <c r="NQ575" s="259"/>
      <c r="NR575" s="259"/>
      <c r="NS575" s="259"/>
      <c r="NT575" s="259"/>
      <c r="NU575" s="259"/>
      <c r="NV575" s="259"/>
      <c r="NW575" s="259"/>
      <c r="NX575" s="259"/>
      <c r="NY575" s="259"/>
      <c r="NZ575" s="259"/>
      <c r="OA575" s="259"/>
      <c r="OB575" s="259"/>
      <c r="OC575" s="259"/>
      <c r="OD575" s="259"/>
      <c r="OE575" s="259"/>
      <c r="OF575" s="259"/>
      <c r="OG575" s="259"/>
      <c r="OH575" s="259"/>
      <c r="OI575" s="259"/>
      <c r="OJ575" s="259"/>
      <c r="OK575" s="259"/>
      <c r="OL575" s="259"/>
      <c r="OM575" s="259"/>
      <c r="ON575" s="259"/>
      <c r="OO575" s="259"/>
      <c r="OP575" s="259"/>
      <c r="OQ575" s="259"/>
      <c r="OR575" s="259"/>
      <c r="OS575" s="259"/>
      <c r="OT575" s="259"/>
      <c r="OU575" s="259"/>
      <c r="OV575" s="259"/>
      <c r="OW575" s="259"/>
      <c r="OX575" s="259"/>
      <c r="OY575" s="259"/>
      <c r="OZ575" s="259"/>
      <c r="PA575" s="259"/>
      <c r="PB575" s="259"/>
      <c r="PC575" s="259"/>
      <c r="PD575" s="259"/>
      <c r="PE575" s="259"/>
      <c r="PF575" s="259"/>
      <c r="PG575" s="259"/>
      <c r="PH575" s="259"/>
      <c r="PI575" s="259"/>
      <c r="PJ575" s="259"/>
      <c r="PK575" s="259"/>
      <c r="PL575" s="259"/>
      <c r="PM575" s="259"/>
      <c r="PN575" s="259"/>
      <c r="PO575" s="259"/>
      <c r="PP575" s="259"/>
      <c r="PQ575" s="259"/>
      <c r="PR575" s="259"/>
      <c r="PS575" s="259"/>
      <c r="PT575" s="259"/>
      <c r="PU575" s="259"/>
      <c r="PV575" s="259"/>
      <c r="PW575" s="259"/>
      <c r="PX575" s="259"/>
      <c r="PY575" s="259"/>
      <c r="PZ575" s="259"/>
      <c r="QA575" s="259"/>
      <c r="QB575" s="259"/>
      <c r="QC575" s="259"/>
      <c r="QD575" s="259"/>
      <c r="QE575" s="259"/>
      <c r="QF575" s="259"/>
      <c r="QG575" s="259"/>
      <c r="QH575" s="259"/>
      <c r="QI575" s="259"/>
      <c r="QJ575" s="259"/>
      <c r="QK575" s="259"/>
      <c r="QL575" s="259"/>
      <c r="QM575" s="259"/>
      <c r="QN575" s="259"/>
      <c r="QO575" s="259"/>
      <c r="QP575" s="259"/>
      <c r="QQ575" s="259"/>
      <c r="QR575" s="259"/>
      <c r="QS575" s="259"/>
      <c r="QT575" s="259"/>
      <c r="QU575" s="259"/>
      <c r="QV575" s="259"/>
      <c r="QW575" s="259"/>
      <c r="QX575" s="259"/>
      <c r="QY575" s="259"/>
      <c r="QZ575" s="259"/>
      <c r="RA575" s="259"/>
      <c r="RB575" s="259"/>
      <c r="RC575" s="259"/>
      <c r="RD575" s="259"/>
      <c r="RE575" s="259"/>
      <c r="RF575" s="259"/>
      <c r="RG575" s="259"/>
      <c r="RH575" s="259"/>
      <c r="RI575" s="259"/>
      <c r="RJ575" s="259"/>
      <c r="RK575" s="259"/>
      <c r="RL575" s="259"/>
      <c r="RM575" s="259"/>
      <c r="RN575" s="259"/>
      <c r="RO575" s="259"/>
      <c r="RP575" s="259"/>
      <c r="RQ575" s="259"/>
      <c r="RR575" s="259"/>
      <c r="RS575" s="259"/>
      <c r="RT575" s="259"/>
      <c r="RU575" s="259"/>
      <c r="RV575" s="259"/>
      <c r="RW575" s="259"/>
      <c r="RX575" s="259"/>
      <c r="RY575" s="259"/>
      <c r="RZ575" s="259"/>
      <c r="SA575" s="259"/>
      <c r="SB575" s="259"/>
      <c r="SC575" s="259"/>
      <c r="SD575" s="259"/>
      <c r="SE575" s="259"/>
      <c r="SF575" s="259"/>
      <c r="SG575" s="259"/>
      <c r="SH575" s="259"/>
      <c r="SI575" s="259"/>
      <c r="SJ575" s="259"/>
      <c r="SK575" s="259"/>
      <c r="SL575" s="259"/>
      <c r="SM575" s="259"/>
      <c r="SN575" s="259"/>
      <c r="SO575" s="259"/>
      <c r="SP575" s="259"/>
      <c r="SQ575" s="259"/>
      <c r="SR575" s="259"/>
      <c r="SS575" s="259"/>
      <c r="ST575" s="259"/>
      <c r="SU575" s="259"/>
      <c r="SV575" s="259"/>
      <c r="SW575" s="259"/>
      <c r="SX575" s="259"/>
      <c r="SY575" s="259"/>
      <c r="SZ575" s="259"/>
      <c r="TA575" s="259"/>
      <c r="TB575" s="259"/>
      <c r="TC575" s="259"/>
      <c r="TD575" s="259"/>
      <c r="TE575" s="259"/>
      <c r="TF575" s="259"/>
      <c r="TG575" s="259"/>
      <c r="TH575" s="259"/>
      <c r="TI575" s="259"/>
      <c r="TJ575" s="259"/>
      <c r="TK575" s="259"/>
      <c r="TL575" s="259"/>
      <c r="TM575" s="259"/>
      <c r="TN575" s="259"/>
      <c r="TO575" s="259"/>
      <c r="TP575" s="259"/>
      <c r="TQ575" s="259"/>
      <c r="TR575" s="259"/>
      <c r="TS575" s="259"/>
      <c r="TT575" s="259"/>
      <c r="TU575" s="259"/>
      <c r="TV575" s="259"/>
      <c r="TW575" s="259"/>
      <c r="TX575" s="259"/>
      <c r="TY575" s="259"/>
      <c r="TZ575" s="259"/>
      <c r="UA575" s="259"/>
      <c r="UB575" s="259"/>
      <c r="UC575" s="259"/>
      <c r="UD575" s="259"/>
      <c r="UE575" s="259"/>
      <c r="UF575" s="259"/>
      <c r="UG575" s="259"/>
      <c r="UH575" s="259"/>
      <c r="UI575" s="259"/>
    </row>
    <row r="576" spans="1:555" ht="81">
      <c r="A576" s="296">
        <v>311</v>
      </c>
      <c r="B576" s="297" t="s">
        <v>3523</v>
      </c>
      <c r="C576" s="298">
        <v>13540992</v>
      </c>
      <c r="D576" s="354" t="s">
        <v>167</v>
      </c>
      <c r="E576" s="299">
        <v>42604</v>
      </c>
      <c r="F576" s="300">
        <v>42583</v>
      </c>
      <c r="G576" s="301" t="s">
        <v>3524</v>
      </c>
      <c r="H576" s="297" t="s">
        <v>1974</v>
      </c>
      <c r="I576" s="297" t="s">
        <v>183</v>
      </c>
      <c r="J576" s="299">
        <v>42611</v>
      </c>
      <c r="K576" s="300">
        <v>42583</v>
      </c>
      <c r="L576" s="301" t="s">
        <v>3525</v>
      </c>
      <c r="M576" s="297" t="s">
        <v>1974</v>
      </c>
      <c r="N576" s="297" t="s">
        <v>2223</v>
      </c>
      <c r="O576" s="299">
        <v>42667</v>
      </c>
      <c r="P576" s="302">
        <v>42644</v>
      </c>
      <c r="Q576" s="301" t="s">
        <v>3526</v>
      </c>
      <c r="R576" s="297" t="s">
        <v>5</v>
      </c>
      <c r="S576" s="297" t="s">
        <v>101</v>
      </c>
      <c r="T576" s="299">
        <v>42766</v>
      </c>
      <c r="U576" s="300">
        <v>42736</v>
      </c>
      <c r="V576" s="301" t="s">
        <v>3527</v>
      </c>
      <c r="W576" s="297" t="s">
        <v>625</v>
      </c>
      <c r="X576" s="297" t="s">
        <v>1544</v>
      </c>
      <c r="Y576" s="299"/>
      <c r="Z576" s="300"/>
      <c r="AA576" s="301"/>
      <c r="AB576" s="297"/>
      <c r="AC576" s="297"/>
      <c r="AD576" s="299"/>
      <c r="AE576" s="300"/>
      <c r="AF576" s="301"/>
      <c r="AG576" s="297"/>
      <c r="AH576" s="297"/>
      <c r="AI576" s="322"/>
      <c r="AJ576" s="300"/>
      <c r="AK576" s="301"/>
      <c r="AL576" s="297"/>
      <c r="AM576" s="297"/>
      <c r="AN576" s="297" t="s">
        <v>2151</v>
      </c>
      <c r="AO576" s="540">
        <v>42667</v>
      </c>
      <c r="AP576" s="297"/>
      <c r="AQ576" s="301" t="s">
        <v>3528</v>
      </c>
      <c r="AR576" s="297" t="s">
        <v>161</v>
      </c>
      <c r="AS576" s="299">
        <v>37684</v>
      </c>
      <c r="AT576" s="299">
        <v>40632</v>
      </c>
      <c r="AU576" s="297" t="s">
        <v>3529</v>
      </c>
      <c r="AV576" s="297"/>
      <c r="AW576" s="297" t="s">
        <v>69</v>
      </c>
      <c r="AX576" s="297" t="s">
        <v>903</v>
      </c>
      <c r="AY576" s="299">
        <v>41669</v>
      </c>
      <c r="AZ576" s="297" t="s">
        <v>576</v>
      </c>
      <c r="BA576" s="299">
        <v>42429</v>
      </c>
      <c r="BB576" s="299">
        <v>42592</v>
      </c>
      <c r="BC576" s="297" t="s">
        <v>95</v>
      </c>
      <c r="BD576" s="297" t="s">
        <v>566</v>
      </c>
      <c r="BE576" s="297"/>
      <c r="BF576" s="301"/>
      <c r="BG576" s="301"/>
      <c r="BH576" s="301"/>
      <c r="BI576" s="301"/>
      <c r="BJ576" s="968">
        <f>+[125]MATRIZ!$J$83</f>
        <v>0</v>
      </c>
      <c r="BK576" s="312"/>
      <c r="BL576" s="313"/>
      <c r="BM576" s="299"/>
      <c r="BN576" s="314"/>
      <c r="BO576" s="460"/>
      <c r="BP576" s="390"/>
      <c r="BQ576" s="297"/>
      <c r="BR576" s="303"/>
      <c r="BS576" s="301"/>
      <c r="BT576" s="301"/>
      <c r="BU576" s="301"/>
      <c r="BV576" s="301"/>
      <c r="BW576" s="316"/>
      <c r="BX576" s="304"/>
      <c r="BY576" s="299"/>
      <c r="BZ576" s="317"/>
    </row>
    <row r="577" spans="1:555" ht="135">
      <c r="A577" s="296">
        <v>312</v>
      </c>
      <c r="B577" s="297" t="s">
        <v>9171</v>
      </c>
      <c r="C577" s="298">
        <v>52705599</v>
      </c>
      <c r="D577" s="354" t="s">
        <v>906</v>
      </c>
      <c r="E577" s="299">
        <v>42606</v>
      </c>
      <c r="F577" s="300">
        <v>42583</v>
      </c>
      <c r="G577" s="301" t="s">
        <v>3530</v>
      </c>
      <c r="H577" s="297" t="s">
        <v>625</v>
      </c>
      <c r="I577" s="297" t="s">
        <v>183</v>
      </c>
      <c r="J577" s="299">
        <v>42676</v>
      </c>
      <c r="K577" s="300">
        <v>42675</v>
      </c>
      <c r="L577" s="301" t="s">
        <v>3421</v>
      </c>
      <c r="M577" s="297" t="s">
        <v>171</v>
      </c>
      <c r="N577" s="297" t="s">
        <v>1544</v>
      </c>
      <c r="O577" s="299">
        <v>42830</v>
      </c>
      <c r="P577" s="302">
        <v>42826</v>
      </c>
      <c r="Q577" s="301" t="s">
        <v>3531</v>
      </c>
      <c r="R577" s="297" t="s">
        <v>5</v>
      </c>
      <c r="S577" s="297" t="s">
        <v>79</v>
      </c>
      <c r="T577" s="299">
        <v>42860</v>
      </c>
      <c r="U577" s="300">
        <v>42856</v>
      </c>
      <c r="V577" s="301" t="s">
        <v>3532</v>
      </c>
      <c r="W577" s="297" t="s">
        <v>5</v>
      </c>
      <c r="X577" s="297" t="s">
        <v>582</v>
      </c>
      <c r="Y577" s="299">
        <v>43073</v>
      </c>
      <c r="Z577" s="300">
        <v>75941</v>
      </c>
      <c r="AA577" s="301" t="s">
        <v>3533</v>
      </c>
      <c r="AB577" s="297" t="s">
        <v>3534</v>
      </c>
      <c r="AC577" s="297" t="s">
        <v>1114</v>
      </c>
      <c r="AD577" s="969">
        <v>43355</v>
      </c>
      <c r="AE577" s="300">
        <v>43355</v>
      </c>
      <c r="AF577" s="537" t="s">
        <v>3535</v>
      </c>
      <c r="AG577" s="297" t="s">
        <v>3534</v>
      </c>
      <c r="AH577" s="537" t="s">
        <v>3536</v>
      </c>
      <c r="AI577" s="299">
        <v>43748</v>
      </c>
      <c r="AJ577" s="300">
        <v>43748</v>
      </c>
      <c r="AK577" s="301" t="s">
        <v>9190</v>
      </c>
      <c r="AL577" s="297" t="s">
        <v>3534</v>
      </c>
      <c r="AM577" s="297" t="s">
        <v>85</v>
      </c>
      <c r="AN577" s="297" t="s">
        <v>2968</v>
      </c>
      <c r="AO577" s="540">
        <v>42830</v>
      </c>
      <c r="AP577" s="297"/>
      <c r="AQ577" s="301" t="s">
        <v>3537</v>
      </c>
      <c r="AR577" s="297" t="s">
        <v>161</v>
      </c>
      <c r="AS577" s="299">
        <v>39478</v>
      </c>
      <c r="AT577" s="299">
        <v>40908</v>
      </c>
      <c r="AU577" s="297" t="s">
        <v>3538</v>
      </c>
      <c r="AV577" s="297"/>
      <c r="AW577" s="297" t="s">
        <v>69</v>
      </c>
      <c r="AX577" s="297" t="s">
        <v>3539</v>
      </c>
      <c r="AY577" s="299">
        <v>42262</v>
      </c>
      <c r="AZ577" s="297" t="s">
        <v>94</v>
      </c>
      <c r="BA577" s="299">
        <v>42531</v>
      </c>
      <c r="BB577" s="299">
        <v>42557</v>
      </c>
      <c r="BC577" s="303" t="s">
        <v>912</v>
      </c>
      <c r="BD577" s="303" t="s">
        <v>566</v>
      </c>
      <c r="BE577" s="297"/>
      <c r="BF577" s="301"/>
      <c r="BG577" s="301"/>
      <c r="BH577" s="301"/>
      <c r="BI577" s="301"/>
      <c r="BJ577" s="968">
        <f>+[126]MATRIZ!$J$46</f>
        <v>26131463.344451517</v>
      </c>
      <c r="BK577" s="312"/>
      <c r="BL577" s="313"/>
      <c r="BM577" s="299"/>
      <c r="BN577" s="314"/>
      <c r="BO577" s="460"/>
      <c r="BP577" s="390"/>
      <c r="BQ577" s="297"/>
      <c r="BR577" s="303"/>
      <c r="BS577" s="301"/>
      <c r="BT577" s="301"/>
      <c r="BU577" s="301"/>
      <c r="BV577" s="301"/>
      <c r="BW577" s="316"/>
      <c r="BX577" s="304"/>
      <c r="BY577" s="299"/>
      <c r="BZ577" s="317"/>
    </row>
    <row r="578" spans="1:555" ht="121.5">
      <c r="A578" s="296">
        <v>313</v>
      </c>
      <c r="B578" s="297" t="s">
        <v>3540</v>
      </c>
      <c r="C578" s="298">
        <v>80434561</v>
      </c>
      <c r="D578" s="354" t="s">
        <v>3541</v>
      </c>
      <c r="E578" s="299">
        <v>42608</v>
      </c>
      <c r="F578" s="300">
        <v>42583</v>
      </c>
      <c r="G578" s="301" t="s">
        <v>3542</v>
      </c>
      <c r="H578" s="297" t="s">
        <v>625</v>
      </c>
      <c r="I578" s="297" t="s">
        <v>183</v>
      </c>
      <c r="J578" s="299">
        <v>42629</v>
      </c>
      <c r="K578" s="300">
        <v>42614</v>
      </c>
      <c r="L578" s="301" t="s">
        <v>3543</v>
      </c>
      <c r="M578" s="297" t="s">
        <v>63</v>
      </c>
      <c r="N578" s="297" t="s">
        <v>101</v>
      </c>
      <c r="O578" s="299">
        <v>42608</v>
      </c>
      <c r="P578" s="302">
        <v>42583</v>
      </c>
      <c r="Q578" s="301" t="s">
        <v>3544</v>
      </c>
      <c r="R578" s="297" t="s">
        <v>63</v>
      </c>
      <c r="S578" s="297" t="s">
        <v>336</v>
      </c>
      <c r="T578" s="299">
        <v>43199</v>
      </c>
      <c r="U578" s="300">
        <v>43191</v>
      </c>
      <c r="V578" s="300" t="s">
        <v>3545</v>
      </c>
      <c r="W578" s="297" t="s">
        <v>63</v>
      </c>
      <c r="X578" s="297" t="s">
        <v>8243</v>
      </c>
      <c r="Y578" s="299">
        <v>43488</v>
      </c>
      <c r="Z578" s="300">
        <v>43488</v>
      </c>
      <c r="AA578" s="301" t="s">
        <v>8087</v>
      </c>
      <c r="AB578" s="297" t="s">
        <v>5</v>
      </c>
      <c r="AC578" s="297" t="s">
        <v>8088</v>
      </c>
      <c r="AD578" s="299">
        <v>43670</v>
      </c>
      <c r="AE578" s="300">
        <v>43670</v>
      </c>
      <c r="AF578" s="537" t="s">
        <v>8997</v>
      </c>
      <c r="AG578" s="297" t="s">
        <v>63</v>
      </c>
      <c r="AH578" s="297" t="s">
        <v>1114</v>
      </c>
      <c r="AI578" s="299" t="s">
        <v>10627</v>
      </c>
      <c r="AJ578" s="300" t="s">
        <v>10628</v>
      </c>
      <c r="AK578" s="301" t="s">
        <v>10629</v>
      </c>
      <c r="AL578" s="297" t="s">
        <v>10630</v>
      </c>
      <c r="AM578" s="297" t="s">
        <v>9546</v>
      </c>
      <c r="AN578" s="297" t="s">
        <v>1359</v>
      </c>
      <c r="AO578" s="540">
        <v>42632</v>
      </c>
      <c r="AP578" s="297"/>
      <c r="AQ578" s="301" t="s">
        <v>3546</v>
      </c>
      <c r="AR578" s="297" t="s">
        <v>161</v>
      </c>
      <c r="AS578" s="299">
        <v>37617</v>
      </c>
      <c r="AT578" s="299">
        <v>39994</v>
      </c>
      <c r="AU578" s="297" t="s">
        <v>9003</v>
      </c>
      <c r="AV578" s="297"/>
      <c r="AW578" s="297" t="s">
        <v>92</v>
      </c>
      <c r="AX578" s="297" t="s">
        <v>2748</v>
      </c>
      <c r="AY578" s="299">
        <v>41992</v>
      </c>
      <c r="AZ578" s="297" t="s">
        <v>94</v>
      </c>
      <c r="BA578" s="299">
        <v>42566</v>
      </c>
      <c r="BB578" s="299">
        <v>42586</v>
      </c>
      <c r="BC578" s="297" t="s">
        <v>95</v>
      </c>
      <c r="BD578" s="297" t="s">
        <v>566</v>
      </c>
      <c r="BE578" s="297"/>
      <c r="BF578" s="301" t="s">
        <v>7328</v>
      </c>
      <c r="BG578" s="301"/>
      <c r="BH578" s="301"/>
      <c r="BI578" s="301"/>
      <c r="BJ578" s="312">
        <f>+[127]MATRIZ!$J$70</f>
        <v>0</v>
      </c>
      <c r="BK578" s="312"/>
      <c r="BL578" s="313"/>
      <c r="BM578" s="299"/>
      <c r="BN578" s="314"/>
      <c r="BO578" s="460"/>
      <c r="BP578" s="390"/>
      <c r="BQ578" s="297"/>
      <c r="BR578" s="303"/>
      <c r="BS578" s="301"/>
      <c r="BT578" s="301"/>
      <c r="BU578" s="301"/>
      <c r="BV578" s="301"/>
      <c r="BW578" s="316"/>
      <c r="BX578" s="304"/>
      <c r="BY578" s="299"/>
      <c r="BZ578" s="317"/>
    </row>
    <row r="579" spans="1:555" ht="78.75" customHeight="1">
      <c r="A579" s="502">
        <v>315</v>
      </c>
      <c r="B579" s="686" t="s">
        <v>3560</v>
      </c>
      <c r="C579" s="687">
        <v>79456418</v>
      </c>
      <c r="D579" s="688" t="s">
        <v>906</v>
      </c>
      <c r="E579" s="27">
        <v>42615</v>
      </c>
      <c r="F579" s="689">
        <v>42614</v>
      </c>
      <c r="G579" s="690" t="s">
        <v>3561</v>
      </c>
      <c r="H579" s="686" t="s">
        <v>171</v>
      </c>
      <c r="I579" s="686" t="s">
        <v>1544</v>
      </c>
      <c r="J579" s="27">
        <v>42830</v>
      </c>
      <c r="K579" s="689">
        <v>42826</v>
      </c>
      <c r="L579" s="690" t="s">
        <v>3562</v>
      </c>
      <c r="M579" s="686" t="s">
        <v>5</v>
      </c>
      <c r="N579" s="686" t="s">
        <v>101</v>
      </c>
      <c r="O579" s="27"/>
      <c r="P579" s="691"/>
      <c r="Q579" s="690"/>
      <c r="R579" s="686"/>
      <c r="S579" s="686"/>
      <c r="T579" s="27"/>
      <c r="U579" s="689"/>
      <c r="V579" s="690"/>
      <c r="W579" s="686"/>
      <c r="X579" s="686"/>
      <c r="Y579" s="27"/>
      <c r="Z579" s="689"/>
      <c r="AA579" s="690"/>
      <c r="AB579" s="686"/>
      <c r="AC579" s="686"/>
      <c r="AD579" s="27"/>
      <c r="AE579" s="689"/>
      <c r="AF579" s="690"/>
      <c r="AG579" s="686"/>
      <c r="AH579" s="686"/>
      <c r="AI579" s="704"/>
      <c r="AJ579" s="689"/>
      <c r="AK579" s="690"/>
      <c r="AL579" s="686"/>
      <c r="AM579" s="686"/>
      <c r="AN579" s="686" t="s">
        <v>2968</v>
      </c>
      <c r="AO579" s="694">
        <v>42830</v>
      </c>
      <c r="AP579" s="686"/>
      <c r="AQ579" s="690" t="s">
        <v>3563</v>
      </c>
      <c r="AR579" s="686" t="s">
        <v>161</v>
      </c>
      <c r="AS579" s="27">
        <v>40487</v>
      </c>
      <c r="AT579" s="27">
        <v>40908</v>
      </c>
      <c r="AU579" s="686" t="s">
        <v>3564</v>
      </c>
      <c r="AV579" s="686"/>
      <c r="AW579" s="686" t="s">
        <v>69</v>
      </c>
      <c r="AX579" s="686" t="s">
        <v>318</v>
      </c>
      <c r="AY579" s="27">
        <v>42247</v>
      </c>
      <c r="AZ579" s="686" t="s">
        <v>94</v>
      </c>
      <c r="BA579" s="27">
        <v>42416</v>
      </c>
      <c r="BB579" s="27">
        <v>42416</v>
      </c>
      <c r="BC579" s="701" t="s">
        <v>912</v>
      </c>
      <c r="BD579" s="701" t="s">
        <v>566</v>
      </c>
      <c r="BE579" s="686"/>
      <c r="BF579" s="690"/>
      <c r="BG579" s="690"/>
      <c r="BH579" s="690"/>
      <c r="BI579" s="690"/>
      <c r="BJ579" s="696">
        <f>+[128]MATRIZ!$J$52</f>
        <v>0</v>
      </c>
      <c r="BK579" s="696"/>
      <c r="BL579" s="697"/>
      <c r="BM579" s="27"/>
      <c r="BN579" s="698"/>
      <c r="BO579" s="699"/>
      <c r="BP579" s="700"/>
      <c r="BQ579" s="686"/>
      <c r="BR579" s="701"/>
      <c r="BS579" s="690"/>
      <c r="BT579" s="690"/>
      <c r="BU579" s="690"/>
      <c r="BV579" s="690"/>
      <c r="BW579" s="702"/>
      <c r="BX579" s="693"/>
      <c r="BY579" s="27"/>
      <c r="BZ579" s="703"/>
      <c r="CA579" s="259"/>
      <c r="CB579" s="259"/>
      <c r="CC579" s="259"/>
      <c r="CD579" s="259"/>
      <c r="CE579" s="259"/>
      <c r="CF579" s="259"/>
      <c r="CG579" s="259"/>
      <c r="CH579" s="259"/>
      <c r="CI579" s="259"/>
      <c r="CJ579" s="259"/>
      <c r="CK579" s="259"/>
      <c r="CL579" s="259"/>
      <c r="CM579" s="259"/>
      <c r="CN579" s="259"/>
      <c r="CO579" s="259"/>
      <c r="CP579" s="259"/>
      <c r="CQ579" s="259"/>
      <c r="CR579" s="259"/>
      <c r="CS579" s="259"/>
      <c r="CT579" s="259"/>
      <c r="CU579" s="259"/>
      <c r="CV579" s="259"/>
      <c r="CW579" s="259"/>
      <c r="CX579" s="259"/>
      <c r="CY579" s="259"/>
      <c r="CZ579" s="259"/>
      <c r="DA579" s="259"/>
      <c r="DB579" s="259"/>
      <c r="DC579" s="259"/>
      <c r="DD579" s="259"/>
      <c r="DE579" s="259"/>
      <c r="DF579" s="259"/>
      <c r="DG579" s="259"/>
      <c r="DH579" s="259"/>
      <c r="DI579" s="259"/>
      <c r="DJ579" s="259"/>
      <c r="DK579" s="259"/>
      <c r="DL579" s="259"/>
      <c r="DM579" s="259"/>
      <c r="DN579" s="259"/>
      <c r="DO579" s="259"/>
      <c r="DP579" s="259"/>
      <c r="DQ579" s="259"/>
      <c r="DR579" s="259"/>
      <c r="DS579" s="259"/>
      <c r="DT579" s="259"/>
      <c r="DU579" s="259"/>
      <c r="DV579" s="259"/>
      <c r="DW579" s="259"/>
      <c r="DX579" s="259"/>
      <c r="DY579" s="259"/>
      <c r="DZ579" s="259"/>
      <c r="EA579" s="259"/>
      <c r="EB579" s="259"/>
      <c r="EC579" s="259"/>
      <c r="ED579" s="259"/>
      <c r="EE579" s="259"/>
      <c r="EF579" s="259"/>
      <c r="EG579" s="259"/>
      <c r="EH579" s="259"/>
      <c r="EI579" s="259"/>
      <c r="EJ579" s="259"/>
      <c r="EK579" s="259"/>
      <c r="EL579" s="259"/>
      <c r="EM579" s="259"/>
      <c r="EN579" s="259"/>
      <c r="EO579" s="259"/>
      <c r="EP579" s="259"/>
      <c r="EQ579" s="259"/>
      <c r="ER579" s="259"/>
      <c r="ES579" s="259"/>
      <c r="ET579" s="259"/>
      <c r="EU579" s="259"/>
      <c r="EV579" s="259"/>
      <c r="EW579" s="259"/>
      <c r="EX579" s="259"/>
      <c r="EY579" s="259"/>
      <c r="EZ579" s="259"/>
      <c r="FA579" s="259"/>
      <c r="FB579" s="259"/>
      <c r="FC579" s="259"/>
      <c r="FD579" s="259"/>
      <c r="FE579" s="259"/>
      <c r="FF579" s="259"/>
      <c r="FG579" s="259"/>
      <c r="FH579" s="259"/>
      <c r="FI579" s="259"/>
      <c r="FJ579" s="259"/>
      <c r="FK579" s="259"/>
      <c r="FL579" s="259"/>
      <c r="FM579" s="259"/>
      <c r="FN579" s="259"/>
      <c r="FO579" s="259"/>
      <c r="FP579" s="259"/>
      <c r="FQ579" s="259"/>
      <c r="FR579" s="259"/>
      <c r="FS579" s="259"/>
      <c r="FT579" s="259"/>
      <c r="FU579" s="259"/>
      <c r="FV579" s="259"/>
      <c r="FW579" s="259"/>
      <c r="FX579" s="259"/>
      <c r="FY579" s="259"/>
      <c r="FZ579" s="259"/>
      <c r="GA579" s="259"/>
      <c r="GB579" s="259"/>
      <c r="GC579" s="259"/>
      <c r="GD579" s="259"/>
      <c r="GE579" s="259"/>
      <c r="GF579" s="259"/>
      <c r="GG579" s="259"/>
      <c r="GH579" s="259"/>
      <c r="GI579" s="259"/>
      <c r="GJ579" s="259"/>
      <c r="GK579" s="259"/>
      <c r="GL579" s="259"/>
      <c r="GM579" s="259"/>
      <c r="GN579" s="259"/>
      <c r="GO579" s="259"/>
      <c r="GP579" s="259"/>
      <c r="GQ579" s="259"/>
      <c r="GR579" s="259"/>
      <c r="GS579" s="259"/>
      <c r="GT579" s="259"/>
      <c r="GU579" s="259"/>
      <c r="GV579" s="259"/>
      <c r="GW579" s="259"/>
      <c r="GX579" s="259"/>
      <c r="GY579" s="259"/>
      <c r="GZ579" s="259"/>
      <c r="HA579" s="259"/>
      <c r="HB579" s="259"/>
      <c r="HC579" s="259"/>
      <c r="HD579" s="259"/>
      <c r="HE579" s="259"/>
      <c r="HF579" s="259"/>
      <c r="HG579" s="259"/>
      <c r="HH579" s="259"/>
      <c r="HI579" s="259"/>
      <c r="HJ579" s="259"/>
      <c r="HK579" s="259"/>
      <c r="HL579" s="259"/>
      <c r="HM579" s="259"/>
      <c r="HN579" s="259"/>
      <c r="HO579" s="259"/>
      <c r="HP579" s="259"/>
      <c r="HQ579" s="259"/>
      <c r="HR579" s="259"/>
      <c r="HS579" s="259"/>
      <c r="HT579" s="259"/>
      <c r="HU579" s="259"/>
      <c r="HV579" s="259"/>
      <c r="HW579" s="259"/>
      <c r="HX579" s="259"/>
      <c r="HY579" s="259"/>
      <c r="HZ579" s="259"/>
      <c r="IA579" s="259"/>
      <c r="IB579" s="259"/>
      <c r="IC579" s="259"/>
      <c r="ID579" s="259"/>
      <c r="IE579" s="259"/>
      <c r="IF579" s="259"/>
      <c r="IG579" s="259"/>
      <c r="IH579" s="259"/>
      <c r="II579" s="259"/>
      <c r="IJ579" s="259"/>
      <c r="IK579" s="259"/>
      <c r="IL579" s="259"/>
      <c r="IM579" s="259"/>
      <c r="IN579" s="259"/>
      <c r="IO579" s="259"/>
      <c r="IP579" s="259"/>
      <c r="IQ579" s="259"/>
      <c r="IR579" s="259"/>
      <c r="IS579" s="259"/>
      <c r="IT579" s="259"/>
      <c r="IU579" s="259"/>
      <c r="IV579" s="259"/>
      <c r="IW579" s="259"/>
      <c r="IX579" s="259"/>
      <c r="IY579" s="259"/>
      <c r="IZ579" s="259"/>
      <c r="JA579" s="259"/>
      <c r="JB579" s="259"/>
      <c r="JC579" s="259"/>
      <c r="JD579" s="259"/>
      <c r="JE579" s="259"/>
      <c r="JF579" s="259"/>
      <c r="JG579" s="259"/>
      <c r="JH579" s="259"/>
      <c r="JI579" s="259"/>
      <c r="JJ579" s="259"/>
      <c r="JK579" s="259"/>
      <c r="JL579" s="259"/>
      <c r="JM579" s="259"/>
      <c r="JN579" s="259"/>
      <c r="JO579" s="259"/>
      <c r="JP579" s="259"/>
      <c r="JQ579" s="259"/>
      <c r="JR579" s="259"/>
      <c r="JS579" s="259"/>
      <c r="JT579" s="259"/>
      <c r="JU579" s="259"/>
      <c r="JV579" s="259"/>
      <c r="JW579" s="259"/>
      <c r="JX579" s="259"/>
      <c r="JY579" s="259"/>
      <c r="JZ579" s="259"/>
      <c r="KA579" s="259"/>
      <c r="KB579" s="259"/>
      <c r="KC579" s="259"/>
      <c r="KD579" s="259"/>
      <c r="KE579" s="259"/>
      <c r="KF579" s="259"/>
      <c r="KG579" s="259"/>
      <c r="KH579" s="259"/>
      <c r="KI579" s="259"/>
      <c r="KJ579" s="259"/>
      <c r="KK579" s="259"/>
      <c r="KL579" s="259"/>
      <c r="KM579" s="259"/>
      <c r="KN579" s="259"/>
      <c r="KO579" s="259"/>
      <c r="KP579" s="259"/>
      <c r="KQ579" s="259"/>
      <c r="KR579" s="259"/>
      <c r="KS579" s="259"/>
      <c r="KT579" s="259"/>
      <c r="KU579" s="259"/>
      <c r="KV579" s="259"/>
      <c r="KW579" s="259"/>
      <c r="KX579" s="259"/>
      <c r="KY579" s="259"/>
      <c r="KZ579" s="259"/>
      <c r="LA579" s="259"/>
      <c r="LB579" s="259"/>
      <c r="LC579" s="259"/>
      <c r="LD579" s="259"/>
      <c r="LE579" s="259"/>
      <c r="LF579" s="259"/>
      <c r="LG579" s="259"/>
      <c r="LH579" s="259"/>
      <c r="LI579" s="259"/>
      <c r="LJ579" s="259"/>
      <c r="LK579" s="259"/>
      <c r="LL579" s="259"/>
      <c r="LM579" s="259"/>
      <c r="LN579" s="259"/>
      <c r="LO579" s="259"/>
      <c r="LP579" s="259"/>
      <c r="LQ579" s="259"/>
      <c r="LR579" s="259"/>
      <c r="LS579" s="259"/>
      <c r="LT579" s="259"/>
      <c r="LU579" s="259"/>
      <c r="LV579" s="259"/>
      <c r="LW579" s="259"/>
      <c r="LX579" s="259"/>
      <c r="LY579" s="259"/>
      <c r="LZ579" s="259"/>
      <c r="MA579" s="259"/>
      <c r="MB579" s="259"/>
      <c r="MC579" s="259"/>
      <c r="MD579" s="259"/>
      <c r="ME579" s="259"/>
      <c r="MF579" s="259"/>
      <c r="MG579" s="259"/>
      <c r="MH579" s="259"/>
      <c r="MI579" s="259"/>
      <c r="MJ579" s="259"/>
      <c r="MK579" s="259"/>
      <c r="ML579" s="259"/>
      <c r="MM579" s="259"/>
      <c r="MN579" s="259"/>
      <c r="MO579" s="259"/>
      <c r="MP579" s="259"/>
      <c r="MQ579" s="259"/>
      <c r="MR579" s="259"/>
      <c r="MS579" s="259"/>
      <c r="MT579" s="259"/>
      <c r="MU579" s="259"/>
      <c r="MV579" s="259"/>
      <c r="MW579" s="259"/>
      <c r="MX579" s="259"/>
      <c r="MY579" s="259"/>
      <c r="MZ579" s="259"/>
      <c r="NA579" s="259"/>
      <c r="NB579" s="259"/>
      <c r="NC579" s="259"/>
      <c r="ND579" s="259"/>
      <c r="NE579" s="259"/>
      <c r="NF579" s="259"/>
      <c r="NG579" s="259"/>
      <c r="NH579" s="259"/>
      <c r="NI579" s="259"/>
      <c r="NJ579" s="259"/>
      <c r="NK579" s="259"/>
      <c r="NL579" s="259"/>
      <c r="NM579" s="259"/>
      <c r="NN579" s="259"/>
      <c r="NO579" s="259"/>
      <c r="NP579" s="259"/>
      <c r="NQ579" s="259"/>
      <c r="NR579" s="259"/>
      <c r="NS579" s="259"/>
      <c r="NT579" s="259"/>
      <c r="NU579" s="259"/>
      <c r="NV579" s="259"/>
      <c r="NW579" s="259"/>
      <c r="NX579" s="259"/>
      <c r="NY579" s="259"/>
      <c r="NZ579" s="259"/>
      <c r="OA579" s="259"/>
      <c r="OB579" s="259"/>
      <c r="OC579" s="259"/>
      <c r="OD579" s="259"/>
      <c r="OE579" s="259"/>
      <c r="OF579" s="259"/>
      <c r="OG579" s="259"/>
      <c r="OH579" s="259"/>
      <c r="OI579" s="259"/>
      <c r="OJ579" s="259"/>
      <c r="OK579" s="259"/>
      <c r="OL579" s="259"/>
      <c r="OM579" s="259"/>
      <c r="ON579" s="259"/>
      <c r="OO579" s="259"/>
      <c r="OP579" s="259"/>
      <c r="OQ579" s="259"/>
      <c r="OR579" s="259"/>
      <c r="OS579" s="259"/>
      <c r="OT579" s="259"/>
      <c r="OU579" s="259"/>
      <c r="OV579" s="259"/>
      <c r="OW579" s="259"/>
      <c r="OX579" s="259"/>
      <c r="OY579" s="259"/>
      <c r="OZ579" s="259"/>
      <c r="PA579" s="259"/>
      <c r="PB579" s="259"/>
      <c r="PC579" s="259"/>
      <c r="PD579" s="259"/>
      <c r="PE579" s="259"/>
      <c r="PF579" s="259"/>
      <c r="PG579" s="259"/>
      <c r="PH579" s="259"/>
      <c r="PI579" s="259"/>
      <c r="PJ579" s="259"/>
      <c r="PK579" s="259"/>
      <c r="PL579" s="259"/>
      <c r="PM579" s="259"/>
      <c r="PN579" s="259"/>
      <c r="PO579" s="259"/>
      <c r="PP579" s="259"/>
      <c r="PQ579" s="259"/>
      <c r="PR579" s="259"/>
      <c r="PS579" s="259"/>
      <c r="PT579" s="259"/>
      <c r="PU579" s="259"/>
      <c r="PV579" s="259"/>
      <c r="PW579" s="259"/>
      <c r="PX579" s="259"/>
      <c r="PY579" s="259"/>
      <c r="PZ579" s="259"/>
      <c r="QA579" s="259"/>
      <c r="QB579" s="259"/>
      <c r="QC579" s="259"/>
      <c r="QD579" s="259"/>
      <c r="QE579" s="259"/>
      <c r="QF579" s="259"/>
      <c r="QG579" s="259"/>
      <c r="QH579" s="259"/>
      <c r="QI579" s="259"/>
      <c r="QJ579" s="259"/>
      <c r="QK579" s="259"/>
      <c r="QL579" s="259"/>
      <c r="QM579" s="259"/>
      <c r="QN579" s="259"/>
      <c r="QO579" s="259"/>
      <c r="QP579" s="259"/>
      <c r="QQ579" s="259"/>
      <c r="QR579" s="259"/>
      <c r="QS579" s="259"/>
      <c r="QT579" s="259"/>
      <c r="QU579" s="259"/>
      <c r="QV579" s="259"/>
      <c r="QW579" s="259"/>
      <c r="QX579" s="259"/>
      <c r="QY579" s="259"/>
      <c r="QZ579" s="259"/>
      <c r="RA579" s="259"/>
      <c r="RB579" s="259"/>
      <c r="RC579" s="259"/>
      <c r="RD579" s="259"/>
      <c r="RE579" s="259"/>
      <c r="RF579" s="259"/>
      <c r="RG579" s="259"/>
      <c r="RH579" s="259"/>
      <c r="RI579" s="259"/>
      <c r="RJ579" s="259"/>
      <c r="RK579" s="259"/>
      <c r="RL579" s="259"/>
      <c r="RM579" s="259"/>
      <c r="RN579" s="259"/>
      <c r="RO579" s="259"/>
      <c r="RP579" s="259"/>
      <c r="RQ579" s="259"/>
      <c r="RR579" s="259"/>
      <c r="RS579" s="259"/>
      <c r="RT579" s="259"/>
      <c r="RU579" s="259"/>
      <c r="RV579" s="259"/>
      <c r="RW579" s="259"/>
      <c r="RX579" s="259"/>
      <c r="RY579" s="259"/>
      <c r="RZ579" s="259"/>
      <c r="SA579" s="259"/>
      <c r="SB579" s="259"/>
      <c r="SC579" s="259"/>
      <c r="SD579" s="259"/>
      <c r="SE579" s="259"/>
      <c r="SF579" s="259"/>
      <c r="SG579" s="259"/>
      <c r="SH579" s="259"/>
      <c r="SI579" s="259"/>
      <c r="SJ579" s="259"/>
      <c r="SK579" s="259"/>
      <c r="SL579" s="259"/>
      <c r="SM579" s="259"/>
      <c r="SN579" s="259"/>
      <c r="SO579" s="259"/>
      <c r="SP579" s="259"/>
      <c r="SQ579" s="259"/>
      <c r="SR579" s="259"/>
      <c r="SS579" s="259"/>
      <c r="ST579" s="259"/>
      <c r="SU579" s="259"/>
      <c r="SV579" s="259"/>
      <c r="SW579" s="259"/>
      <c r="SX579" s="259"/>
      <c r="SY579" s="259"/>
      <c r="SZ579" s="259"/>
      <c r="TA579" s="259"/>
      <c r="TB579" s="259"/>
      <c r="TC579" s="259"/>
      <c r="TD579" s="259"/>
      <c r="TE579" s="259"/>
      <c r="TF579" s="259"/>
      <c r="TG579" s="259"/>
      <c r="TH579" s="259"/>
      <c r="TI579" s="259"/>
      <c r="TJ579" s="259"/>
      <c r="TK579" s="259"/>
      <c r="TL579" s="259"/>
      <c r="TM579" s="259"/>
      <c r="TN579" s="259"/>
      <c r="TO579" s="259"/>
      <c r="TP579" s="259"/>
      <c r="TQ579" s="259"/>
      <c r="TR579" s="259"/>
      <c r="TS579" s="259"/>
      <c r="TT579" s="259"/>
      <c r="TU579" s="259"/>
      <c r="TV579" s="259"/>
      <c r="TW579" s="259"/>
      <c r="TX579" s="259"/>
      <c r="TY579" s="259"/>
      <c r="TZ579" s="259"/>
      <c r="UA579" s="259"/>
      <c r="UB579" s="259"/>
      <c r="UC579" s="259"/>
      <c r="UD579" s="259"/>
      <c r="UE579" s="259"/>
      <c r="UF579" s="259"/>
      <c r="UG579" s="259"/>
      <c r="UH579" s="259"/>
      <c r="UI579" s="259"/>
    </row>
    <row r="580" spans="1:555" s="259" customFormat="1" ht="76.5" customHeight="1">
      <c r="A580" s="57">
        <v>317</v>
      </c>
      <c r="B580" s="58" t="s">
        <v>3582</v>
      </c>
      <c r="C580" s="856">
        <v>93387204</v>
      </c>
      <c r="D580" s="170" t="s">
        <v>667</v>
      </c>
      <c r="E580" s="60">
        <v>42625</v>
      </c>
      <c r="F580" s="61">
        <v>42614</v>
      </c>
      <c r="G580" s="62" t="s">
        <v>3583</v>
      </c>
      <c r="H580" s="58" t="s">
        <v>625</v>
      </c>
      <c r="I580" s="58" t="s">
        <v>183</v>
      </c>
      <c r="J580" s="60">
        <v>42647</v>
      </c>
      <c r="K580" s="61">
        <v>42644</v>
      </c>
      <c r="L580" s="62" t="s">
        <v>3584</v>
      </c>
      <c r="M580" s="58" t="s">
        <v>195</v>
      </c>
      <c r="N580" s="58" t="s">
        <v>336</v>
      </c>
      <c r="O580" s="60">
        <v>42795</v>
      </c>
      <c r="P580" s="63">
        <v>42795</v>
      </c>
      <c r="Q580" s="62" t="s">
        <v>3585</v>
      </c>
      <c r="R580" s="58" t="s">
        <v>625</v>
      </c>
      <c r="S580" s="58" t="s">
        <v>183</v>
      </c>
      <c r="T580" s="60">
        <v>43222</v>
      </c>
      <c r="U580" s="61">
        <v>43221</v>
      </c>
      <c r="V580" s="62" t="s">
        <v>3586</v>
      </c>
      <c r="W580" s="58" t="s">
        <v>63</v>
      </c>
      <c r="X580" s="58" t="s">
        <v>79</v>
      </c>
      <c r="Y580" s="64">
        <v>43276</v>
      </c>
      <c r="Z580" s="61">
        <v>43276</v>
      </c>
      <c r="AA580" s="425" t="s">
        <v>3587</v>
      </c>
      <c r="AB580" s="58" t="s">
        <v>63</v>
      </c>
      <c r="AC580" s="58" t="s">
        <v>85</v>
      </c>
      <c r="AD580" s="60">
        <v>43368</v>
      </c>
      <c r="AE580" s="61">
        <v>43368</v>
      </c>
      <c r="AF580" s="425" t="s">
        <v>3588</v>
      </c>
      <c r="AG580" s="58" t="s">
        <v>1480</v>
      </c>
      <c r="AH580" s="58" t="s">
        <v>107</v>
      </c>
      <c r="AI580" s="60" t="s">
        <v>10416</v>
      </c>
      <c r="AJ580" s="61" t="s">
        <v>10417</v>
      </c>
      <c r="AK580" s="62" t="s">
        <v>10415</v>
      </c>
      <c r="AL580" s="58" t="s">
        <v>10418</v>
      </c>
      <c r="AM580" s="58" t="s">
        <v>10419</v>
      </c>
      <c r="AN580" s="58"/>
      <c r="AO580" s="478"/>
      <c r="AP580" s="58"/>
      <c r="AQ580" s="62" t="s">
        <v>3589</v>
      </c>
      <c r="AR580" s="58" t="s">
        <v>161</v>
      </c>
      <c r="AS580" s="60">
        <v>38138</v>
      </c>
      <c r="AT580" s="60">
        <v>40625</v>
      </c>
      <c r="AU580" s="58" t="s">
        <v>3590</v>
      </c>
      <c r="AV580" s="58"/>
      <c r="AW580" s="58" t="s">
        <v>69</v>
      </c>
      <c r="AX580" s="58" t="s">
        <v>3116</v>
      </c>
      <c r="AY580" s="60">
        <v>42044</v>
      </c>
      <c r="AZ580" s="58" t="s">
        <v>94</v>
      </c>
      <c r="BA580" s="60">
        <v>42607</v>
      </c>
      <c r="BB580" s="382">
        <v>42762</v>
      </c>
      <c r="BC580" s="58" t="s">
        <v>95</v>
      </c>
      <c r="BD580" s="58" t="s">
        <v>566</v>
      </c>
      <c r="BE580" s="58"/>
      <c r="BF580" s="62"/>
      <c r="BG580" s="62"/>
      <c r="BH580" s="62"/>
      <c r="BI580" s="62"/>
      <c r="BJ580" s="138">
        <f>[129]MATRIZ!$H$74</f>
        <v>0</v>
      </c>
      <c r="BK580" s="67"/>
      <c r="BL580" s="68"/>
      <c r="BM580" s="60"/>
      <c r="BN580" s="69"/>
      <c r="BO580" s="463"/>
      <c r="BP580" s="122"/>
      <c r="BQ580" s="58"/>
      <c r="BR580" s="70"/>
      <c r="BS580" s="62"/>
      <c r="BT580" s="62"/>
      <c r="BU580" s="62"/>
      <c r="BV580" s="62"/>
      <c r="BW580" s="71"/>
      <c r="BX580" s="66"/>
      <c r="BY580" s="60"/>
      <c r="BZ580" s="72"/>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c r="JW580" s="1"/>
      <c r="JX580" s="1"/>
      <c r="JY580" s="1"/>
      <c r="JZ580" s="1"/>
      <c r="KA580" s="1"/>
      <c r="KB580" s="1"/>
      <c r="KC580" s="1"/>
      <c r="KD580" s="1"/>
      <c r="KE580" s="1"/>
      <c r="KF580" s="1"/>
      <c r="KG580" s="1"/>
      <c r="KH580" s="1"/>
      <c r="KI580" s="1"/>
      <c r="KJ580" s="1"/>
      <c r="KK580" s="1"/>
      <c r="KL580" s="1"/>
      <c r="KM580" s="1"/>
      <c r="KN580" s="1"/>
      <c r="KO580" s="1"/>
      <c r="KP580" s="1"/>
      <c r="KQ580" s="1"/>
      <c r="KR580" s="1"/>
      <c r="KS580" s="1"/>
      <c r="KT580" s="1"/>
      <c r="KU580" s="1"/>
      <c r="KV580" s="1"/>
      <c r="KW580" s="1"/>
      <c r="KX580" s="1"/>
      <c r="KY580" s="1"/>
      <c r="KZ580" s="1"/>
      <c r="LA580" s="1"/>
      <c r="LB580" s="1"/>
      <c r="LC580" s="1"/>
      <c r="LD580" s="1"/>
      <c r="LE580" s="1"/>
      <c r="LF580" s="1"/>
      <c r="LG580" s="1"/>
      <c r="LH580" s="1"/>
      <c r="LI580" s="1"/>
      <c r="LJ580" s="1"/>
      <c r="LK580" s="1"/>
      <c r="LL580" s="1"/>
      <c r="LM580" s="1"/>
      <c r="LN580" s="1"/>
      <c r="LO580" s="1"/>
      <c r="LP580" s="1"/>
      <c r="LQ580" s="1"/>
      <c r="LR580" s="1"/>
      <c r="LS580" s="1"/>
      <c r="LT580" s="1"/>
      <c r="LU580" s="1"/>
      <c r="LV580" s="1"/>
      <c r="LW580" s="1"/>
      <c r="LX580" s="1"/>
      <c r="LY580" s="1"/>
      <c r="LZ580" s="1"/>
      <c r="MA580" s="1"/>
      <c r="MB580" s="1"/>
      <c r="MC580" s="1"/>
      <c r="MD580" s="1"/>
      <c r="ME580" s="1"/>
      <c r="MF580" s="1"/>
      <c r="MG580" s="1"/>
      <c r="MH580" s="1"/>
      <c r="MI580" s="1"/>
      <c r="MJ580" s="1"/>
      <c r="MK580" s="1"/>
      <c r="ML580" s="1"/>
      <c r="MM580" s="1"/>
      <c r="MN580" s="1"/>
      <c r="MO580" s="1"/>
      <c r="MP580" s="1"/>
      <c r="MQ580" s="1"/>
      <c r="MR580" s="1"/>
      <c r="MS580" s="1"/>
      <c r="MT580" s="1"/>
      <c r="MU580" s="1"/>
      <c r="MV580" s="1"/>
      <c r="MW580" s="1"/>
      <c r="MX580" s="1"/>
      <c r="MY580" s="1"/>
      <c r="MZ580" s="1"/>
      <c r="NA580" s="1"/>
      <c r="NB580" s="1"/>
      <c r="NC580" s="1"/>
      <c r="ND580" s="1"/>
      <c r="NE580" s="1"/>
      <c r="NF580" s="1"/>
      <c r="NG580" s="1"/>
      <c r="NH580" s="1"/>
      <c r="NI580" s="1"/>
      <c r="NJ580" s="1"/>
      <c r="NK580" s="1"/>
      <c r="NL580" s="1"/>
      <c r="NM580" s="1"/>
      <c r="NN580" s="1"/>
      <c r="NO580" s="1"/>
      <c r="NP580" s="1"/>
      <c r="NQ580" s="1"/>
      <c r="NR580" s="1"/>
      <c r="NS580" s="1"/>
      <c r="NT580" s="1"/>
      <c r="NU580" s="1"/>
      <c r="NV580" s="1"/>
      <c r="NW580" s="1"/>
      <c r="NX580" s="1"/>
      <c r="NY580" s="1"/>
      <c r="NZ580" s="1"/>
      <c r="OA580" s="1"/>
      <c r="OB580" s="1"/>
      <c r="OC580" s="1"/>
      <c r="OD580" s="1"/>
      <c r="OE580" s="1"/>
      <c r="OF580" s="1"/>
      <c r="OG580" s="1"/>
      <c r="OH580" s="1"/>
      <c r="OI580" s="1"/>
      <c r="OJ580" s="1"/>
      <c r="OK580" s="1"/>
      <c r="OL580" s="1"/>
      <c r="OM580" s="1"/>
      <c r="ON580" s="1"/>
      <c r="OO580" s="1"/>
      <c r="OP580" s="1"/>
      <c r="OQ580" s="1"/>
      <c r="OR580" s="1"/>
      <c r="OS580" s="1"/>
      <c r="OT580" s="1"/>
      <c r="OU580" s="1"/>
      <c r="OV580" s="1"/>
      <c r="OW580" s="1"/>
      <c r="OX580" s="1"/>
      <c r="OY580" s="1"/>
      <c r="OZ580" s="1"/>
      <c r="PA580" s="1"/>
      <c r="PB580" s="1"/>
      <c r="PC580" s="1"/>
      <c r="PD580" s="1"/>
      <c r="PE580" s="1"/>
      <c r="PF580" s="1"/>
      <c r="PG580" s="1"/>
      <c r="PH580" s="1"/>
      <c r="PI580" s="1"/>
      <c r="PJ580" s="1"/>
      <c r="PK580" s="1"/>
      <c r="PL580" s="1"/>
      <c r="PM580" s="1"/>
      <c r="PN580" s="1"/>
      <c r="PO580" s="1"/>
      <c r="PP580" s="1"/>
      <c r="PQ580" s="1"/>
      <c r="PR580" s="1"/>
      <c r="PS580" s="1"/>
      <c r="PT580" s="1"/>
      <c r="PU580" s="1"/>
      <c r="PV580" s="1"/>
      <c r="PW580" s="1"/>
      <c r="PX580" s="1"/>
      <c r="PY580" s="1"/>
      <c r="PZ580" s="1"/>
      <c r="QA580" s="1"/>
      <c r="QB580" s="1"/>
      <c r="QC580" s="1"/>
      <c r="QD580" s="1"/>
      <c r="QE580" s="1"/>
      <c r="QF580" s="1"/>
      <c r="QG580" s="1"/>
      <c r="QH580" s="1"/>
      <c r="QI580" s="1"/>
      <c r="QJ580" s="1"/>
      <c r="QK580" s="1"/>
      <c r="QL580" s="1"/>
      <c r="QM580" s="1"/>
      <c r="QN580" s="1"/>
      <c r="QO580" s="1"/>
      <c r="QP580" s="1"/>
      <c r="QQ580" s="1"/>
      <c r="QR580" s="1"/>
      <c r="QS580" s="1"/>
      <c r="QT580" s="1"/>
      <c r="QU580" s="1"/>
      <c r="QV580" s="1"/>
      <c r="QW580" s="1"/>
      <c r="QX580" s="1"/>
      <c r="QY580" s="1"/>
      <c r="QZ580" s="1"/>
      <c r="RA580" s="1"/>
      <c r="RB580" s="1"/>
      <c r="RC580" s="1"/>
      <c r="RD580" s="1"/>
      <c r="RE580" s="1"/>
      <c r="RF580" s="1"/>
      <c r="RG580" s="1"/>
      <c r="RH580" s="1"/>
      <c r="RI580" s="1"/>
      <c r="RJ580" s="1"/>
      <c r="RK580" s="1"/>
      <c r="RL580" s="1"/>
      <c r="RM580" s="1"/>
      <c r="RN580" s="1"/>
      <c r="RO580" s="1"/>
      <c r="RP580" s="1"/>
      <c r="RQ580" s="1"/>
      <c r="RR580" s="1"/>
      <c r="RS580" s="1"/>
      <c r="RT580" s="1"/>
      <c r="RU580" s="1"/>
      <c r="RV580" s="1"/>
      <c r="RW580" s="1"/>
      <c r="RX580" s="1"/>
      <c r="RY580" s="1"/>
      <c r="RZ580" s="1"/>
      <c r="SA580" s="1"/>
      <c r="SB580" s="1"/>
      <c r="SC580" s="1"/>
      <c r="SD580" s="1"/>
      <c r="SE580" s="1"/>
      <c r="SF580" s="1"/>
      <c r="SG580" s="1"/>
      <c r="SH580" s="1"/>
      <c r="SI580" s="1"/>
      <c r="SJ580" s="1"/>
      <c r="SK580" s="1"/>
      <c r="SL580" s="1"/>
      <c r="SM580" s="1"/>
      <c r="SN580" s="1"/>
      <c r="SO580" s="1"/>
      <c r="SP580" s="1"/>
      <c r="SQ580" s="1"/>
      <c r="SR580" s="1"/>
      <c r="SS580" s="1"/>
      <c r="ST580" s="1"/>
      <c r="SU580" s="1"/>
      <c r="SV580" s="1"/>
      <c r="SW580" s="1"/>
      <c r="SX580" s="1"/>
      <c r="SY580" s="1"/>
      <c r="SZ580" s="1"/>
      <c r="TA580" s="1"/>
      <c r="TB580" s="1"/>
      <c r="TC580" s="1"/>
      <c r="TD580" s="1"/>
      <c r="TE580" s="1"/>
      <c r="TF580" s="1"/>
      <c r="TG580" s="1"/>
      <c r="TH580" s="1"/>
      <c r="TI580" s="1"/>
      <c r="TJ580" s="1"/>
      <c r="TK580" s="1"/>
      <c r="TL580" s="1"/>
      <c r="TM580" s="1"/>
      <c r="TN580" s="1"/>
      <c r="TO580" s="1"/>
      <c r="TP580" s="1"/>
      <c r="TQ580" s="1"/>
      <c r="TR580" s="1"/>
      <c r="TS580" s="1"/>
      <c r="TT580" s="1"/>
      <c r="TU580" s="1"/>
      <c r="TV580" s="1"/>
      <c r="TW580" s="1"/>
      <c r="TX580" s="1"/>
      <c r="TY580" s="1"/>
      <c r="TZ580" s="1"/>
      <c r="UA580" s="1"/>
      <c r="UB580" s="1"/>
      <c r="UC580" s="1"/>
      <c r="UD580" s="1"/>
      <c r="UE580" s="1"/>
      <c r="UF580" s="1"/>
      <c r="UG580" s="1"/>
      <c r="UH580" s="1"/>
      <c r="UI580" s="1"/>
    </row>
    <row r="581" spans="1:555" s="259" customFormat="1" ht="189">
      <c r="A581" s="502">
        <v>318</v>
      </c>
      <c r="B581" s="686" t="s">
        <v>3591</v>
      </c>
      <c r="C581" s="687">
        <v>79500953</v>
      </c>
      <c r="D581" s="688" t="s">
        <v>906</v>
      </c>
      <c r="E581" s="27">
        <v>42625</v>
      </c>
      <c r="F581" s="689">
        <v>42614</v>
      </c>
      <c r="G581" s="690" t="s">
        <v>3592</v>
      </c>
      <c r="H581" s="686" t="s">
        <v>1493</v>
      </c>
      <c r="I581" s="686" t="s">
        <v>183</v>
      </c>
      <c r="J581" s="27">
        <v>42640</v>
      </c>
      <c r="K581" s="689">
        <v>42614</v>
      </c>
      <c r="L581" s="690" t="s">
        <v>3593</v>
      </c>
      <c r="M581" s="686" t="s">
        <v>195</v>
      </c>
      <c r="N581" s="686" t="s">
        <v>336</v>
      </c>
      <c r="O581" s="27">
        <v>42654</v>
      </c>
      <c r="P581" s="691">
        <v>42644</v>
      </c>
      <c r="Q581" s="690" t="s">
        <v>3594</v>
      </c>
      <c r="R581" s="686" t="s">
        <v>171</v>
      </c>
      <c r="S581" s="686" t="s">
        <v>1544</v>
      </c>
      <c r="T581" s="27">
        <v>42928</v>
      </c>
      <c r="U581" s="689">
        <v>42917</v>
      </c>
      <c r="V581" s="690" t="s">
        <v>3595</v>
      </c>
      <c r="W581" s="686" t="s">
        <v>5</v>
      </c>
      <c r="X581" s="686" t="s">
        <v>3510</v>
      </c>
      <c r="Y581" s="27">
        <v>43612</v>
      </c>
      <c r="Z581" s="689">
        <v>43612</v>
      </c>
      <c r="AA581" s="690" t="s">
        <v>8772</v>
      </c>
      <c r="AB581" s="686" t="s">
        <v>208</v>
      </c>
      <c r="AC581" s="686" t="s">
        <v>8773</v>
      </c>
      <c r="AD581" s="27"/>
      <c r="AE581" s="689"/>
      <c r="AF581" s="690"/>
      <c r="AG581" s="686"/>
      <c r="AH581" s="686"/>
      <c r="AI581" s="704"/>
      <c r="AJ581" s="689"/>
      <c r="AK581" s="690"/>
      <c r="AL581" s="686"/>
      <c r="AM581" s="686"/>
      <c r="AN581" s="686" t="s">
        <v>3596</v>
      </c>
      <c r="AO581" s="694">
        <v>42928</v>
      </c>
      <c r="AP581" s="686"/>
      <c r="AQ581" s="690" t="s">
        <v>3597</v>
      </c>
      <c r="AR581" s="686" t="s">
        <v>161</v>
      </c>
      <c r="AS581" s="27" t="s">
        <v>67</v>
      </c>
      <c r="AT581" s="27" t="s">
        <v>67</v>
      </c>
      <c r="AU581" s="686" t="s">
        <v>3564</v>
      </c>
      <c r="AV581" s="686"/>
      <c r="AW581" s="686" t="s">
        <v>69</v>
      </c>
      <c r="AX581" s="686" t="s">
        <v>8738</v>
      </c>
      <c r="AY581" s="27">
        <v>42415</v>
      </c>
      <c r="AZ581" s="686" t="s">
        <v>3598</v>
      </c>
      <c r="BA581" s="27">
        <v>42621</v>
      </c>
      <c r="BB581" s="27">
        <v>42629</v>
      </c>
      <c r="BC581" s="701" t="s">
        <v>912</v>
      </c>
      <c r="BD581" s="701" t="s">
        <v>566</v>
      </c>
      <c r="BE581" s="686"/>
      <c r="BF581" s="690"/>
      <c r="BG581" s="690"/>
      <c r="BH581" s="690"/>
      <c r="BI581" s="690"/>
      <c r="BJ581" s="803">
        <f>+[130]MATRIZ!$J$44</f>
        <v>0</v>
      </c>
      <c r="BK581" s="696"/>
      <c r="BL581" s="697"/>
      <c r="BM581" s="27"/>
      <c r="BN581" s="698"/>
      <c r="BO581" s="699"/>
      <c r="BP581" s="700"/>
      <c r="BQ581" s="686"/>
      <c r="BR581" s="701"/>
      <c r="BS581" s="690"/>
      <c r="BT581" s="690"/>
      <c r="BU581" s="690"/>
      <c r="BV581" s="690"/>
      <c r="BW581" s="702"/>
      <c r="BX581" s="693"/>
      <c r="BY581" s="27"/>
      <c r="BZ581" s="703"/>
    </row>
    <row r="582" spans="1:555" ht="189">
      <c r="A582" s="296">
        <v>319</v>
      </c>
      <c r="B582" s="297" t="s">
        <v>3599</v>
      </c>
      <c r="C582" s="298">
        <v>11003188</v>
      </c>
      <c r="D582" s="354" t="s">
        <v>1567</v>
      </c>
      <c r="E582" s="299">
        <v>42628</v>
      </c>
      <c r="F582" s="300">
        <v>42614</v>
      </c>
      <c r="G582" s="301" t="s">
        <v>3600</v>
      </c>
      <c r="H582" s="297" t="s">
        <v>1493</v>
      </c>
      <c r="I582" s="297" t="s">
        <v>183</v>
      </c>
      <c r="J582" s="299">
        <v>42689</v>
      </c>
      <c r="K582" s="300">
        <v>42675</v>
      </c>
      <c r="L582" s="301" t="s">
        <v>3601</v>
      </c>
      <c r="M582" s="297" t="s">
        <v>5</v>
      </c>
      <c r="N582" s="297" t="s">
        <v>101</v>
      </c>
      <c r="O582" s="299">
        <v>42751</v>
      </c>
      <c r="P582" s="302">
        <v>42736</v>
      </c>
      <c r="Q582" s="301" t="s">
        <v>1570</v>
      </c>
      <c r="R582" s="297" t="s">
        <v>5</v>
      </c>
      <c r="S582" s="297" t="s">
        <v>3602</v>
      </c>
      <c r="T582" s="299">
        <v>44001</v>
      </c>
      <c r="U582" s="300">
        <v>44001</v>
      </c>
      <c r="V582" s="301" t="s">
        <v>9517</v>
      </c>
      <c r="W582" s="297" t="s">
        <v>5</v>
      </c>
      <c r="X582" s="297" t="s">
        <v>85</v>
      </c>
      <c r="Y582" s="299">
        <v>44018</v>
      </c>
      <c r="Z582" s="300">
        <v>44018</v>
      </c>
      <c r="AA582" s="301" t="s">
        <v>9521</v>
      </c>
      <c r="AB582" s="297" t="s">
        <v>5</v>
      </c>
      <c r="AC582" s="297" t="s">
        <v>85</v>
      </c>
      <c r="AD582" s="299">
        <v>44062</v>
      </c>
      <c r="AE582" s="300">
        <v>44062</v>
      </c>
      <c r="AF582" s="301" t="s">
        <v>9600</v>
      </c>
      <c r="AG582" s="297" t="s">
        <v>9447</v>
      </c>
      <c r="AH582" s="297" t="s">
        <v>9601</v>
      </c>
      <c r="AI582" s="322"/>
      <c r="AJ582" s="300"/>
      <c r="AK582" s="301"/>
      <c r="AL582" s="297"/>
      <c r="AM582" s="297"/>
      <c r="AN582" s="297" t="s">
        <v>3603</v>
      </c>
      <c r="AO582" s="540">
        <v>42689</v>
      </c>
      <c r="AP582" s="297"/>
      <c r="AQ582" s="301" t="s">
        <v>3604</v>
      </c>
      <c r="AR582" s="297" t="s">
        <v>161</v>
      </c>
      <c r="AS582" s="299">
        <v>38285</v>
      </c>
      <c r="AT582" s="299">
        <v>40630</v>
      </c>
      <c r="AU582" s="297" t="s">
        <v>3605</v>
      </c>
      <c r="AV582" s="297"/>
      <c r="AW582" s="297" t="s">
        <v>92</v>
      </c>
      <c r="AX582" s="297" t="s">
        <v>3606</v>
      </c>
      <c r="AY582" s="299">
        <v>41411</v>
      </c>
      <c r="AZ582" s="297" t="s">
        <v>1630</v>
      </c>
      <c r="BA582" s="299">
        <v>42572</v>
      </c>
      <c r="BB582" s="299">
        <v>42585</v>
      </c>
      <c r="BC582" s="297" t="s">
        <v>95</v>
      </c>
      <c r="BD582" s="297" t="s">
        <v>566</v>
      </c>
      <c r="BE582" s="297"/>
      <c r="BF582" s="301" t="s">
        <v>8008</v>
      </c>
      <c r="BG582" s="301"/>
      <c r="BH582" s="301"/>
      <c r="BI582" s="301"/>
      <c r="BJ582" s="312">
        <f>+[131]MATRIZ!$J$70</f>
        <v>0</v>
      </c>
      <c r="BK582" s="312"/>
      <c r="BL582" s="313"/>
      <c r="BM582" s="299"/>
      <c r="BN582" s="314"/>
      <c r="BO582" s="460"/>
      <c r="BP582" s="390"/>
      <c r="BQ582" s="297"/>
      <c r="BR582" s="303"/>
      <c r="BS582" s="301"/>
      <c r="BT582" s="301"/>
      <c r="BU582" s="301"/>
      <c r="BV582" s="301"/>
      <c r="BW582" s="316"/>
      <c r="BX582" s="304"/>
      <c r="BY582" s="299"/>
      <c r="BZ582" s="317"/>
    </row>
    <row r="583" spans="1:555" ht="175.5">
      <c r="A583" s="502">
        <v>320</v>
      </c>
      <c r="B583" s="686" t="s">
        <v>3607</v>
      </c>
      <c r="C583" s="687">
        <v>7175935</v>
      </c>
      <c r="D583" s="688" t="s">
        <v>906</v>
      </c>
      <c r="E583" s="27">
        <v>42629</v>
      </c>
      <c r="F583" s="689">
        <v>42614</v>
      </c>
      <c r="G583" s="690" t="s">
        <v>3608</v>
      </c>
      <c r="H583" s="686" t="s">
        <v>1493</v>
      </c>
      <c r="I583" s="686" t="s">
        <v>183</v>
      </c>
      <c r="J583" s="27">
        <v>42676</v>
      </c>
      <c r="K583" s="689">
        <v>42675</v>
      </c>
      <c r="L583" s="690" t="s">
        <v>3609</v>
      </c>
      <c r="M583" s="686" t="s">
        <v>625</v>
      </c>
      <c r="N583" s="686" t="s">
        <v>1544</v>
      </c>
      <c r="O583" s="27">
        <v>42692</v>
      </c>
      <c r="P583" s="691">
        <v>42675</v>
      </c>
      <c r="Q583" s="690" t="s">
        <v>3610</v>
      </c>
      <c r="R583" s="686" t="s">
        <v>171</v>
      </c>
      <c r="S583" s="686" t="s">
        <v>1544</v>
      </c>
      <c r="T583" s="27">
        <v>42786</v>
      </c>
      <c r="U583" s="689">
        <v>42767</v>
      </c>
      <c r="V583" s="690" t="s">
        <v>3611</v>
      </c>
      <c r="W583" s="686" t="s">
        <v>5</v>
      </c>
      <c r="X583" s="686" t="s">
        <v>79</v>
      </c>
      <c r="Y583" s="27">
        <v>43013</v>
      </c>
      <c r="Z583" s="689">
        <v>43009</v>
      </c>
      <c r="AA583" s="690" t="s">
        <v>3612</v>
      </c>
      <c r="AB583" s="686" t="s">
        <v>5</v>
      </c>
      <c r="AC583" s="686" t="s">
        <v>3613</v>
      </c>
      <c r="AD583" s="27"/>
      <c r="AE583" s="689"/>
      <c r="AF583" s="690"/>
      <c r="AG583" s="686"/>
      <c r="AH583" s="686"/>
      <c r="AI583" s="704"/>
      <c r="AJ583" s="689"/>
      <c r="AK583" s="690"/>
      <c r="AL583" s="686"/>
      <c r="AM583" s="686"/>
      <c r="AN583" s="686" t="s">
        <v>2968</v>
      </c>
      <c r="AO583" s="694">
        <v>42786</v>
      </c>
      <c r="AP583" s="686"/>
      <c r="AQ583" s="690" t="s">
        <v>3614</v>
      </c>
      <c r="AR583" s="686" t="s">
        <v>161</v>
      </c>
      <c r="AS583" s="27">
        <v>38648</v>
      </c>
      <c r="AT583" s="27">
        <v>40908</v>
      </c>
      <c r="AU583" s="686" t="s">
        <v>3615</v>
      </c>
      <c r="AV583" s="686"/>
      <c r="AW583" s="686" t="s">
        <v>69</v>
      </c>
      <c r="AX583" s="686" t="s">
        <v>3616</v>
      </c>
      <c r="AY583" s="27">
        <v>42391</v>
      </c>
      <c r="AZ583" s="686" t="s">
        <v>94</v>
      </c>
      <c r="BA583" s="27">
        <v>42621</v>
      </c>
      <c r="BB583" s="27">
        <v>42632</v>
      </c>
      <c r="BC583" s="701" t="s">
        <v>912</v>
      </c>
      <c r="BD583" s="701" t="s">
        <v>566</v>
      </c>
      <c r="BE583" s="686"/>
      <c r="BF583" s="690"/>
      <c r="BG583" s="690"/>
      <c r="BH583" s="690"/>
      <c r="BI583" s="690"/>
      <c r="BJ583" s="696">
        <f>+[132]MATRIZ!$J$47</f>
        <v>0</v>
      </c>
      <c r="BK583" s="696"/>
      <c r="BL583" s="697"/>
      <c r="BM583" s="27"/>
      <c r="BN583" s="698"/>
      <c r="BO583" s="798" t="s">
        <v>3617</v>
      </c>
      <c r="BP583" s="799"/>
      <c r="BQ583" s="800"/>
      <c r="BR583" s="801"/>
      <c r="BS583" s="690"/>
      <c r="BT583" s="690"/>
      <c r="BU583" s="690"/>
      <c r="BV583" s="690"/>
      <c r="BW583" s="702"/>
      <c r="BX583" s="693"/>
      <c r="BY583" s="27"/>
      <c r="BZ583" s="703"/>
      <c r="CA583" s="259"/>
      <c r="CB583" s="259"/>
      <c r="CC583" s="259"/>
      <c r="CD583" s="259"/>
      <c r="CE583" s="259"/>
      <c r="CF583" s="259"/>
      <c r="CG583" s="259"/>
      <c r="CH583" s="259"/>
      <c r="CI583" s="259"/>
      <c r="CJ583" s="259"/>
      <c r="CK583" s="259"/>
      <c r="CL583" s="259"/>
      <c r="CM583" s="259"/>
      <c r="CN583" s="259"/>
      <c r="CO583" s="259"/>
      <c r="CP583" s="259"/>
      <c r="CQ583" s="259"/>
      <c r="CR583" s="259"/>
      <c r="CS583" s="259"/>
      <c r="CT583" s="259"/>
      <c r="CU583" s="259"/>
      <c r="CV583" s="259"/>
      <c r="CW583" s="259"/>
      <c r="CX583" s="259"/>
      <c r="CY583" s="259"/>
      <c r="CZ583" s="259"/>
      <c r="DA583" s="259"/>
      <c r="DB583" s="259"/>
      <c r="DC583" s="259"/>
      <c r="DD583" s="259"/>
      <c r="DE583" s="259"/>
      <c r="DF583" s="259"/>
      <c r="DG583" s="259"/>
      <c r="DH583" s="259"/>
      <c r="DI583" s="259"/>
      <c r="DJ583" s="259"/>
      <c r="DK583" s="259"/>
      <c r="DL583" s="259"/>
      <c r="DM583" s="259"/>
      <c r="DN583" s="259"/>
      <c r="DO583" s="259"/>
      <c r="DP583" s="259"/>
      <c r="DQ583" s="259"/>
      <c r="DR583" s="259"/>
      <c r="DS583" s="259"/>
      <c r="DT583" s="259"/>
      <c r="DU583" s="259"/>
      <c r="DV583" s="259"/>
      <c r="DW583" s="259"/>
      <c r="DX583" s="259"/>
      <c r="DY583" s="259"/>
      <c r="DZ583" s="259"/>
      <c r="EA583" s="259"/>
      <c r="EB583" s="259"/>
      <c r="EC583" s="259"/>
      <c r="ED583" s="259"/>
      <c r="EE583" s="259"/>
      <c r="EF583" s="259"/>
      <c r="EG583" s="259"/>
      <c r="EH583" s="259"/>
      <c r="EI583" s="259"/>
      <c r="EJ583" s="259"/>
      <c r="EK583" s="259"/>
      <c r="EL583" s="259"/>
      <c r="EM583" s="259"/>
      <c r="EN583" s="259"/>
      <c r="EO583" s="259"/>
      <c r="EP583" s="259"/>
      <c r="EQ583" s="259"/>
      <c r="ER583" s="259"/>
      <c r="ES583" s="259"/>
      <c r="ET583" s="259"/>
      <c r="EU583" s="259"/>
      <c r="EV583" s="259"/>
      <c r="EW583" s="259"/>
      <c r="EX583" s="259"/>
      <c r="EY583" s="259"/>
      <c r="EZ583" s="259"/>
      <c r="FA583" s="259"/>
      <c r="FB583" s="259"/>
      <c r="FC583" s="259"/>
      <c r="FD583" s="259"/>
      <c r="FE583" s="259"/>
      <c r="FF583" s="259"/>
      <c r="FG583" s="259"/>
      <c r="FH583" s="259"/>
      <c r="FI583" s="259"/>
      <c r="FJ583" s="259"/>
      <c r="FK583" s="259"/>
      <c r="FL583" s="259"/>
      <c r="FM583" s="259"/>
      <c r="FN583" s="259"/>
      <c r="FO583" s="259"/>
      <c r="FP583" s="259"/>
      <c r="FQ583" s="259"/>
      <c r="FR583" s="259"/>
      <c r="FS583" s="259"/>
      <c r="FT583" s="259"/>
      <c r="FU583" s="259"/>
      <c r="FV583" s="259"/>
      <c r="FW583" s="259"/>
      <c r="FX583" s="259"/>
      <c r="FY583" s="259"/>
      <c r="FZ583" s="259"/>
      <c r="GA583" s="259"/>
      <c r="GB583" s="259"/>
      <c r="GC583" s="259"/>
      <c r="GD583" s="259"/>
      <c r="GE583" s="259"/>
      <c r="GF583" s="259"/>
      <c r="GG583" s="259"/>
      <c r="GH583" s="259"/>
      <c r="GI583" s="259"/>
      <c r="GJ583" s="259"/>
      <c r="GK583" s="259"/>
      <c r="GL583" s="259"/>
      <c r="GM583" s="259"/>
      <c r="GN583" s="259"/>
      <c r="GO583" s="259"/>
      <c r="GP583" s="259"/>
      <c r="GQ583" s="259"/>
      <c r="GR583" s="259"/>
      <c r="GS583" s="259"/>
      <c r="GT583" s="259"/>
      <c r="GU583" s="259"/>
      <c r="GV583" s="259"/>
      <c r="GW583" s="259"/>
      <c r="GX583" s="259"/>
      <c r="GY583" s="259"/>
      <c r="GZ583" s="259"/>
      <c r="HA583" s="259"/>
      <c r="HB583" s="259"/>
      <c r="HC583" s="259"/>
      <c r="HD583" s="259"/>
      <c r="HE583" s="259"/>
      <c r="HF583" s="259"/>
      <c r="HG583" s="259"/>
      <c r="HH583" s="259"/>
      <c r="HI583" s="259"/>
      <c r="HJ583" s="259"/>
      <c r="HK583" s="259"/>
      <c r="HL583" s="259"/>
      <c r="HM583" s="259"/>
      <c r="HN583" s="259"/>
      <c r="HO583" s="259"/>
      <c r="HP583" s="259"/>
      <c r="HQ583" s="259"/>
      <c r="HR583" s="259"/>
      <c r="HS583" s="259"/>
      <c r="HT583" s="259"/>
      <c r="HU583" s="259"/>
      <c r="HV583" s="259"/>
      <c r="HW583" s="259"/>
      <c r="HX583" s="259"/>
      <c r="HY583" s="259"/>
      <c r="HZ583" s="259"/>
      <c r="IA583" s="259"/>
      <c r="IB583" s="259"/>
      <c r="IC583" s="259"/>
      <c r="ID583" s="259"/>
      <c r="IE583" s="259"/>
      <c r="IF583" s="259"/>
      <c r="IG583" s="259"/>
      <c r="IH583" s="259"/>
      <c r="II583" s="259"/>
      <c r="IJ583" s="259"/>
      <c r="IK583" s="259"/>
      <c r="IL583" s="259"/>
      <c r="IM583" s="259"/>
      <c r="IN583" s="259"/>
      <c r="IO583" s="259"/>
      <c r="IP583" s="259"/>
      <c r="IQ583" s="259"/>
      <c r="IR583" s="259"/>
      <c r="IS583" s="259"/>
      <c r="IT583" s="259"/>
      <c r="IU583" s="259"/>
      <c r="IV583" s="259"/>
      <c r="IW583" s="259"/>
      <c r="IX583" s="259"/>
      <c r="IY583" s="259"/>
      <c r="IZ583" s="259"/>
      <c r="JA583" s="259"/>
      <c r="JB583" s="259"/>
      <c r="JC583" s="259"/>
      <c r="JD583" s="259"/>
      <c r="JE583" s="259"/>
      <c r="JF583" s="259"/>
      <c r="JG583" s="259"/>
      <c r="JH583" s="259"/>
      <c r="JI583" s="259"/>
      <c r="JJ583" s="259"/>
      <c r="JK583" s="259"/>
      <c r="JL583" s="259"/>
      <c r="JM583" s="259"/>
      <c r="JN583" s="259"/>
      <c r="JO583" s="259"/>
      <c r="JP583" s="259"/>
      <c r="JQ583" s="259"/>
      <c r="JR583" s="259"/>
      <c r="JS583" s="259"/>
      <c r="JT583" s="259"/>
      <c r="JU583" s="259"/>
      <c r="JV583" s="259"/>
      <c r="JW583" s="259"/>
      <c r="JX583" s="259"/>
      <c r="JY583" s="259"/>
      <c r="JZ583" s="259"/>
      <c r="KA583" s="259"/>
      <c r="KB583" s="259"/>
      <c r="KC583" s="259"/>
      <c r="KD583" s="259"/>
      <c r="KE583" s="259"/>
      <c r="KF583" s="259"/>
      <c r="KG583" s="259"/>
      <c r="KH583" s="259"/>
      <c r="KI583" s="259"/>
      <c r="KJ583" s="259"/>
      <c r="KK583" s="259"/>
      <c r="KL583" s="259"/>
      <c r="KM583" s="259"/>
      <c r="KN583" s="259"/>
      <c r="KO583" s="259"/>
      <c r="KP583" s="259"/>
      <c r="KQ583" s="259"/>
      <c r="KR583" s="259"/>
      <c r="KS583" s="259"/>
      <c r="KT583" s="259"/>
      <c r="KU583" s="259"/>
      <c r="KV583" s="259"/>
      <c r="KW583" s="259"/>
      <c r="KX583" s="259"/>
      <c r="KY583" s="259"/>
      <c r="KZ583" s="259"/>
      <c r="LA583" s="259"/>
      <c r="LB583" s="259"/>
      <c r="LC583" s="259"/>
      <c r="LD583" s="259"/>
      <c r="LE583" s="259"/>
      <c r="LF583" s="259"/>
      <c r="LG583" s="259"/>
      <c r="LH583" s="259"/>
      <c r="LI583" s="259"/>
      <c r="LJ583" s="259"/>
      <c r="LK583" s="259"/>
      <c r="LL583" s="259"/>
      <c r="LM583" s="259"/>
      <c r="LN583" s="259"/>
      <c r="LO583" s="259"/>
      <c r="LP583" s="259"/>
      <c r="LQ583" s="259"/>
      <c r="LR583" s="259"/>
      <c r="LS583" s="259"/>
      <c r="LT583" s="259"/>
      <c r="LU583" s="259"/>
      <c r="LV583" s="259"/>
      <c r="LW583" s="259"/>
      <c r="LX583" s="259"/>
      <c r="LY583" s="259"/>
      <c r="LZ583" s="259"/>
      <c r="MA583" s="259"/>
      <c r="MB583" s="259"/>
      <c r="MC583" s="259"/>
      <c r="MD583" s="259"/>
      <c r="ME583" s="259"/>
      <c r="MF583" s="259"/>
      <c r="MG583" s="259"/>
      <c r="MH583" s="259"/>
      <c r="MI583" s="259"/>
      <c r="MJ583" s="259"/>
      <c r="MK583" s="259"/>
      <c r="ML583" s="259"/>
      <c r="MM583" s="259"/>
      <c r="MN583" s="259"/>
      <c r="MO583" s="259"/>
      <c r="MP583" s="259"/>
      <c r="MQ583" s="259"/>
      <c r="MR583" s="259"/>
      <c r="MS583" s="259"/>
      <c r="MT583" s="259"/>
      <c r="MU583" s="259"/>
      <c r="MV583" s="259"/>
      <c r="MW583" s="259"/>
      <c r="MX583" s="259"/>
      <c r="MY583" s="259"/>
      <c r="MZ583" s="259"/>
      <c r="NA583" s="259"/>
      <c r="NB583" s="259"/>
      <c r="NC583" s="259"/>
      <c r="ND583" s="259"/>
      <c r="NE583" s="259"/>
      <c r="NF583" s="259"/>
      <c r="NG583" s="259"/>
      <c r="NH583" s="259"/>
      <c r="NI583" s="259"/>
      <c r="NJ583" s="259"/>
      <c r="NK583" s="259"/>
      <c r="NL583" s="259"/>
      <c r="NM583" s="259"/>
      <c r="NN583" s="259"/>
      <c r="NO583" s="259"/>
      <c r="NP583" s="259"/>
      <c r="NQ583" s="259"/>
      <c r="NR583" s="259"/>
      <c r="NS583" s="259"/>
      <c r="NT583" s="259"/>
      <c r="NU583" s="259"/>
      <c r="NV583" s="259"/>
      <c r="NW583" s="259"/>
      <c r="NX583" s="259"/>
      <c r="NY583" s="259"/>
      <c r="NZ583" s="259"/>
      <c r="OA583" s="259"/>
      <c r="OB583" s="259"/>
      <c r="OC583" s="259"/>
      <c r="OD583" s="259"/>
      <c r="OE583" s="259"/>
      <c r="OF583" s="259"/>
      <c r="OG583" s="259"/>
      <c r="OH583" s="259"/>
      <c r="OI583" s="259"/>
      <c r="OJ583" s="259"/>
      <c r="OK583" s="259"/>
      <c r="OL583" s="259"/>
      <c r="OM583" s="259"/>
      <c r="ON583" s="259"/>
      <c r="OO583" s="259"/>
      <c r="OP583" s="259"/>
      <c r="OQ583" s="259"/>
      <c r="OR583" s="259"/>
      <c r="OS583" s="259"/>
      <c r="OT583" s="259"/>
      <c r="OU583" s="259"/>
      <c r="OV583" s="259"/>
      <c r="OW583" s="259"/>
      <c r="OX583" s="259"/>
      <c r="OY583" s="259"/>
      <c r="OZ583" s="259"/>
      <c r="PA583" s="259"/>
      <c r="PB583" s="259"/>
      <c r="PC583" s="259"/>
      <c r="PD583" s="259"/>
      <c r="PE583" s="259"/>
      <c r="PF583" s="259"/>
      <c r="PG583" s="259"/>
      <c r="PH583" s="259"/>
      <c r="PI583" s="259"/>
      <c r="PJ583" s="259"/>
      <c r="PK583" s="259"/>
      <c r="PL583" s="259"/>
      <c r="PM583" s="259"/>
      <c r="PN583" s="259"/>
      <c r="PO583" s="259"/>
      <c r="PP583" s="259"/>
      <c r="PQ583" s="259"/>
      <c r="PR583" s="259"/>
      <c r="PS583" s="259"/>
      <c r="PT583" s="259"/>
      <c r="PU583" s="259"/>
      <c r="PV583" s="259"/>
      <c r="PW583" s="259"/>
      <c r="PX583" s="259"/>
      <c r="PY583" s="259"/>
      <c r="PZ583" s="259"/>
      <c r="QA583" s="259"/>
      <c r="QB583" s="259"/>
      <c r="QC583" s="259"/>
      <c r="QD583" s="259"/>
      <c r="QE583" s="259"/>
      <c r="QF583" s="259"/>
      <c r="QG583" s="259"/>
      <c r="QH583" s="259"/>
      <c r="QI583" s="259"/>
      <c r="QJ583" s="259"/>
      <c r="QK583" s="259"/>
      <c r="QL583" s="259"/>
      <c r="QM583" s="259"/>
      <c r="QN583" s="259"/>
      <c r="QO583" s="259"/>
      <c r="QP583" s="259"/>
      <c r="QQ583" s="259"/>
      <c r="QR583" s="259"/>
      <c r="QS583" s="259"/>
      <c r="QT583" s="259"/>
      <c r="QU583" s="259"/>
      <c r="QV583" s="259"/>
      <c r="QW583" s="259"/>
      <c r="QX583" s="259"/>
      <c r="QY583" s="259"/>
      <c r="QZ583" s="259"/>
      <c r="RA583" s="259"/>
      <c r="RB583" s="259"/>
      <c r="RC583" s="259"/>
      <c r="RD583" s="259"/>
      <c r="RE583" s="259"/>
      <c r="RF583" s="259"/>
      <c r="RG583" s="259"/>
      <c r="RH583" s="259"/>
      <c r="RI583" s="259"/>
      <c r="RJ583" s="259"/>
      <c r="RK583" s="259"/>
      <c r="RL583" s="259"/>
      <c r="RM583" s="259"/>
      <c r="RN583" s="259"/>
      <c r="RO583" s="259"/>
      <c r="RP583" s="259"/>
      <c r="RQ583" s="259"/>
      <c r="RR583" s="259"/>
      <c r="RS583" s="259"/>
      <c r="RT583" s="259"/>
      <c r="RU583" s="259"/>
      <c r="RV583" s="259"/>
      <c r="RW583" s="259"/>
      <c r="RX583" s="259"/>
      <c r="RY583" s="259"/>
      <c r="RZ583" s="259"/>
      <c r="SA583" s="259"/>
      <c r="SB583" s="259"/>
      <c r="SC583" s="259"/>
      <c r="SD583" s="259"/>
      <c r="SE583" s="259"/>
      <c r="SF583" s="259"/>
      <c r="SG583" s="259"/>
      <c r="SH583" s="259"/>
      <c r="SI583" s="259"/>
      <c r="SJ583" s="259"/>
      <c r="SK583" s="259"/>
      <c r="SL583" s="259"/>
      <c r="SM583" s="259"/>
      <c r="SN583" s="259"/>
      <c r="SO583" s="259"/>
      <c r="SP583" s="259"/>
      <c r="SQ583" s="259"/>
      <c r="SR583" s="259"/>
      <c r="SS583" s="259"/>
      <c r="ST583" s="259"/>
      <c r="SU583" s="259"/>
      <c r="SV583" s="259"/>
      <c r="SW583" s="259"/>
      <c r="SX583" s="259"/>
      <c r="SY583" s="259"/>
      <c r="SZ583" s="259"/>
      <c r="TA583" s="259"/>
      <c r="TB583" s="259"/>
      <c r="TC583" s="259"/>
      <c r="TD583" s="259"/>
      <c r="TE583" s="259"/>
      <c r="TF583" s="259"/>
      <c r="TG583" s="259"/>
      <c r="TH583" s="259"/>
      <c r="TI583" s="259"/>
      <c r="TJ583" s="259"/>
      <c r="TK583" s="259"/>
      <c r="TL583" s="259"/>
      <c r="TM583" s="259"/>
      <c r="TN583" s="259"/>
      <c r="TO583" s="259"/>
      <c r="TP583" s="259"/>
      <c r="TQ583" s="259"/>
      <c r="TR583" s="259"/>
      <c r="TS583" s="259"/>
      <c r="TT583" s="259"/>
      <c r="TU583" s="259"/>
      <c r="TV583" s="259"/>
      <c r="TW583" s="259"/>
      <c r="TX583" s="259"/>
      <c r="TY583" s="259"/>
      <c r="TZ583" s="259"/>
      <c r="UA583" s="259"/>
      <c r="UB583" s="259"/>
      <c r="UC583" s="259"/>
      <c r="UD583" s="259"/>
      <c r="UE583" s="259"/>
      <c r="UF583" s="259"/>
      <c r="UG583" s="259"/>
      <c r="UH583" s="259"/>
      <c r="UI583" s="259"/>
    </row>
    <row r="584" spans="1:555" ht="108">
      <c r="A584" s="502">
        <v>321</v>
      </c>
      <c r="B584" s="686" t="s">
        <v>3618</v>
      </c>
      <c r="C584" s="687">
        <v>7691235</v>
      </c>
      <c r="D584" s="688" t="s">
        <v>906</v>
      </c>
      <c r="E584" s="27">
        <v>42629</v>
      </c>
      <c r="F584" s="689">
        <v>42614</v>
      </c>
      <c r="G584" s="690" t="s">
        <v>3619</v>
      </c>
      <c r="H584" s="686" t="s">
        <v>1493</v>
      </c>
      <c r="I584" s="686" t="s">
        <v>183</v>
      </c>
      <c r="J584" s="27">
        <v>42670</v>
      </c>
      <c r="K584" s="689">
        <v>42644</v>
      </c>
      <c r="L584" s="690" t="s">
        <v>3620</v>
      </c>
      <c r="M584" s="686" t="s">
        <v>171</v>
      </c>
      <c r="N584" s="686" t="s">
        <v>1544</v>
      </c>
      <c r="O584" s="27">
        <v>42829</v>
      </c>
      <c r="P584" s="691">
        <v>42826</v>
      </c>
      <c r="Q584" s="690" t="s">
        <v>3621</v>
      </c>
      <c r="R584" s="686" t="s">
        <v>5</v>
      </c>
      <c r="S584" s="686" t="s">
        <v>101</v>
      </c>
      <c r="T584" s="27"/>
      <c r="U584" s="689"/>
      <c r="V584" s="690"/>
      <c r="W584" s="686"/>
      <c r="X584" s="686"/>
      <c r="Y584" s="27"/>
      <c r="Z584" s="689"/>
      <c r="AA584" s="690"/>
      <c r="AB584" s="686"/>
      <c r="AC584" s="686"/>
      <c r="AD584" s="27"/>
      <c r="AE584" s="689"/>
      <c r="AF584" s="690"/>
      <c r="AG584" s="686"/>
      <c r="AH584" s="686"/>
      <c r="AI584" s="704"/>
      <c r="AJ584" s="689"/>
      <c r="AK584" s="690"/>
      <c r="AL584" s="686"/>
      <c r="AM584" s="686"/>
      <c r="AN584" s="686" t="s">
        <v>2968</v>
      </c>
      <c r="AO584" s="694">
        <v>42829</v>
      </c>
      <c r="AP584" s="686"/>
      <c r="AQ584" s="690" t="s">
        <v>3622</v>
      </c>
      <c r="AR584" s="686" t="s">
        <v>161</v>
      </c>
      <c r="AS584" s="27">
        <v>40042</v>
      </c>
      <c r="AT584" s="27">
        <v>40908</v>
      </c>
      <c r="AU584" s="686" t="s">
        <v>3623</v>
      </c>
      <c r="AV584" s="686"/>
      <c r="AW584" s="686" t="s">
        <v>69</v>
      </c>
      <c r="AX584" s="686" t="s">
        <v>2389</v>
      </c>
      <c r="AY584" s="27">
        <v>42032</v>
      </c>
      <c r="AZ584" s="686" t="s">
        <v>409</v>
      </c>
      <c r="BA584" s="27">
        <v>42621</v>
      </c>
      <c r="BB584" s="27">
        <v>42629</v>
      </c>
      <c r="BC584" s="701" t="s">
        <v>912</v>
      </c>
      <c r="BD584" s="701" t="s">
        <v>566</v>
      </c>
      <c r="BE584" s="686"/>
      <c r="BF584" s="690"/>
      <c r="BG584" s="690"/>
      <c r="BH584" s="690"/>
      <c r="BI584" s="690"/>
      <c r="BJ584" s="696">
        <f>+[133]MATRIZ!$J$56</f>
        <v>0</v>
      </c>
      <c r="BK584" s="696"/>
      <c r="BL584" s="697"/>
      <c r="BM584" s="27"/>
      <c r="BN584" s="698"/>
      <c r="BO584" s="699"/>
      <c r="BP584" s="700"/>
      <c r="BQ584" s="686"/>
      <c r="BR584" s="701"/>
      <c r="BS584" s="690"/>
      <c r="BT584" s="690"/>
      <c r="BU584" s="690"/>
      <c r="BV584" s="690"/>
      <c r="BW584" s="702"/>
      <c r="BX584" s="693"/>
      <c r="BY584" s="27"/>
      <c r="BZ584" s="703"/>
      <c r="CA584" s="259"/>
      <c r="CB584" s="259"/>
      <c r="CC584" s="259"/>
      <c r="CD584" s="259"/>
      <c r="CE584" s="259"/>
      <c r="CF584" s="259"/>
      <c r="CG584" s="259"/>
      <c r="CH584" s="259"/>
      <c r="CI584" s="259"/>
      <c r="CJ584" s="259"/>
      <c r="CK584" s="259"/>
      <c r="CL584" s="259"/>
      <c r="CM584" s="259"/>
      <c r="CN584" s="259"/>
      <c r="CO584" s="259"/>
      <c r="CP584" s="259"/>
      <c r="CQ584" s="259"/>
      <c r="CR584" s="259"/>
      <c r="CS584" s="259"/>
      <c r="CT584" s="259"/>
      <c r="CU584" s="259"/>
      <c r="CV584" s="259"/>
      <c r="CW584" s="259"/>
      <c r="CX584" s="259"/>
      <c r="CY584" s="259"/>
      <c r="CZ584" s="259"/>
      <c r="DA584" s="259"/>
      <c r="DB584" s="259"/>
      <c r="DC584" s="259"/>
      <c r="DD584" s="259"/>
      <c r="DE584" s="259"/>
      <c r="DF584" s="259"/>
      <c r="DG584" s="259"/>
      <c r="DH584" s="259"/>
      <c r="DI584" s="259"/>
      <c r="DJ584" s="259"/>
      <c r="DK584" s="259"/>
      <c r="DL584" s="259"/>
      <c r="DM584" s="259"/>
      <c r="DN584" s="259"/>
      <c r="DO584" s="259"/>
      <c r="DP584" s="259"/>
      <c r="DQ584" s="259"/>
      <c r="DR584" s="259"/>
      <c r="DS584" s="259"/>
      <c r="DT584" s="259"/>
      <c r="DU584" s="259"/>
      <c r="DV584" s="259"/>
      <c r="DW584" s="259"/>
      <c r="DX584" s="259"/>
      <c r="DY584" s="259"/>
      <c r="DZ584" s="259"/>
      <c r="EA584" s="259"/>
      <c r="EB584" s="259"/>
      <c r="EC584" s="259"/>
      <c r="ED584" s="259"/>
      <c r="EE584" s="259"/>
      <c r="EF584" s="259"/>
      <c r="EG584" s="259"/>
      <c r="EH584" s="259"/>
      <c r="EI584" s="259"/>
      <c r="EJ584" s="259"/>
      <c r="EK584" s="259"/>
      <c r="EL584" s="259"/>
      <c r="EM584" s="259"/>
      <c r="EN584" s="259"/>
      <c r="EO584" s="259"/>
      <c r="EP584" s="259"/>
      <c r="EQ584" s="259"/>
      <c r="ER584" s="259"/>
      <c r="ES584" s="259"/>
      <c r="ET584" s="259"/>
      <c r="EU584" s="259"/>
      <c r="EV584" s="259"/>
      <c r="EW584" s="259"/>
      <c r="EX584" s="259"/>
      <c r="EY584" s="259"/>
      <c r="EZ584" s="259"/>
      <c r="FA584" s="259"/>
      <c r="FB584" s="259"/>
      <c r="FC584" s="259"/>
      <c r="FD584" s="259"/>
      <c r="FE584" s="259"/>
      <c r="FF584" s="259"/>
      <c r="FG584" s="259"/>
      <c r="FH584" s="259"/>
      <c r="FI584" s="259"/>
      <c r="FJ584" s="259"/>
      <c r="FK584" s="259"/>
      <c r="FL584" s="259"/>
      <c r="FM584" s="259"/>
      <c r="FN584" s="259"/>
      <c r="FO584" s="259"/>
      <c r="FP584" s="259"/>
      <c r="FQ584" s="259"/>
      <c r="FR584" s="259"/>
      <c r="FS584" s="259"/>
      <c r="FT584" s="259"/>
      <c r="FU584" s="259"/>
      <c r="FV584" s="259"/>
      <c r="FW584" s="259"/>
      <c r="FX584" s="259"/>
      <c r="FY584" s="259"/>
      <c r="FZ584" s="259"/>
      <c r="GA584" s="259"/>
      <c r="GB584" s="259"/>
      <c r="GC584" s="259"/>
      <c r="GD584" s="259"/>
      <c r="GE584" s="259"/>
      <c r="GF584" s="259"/>
      <c r="GG584" s="259"/>
      <c r="GH584" s="259"/>
      <c r="GI584" s="259"/>
      <c r="GJ584" s="259"/>
      <c r="GK584" s="259"/>
      <c r="GL584" s="259"/>
      <c r="GM584" s="259"/>
      <c r="GN584" s="259"/>
      <c r="GO584" s="259"/>
      <c r="GP584" s="259"/>
      <c r="GQ584" s="259"/>
      <c r="GR584" s="259"/>
      <c r="GS584" s="259"/>
      <c r="GT584" s="259"/>
      <c r="GU584" s="259"/>
      <c r="GV584" s="259"/>
      <c r="GW584" s="259"/>
      <c r="GX584" s="259"/>
      <c r="GY584" s="259"/>
      <c r="GZ584" s="259"/>
      <c r="HA584" s="259"/>
      <c r="HB584" s="259"/>
      <c r="HC584" s="259"/>
      <c r="HD584" s="259"/>
      <c r="HE584" s="259"/>
      <c r="HF584" s="259"/>
      <c r="HG584" s="259"/>
      <c r="HH584" s="259"/>
      <c r="HI584" s="259"/>
      <c r="HJ584" s="259"/>
      <c r="HK584" s="259"/>
      <c r="HL584" s="259"/>
      <c r="HM584" s="259"/>
      <c r="HN584" s="259"/>
      <c r="HO584" s="259"/>
      <c r="HP584" s="259"/>
      <c r="HQ584" s="259"/>
      <c r="HR584" s="259"/>
      <c r="HS584" s="259"/>
      <c r="HT584" s="259"/>
      <c r="HU584" s="259"/>
      <c r="HV584" s="259"/>
      <c r="HW584" s="259"/>
      <c r="HX584" s="259"/>
      <c r="HY584" s="259"/>
      <c r="HZ584" s="259"/>
      <c r="IA584" s="259"/>
      <c r="IB584" s="259"/>
      <c r="IC584" s="259"/>
      <c r="ID584" s="259"/>
      <c r="IE584" s="259"/>
      <c r="IF584" s="259"/>
      <c r="IG584" s="259"/>
      <c r="IH584" s="259"/>
      <c r="II584" s="259"/>
      <c r="IJ584" s="259"/>
      <c r="IK584" s="259"/>
      <c r="IL584" s="259"/>
      <c r="IM584" s="259"/>
      <c r="IN584" s="259"/>
      <c r="IO584" s="259"/>
      <c r="IP584" s="259"/>
      <c r="IQ584" s="259"/>
      <c r="IR584" s="259"/>
      <c r="IS584" s="259"/>
      <c r="IT584" s="259"/>
      <c r="IU584" s="259"/>
      <c r="IV584" s="259"/>
      <c r="IW584" s="259"/>
      <c r="IX584" s="259"/>
      <c r="IY584" s="259"/>
      <c r="IZ584" s="259"/>
      <c r="JA584" s="259"/>
      <c r="JB584" s="259"/>
      <c r="JC584" s="259"/>
      <c r="JD584" s="259"/>
      <c r="JE584" s="259"/>
      <c r="JF584" s="259"/>
      <c r="JG584" s="259"/>
      <c r="JH584" s="259"/>
      <c r="JI584" s="259"/>
      <c r="JJ584" s="259"/>
      <c r="JK584" s="259"/>
      <c r="JL584" s="259"/>
      <c r="JM584" s="259"/>
      <c r="JN584" s="259"/>
      <c r="JO584" s="259"/>
      <c r="JP584" s="259"/>
      <c r="JQ584" s="259"/>
      <c r="JR584" s="259"/>
      <c r="JS584" s="259"/>
      <c r="JT584" s="259"/>
      <c r="JU584" s="259"/>
      <c r="JV584" s="259"/>
      <c r="JW584" s="259"/>
      <c r="JX584" s="259"/>
      <c r="JY584" s="259"/>
      <c r="JZ584" s="259"/>
      <c r="KA584" s="259"/>
      <c r="KB584" s="259"/>
      <c r="KC584" s="259"/>
      <c r="KD584" s="259"/>
      <c r="KE584" s="259"/>
      <c r="KF584" s="259"/>
      <c r="KG584" s="259"/>
      <c r="KH584" s="259"/>
      <c r="KI584" s="259"/>
      <c r="KJ584" s="259"/>
      <c r="KK584" s="259"/>
      <c r="KL584" s="259"/>
      <c r="KM584" s="259"/>
      <c r="KN584" s="259"/>
      <c r="KO584" s="259"/>
      <c r="KP584" s="259"/>
      <c r="KQ584" s="259"/>
      <c r="KR584" s="259"/>
      <c r="KS584" s="259"/>
      <c r="KT584" s="259"/>
      <c r="KU584" s="259"/>
      <c r="KV584" s="259"/>
      <c r="KW584" s="259"/>
      <c r="KX584" s="259"/>
      <c r="KY584" s="259"/>
      <c r="KZ584" s="259"/>
      <c r="LA584" s="259"/>
      <c r="LB584" s="259"/>
      <c r="LC584" s="259"/>
      <c r="LD584" s="259"/>
      <c r="LE584" s="259"/>
      <c r="LF584" s="259"/>
      <c r="LG584" s="259"/>
      <c r="LH584" s="259"/>
      <c r="LI584" s="259"/>
      <c r="LJ584" s="259"/>
      <c r="LK584" s="259"/>
      <c r="LL584" s="259"/>
      <c r="LM584" s="259"/>
      <c r="LN584" s="259"/>
      <c r="LO584" s="259"/>
      <c r="LP584" s="259"/>
      <c r="LQ584" s="259"/>
      <c r="LR584" s="259"/>
      <c r="LS584" s="259"/>
      <c r="LT584" s="259"/>
      <c r="LU584" s="259"/>
      <c r="LV584" s="259"/>
      <c r="LW584" s="259"/>
      <c r="LX584" s="259"/>
      <c r="LY584" s="259"/>
      <c r="LZ584" s="259"/>
      <c r="MA584" s="259"/>
      <c r="MB584" s="259"/>
      <c r="MC584" s="259"/>
      <c r="MD584" s="259"/>
      <c r="ME584" s="259"/>
      <c r="MF584" s="259"/>
      <c r="MG584" s="259"/>
      <c r="MH584" s="259"/>
      <c r="MI584" s="259"/>
      <c r="MJ584" s="259"/>
      <c r="MK584" s="259"/>
      <c r="ML584" s="259"/>
      <c r="MM584" s="259"/>
      <c r="MN584" s="259"/>
      <c r="MO584" s="259"/>
      <c r="MP584" s="259"/>
      <c r="MQ584" s="259"/>
      <c r="MR584" s="259"/>
      <c r="MS584" s="259"/>
      <c r="MT584" s="259"/>
      <c r="MU584" s="259"/>
      <c r="MV584" s="259"/>
      <c r="MW584" s="259"/>
      <c r="MX584" s="259"/>
      <c r="MY584" s="259"/>
      <c r="MZ584" s="259"/>
      <c r="NA584" s="259"/>
      <c r="NB584" s="259"/>
      <c r="NC584" s="259"/>
      <c r="ND584" s="259"/>
      <c r="NE584" s="259"/>
      <c r="NF584" s="259"/>
      <c r="NG584" s="259"/>
      <c r="NH584" s="259"/>
      <c r="NI584" s="259"/>
      <c r="NJ584" s="259"/>
      <c r="NK584" s="259"/>
      <c r="NL584" s="259"/>
      <c r="NM584" s="259"/>
      <c r="NN584" s="259"/>
      <c r="NO584" s="259"/>
      <c r="NP584" s="259"/>
      <c r="NQ584" s="259"/>
      <c r="NR584" s="259"/>
      <c r="NS584" s="259"/>
      <c r="NT584" s="259"/>
      <c r="NU584" s="259"/>
      <c r="NV584" s="259"/>
      <c r="NW584" s="259"/>
      <c r="NX584" s="259"/>
      <c r="NY584" s="259"/>
      <c r="NZ584" s="259"/>
      <c r="OA584" s="259"/>
      <c r="OB584" s="259"/>
      <c r="OC584" s="259"/>
      <c r="OD584" s="259"/>
      <c r="OE584" s="259"/>
      <c r="OF584" s="259"/>
      <c r="OG584" s="259"/>
      <c r="OH584" s="259"/>
      <c r="OI584" s="259"/>
      <c r="OJ584" s="259"/>
      <c r="OK584" s="259"/>
      <c r="OL584" s="259"/>
      <c r="OM584" s="259"/>
      <c r="ON584" s="259"/>
      <c r="OO584" s="259"/>
      <c r="OP584" s="259"/>
      <c r="OQ584" s="259"/>
      <c r="OR584" s="259"/>
      <c r="OS584" s="259"/>
      <c r="OT584" s="259"/>
      <c r="OU584" s="259"/>
      <c r="OV584" s="259"/>
      <c r="OW584" s="259"/>
      <c r="OX584" s="259"/>
      <c r="OY584" s="259"/>
      <c r="OZ584" s="259"/>
      <c r="PA584" s="259"/>
      <c r="PB584" s="259"/>
      <c r="PC584" s="259"/>
      <c r="PD584" s="259"/>
      <c r="PE584" s="259"/>
      <c r="PF584" s="259"/>
      <c r="PG584" s="259"/>
      <c r="PH584" s="259"/>
      <c r="PI584" s="259"/>
      <c r="PJ584" s="259"/>
      <c r="PK584" s="259"/>
      <c r="PL584" s="259"/>
      <c r="PM584" s="259"/>
      <c r="PN584" s="259"/>
      <c r="PO584" s="259"/>
      <c r="PP584" s="259"/>
      <c r="PQ584" s="259"/>
      <c r="PR584" s="259"/>
      <c r="PS584" s="259"/>
      <c r="PT584" s="259"/>
      <c r="PU584" s="259"/>
      <c r="PV584" s="259"/>
      <c r="PW584" s="259"/>
      <c r="PX584" s="259"/>
      <c r="PY584" s="259"/>
      <c r="PZ584" s="259"/>
      <c r="QA584" s="259"/>
      <c r="QB584" s="259"/>
      <c r="QC584" s="259"/>
      <c r="QD584" s="259"/>
      <c r="QE584" s="259"/>
      <c r="QF584" s="259"/>
      <c r="QG584" s="259"/>
      <c r="QH584" s="259"/>
      <c r="QI584" s="259"/>
      <c r="QJ584" s="259"/>
      <c r="QK584" s="259"/>
      <c r="QL584" s="259"/>
      <c r="QM584" s="259"/>
      <c r="QN584" s="259"/>
      <c r="QO584" s="259"/>
      <c r="QP584" s="259"/>
      <c r="QQ584" s="259"/>
      <c r="QR584" s="259"/>
      <c r="QS584" s="259"/>
      <c r="QT584" s="259"/>
      <c r="QU584" s="259"/>
      <c r="QV584" s="259"/>
      <c r="QW584" s="259"/>
      <c r="QX584" s="259"/>
      <c r="QY584" s="259"/>
      <c r="QZ584" s="259"/>
      <c r="RA584" s="259"/>
      <c r="RB584" s="259"/>
      <c r="RC584" s="259"/>
      <c r="RD584" s="259"/>
      <c r="RE584" s="259"/>
      <c r="RF584" s="259"/>
      <c r="RG584" s="259"/>
      <c r="RH584" s="259"/>
      <c r="RI584" s="259"/>
      <c r="RJ584" s="259"/>
      <c r="RK584" s="259"/>
      <c r="RL584" s="259"/>
      <c r="RM584" s="259"/>
      <c r="RN584" s="259"/>
      <c r="RO584" s="259"/>
      <c r="RP584" s="259"/>
      <c r="RQ584" s="259"/>
      <c r="RR584" s="259"/>
      <c r="RS584" s="259"/>
      <c r="RT584" s="259"/>
      <c r="RU584" s="259"/>
      <c r="RV584" s="259"/>
      <c r="RW584" s="259"/>
      <c r="RX584" s="259"/>
      <c r="RY584" s="259"/>
      <c r="RZ584" s="259"/>
      <c r="SA584" s="259"/>
      <c r="SB584" s="259"/>
      <c r="SC584" s="259"/>
      <c r="SD584" s="259"/>
      <c r="SE584" s="259"/>
      <c r="SF584" s="259"/>
      <c r="SG584" s="259"/>
      <c r="SH584" s="259"/>
      <c r="SI584" s="259"/>
      <c r="SJ584" s="259"/>
      <c r="SK584" s="259"/>
      <c r="SL584" s="259"/>
      <c r="SM584" s="259"/>
      <c r="SN584" s="259"/>
      <c r="SO584" s="259"/>
      <c r="SP584" s="259"/>
      <c r="SQ584" s="259"/>
      <c r="SR584" s="259"/>
      <c r="SS584" s="259"/>
      <c r="ST584" s="259"/>
      <c r="SU584" s="259"/>
      <c r="SV584" s="259"/>
      <c r="SW584" s="259"/>
      <c r="SX584" s="259"/>
      <c r="SY584" s="259"/>
      <c r="SZ584" s="259"/>
      <c r="TA584" s="259"/>
      <c r="TB584" s="259"/>
      <c r="TC584" s="259"/>
      <c r="TD584" s="259"/>
      <c r="TE584" s="259"/>
      <c r="TF584" s="259"/>
      <c r="TG584" s="259"/>
      <c r="TH584" s="259"/>
      <c r="TI584" s="259"/>
      <c r="TJ584" s="259"/>
      <c r="TK584" s="259"/>
      <c r="TL584" s="259"/>
      <c r="TM584" s="259"/>
      <c r="TN584" s="259"/>
      <c r="TO584" s="259"/>
      <c r="TP584" s="259"/>
      <c r="TQ584" s="259"/>
      <c r="TR584" s="259"/>
      <c r="TS584" s="259"/>
      <c r="TT584" s="259"/>
      <c r="TU584" s="259"/>
      <c r="TV584" s="259"/>
      <c r="TW584" s="259"/>
      <c r="TX584" s="259"/>
      <c r="TY584" s="259"/>
      <c r="TZ584" s="259"/>
      <c r="UA584" s="259"/>
      <c r="UB584" s="259"/>
      <c r="UC584" s="259"/>
      <c r="UD584" s="259"/>
      <c r="UE584" s="259"/>
      <c r="UF584" s="259"/>
      <c r="UG584" s="259"/>
      <c r="UH584" s="259"/>
      <c r="UI584" s="259"/>
    </row>
    <row r="585" spans="1:555" ht="108">
      <c r="A585" s="502">
        <v>322</v>
      </c>
      <c r="B585" s="686" t="s">
        <v>3624</v>
      </c>
      <c r="C585" s="687">
        <v>15614029</v>
      </c>
      <c r="D585" s="688" t="s">
        <v>906</v>
      </c>
      <c r="E585" s="27">
        <v>42629</v>
      </c>
      <c r="F585" s="689">
        <v>42614</v>
      </c>
      <c r="G585" s="690" t="s">
        <v>3625</v>
      </c>
      <c r="H585" s="686" t="s">
        <v>1493</v>
      </c>
      <c r="I585" s="686" t="s">
        <v>183</v>
      </c>
      <c r="J585" s="27">
        <v>42653</v>
      </c>
      <c r="K585" s="689">
        <v>42644</v>
      </c>
      <c r="L585" s="690" t="s">
        <v>3626</v>
      </c>
      <c r="M585" s="686" t="s">
        <v>171</v>
      </c>
      <c r="N585" s="686" t="s">
        <v>1544</v>
      </c>
      <c r="O585" s="27">
        <v>42667</v>
      </c>
      <c r="P585" s="691">
        <v>42644</v>
      </c>
      <c r="Q585" s="690" t="s">
        <v>3627</v>
      </c>
      <c r="R585" s="686" t="s">
        <v>5</v>
      </c>
      <c r="S585" s="686" t="s">
        <v>101</v>
      </c>
      <c r="T585" s="27"/>
      <c r="U585" s="689"/>
      <c r="V585" s="690"/>
      <c r="W585" s="686"/>
      <c r="X585" s="686"/>
      <c r="Y585" s="27"/>
      <c r="Z585" s="689"/>
      <c r="AA585" s="690"/>
      <c r="AB585" s="686"/>
      <c r="AC585" s="686"/>
      <c r="AD585" s="27"/>
      <c r="AE585" s="689"/>
      <c r="AF585" s="690"/>
      <c r="AG585" s="686"/>
      <c r="AH585" s="686"/>
      <c r="AI585" s="704"/>
      <c r="AJ585" s="689"/>
      <c r="AK585" s="690"/>
      <c r="AL585" s="686"/>
      <c r="AM585" s="686"/>
      <c r="AN585" s="686" t="s">
        <v>477</v>
      </c>
      <c r="AO585" s="694">
        <v>42704</v>
      </c>
      <c r="AP585" s="686"/>
      <c r="AQ585" s="690" t="s">
        <v>3628</v>
      </c>
      <c r="AR585" s="686" t="s">
        <v>161</v>
      </c>
      <c r="AS585" s="27">
        <v>40244</v>
      </c>
      <c r="AT585" s="27">
        <v>40908</v>
      </c>
      <c r="AU585" s="686" t="s">
        <v>3629</v>
      </c>
      <c r="AV585" s="686"/>
      <c r="AW585" s="686" t="s">
        <v>92</v>
      </c>
      <c r="AX585" s="686" t="s">
        <v>3630</v>
      </c>
      <c r="AY585" s="27">
        <v>42270</v>
      </c>
      <c r="AZ585" s="686" t="s">
        <v>409</v>
      </c>
      <c r="BA585" s="27">
        <v>42621</v>
      </c>
      <c r="BB585" s="27">
        <v>42625</v>
      </c>
      <c r="BC585" s="701" t="s">
        <v>912</v>
      </c>
      <c r="BD585" s="701" t="s">
        <v>566</v>
      </c>
      <c r="BE585" s="686"/>
      <c r="BF585" s="690"/>
      <c r="BG585" s="690"/>
      <c r="BH585" s="690"/>
      <c r="BI585" s="690"/>
      <c r="BJ585" s="696">
        <f>+[134]MATRIZ!$J$54</f>
        <v>0</v>
      </c>
      <c r="BK585" s="696"/>
      <c r="BL585" s="697"/>
      <c r="BM585" s="27"/>
      <c r="BN585" s="698"/>
      <c r="BO585" s="699"/>
      <c r="BP585" s="700"/>
      <c r="BQ585" s="686"/>
      <c r="BR585" s="701"/>
      <c r="BS585" s="690"/>
      <c r="BT585" s="690"/>
      <c r="BU585" s="690"/>
      <c r="BV585" s="690"/>
      <c r="BW585" s="702"/>
      <c r="BX585" s="693"/>
      <c r="BY585" s="27"/>
      <c r="BZ585" s="703"/>
      <c r="CA585" s="259"/>
      <c r="CB585" s="259"/>
      <c r="CC585" s="259"/>
      <c r="CD585" s="259"/>
      <c r="CE585" s="259"/>
      <c r="CF585" s="259"/>
      <c r="CG585" s="259"/>
      <c r="CH585" s="259"/>
      <c r="CI585" s="259"/>
      <c r="CJ585" s="259"/>
      <c r="CK585" s="259"/>
      <c r="CL585" s="259"/>
      <c r="CM585" s="259"/>
      <c r="CN585" s="259"/>
      <c r="CO585" s="259"/>
      <c r="CP585" s="259"/>
      <c r="CQ585" s="259"/>
      <c r="CR585" s="259"/>
      <c r="CS585" s="259"/>
      <c r="CT585" s="259"/>
      <c r="CU585" s="259"/>
      <c r="CV585" s="259"/>
      <c r="CW585" s="259"/>
      <c r="CX585" s="259"/>
      <c r="CY585" s="259"/>
      <c r="CZ585" s="259"/>
      <c r="DA585" s="259"/>
      <c r="DB585" s="259"/>
      <c r="DC585" s="259"/>
      <c r="DD585" s="259"/>
      <c r="DE585" s="259"/>
      <c r="DF585" s="259"/>
      <c r="DG585" s="259"/>
      <c r="DH585" s="259"/>
      <c r="DI585" s="259"/>
      <c r="DJ585" s="259"/>
      <c r="DK585" s="259"/>
      <c r="DL585" s="259"/>
      <c r="DM585" s="259"/>
      <c r="DN585" s="259"/>
      <c r="DO585" s="259"/>
      <c r="DP585" s="259"/>
      <c r="DQ585" s="259"/>
      <c r="DR585" s="259"/>
      <c r="DS585" s="259"/>
      <c r="DT585" s="259"/>
      <c r="DU585" s="259"/>
      <c r="DV585" s="259"/>
      <c r="DW585" s="259"/>
      <c r="DX585" s="259"/>
      <c r="DY585" s="259"/>
      <c r="DZ585" s="259"/>
      <c r="EA585" s="259"/>
      <c r="EB585" s="259"/>
      <c r="EC585" s="259"/>
      <c r="ED585" s="259"/>
      <c r="EE585" s="259"/>
      <c r="EF585" s="259"/>
      <c r="EG585" s="259"/>
      <c r="EH585" s="259"/>
      <c r="EI585" s="259"/>
      <c r="EJ585" s="259"/>
      <c r="EK585" s="259"/>
      <c r="EL585" s="259"/>
      <c r="EM585" s="259"/>
      <c r="EN585" s="259"/>
      <c r="EO585" s="259"/>
      <c r="EP585" s="259"/>
      <c r="EQ585" s="259"/>
      <c r="ER585" s="259"/>
      <c r="ES585" s="259"/>
      <c r="ET585" s="259"/>
      <c r="EU585" s="259"/>
      <c r="EV585" s="259"/>
      <c r="EW585" s="259"/>
      <c r="EX585" s="259"/>
      <c r="EY585" s="259"/>
      <c r="EZ585" s="259"/>
      <c r="FA585" s="259"/>
      <c r="FB585" s="259"/>
      <c r="FC585" s="259"/>
      <c r="FD585" s="259"/>
      <c r="FE585" s="259"/>
      <c r="FF585" s="259"/>
      <c r="FG585" s="259"/>
      <c r="FH585" s="259"/>
      <c r="FI585" s="259"/>
      <c r="FJ585" s="259"/>
      <c r="FK585" s="259"/>
      <c r="FL585" s="259"/>
      <c r="FM585" s="259"/>
      <c r="FN585" s="259"/>
      <c r="FO585" s="259"/>
      <c r="FP585" s="259"/>
      <c r="FQ585" s="259"/>
      <c r="FR585" s="259"/>
      <c r="FS585" s="259"/>
      <c r="FT585" s="259"/>
      <c r="FU585" s="259"/>
      <c r="FV585" s="259"/>
      <c r="FW585" s="259"/>
      <c r="FX585" s="259"/>
      <c r="FY585" s="259"/>
      <c r="FZ585" s="259"/>
      <c r="GA585" s="259"/>
      <c r="GB585" s="259"/>
      <c r="GC585" s="259"/>
      <c r="GD585" s="259"/>
      <c r="GE585" s="259"/>
      <c r="GF585" s="259"/>
      <c r="GG585" s="259"/>
      <c r="GH585" s="259"/>
      <c r="GI585" s="259"/>
      <c r="GJ585" s="259"/>
      <c r="GK585" s="259"/>
      <c r="GL585" s="259"/>
      <c r="GM585" s="259"/>
      <c r="GN585" s="259"/>
      <c r="GO585" s="259"/>
      <c r="GP585" s="259"/>
      <c r="GQ585" s="259"/>
      <c r="GR585" s="259"/>
      <c r="GS585" s="259"/>
      <c r="GT585" s="259"/>
      <c r="GU585" s="259"/>
      <c r="GV585" s="259"/>
      <c r="GW585" s="259"/>
      <c r="GX585" s="259"/>
      <c r="GY585" s="259"/>
      <c r="GZ585" s="259"/>
      <c r="HA585" s="259"/>
      <c r="HB585" s="259"/>
      <c r="HC585" s="259"/>
      <c r="HD585" s="259"/>
      <c r="HE585" s="259"/>
      <c r="HF585" s="259"/>
      <c r="HG585" s="259"/>
      <c r="HH585" s="259"/>
      <c r="HI585" s="259"/>
      <c r="HJ585" s="259"/>
      <c r="HK585" s="259"/>
      <c r="HL585" s="259"/>
      <c r="HM585" s="259"/>
      <c r="HN585" s="259"/>
      <c r="HO585" s="259"/>
      <c r="HP585" s="259"/>
      <c r="HQ585" s="259"/>
      <c r="HR585" s="259"/>
      <c r="HS585" s="259"/>
      <c r="HT585" s="259"/>
      <c r="HU585" s="259"/>
      <c r="HV585" s="259"/>
      <c r="HW585" s="259"/>
      <c r="HX585" s="259"/>
      <c r="HY585" s="259"/>
      <c r="HZ585" s="259"/>
      <c r="IA585" s="259"/>
      <c r="IB585" s="259"/>
      <c r="IC585" s="259"/>
      <c r="ID585" s="259"/>
      <c r="IE585" s="259"/>
      <c r="IF585" s="259"/>
      <c r="IG585" s="259"/>
      <c r="IH585" s="259"/>
      <c r="II585" s="259"/>
      <c r="IJ585" s="259"/>
      <c r="IK585" s="259"/>
      <c r="IL585" s="259"/>
      <c r="IM585" s="259"/>
      <c r="IN585" s="259"/>
      <c r="IO585" s="259"/>
      <c r="IP585" s="259"/>
      <c r="IQ585" s="259"/>
      <c r="IR585" s="259"/>
      <c r="IS585" s="259"/>
      <c r="IT585" s="259"/>
      <c r="IU585" s="259"/>
      <c r="IV585" s="259"/>
      <c r="IW585" s="259"/>
      <c r="IX585" s="259"/>
      <c r="IY585" s="259"/>
      <c r="IZ585" s="259"/>
      <c r="JA585" s="259"/>
      <c r="JB585" s="259"/>
      <c r="JC585" s="259"/>
      <c r="JD585" s="259"/>
      <c r="JE585" s="259"/>
      <c r="JF585" s="259"/>
      <c r="JG585" s="259"/>
      <c r="JH585" s="259"/>
      <c r="JI585" s="259"/>
      <c r="JJ585" s="259"/>
      <c r="JK585" s="259"/>
      <c r="JL585" s="259"/>
      <c r="JM585" s="259"/>
      <c r="JN585" s="259"/>
      <c r="JO585" s="259"/>
      <c r="JP585" s="259"/>
      <c r="JQ585" s="259"/>
      <c r="JR585" s="259"/>
      <c r="JS585" s="259"/>
      <c r="JT585" s="259"/>
      <c r="JU585" s="259"/>
      <c r="JV585" s="259"/>
      <c r="JW585" s="259"/>
      <c r="JX585" s="259"/>
      <c r="JY585" s="259"/>
      <c r="JZ585" s="259"/>
      <c r="KA585" s="259"/>
      <c r="KB585" s="259"/>
      <c r="KC585" s="259"/>
      <c r="KD585" s="259"/>
      <c r="KE585" s="259"/>
      <c r="KF585" s="259"/>
      <c r="KG585" s="259"/>
      <c r="KH585" s="259"/>
      <c r="KI585" s="259"/>
      <c r="KJ585" s="259"/>
      <c r="KK585" s="259"/>
      <c r="KL585" s="259"/>
      <c r="KM585" s="259"/>
      <c r="KN585" s="259"/>
      <c r="KO585" s="259"/>
      <c r="KP585" s="259"/>
      <c r="KQ585" s="259"/>
      <c r="KR585" s="259"/>
      <c r="KS585" s="259"/>
      <c r="KT585" s="259"/>
      <c r="KU585" s="259"/>
      <c r="KV585" s="259"/>
      <c r="KW585" s="259"/>
      <c r="KX585" s="259"/>
      <c r="KY585" s="259"/>
      <c r="KZ585" s="259"/>
      <c r="LA585" s="259"/>
      <c r="LB585" s="259"/>
      <c r="LC585" s="259"/>
      <c r="LD585" s="259"/>
      <c r="LE585" s="259"/>
      <c r="LF585" s="259"/>
      <c r="LG585" s="259"/>
      <c r="LH585" s="259"/>
      <c r="LI585" s="259"/>
      <c r="LJ585" s="259"/>
      <c r="LK585" s="259"/>
      <c r="LL585" s="259"/>
      <c r="LM585" s="259"/>
      <c r="LN585" s="259"/>
      <c r="LO585" s="259"/>
      <c r="LP585" s="259"/>
      <c r="LQ585" s="259"/>
      <c r="LR585" s="259"/>
      <c r="LS585" s="259"/>
      <c r="LT585" s="259"/>
      <c r="LU585" s="259"/>
      <c r="LV585" s="259"/>
      <c r="LW585" s="259"/>
      <c r="LX585" s="259"/>
      <c r="LY585" s="259"/>
      <c r="LZ585" s="259"/>
      <c r="MA585" s="259"/>
      <c r="MB585" s="259"/>
      <c r="MC585" s="259"/>
      <c r="MD585" s="259"/>
      <c r="ME585" s="259"/>
      <c r="MF585" s="259"/>
      <c r="MG585" s="259"/>
      <c r="MH585" s="259"/>
      <c r="MI585" s="259"/>
      <c r="MJ585" s="259"/>
      <c r="MK585" s="259"/>
      <c r="ML585" s="259"/>
      <c r="MM585" s="259"/>
      <c r="MN585" s="259"/>
      <c r="MO585" s="259"/>
      <c r="MP585" s="259"/>
      <c r="MQ585" s="259"/>
      <c r="MR585" s="259"/>
      <c r="MS585" s="259"/>
      <c r="MT585" s="259"/>
      <c r="MU585" s="259"/>
      <c r="MV585" s="259"/>
      <c r="MW585" s="259"/>
      <c r="MX585" s="259"/>
      <c r="MY585" s="259"/>
      <c r="MZ585" s="259"/>
      <c r="NA585" s="259"/>
      <c r="NB585" s="259"/>
      <c r="NC585" s="259"/>
      <c r="ND585" s="259"/>
      <c r="NE585" s="259"/>
      <c r="NF585" s="259"/>
      <c r="NG585" s="259"/>
      <c r="NH585" s="259"/>
      <c r="NI585" s="259"/>
      <c r="NJ585" s="259"/>
      <c r="NK585" s="259"/>
      <c r="NL585" s="259"/>
      <c r="NM585" s="259"/>
      <c r="NN585" s="259"/>
      <c r="NO585" s="259"/>
      <c r="NP585" s="259"/>
      <c r="NQ585" s="259"/>
      <c r="NR585" s="259"/>
      <c r="NS585" s="259"/>
      <c r="NT585" s="259"/>
      <c r="NU585" s="259"/>
      <c r="NV585" s="259"/>
      <c r="NW585" s="259"/>
      <c r="NX585" s="259"/>
      <c r="NY585" s="259"/>
      <c r="NZ585" s="259"/>
      <c r="OA585" s="259"/>
      <c r="OB585" s="259"/>
      <c r="OC585" s="259"/>
      <c r="OD585" s="259"/>
      <c r="OE585" s="259"/>
      <c r="OF585" s="259"/>
      <c r="OG585" s="259"/>
      <c r="OH585" s="259"/>
      <c r="OI585" s="259"/>
      <c r="OJ585" s="259"/>
      <c r="OK585" s="259"/>
      <c r="OL585" s="259"/>
      <c r="OM585" s="259"/>
      <c r="ON585" s="259"/>
      <c r="OO585" s="259"/>
      <c r="OP585" s="259"/>
      <c r="OQ585" s="259"/>
      <c r="OR585" s="259"/>
      <c r="OS585" s="259"/>
      <c r="OT585" s="259"/>
      <c r="OU585" s="259"/>
      <c r="OV585" s="259"/>
      <c r="OW585" s="259"/>
      <c r="OX585" s="259"/>
      <c r="OY585" s="259"/>
      <c r="OZ585" s="259"/>
      <c r="PA585" s="259"/>
      <c r="PB585" s="259"/>
      <c r="PC585" s="259"/>
      <c r="PD585" s="259"/>
      <c r="PE585" s="259"/>
      <c r="PF585" s="259"/>
      <c r="PG585" s="259"/>
      <c r="PH585" s="259"/>
      <c r="PI585" s="259"/>
      <c r="PJ585" s="259"/>
      <c r="PK585" s="259"/>
      <c r="PL585" s="259"/>
      <c r="PM585" s="259"/>
      <c r="PN585" s="259"/>
      <c r="PO585" s="259"/>
      <c r="PP585" s="259"/>
      <c r="PQ585" s="259"/>
      <c r="PR585" s="259"/>
      <c r="PS585" s="259"/>
      <c r="PT585" s="259"/>
      <c r="PU585" s="259"/>
      <c r="PV585" s="259"/>
      <c r="PW585" s="259"/>
      <c r="PX585" s="259"/>
      <c r="PY585" s="259"/>
      <c r="PZ585" s="259"/>
      <c r="QA585" s="259"/>
      <c r="QB585" s="259"/>
      <c r="QC585" s="259"/>
      <c r="QD585" s="259"/>
      <c r="QE585" s="259"/>
      <c r="QF585" s="259"/>
      <c r="QG585" s="259"/>
      <c r="QH585" s="259"/>
      <c r="QI585" s="259"/>
      <c r="QJ585" s="259"/>
      <c r="QK585" s="259"/>
      <c r="QL585" s="259"/>
      <c r="QM585" s="259"/>
      <c r="QN585" s="259"/>
      <c r="QO585" s="259"/>
      <c r="QP585" s="259"/>
      <c r="QQ585" s="259"/>
      <c r="QR585" s="259"/>
      <c r="QS585" s="259"/>
      <c r="QT585" s="259"/>
      <c r="QU585" s="259"/>
      <c r="QV585" s="259"/>
      <c r="QW585" s="259"/>
      <c r="QX585" s="259"/>
      <c r="QY585" s="259"/>
      <c r="QZ585" s="259"/>
      <c r="RA585" s="259"/>
      <c r="RB585" s="259"/>
      <c r="RC585" s="259"/>
      <c r="RD585" s="259"/>
      <c r="RE585" s="259"/>
      <c r="RF585" s="259"/>
      <c r="RG585" s="259"/>
      <c r="RH585" s="259"/>
      <c r="RI585" s="259"/>
      <c r="RJ585" s="259"/>
      <c r="RK585" s="259"/>
      <c r="RL585" s="259"/>
      <c r="RM585" s="259"/>
      <c r="RN585" s="259"/>
      <c r="RO585" s="259"/>
      <c r="RP585" s="259"/>
      <c r="RQ585" s="259"/>
      <c r="RR585" s="259"/>
      <c r="RS585" s="259"/>
      <c r="RT585" s="259"/>
      <c r="RU585" s="259"/>
      <c r="RV585" s="259"/>
      <c r="RW585" s="259"/>
      <c r="RX585" s="259"/>
      <c r="RY585" s="259"/>
      <c r="RZ585" s="259"/>
      <c r="SA585" s="259"/>
      <c r="SB585" s="259"/>
      <c r="SC585" s="259"/>
      <c r="SD585" s="259"/>
      <c r="SE585" s="259"/>
      <c r="SF585" s="259"/>
      <c r="SG585" s="259"/>
      <c r="SH585" s="259"/>
      <c r="SI585" s="259"/>
      <c r="SJ585" s="259"/>
      <c r="SK585" s="259"/>
      <c r="SL585" s="259"/>
      <c r="SM585" s="259"/>
      <c r="SN585" s="259"/>
      <c r="SO585" s="259"/>
      <c r="SP585" s="259"/>
      <c r="SQ585" s="259"/>
      <c r="SR585" s="259"/>
      <c r="SS585" s="259"/>
      <c r="ST585" s="259"/>
      <c r="SU585" s="259"/>
      <c r="SV585" s="259"/>
      <c r="SW585" s="259"/>
      <c r="SX585" s="259"/>
      <c r="SY585" s="259"/>
      <c r="SZ585" s="259"/>
      <c r="TA585" s="259"/>
      <c r="TB585" s="259"/>
      <c r="TC585" s="259"/>
      <c r="TD585" s="259"/>
      <c r="TE585" s="259"/>
      <c r="TF585" s="259"/>
      <c r="TG585" s="259"/>
      <c r="TH585" s="259"/>
      <c r="TI585" s="259"/>
      <c r="TJ585" s="259"/>
      <c r="TK585" s="259"/>
      <c r="TL585" s="259"/>
      <c r="TM585" s="259"/>
      <c r="TN585" s="259"/>
      <c r="TO585" s="259"/>
      <c r="TP585" s="259"/>
      <c r="TQ585" s="259"/>
      <c r="TR585" s="259"/>
      <c r="TS585" s="259"/>
      <c r="TT585" s="259"/>
      <c r="TU585" s="259"/>
      <c r="TV585" s="259"/>
      <c r="TW585" s="259"/>
      <c r="TX585" s="259"/>
      <c r="TY585" s="259"/>
      <c r="TZ585" s="259"/>
      <c r="UA585" s="259"/>
      <c r="UB585" s="259"/>
      <c r="UC585" s="259"/>
      <c r="UD585" s="259"/>
      <c r="UE585" s="259"/>
      <c r="UF585" s="259"/>
      <c r="UG585" s="259"/>
      <c r="UH585" s="259"/>
      <c r="UI585" s="259"/>
    </row>
    <row r="586" spans="1:555" ht="284.25" thickBot="1">
      <c r="A586" s="296">
        <v>323</v>
      </c>
      <c r="B586" s="297" t="s">
        <v>8576</v>
      </c>
      <c r="C586" s="298" t="s">
        <v>3631</v>
      </c>
      <c r="D586" s="354" t="s">
        <v>3632</v>
      </c>
      <c r="E586" s="299">
        <v>42632</v>
      </c>
      <c r="F586" s="300">
        <v>42614</v>
      </c>
      <c r="G586" s="301" t="s">
        <v>3633</v>
      </c>
      <c r="H586" s="297" t="s">
        <v>171</v>
      </c>
      <c r="I586" s="297" t="s">
        <v>183</v>
      </c>
      <c r="J586" s="299">
        <v>42971</v>
      </c>
      <c r="K586" s="300">
        <v>42948</v>
      </c>
      <c r="L586" s="301" t="s">
        <v>3634</v>
      </c>
      <c r="M586" s="297" t="s">
        <v>2346</v>
      </c>
      <c r="N586" s="297" t="s">
        <v>107</v>
      </c>
      <c r="O586" s="299">
        <v>42976</v>
      </c>
      <c r="P586" s="302">
        <v>42948</v>
      </c>
      <c r="Q586" s="301" t="s">
        <v>3635</v>
      </c>
      <c r="R586" s="297" t="s">
        <v>2346</v>
      </c>
      <c r="S586" s="297" t="s">
        <v>107</v>
      </c>
      <c r="T586" s="299">
        <v>42989</v>
      </c>
      <c r="U586" s="300">
        <v>42979</v>
      </c>
      <c r="V586" s="301" t="s">
        <v>3636</v>
      </c>
      <c r="W586" s="297" t="s">
        <v>5</v>
      </c>
      <c r="X586" s="297" t="s">
        <v>1114</v>
      </c>
      <c r="Y586" s="299">
        <v>43229</v>
      </c>
      <c r="Z586" s="300">
        <v>43221</v>
      </c>
      <c r="AA586" s="301" t="s">
        <v>3637</v>
      </c>
      <c r="AB586" s="297" t="s">
        <v>5</v>
      </c>
      <c r="AC586" s="297" t="s">
        <v>79</v>
      </c>
      <c r="AD586" s="299">
        <v>43286</v>
      </c>
      <c r="AE586" s="300">
        <v>43286</v>
      </c>
      <c r="AF586" s="973" t="s">
        <v>3638</v>
      </c>
      <c r="AG586" s="297" t="s">
        <v>3639</v>
      </c>
      <c r="AH586" s="297" t="s">
        <v>85</v>
      </c>
      <c r="AI586" s="305" t="s">
        <v>10489</v>
      </c>
      <c r="AJ586" s="300" t="s">
        <v>10490</v>
      </c>
      <c r="AK586" s="315" t="s">
        <v>10488</v>
      </c>
      <c r="AL586" s="297" t="s">
        <v>10491</v>
      </c>
      <c r="AM586" s="297" t="s">
        <v>10492</v>
      </c>
      <c r="AN586" s="303" t="s">
        <v>3640</v>
      </c>
      <c r="AO586" s="971">
        <v>43286</v>
      </c>
      <c r="AP586" s="303" t="s">
        <v>2558</v>
      </c>
      <c r="AQ586" s="301" t="s">
        <v>3641</v>
      </c>
      <c r="AR586" s="297" t="s">
        <v>161</v>
      </c>
      <c r="AS586" s="299" t="s">
        <v>67</v>
      </c>
      <c r="AT586" s="299" t="s">
        <v>67</v>
      </c>
      <c r="AU586" s="297" t="s">
        <v>8066</v>
      </c>
      <c r="AV586" s="297"/>
      <c r="AW586" s="297" t="s">
        <v>92</v>
      </c>
      <c r="AX586" s="297" t="s">
        <v>2560</v>
      </c>
      <c r="AY586" s="299">
        <v>41992</v>
      </c>
      <c r="AZ586" s="297" t="s">
        <v>2075</v>
      </c>
      <c r="BA586" s="299">
        <v>42580</v>
      </c>
      <c r="BB586" s="299">
        <v>42612</v>
      </c>
      <c r="BC586" s="303" t="s">
        <v>561</v>
      </c>
      <c r="BD586" s="303" t="s">
        <v>3642</v>
      </c>
      <c r="BE586" s="297" t="s">
        <v>3643</v>
      </c>
      <c r="BF586" s="301" t="s">
        <v>7348</v>
      </c>
      <c r="BG586" s="301"/>
      <c r="BH586" s="301"/>
      <c r="BI586" s="301"/>
      <c r="BJ586" s="312">
        <f>+'[135]MATRIZ DE CONTRATOS '!$J$26</f>
        <v>0</v>
      </c>
      <c r="BK586" s="312"/>
      <c r="BL586" s="313"/>
      <c r="BM586" s="299"/>
      <c r="BN586" s="314"/>
      <c r="BO586" s="872"/>
      <c r="BP586" s="390"/>
      <c r="BQ586" s="297"/>
      <c r="BR586" s="303"/>
      <c r="BS586" s="301"/>
      <c r="BT586" s="301"/>
      <c r="BU586" s="301"/>
      <c r="BV586" s="301"/>
      <c r="BW586" s="316"/>
      <c r="BX586" s="304"/>
      <c r="BY586" s="299"/>
      <c r="BZ586" s="317"/>
    </row>
    <row r="587" spans="1:555" ht="135">
      <c r="A587" s="296">
        <v>324</v>
      </c>
      <c r="B587" s="297" t="s">
        <v>3644</v>
      </c>
      <c r="C587" s="298">
        <v>83234373</v>
      </c>
      <c r="D587" s="354" t="s">
        <v>3645</v>
      </c>
      <c r="E587" s="299">
        <v>42634</v>
      </c>
      <c r="F587" s="300">
        <v>42614</v>
      </c>
      <c r="G587" s="301" t="s">
        <v>3646</v>
      </c>
      <c r="H587" s="297" t="s">
        <v>171</v>
      </c>
      <c r="I587" s="297" t="s">
        <v>183</v>
      </c>
      <c r="J587" s="299">
        <v>43208</v>
      </c>
      <c r="K587" s="300">
        <v>43191</v>
      </c>
      <c r="L587" s="301" t="s">
        <v>3647</v>
      </c>
      <c r="M587" s="297" t="s">
        <v>63</v>
      </c>
      <c r="N587" s="297" t="s">
        <v>79</v>
      </c>
      <c r="O587" s="299">
        <v>43263</v>
      </c>
      <c r="P587" s="302">
        <v>43252</v>
      </c>
      <c r="Q587" s="301" t="s">
        <v>3649</v>
      </c>
      <c r="R587" s="297" t="s">
        <v>5</v>
      </c>
      <c r="S587" s="297" t="s">
        <v>85</v>
      </c>
      <c r="T587" s="305">
        <v>43291</v>
      </c>
      <c r="U587" s="300">
        <v>43291</v>
      </c>
      <c r="V587" s="315" t="s">
        <v>3650</v>
      </c>
      <c r="W587" s="315" t="s">
        <v>63</v>
      </c>
      <c r="X587" s="315" t="s">
        <v>85</v>
      </c>
      <c r="Y587" s="299">
        <v>43896</v>
      </c>
      <c r="Z587" s="302">
        <v>43896</v>
      </c>
      <c r="AA587" s="301" t="s">
        <v>9493</v>
      </c>
      <c r="AB587" s="297" t="s">
        <v>63</v>
      </c>
      <c r="AC587" s="297" t="s">
        <v>8255</v>
      </c>
      <c r="AD587" s="299"/>
      <c r="AE587" s="300"/>
      <c r="AF587" s="301"/>
      <c r="AG587" s="297"/>
      <c r="AH587" s="297"/>
      <c r="AI587" s="322"/>
      <c r="AJ587" s="300"/>
      <c r="AK587" s="301"/>
      <c r="AL587" s="297"/>
      <c r="AM587" s="297"/>
      <c r="AN587" s="297" t="s">
        <v>3376</v>
      </c>
      <c r="AO587" s="554"/>
      <c r="AP587" s="297"/>
      <c r="AQ587" s="301" t="s">
        <v>3651</v>
      </c>
      <c r="AR587" s="297" t="s">
        <v>161</v>
      </c>
      <c r="AS587" s="299">
        <v>38415</v>
      </c>
      <c r="AT587" s="299">
        <v>39813</v>
      </c>
      <c r="AU587" s="297" t="s">
        <v>3652</v>
      </c>
      <c r="AV587" s="297"/>
      <c r="AW587" s="297" t="s">
        <v>92</v>
      </c>
      <c r="AX587" s="297" t="s">
        <v>3653</v>
      </c>
      <c r="AY587" s="299">
        <v>41624</v>
      </c>
      <c r="AZ587" s="297" t="s">
        <v>2591</v>
      </c>
      <c r="BA587" s="299">
        <v>42564</v>
      </c>
      <c r="BB587" s="299">
        <v>42584</v>
      </c>
      <c r="BC587" s="297" t="s">
        <v>95</v>
      </c>
      <c r="BD587" s="537" t="s">
        <v>3654</v>
      </c>
      <c r="BE587" s="297"/>
      <c r="BF587" s="301" t="s">
        <v>7327</v>
      </c>
      <c r="BG587" s="301"/>
      <c r="BH587" s="301"/>
      <c r="BI587" s="301"/>
      <c r="BJ587" s="312">
        <f>+[136]MATRIZ!$J$52</f>
        <v>0</v>
      </c>
      <c r="BK587" s="312"/>
      <c r="BL587" s="313"/>
      <c r="BM587" s="299"/>
      <c r="BN587" s="314"/>
      <c r="BO587" s="460"/>
      <c r="BP587" s="390"/>
      <c r="BQ587" s="297"/>
      <c r="BR587" s="303"/>
      <c r="BS587" s="301"/>
      <c r="BT587" s="301"/>
      <c r="BU587" s="301"/>
      <c r="BV587" s="301"/>
      <c r="BW587" s="316"/>
      <c r="BX587" s="304"/>
      <c r="BY587" s="299"/>
      <c r="BZ587" s="317"/>
    </row>
    <row r="588" spans="1:555" ht="149.25" thickBot="1">
      <c r="A588" s="296">
        <v>325</v>
      </c>
      <c r="B588" s="297" t="s">
        <v>3655</v>
      </c>
      <c r="C588" s="298">
        <v>92515562</v>
      </c>
      <c r="D588" s="354" t="s">
        <v>667</v>
      </c>
      <c r="E588" s="299">
        <v>42636</v>
      </c>
      <c r="F588" s="300">
        <v>42614</v>
      </c>
      <c r="G588" s="301" t="s">
        <v>3656</v>
      </c>
      <c r="H588" s="297" t="s">
        <v>171</v>
      </c>
      <c r="I588" s="297" t="s">
        <v>183</v>
      </c>
      <c r="J588" s="299">
        <v>43089</v>
      </c>
      <c r="K588" s="300">
        <v>43070</v>
      </c>
      <c r="L588" s="301" t="s">
        <v>3657</v>
      </c>
      <c r="M588" s="297" t="s">
        <v>63</v>
      </c>
      <c r="N588" s="297" t="s">
        <v>3658</v>
      </c>
      <c r="O588" s="299">
        <v>43150</v>
      </c>
      <c r="P588" s="302">
        <v>43132</v>
      </c>
      <c r="Q588" s="301" t="s">
        <v>1142</v>
      </c>
      <c r="R588" s="297" t="s">
        <v>63</v>
      </c>
      <c r="S588" s="297" t="s">
        <v>107</v>
      </c>
      <c r="T588" s="299">
        <v>43222</v>
      </c>
      <c r="U588" s="300">
        <v>43221</v>
      </c>
      <c r="V588" s="301" t="s">
        <v>3659</v>
      </c>
      <c r="W588" s="297" t="s">
        <v>63</v>
      </c>
      <c r="X588" s="297" t="s">
        <v>79</v>
      </c>
      <c r="Y588" s="299">
        <v>43735</v>
      </c>
      <c r="Z588" s="300">
        <v>43735</v>
      </c>
      <c r="AA588" s="301" t="s">
        <v>9168</v>
      </c>
      <c r="AB588" s="297" t="s">
        <v>208</v>
      </c>
      <c r="AC588" s="297" t="s">
        <v>8243</v>
      </c>
      <c r="AD588" s="299">
        <v>43879</v>
      </c>
      <c r="AE588" s="300">
        <v>43879</v>
      </c>
      <c r="AF588" s="301" t="s">
        <v>9471</v>
      </c>
      <c r="AG588" s="297" t="s">
        <v>63</v>
      </c>
      <c r="AH588" s="297" t="s">
        <v>8255</v>
      </c>
      <c r="AI588" s="299">
        <v>44027</v>
      </c>
      <c r="AJ588" s="300">
        <v>44027</v>
      </c>
      <c r="AK588" s="301" t="s">
        <v>9751</v>
      </c>
      <c r="AL588" s="297" t="s">
        <v>63</v>
      </c>
      <c r="AM588" s="297" t="s">
        <v>9511</v>
      </c>
      <c r="AN588" s="297" t="s">
        <v>3660</v>
      </c>
      <c r="AO588" s="554"/>
      <c r="AP588" s="355" t="s">
        <v>2558</v>
      </c>
      <c r="AQ588" s="301" t="s">
        <v>3661</v>
      </c>
      <c r="AR588" s="297" t="s">
        <v>161</v>
      </c>
      <c r="AS588" s="299">
        <v>40084</v>
      </c>
      <c r="AT588" s="299">
        <v>40268</v>
      </c>
      <c r="AU588" s="297" t="s">
        <v>3662</v>
      </c>
      <c r="AV588" s="297"/>
      <c r="AW588" s="297" t="s">
        <v>92</v>
      </c>
      <c r="AX588" s="297" t="s">
        <v>3663</v>
      </c>
      <c r="AY588" s="299">
        <v>41607</v>
      </c>
      <c r="AZ588" s="297" t="s">
        <v>94</v>
      </c>
      <c r="BA588" s="299">
        <v>42593</v>
      </c>
      <c r="BB588" s="299">
        <v>42612</v>
      </c>
      <c r="BC588" s="297" t="s">
        <v>95</v>
      </c>
      <c r="BD588" s="297" t="s">
        <v>566</v>
      </c>
      <c r="BE588" s="297"/>
      <c r="BF588" s="301" t="s">
        <v>3664</v>
      </c>
      <c r="BG588" s="301"/>
      <c r="BH588" s="301"/>
      <c r="BI588" s="301"/>
      <c r="BJ588" s="312">
        <f>+[137]MATRIZ!$J$56</f>
        <v>0</v>
      </c>
      <c r="BK588" s="312"/>
      <c r="BL588" s="313"/>
      <c r="BM588" s="299"/>
      <c r="BN588" s="314"/>
      <c r="BO588" s="872"/>
      <c r="BP588" s="390"/>
      <c r="BQ588" s="297"/>
      <c r="BR588" s="303"/>
      <c r="BS588" s="301"/>
      <c r="BT588" s="301"/>
      <c r="BU588" s="301"/>
      <c r="BV588" s="301"/>
      <c r="BW588" s="316"/>
      <c r="BX588" s="304"/>
      <c r="BY588" s="299"/>
      <c r="BZ588" s="317"/>
    </row>
    <row r="589" spans="1:555" ht="409.5">
      <c r="A589" s="33">
        <v>326</v>
      </c>
      <c r="B589" s="34" t="s">
        <v>3665</v>
      </c>
      <c r="C589" s="35">
        <v>88253743</v>
      </c>
      <c r="D589" s="440" t="s">
        <v>193</v>
      </c>
      <c r="E589" s="37">
        <v>42243</v>
      </c>
      <c r="F589" s="38">
        <v>42243</v>
      </c>
      <c r="G589" s="39" t="s">
        <v>3666</v>
      </c>
      <c r="H589" s="34" t="s">
        <v>195</v>
      </c>
      <c r="I589" s="34" t="s">
        <v>1751</v>
      </c>
      <c r="J589" s="37">
        <v>42419</v>
      </c>
      <c r="K589" s="38">
        <v>42401</v>
      </c>
      <c r="L589" s="39" t="s">
        <v>3667</v>
      </c>
      <c r="M589" s="34" t="s">
        <v>63</v>
      </c>
      <c r="N589" s="34" t="s">
        <v>101</v>
      </c>
      <c r="O589" s="37">
        <v>43158</v>
      </c>
      <c r="P589" s="40">
        <v>43132</v>
      </c>
      <c r="Q589" s="39" t="s">
        <v>3668</v>
      </c>
      <c r="R589" s="34" t="s">
        <v>195</v>
      </c>
      <c r="S589" s="34" t="s">
        <v>3669</v>
      </c>
      <c r="T589" s="49">
        <v>43248</v>
      </c>
      <c r="U589" s="38">
        <v>43221</v>
      </c>
      <c r="V589" s="46" t="s">
        <v>3670</v>
      </c>
      <c r="W589" s="42" t="s">
        <v>152</v>
      </c>
      <c r="X589" s="42" t="s">
        <v>1213</v>
      </c>
      <c r="Y589" s="37"/>
      <c r="Z589" s="38"/>
      <c r="AA589" s="39"/>
      <c r="AB589" s="34"/>
      <c r="AC589" s="34"/>
      <c r="AD589" s="37"/>
      <c r="AE589" s="38"/>
      <c r="AF589" s="39"/>
      <c r="AG589" s="34"/>
      <c r="AH589" s="34"/>
      <c r="AI589" s="41"/>
      <c r="AJ589" s="38"/>
      <c r="AK589" s="39"/>
      <c r="AL589" s="34"/>
      <c r="AM589" s="34"/>
      <c r="AN589" s="34" t="s">
        <v>3671</v>
      </c>
      <c r="AO589" s="473"/>
      <c r="AP589" s="34"/>
      <c r="AQ589" s="39" t="s">
        <v>3672</v>
      </c>
      <c r="AR589" s="34" t="s">
        <v>161</v>
      </c>
      <c r="AS589" s="37">
        <v>37837</v>
      </c>
      <c r="AT589" s="37">
        <v>39813</v>
      </c>
      <c r="AU589" s="34" t="s">
        <v>3673</v>
      </c>
      <c r="AV589" s="34"/>
      <c r="AW589" s="34" t="s">
        <v>92</v>
      </c>
      <c r="AX589" s="34" t="s">
        <v>3674</v>
      </c>
      <c r="AY589" s="37">
        <v>41788</v>
      </c>
      <c r="AZ589" s="34" t="s">
        <v>67</v>
      </c>
      <c r="BA589" s="37" t="s">
        <v>67</v>
      </c>
      <c r="BB589" s="382">
        <v>41877</v>
      </c>
      <c r="BC589" s="34" t="s">
        <v>95</v>
      </c>
      <c r="BD589" s="34"/>
      <c r="BE589" s="34"/>
      <c r="BF589" s="39"/>
      <c r="BG589" s="39" t="s">
        <v>3675</v>
      </c>
      <c r="BH589" s="39"/>
      <c r="BI589" s="39"/>
      <c r="BJ589" s="74">
        <v>103740000</v>
      </c>
      <c r="BK589" s="74"/>
      <c r="BL589" s="44"/>
      <c r="BM589" s="37"/>
      <c r="BN589" s="38"/>
      <c r="BO589" s="467"/>
      <c r="BP589" s="391"/>
      <c r="BQ589" s="34"/>
      <c r="BR589" s="34"/>
      <c r="BS589" s="39"/>
      <c r="BT589" s="39"/>
      <c r="BU589" s="39"/>
      <c r="BV589" s="39"/>
      <c r="BW589" s="51"/>
      <c r="BX589" s="41"/>
      <c r="BY589" s="37"/>
      <c r="BZ589" s="52"/>
    </row>
    <row r="590" spans="1:555" ht="81">
      <c r="A590" s="502">
        <v>327</v>
      </c>
      <c r="B590" s="686" t="s">
        <v>3676</v>
      </c>
      <c r="C590" s="687">
        <v>12237338</v>
      </c>
      <c r="D590" s="688" t="s">
        <v>3677</v>
      </c>
      <c r="E590" s="27">
        <v>42641</v>
      </c>
      <c r="F590" s="689">
        <v>42614</v>
      </c>
      <c r="G590" s="690" t="s">
        <v>3678</v>
      </c>
      <c r="H590" s="686" t="s">
        <v>171</v>
      </c>
      <c r="I590" s="686" t="s">
        <v>183</v>
      </c>
      <c r="J590" s="27">
        <v>42670</v>
      </c>
      <c r="K590" s="689">
        <v>42644</v>
      </c>
      <c r="L590" s="690" t="s">
        <v>3679</v>
      </c>
      <c r="M590" s="686" t="s">
        <v>5</v>
      </c>
      <c r="N590" s="686" t="s">
        <v>79</v>
      </c>
      <c r="O590" s="27">
        <v>42732</v>
      </c>
      <c r="P590" s="691">
        <v>42705</v>
      </c>
      <c r="Q590" s="690" t="s">
        <v>3680</v>
      </c>
      <c r="R590" s="686" t="s">
        <v>503</v>
      </c>
      <c r="S590" s="686" t="s">
        <v>1082</v>
      </c>
      <c r="T590" s="27">
        <v>42733</v>
      </c>
      <c r="U590" s="689">
        <v>42705</v>
      </c>
      <c r="V590" s="690" t="s">
        <v>3681</v>
      </c>
      <c r="W590" s="686" t="s">
        <v>5</v>
      </c>
      <c r="X590" s="686" t="s">
        <v>131</v>
      </c>
      <c r="Y590" s="27">
        <v>42793</v>
      </c>
      <c r="Z590" s="689">
        <v>42767</v>
      </c>
      <c r="AA590" s="690" t="s">
        <v>3682</v>
      </c>
      <c r="AB590" s="686" t="s">
        <v>5</v>
      </c>
      <c r="AC590" s="686" t="s">
        <v>336</v>
      </c>
      <c r="AD590" s="27">
        <v>43158</v>
      </c>
      <c r="AE590" s="689">
        <v>43132</v>
      </c>
      <c r="AF590" s="690" t="s">
        <v>3683</v>
      </c>
      <c r="AG590" s="686" t="s">
        <v>5</v>
      </c>
      <c r="AH590" s="686" t="s">
        <v>3684</v>
      </c>
      <c r="AI590" s="27">
        <v>43881</v>
      </c>
      <c r="AJ590" s="689">
        <v>43881</v>
      </c>
      <c r="AK590" s="690" t="s">
        <v>9467</v>
      </c>
      <c r="AL590" s="686" t="s">
        <v>208</v>
      </c>
      <c r="AM590" s="686" t="s">
        <v>8255</v>
      </c>
      <c r="AN590" s="686" t="s">
        <v>1359</v>
      </c>
      <c r="AO590" s="694">
        <v>42793</v>
      </c>
      <c r="AP590" s="686"/>
      <c r="AQ590" s="690" t="s">
        <v>3685</v>
      </c>
      <c r="AR590" s="686" t="s">
        <v>161</v>
      </c>
      <c r="AS590" s="27">
        <v>38518</v>
      </c>
      <c r="AT590" s="27">
        <v>39804</v>
      </c>
      <c r="AU590" s="686" t="s">
        <v>3686</v>
      </c>
      <c r="AV590" s="686"/>
      <c r="AW590" s="686" t="s">
        <v>92</v>
      </c>
      <c r="AX590" s="686" t="s">
        <v>3687</v>
      </c>
      <c r="AY590" s="27">
        <v>41971</v>
      </c>
      <c r="AZ590" s="686" t="s">
        <v>3688</v>
      </c>
      <c r="BA590" s="27">
        <v>42585</v>
      </c>
      <c r="BB590" s="27">
        <v>42608</v>
      </c>
      <c r="BC590" s="686" t="s">
        <v>95</v>
      </c>
      <c r="BD590" s="686" t="s">
        <v>566</v>
      </c>
      <c r="BE590" s="686"/>
      <c r="BF590" s="690" t="s">
        <v>7330</v>
      </c>
      <c r="BG590" s="690"/>
      <c r="BH590" s="690"/>
      <c r="BI590" s="690"/>
      <c r="BJ590" s="696">
        <f>+'[138]MATRIZ '!$J$58</f>
        <v>0</v>
      </c>
      <c r="BK590" s="696"/>
      <c r="BL590" s="697"/>
      <c r="BM590" s="27"/>
      <c r="BN590" s="698"/>
      <c r="BO590" s="798" t="s">
        <v>3689</v>
      </c>
      <c r="BP590" s="799"/>
      <c r="BQ590" s="800"/>
      <c r="BR590" s="801"/>
      <c r="BS590" s="690"/>
      <c r="BT590" s="690"/>
      <c r="BU590" s="690"/>
      <c r="BV590" s="690"/>
      <c r="BW590" s="702"/>
      <c r="BX590" s="693"/>
      <c r="BY590" s="27"/>
      <c r="BZ590" s="703"/>
      <c r="CA590" s="259"/>
      <c r="CB590" s="259"/>
      <c r="CC590" s="259"/>
      <c r="CD590" s="259"/>
      <c r="CE590" s="259"/>
      <c r="CF590" s="259"/>
      <c r="CG590" s="259"/>
      <c r="CH590" s="259"/>
      <c r="CI590" s="259"/>
      <c r="CJ590" s="259"/>
      <c r="CK590" s="259"/>
      <c r="CL590" s="259"/>
      <c r="CM590" s="259"/>
      <c r="CN590" s="259"/>
      <c r="CO590" s="259"/>
      <c r="CP590" s="259"/>
      <c r="CQ590" s="259"/>
      <c r="CR590" s="259"/>
      <c r="CS590" s="259"/>
      <c r="CT590" s="259"/>
      <c r="CU590" s="259"/>
      <c r="CV590" s="259"/>
      <c r="CW590" s="259"/>
      <c r="CX590" s="259"/>
      <c r="CY590" s="259"/>
      <c r="CZ590" s="259"/>
      <c r="DA590" s="259"/>
      <c r="DB590" s="259"/>
      <c r="DC590" s="259"/>
      <c r="DD590" s="259"/>
      <c r="DE590" s="259"/>
      <c r="DF590" s="259"/>
      <c r="DG590" s="259"/>
      <c r="DH590" s="259"/>
      <c r="DI590" s="259"/>
      <c r="DJ590" s="259"/>
      <c r="DK590" s="259"/>
      <c r="DL590" s="259"/>
      <c r="DM590" s="259"/>
      <c r="DN590" s="259"/>
      <c r="DO590" s="259"/>
      <c r="DP590" s="259"/>
      <c r="DQ590" s="259"/>
      <c r="DR590" s="259"/>
      <c r="DS590" s="259"/>
      <c r="DT590" s="259"/>
      <c r="DU590" s="259"/>
      <c r="DV590" s="259"/>
      <c r="DW590" s="259"/>
      <c r="DX590" s="259"/>
      <c r="DY590" s="259"/>
      <c r="DZ590" s="259"/>
      <c r="EA590" s="259"/>
      <c r="EB590" s="259"/>
      <c r="EC590" s="259"/>
      <c r="ED590" s="259"/>
      <c r="EE590" s="259"/>
      <c r="EF590" s="259"/>
      <c r="EG590" s="259"/>
      <c r="EH590" s="259"/>
      <c r="EI590" s="259"/>
      <c r="EJ590" s="259"/>
      <c r="EK590" s="259"/>
      <c r="EL590" s="259"/>
      <c r="EM590" s="259"/>
      <c r="EN590" s="259"/>
      <c r="EO590" s="259"/>
      <c r="EP590" s="259"/>
      <c r="EQ590" s="259"/>
      <c r="ER590" s="259"/>
      <c r="ES590" s="259"/>
      <c r="ET590" s="259"/>
      <c r="EU590" s="259"/>
      <c r="EV590" s="259"/>
      <c r="EW590" s="259"/>
      <c r="EX590" s="259"/>
      <c r="EY590" s="259"/>
      <c r="EZ590" s="259"/>
      <c r="FA590" s="259"/>
      <c r="FB590" s="259"/>
      <c r="FC590" s="259"/>
      <c r="FD590" s="259"/>
      <c r="FE590" s="259"/>
      <c r="FF590" s="259"/>
      <c r="FG590" s="259"/>
      <c r="FH590" s="259"/>
      <c r="FI590" s="259"/>
      <c r="FJ590" s="259"/>
      <c r="FK590" s="259"/>
      <c r="FL590" s="259"/>
      <c r="FM590" s="259"/>
      <c r="FN590" s="259"/>
      <c r="FO590" s="259"/>
      <c r="FP590" s="259"/>
      <c r="FQ590" s="259"/>
      <c r="FR590" s="259"/>
      <c r="FS590" s="259"/>
      <c r="FT590" s="259"/>
      <c r="FU590" s="259"/>
      <c r="FV590" s="259"/>
      <c r="FW590" s="259"/>
      <c r="FX590" s="259"/>
      <c r="FY590" s="259"/>
      <c r="FZ590" s="259"/>
      <c r="GA590" s="259"/>
      <c r="GB590" s="259"/>
      <c r="GC590" s="259"/>
      <c r="GD590" s="259"/>
      <c r="GE590" s="259"/>
      <c r="GF590" s="259"/>
      <c r="GG590" s="259"/>
      <c r="GH590" s="259"/>
      <c r="GI590" s="259"/>
      <c r="GJ590" s="259"/>
      <c r="GK590" s="259"/>
      <c r="GL590" s="259"/>
      <c r="GM590" s="259"/>
      <c r="GN590" s="259"/>
      <c r="GO590" s="259"/>
      <c r="GP590" s="259"/>
      <c r="GQ590" s="259"/>
      <c r="GR590" s="259"/>
      <c r="GS590" s="259"/>
      <c r="GT590" s="259"/>
      <c r="GU590" s="259"/>
      <c r="GV590" s="259"/>
      <c r="GW590" s="259"/>
      <c r="GX590" s="259"/>
      <c r="GY590" s="259"/>
      <c r="GZ590" s="259"/>
      <c r="HA590" s="259"/>
      <c r="HB590" s="259"/>
      <c r="HC590" s="259"/>
      <c r="HD590" s="259"/>
      <c r="HE590" s="259"/>
      <c r="HF590" s="259"/>
      <c r="HG590" s="259"/>
      <c r="HH590" s="259"/>
      <c r="HI590" s="259"/>
      <c r="HJ590" s="259"/>
      <c r="HK590" s="259"/>
      <c r="HL590" s="259"/>
      <c r="HM590" s="259"/>
      <c r="HN590" s="259"/>
      <c r="HO590" s="259"/>
      <c r="HP590" s="259"/>
      <c r="HQ590" s="259"/>
      <c r="HR590" s="259"/>
      <c r="HS590" s="259"/>
      <c r="HT590" s="259"/>
      <c r="HU590" s="259"/>
      <c r="HV590" s="259"/>
      <c r="HW590" s="259"/>
      <c r="HX590" s="259"/>
      <c r="HY590" s="259"/>
      <c r="HZ590" s="259"/>
      <c r="IA590" s="259"/>
      <c r="IB590" s="259"/>
      <c r="IC590" s="259"/>
      <c r="ID590" s="259"/>
      <c r="IE590" s="259"/>
      <c r="IF590" s="259"/>
      <c r="IG590" s="259"/>
      <c r="IH590" s="259"/>
      <c r="II590" s="259"/>
      <c r="IJ590" s="259"/>
      <c r="IK590" s="259"/>
      <c r="IL590" s="259"/>
      <c r="IM590" s="259"/>
      <c r="IN590" s="259"/>
      <c r="IO590" s="259"/>
      <c r="IP590" s="259"/>
      <c r="IQ590" s="259"/>
      <c r="IR590" s="259"/>
      <c r="IS590" s="259"/>
      <c r="IT590" s="259"/>
      <c r="IU590" s="259"/>
      <c r="IV590" s="259"/>
      <c r="IW590" s="259"/>
      <c r="IX590" s="259"/>
      <c r="IY590" s="259"/>
      <c r="IZ590" s="259"/>
      <c r="JA590" s="259"/>
      <c r="JB590" s="259"/>
      <c r="JC590" s="259"/>
      <c r="JD590" s="259"/>
      <c r="JE590" s="259"/>
      <c r="JF590" s="259"/>
      <c r="JG590" s="259"/>
      <c r="JH590" s="259"/>
      <c r="JI590" s="259"/>
      <c r="JJ590" s="259"/>
      <c r="JK590" s="259"/>
      <c r="JL590" s="259"/>
      <c r="JM590" s="259"/>
      <c r="JN590" s="259"/>
      <c r="JO590" s="259"/>
      <c r="JP590" s="259"/>
      <c r="JQ590" s="259"/>
      <c r="JR590" s="259"/>
      <c r="JS590" s="259"/>
      <c r="JT590" s="259"/>
      <c r="JU590" s="259"/>
      <c r="JV590" s="259"/>
      <c r="JW590" s="259"/>
      <c r="JX590" s="259"/>
      <c r="JY590" s="259"/>
      <c r="JZ590" s="259"/>
      <c r="KA590" s="259"/>
      <c r="KB590" s="259"/>
      <c r="KC590" s="259"/>
      <c r="KD590" s="259"/>
      <c r="KE590" s="259"/>
      <c r="KF590" s="259"/>
      <c r="KG590" s="259"/>
      <c r="KH590" s="259"/>
      <c r="KI590" s="259"/>
      <c r="KJ590" s="259"/>
      <c r="KK590" s="259"/>
      <c r="KL590" s="259"/>
      <c r="KM590" s="259"/>
      <c r="KN590" s="259"/>
      <c r="KO590" s="259"/>
      <c r="KP590" s="259"/>
      <c r="KQ590" s="259"/>
      <c r="KR590" s="259"/>
      <c r="KS590" s="259"/>
      <c r="KT590" s="259"/>
      <c r="KU590" s="259"/>
      <c r="KV590" s="259"/>
      <c r="KW590" s="259"/>
      <c r="KX590" s="259"/>
      <c r="KY590" s="259"/>
      <c r="KZ590" s="259"/>
      <c r="LA590" s="259"/>
      <c r="LB590" s="259"/>
      <c r="LC590" s="259"/>
      <c r="LD590" s="259"/>
      <c r="LE590" s="259"/>
      <c r="LF590" s="259"/>
      <c r="LG590" s="259"/>
      <c r="LH590" s="259"/>
      <c r="LI590" s="259"/>
      <c r="LJ590" s="259"/>
      <c r="LK590" s="259"/>
      <c r="LL590" s="259"/>
      <c r="LM590" s="259"/>
      <c r="LN590" s="259"/>
      <c r="LO590" s="259"/>
      <c r="LP590" s="259"/>
      <c r="LQ590" s="259"/>
      <c r="LR590" s="259"/>
      <c r="LS590" s="259"/>
      <c r="LT590" s="259"/>
      <c r="LU590" s="259"/>
      <c r="LV590" s="259"/>
      <c r="LW590" s="259"/>
      <c r="LX590" s="259"/>
      <c r="LY590" s="259"/>
      <c r="LZ590" s="259"/>
      <c r="MA590" s="259"/>
      <c r="MB590" s="259"/>
      <c r="MC590" s="259"/>
      <c r="MD590" s="259"/>
      <c r="ME590" s="259"/>
      <c r="MF590" s="259"/>
      <c r="MG590" s="259"/>
      <c r="MH590" s="259"/>
      <c r="MI590" s="259"/>
      <c r="MJ590" s="259"/>
      <c r="MK590" s="259"/>
      <c r="ML590" s="259"/>
      <c r="MM590" s="259"/>
      <c r="MN590" s="259"/>
      <c r="MO590" s="259"/>
      <c r="MP590" s="259"/>
      <c r="MQ590" s="259"/>
      <c r="MR590" s="259"/>
      <c r="MS590" s="259"/>
      <c r="MT590" s="259"/>
      <c r="MU590" s="259"/>
      <c r="MV590" s="259"/>
      <c r="MW590" s="259"/>
      <c r="MX590" s="259"/>
      <c r="MY590" s="259"/>
      <c r="MZ590" s="259"/>
      <c r="NA590" s="259"/>
      <c r="NB590" s="259"/>
      <c r="NC590" s="259"/>
      <c r="ND590" s="259"/>
      <c r="NE590" s="259"/>
      <c r="NF590" s="259"/>
      <c r="NG590" s="259"/>
      <c r="NH590" s="259"/>
      <c r="NI590" s="259"/>
      <c r="NJ590" s="259"/>
      <c r="NK590" s="259"/>
      <c r="NL590" s="259"/>
      <c r="NM590" s="259"/>
      <c r="NN590" s="259"/>
      <c r="NO590" s="259"/>
      <c r="NP590" s="259"/>
      <c r="NQ590" s="259"/>
      <c r="NR590" s="259"/>
      <c r="NS590" s="259"/>
      <c r="NT590" s="259"/>
      <c r="NU590" s="259"/>
      <c r="NV590" s="259"/>
      <c r="NW590" s="259"/>
      <c r="NX590" s="259"/>
      <c r="NY590" s="259"/>
      <c r="NZ590" s="259"/>
      <c r="OA590" s="259"/>
      <c r="OB590" s="259"/>
      <c r="OC590" s="259"/>
      <c r="OD590" s="259"/>
      <c r="OE590" s="259"/>
      <c r="OF590" s="259"/>
      <c r="OG590" s="259"/>
      <c r="OH590" s="259"/>
      <c r="OI590" s="259"/>
      <c r="OJ590" s="259"/>
      <c r="OK590" s="259"/>
      <c r="OL590" s="259"/>
      <c r="OM590" s="259"/>
      <c r="ON590" s="259"/>
      <c r="OO590" s="259"/>
      <c r="OP590" s="259"/>
      <c r="OQ590" s="259"/>
      <c r="OR590" s="259"/>
      <c r="OS590" s="259"/>
      <c r="OT590" s="259"/>
      <c r="OU590" s="259"/>
      <c r="OV590" s="259"/>
      <c r="OW590" s="259"/>
      <c r="OX590" s="259"/>
      <c r="OY590" s="259"/>
      <c r="OZ590" s="259"/>
      <c r="PA590" s="259"/>
      <c r="PB590" s="259"/>
      <c r="PC590" s="259"/>
      <c r="PD590" s="259"/>
      <c r="PE590" s="259"/>
      <c r="PF590" s="259"/>
      <c r="PG590" s="259"/>
      <c r="PH590" s="259"/>
      <c r="PI590" s="259"/>
      <c r="PJ590" s="259"/>
      <c r="PK590" s="259"/>
      <c r="PL590" s="259"/>
      <c r="PM590" s="259"/>
      <c r="PN590" s="259"/>
      <c r="PO590" s="259"/>
      <c r="PP590" s="259"/>
      <c r="PQ590" s="259"/>
      <c r="PR590" s="259"/>
      <c r="PS590" s="259"/>
      <c r="PT590" s="259"/>
      <c r="PU590" s="259"/>
      <c r="PV590" s="259"/>
      <c r="PW590" s="259"/>
      <c r="PX590" s="259"/>
      <c r="PY590" s="259"/>
      <c r="PZ590" s="259"/>
      <c r="QA590" s="259"/>
      <c r="QB590" s="259"/>
      <c r="QC590" s="259"/>
      <c r="QD590" s="259"/>
      <c r="QE590" s="259"/>
      <c r="QF590" s="259"/>
      <c r="QG590" s="259"/>
      <c r="QH590" s="259"/>
      <c r="QI590" s="259"/>
      <c r="QJ590" s="259"/>
      <c r="QK590" s="259"/>
      <c r="QL590" s="259"/>
      <c r="QM590" s="259"/>
      <c r="QN590" s="259"/>
      <c r="QO590" s="259"/>
      <c r="QP590" s="259"/>
      <c r="QQ590" s="259"/>
      <c r="QR590" s="259"/>
      <c r="QS590" s="259"/>
      <c r="QT590" s="259"/>
      <c r="QU590" s="259"/>
      <c r="QV590" s="259"/>
      <c r="QW590" s="259"/>
      <c r="QX590" s="259"/>
      <c r="QY590" s="259"/>
      <c r="QZ590" s="259"/>
      <c r="RA590" s="259"/>
      <c r="RB590" s="259"/>
      <c r="RC590" s="259"/>
      <c r="RD590" s="259"/>
      <c r="RE590" s="259"/>
      <c r="RF590" s="259"/>
      <c r="RG590" s="259"/>
      <c r="RH590" s="259"/>
      <c r="RI590" s="259"/>
      <c r="RJ590" s="259"/>
      <c r="RK590" s="259"/>
      <c r="RL590" s="259"/>
      <c r="RM590" s="259"/>
      <c r="RN590" s="259"/>
      <c r="RO590" s="259"/>
      <c r="RP590" s="259"/>
      <c r="RQ590" s="259"/>
      <c r="RR590" s="259"/>
      <c r="RS590" s="259"/>
      <c r="RT590" s="259"/>
      <c r="RU590" s="259"/>
      <c r="RV590" s="259"/>
      <c r="RW590" s="259"/>
      <c r="RX590" s="259"/>
      <c r="RY590" s="259"/>
      <c r="RZ590" s="259"/>
      <c r="SA590" s="259"/>
      <c r="SB590" s="259"/>
      <c r="SC590" s="259"/>
      <c r="SD590" s="259"/>
      <c r="SE590" s="259"/>
      <c r="SF590" s="259"/>
      <c r="SG590" s="259"/>
      <c r="SH590" s="259"/>
      <c r="SI590" s="259"/>
      <c r="SJ590" s="259"/>
      <c r="SK590" s="259"/>
      <c r="SL590" s="259"/>
      <c r="SM590" s="259"/>
      <c r="SN590" s="259"/>
      <c r="SO590" s="259"/>
      <c r="SP590" s="259"/>
      <c r="SQ590" s="259"/>
      <c r="SR590" s="259"/>
      <c r="SS590" s="259"/>
      <c r="ST590" s="259"/>
      <c r="SU590" s="259"/>
      <c r="SV590" s="259"/>
      <c r="SW590" s="259"/>
      <c r="SX590" s="259"/>
      <c r="SY590" s="259"/>
      <c r="SZ590" s="259"/>
      <c r="TA590" s="259"/>
      <c r="TB590" s="259"/>
      <c r="TC590" s="259"/>
      <c r="TD590" s="259"/>
      <c r="TE590" s="259"/>
      <c r="TF590" s="259"/>
      <c r="TG590" s="259"/>
      <c r="TH590" s="259"/>
      <c r="TI590" s="259"/>
      <c r="TJ590" s="259"/>
      <c r="TK590" s="259"/>
      <c r="TL590" s="259"/>
      <c r="TM590" s="259"/>
      <c r="TN590" s="259"/>
      <c r="TO590" s="259"/>
      <c r="TP590" s="259"/>
      <c r="TQ590" s="259"/>
      <c r="TR590" s="259"/>
      <c r="TS590" s="259"/>
      <c r="TT590" s="259"/>
      <c r="TU590" s="259"/>
      <c r="TV590" s="259"/>
      <c r="TW590" s="259"/>
      <c r="TX590" s="259"/>
      <c r="TY590" s="259"/>
      <c r="TZ590" s="259"/>
      <c r="UA590" s="259"/>
      <c r="UB590" s="259"/>
      <c r="UC590" s="259"/>
      <c r="UD590" s="259"/>
      <c r="UE590" s="259"/>
      <c r="UF590" s="259"/>
      <c r="UG590" s="259"/>
      <c r="UH590" s="259"/>
      <c r="UI590" s="259"/>
    </row>
    <row r="591" spans="1:555" ht="176.25" thickBot="1">
      <c r="A591" s="502">
        <v>328</v>
      </c>
      <c r="B591" s="686" t="s">
        <v>3690</v>
      </c>
      <c r="C591" s="687">
        <v>98631868</v>
      </c>
      <c r="D591" s="688" t="s">
        <v>906</v>
      </c>
      <c r="E591" s="27">
        <v>42643</v>
      </c>
      <c r="F591" s="689">
        <v>42614</v>
      </c>
      <c r="G591" s="690" t="s">
        <v>3691</v>
      </c>
      <c r="H591" s="686" t="s">
        <v>625</v>
      </c>
      <c r="I591" s="686" t="s">
        <v>183</v>
      </c>
      <c r="J591" s="27">
        <v>41905</v>
      </c>
      <c r="K591" s="689">
        <v>41883</v>
      </c>
      <c r="L591" s="690" t="s">
        <v>3692</v>
      </c>
      <c r="M591" s="686" t="s">
        <v>195</v>
      </c>
      <c r="N591" s="686" t="s">
        <v>1864</v>
      </c>
      <c r="O591" s="27">
        <v>41949</v>
      </c>
      <c r="P591" s="691">
        <v>41944</v>
      </c>
      <c r="Q591" s="690" t="s">
        <v>3693</v>
      </c>
      <c r="R591" s="686" t="s">
        <v>171</v>
      </c>
      <c r="S591" s="686" t="s">
        <v>1864</v>
      </c>
      <c r="T591" s="27">
        <v>41961</v>
      </c>
      <c r="U591" s="689">
        <v>41944</v>
      </c>
      <c r="V591" s="690" t="s">
        <v>3694</v>
      </c>
      <c r="W591" s="686" t="s">
        <v>171</v>
      </c>
      <c r="X591" s="686" t="s">
        <v>1864</v>
      </c>
      <c r="Y591" s="27">
        <v>42647</v>
      </c>
      <c r="Z591" s="689">
        <v>42644</v>
      </c>
      <c r="AA591" s="690" t="s">
        <v>2934</v>
      </c>
      <c r="AB591" s="686" t="s">
        <v>195</v>
      </c>
      <c r="AC591" s="686" t="s">
        <v>3695</v>
      </c>
      <c r="AD591" s="27">
        <v>43374</v>
      </c>
      <c r="AE591" s="689">
        <v>43374</v>
      </c>
      <c r="AF591" s="706" t="s">
        <v>3696</v>
      </c>
      <c r="AG591" s="686" t="s">
        <v>5</v>
      </c>
      <c r="AH591" s="686" t="s">
        <v>79</v>
      </c>
      <c r="AI591" s="704"/>
      <c r="AJ591" s="689"/>
      <c r="AK591" s="690"/>
      <c r="AL591" s="686"/>
      <c r="AM591" s="686"/>
      <c r="AN591" s="686" t="s">
        <v>3697</v>
      </c>
      <c r="AO591" s="705"/>
      <c r="AP591" s="686" t="s">
        <v>2558</v>
      </c>
      <c r="AQ591" s="690" t="s">
        <v>3698</v>
      </c>
      <c r="AR591" s="686" t="s">
        <v>161</v>
      </c>
      <c r="AS591" s="27">
        <v>40328</v>
      </c>
      <c r="AT591" s="27">
        <v>40908</v>
      </c>
      <c r="AU591" s="686" t="s">
        <v>3699</v>
      </c>
      <c r="AV591" s="686"/>
      <c r="AW591" s="686" t="s">
        <v>69</v>
      </c>
      <c r="AX591" s="686" t="s">
        <v>3700</v>
      </c>
      <c r="AY591" s="27">
        <v>42198</v>
      </c>
      <c r="AZ591" s="686" t="s">
        <v>3701</v>
      </c>
      <c r="BA591" s="27">
        <v>42621</v>
      </c>
      <c r="BB591" s="27">
        <v>42664</v>
      </c>
      <c r="BC591" s="701" t="s">
        <v>912</v>
      </c>
      <c r="BD591" s="701" t="s">
        <v>566</v>
      </c>
      <c r="BE591" s="686"/>
      <c r="BF591" s="690"/>
      <c r="BG591" s="690"/>
      <c r="BH591" s="690"/>
      <c r="BI591" s="690"/>
      <c r="BJ591" s="696">
        <f>+[139]MATRIZ!$J$54</f>
        <v>0</v>
      </c>
      <c r="BK591" s="696"/>
      <c r="BL591" s="697"/>
      <c r="BM591" s="27"/>
      <c r="BN591" s="698"/>
      <c r="BO591" s="870"/>
      <c r="BP591" s="700"/>
      <c r="BQ591" s="686"/>
      <c r="BR591" s="701"/>
      <c r="BS591" s="690"/>
      <c r="BT591" s="690"/>
      <c r="BU591" s="690"/>
      <c r="BV591" s="690"/>
      <c r="BW591" s="702"/>
      <c r="BX591" s="693"/>
      <c r="BY591" s="27"/>
      <c r="BZ591" s="703"/>
      <c r="CA591" s="259"/>
      <c r="CB591" s="259"/>
      <c r="CC591" s="259"/>
      <c r="CD591" s="259"/>
      <c r="CE591" s="259"/>
      <c r="CF591" s="259"/>
      <c r="CG591" s="259"/>
      <c r="CH591" s="259"/>
      <c r="CI591" s="259"/>
      <c r="CJ591" s="259"/>
      <c r="CK591" s="259"/>
      <c r="CL591" s="259"/>
      <c r="CM591" s="259"/>
      <c r="CN591" s="259"/>
      <c r="CO591" s="259"/>
      <c r="CP591" s="259"/>
      <c r="CQ591" s="259"/>
      <c r="CR591" s="259"/>
      <c r="CS591" s="259"/>
      <c r="CT591" s="259"/>
      <c r="CU591" s="259"/>
      <c r="CV591" s="259"/>
      <c r="CW591" s="259"/>
      <c r="CX591" s="259"/>
      <c r="CY591" s="259"/>
      <c r="CZ591" s="259"/>
      <c r="DA591" s="259"/>
      <c r="DB591" s="259"/>
      <c r="DC591" s="259"/>
      <c r="DD591" s="259"/>
      <c r="DE591" s="259"/>
      <c r="DF591" s="259"/>
      <c r="DG591" s="259"/>
      <c r="DH591" s="259"/>
      <c r="DI591" s="259"/>
      <c r="DJ591" s="259"/>
      <c r="DK591" s="259"/>
      <c r="DL591" s="259"/>
      <c r="DM591" s="259"/>
      <c r="DN591" s="259"/>
      <c r="DO591" s="259"/>
      <c r="DP591" s="259"/>
      <c r="DQ591" s="259"/>
      <c r="DR591" s="259"/>
      <c r="DS591" s="259"/>
      <c r="DT591" s="259"/>
      <c r="DU591" s="259"/>
      <c r="DV591" s="259"/>
      <c r="DW591" s="259"/>
      <c r="DX591" s="259"/>
      <c r="DY591" s="259"/>
      <c r="DZ591" s="259"/>
      <c r="EA591" s="259"/>
      <c r="EB591" s="259"/>
      <c r="EC591" s="259"/>
      <c r="ED591" s="259"/>
      <c r="EE591" s="259"/>
      <c r="EF591" s="259"/>
      <c r="EG591" s="259"/>
      <c r="EH591" s="259"/>
      <c r="EI591" s="259"/>
      <c r="EJ591" s="259"/>
      <c r="EK591" s="259"/>
      <c r="EL591" s="259"/>
      <c r="EM591" s="259"/>
      <c r="EN591" s="259"/>
      <c r="EO591" s="259"/>
      <c r="EP591" s="259"/>
      <c r="EQ591" s="259"/>
      <c r="ER591" s="259"/>
      <c r="ES591" s="259"/>
      <c r="ET591" s="259"/>
      <c r="EU591" s="259"/>
      <c r="EV591" s="259"/>
      <c r="EW591" s="259"/>
      <c r="EX591" s="259"/>
      <c r="EY591" s="259"/>
      <c r="EZ591" s="259"/>
      <c r="FA591" s="259"/>
      <c r="FB591" s="259"/>
      <c r="FC591" s="259"/>
      <c r="FD591" s="259"/>
      <c r="FE591" s="259"/>
      <c r="FF591" s="259"/>
      <c r="FG591" s="259"/>
      <c r="FH591" s="259"/>
      <c r="FI591" s="259"/>
      <c r="FJ591" s="259"/>
      <c r="FK591" s="259"/>
      <c r="FL591" s="259"/>
      <c r="FM591" s="259"/>
      <c r="FN591" s="259"/>
      <c r="FO591" s="259"/>
      <c r="FP591" s="259"/>
      <c r="FQ591" s="259"/>
      <c r="FR591" s="259"/>
      <c r="FS591" s="259"/>
      <c r="FT591" s="259"/>
      <c r="FU591" s="259"/>
      <c r="FV591" s="259"/>
      <c r="FW591" s="259"/>
      <c r="FX591" s="259"/>
      <c r="FY591" s="259"/>
      <c r="FZ591" s="259"/>
      <c r="GA591" s="259"/>
      <c r="GB591" s="259"/>
      <c r="GC591" s="259"/>
      <c r="GD591" s="259"/>
      <c r="GE591" s="259"/>
      <c r="GF591" s="259"/>
      <c r="GG591" s="259"/>
      <c r="GH591" s="259"/>
      <c r="GI591" s="259"/>
      <c r="GJ591" s="259"/>
      <c r="GK591" s="259"/>
      <c r="GL591" s="259"/>
      <c r="GM591" s="259"/>
      <c r="GN591" s="259"/>
      <c r="GO591" s="259"/>
      <c r="GP591" s="259"/>
      <c r="GQ591" s="259"/>
      <c r="GR591" s="259"/>
      <c r="GS591" s="259"/>
      <c r="GT591" s="259"/>
      <c r="GU591" s="259"/>
      <c r="GV591" s="259"/>
      <c r="GW591" s="259"/>
      <c r="GX591" s="259"/>
      <c r="GY591" s="259"/>
      <c r="GZ591" s="259"/>
      <c r="HA591" s="259"/>
      <c r="HB591" s="259"/>
      <c r="HC591" s="259"/>
      <c r="HD591" s="259"/>
      <c r="HE591" s="259"/>
      <c r="HF591" s="259"/>
      <c r="HG591" s="259"/>
      <c r="HH591" s="259"/>
      <c r="HI591" s="259"/>
      <c r="HJ591" s="259"/>
      <c r="HK591" s="259"/>
      <c r="HL591" s="259"/>
      <c r="HM591" s="259"/>
      <c r="HN591" s="259"/>
      <c r="HO591" s="259"/>
      <c r="HP591" s="259"/>
      <c r="HQ591" s="259"/>
      <c r="HR591" s="259"/>
      <c r="HS591" s="259"/>
      <c r="HT591" s="259"/>
      <c r="HU591" s="259"/>
      <c r="HV591" s="259"/>
      <c r="HW591" s="259"/>
      <c r="HX591" s="259"/>
      <c r="HY591" s="259"/>
      <c r="HZ591" s="259"/>
      <c r="IA591" s="259"/>
      <c r="IB591" s="259"/>
      <c r="IC591" s="259"/>
      <c r="ID591" s="259"/>
      <c r="IE591" s="259"/>
      <c r="IF591" s="259"/>
      <c r="IG591" s="259"/>
      <c r="IH591" s="259"/>
      <c r="II591" s="259"/>
      <c r="IJ591" s="259"/>
      <c r="IK591" s="259"/>
      <c r="IL591" s="259"/>
      <c r="IM591" s="259"/>
      <c r="IN591" s="259"/>
      <c r="IO591" s="259"/>
      <c r="IP591" s="259"/>
      <c r="IQ591" s="259"/>
      <c r="IR591" s="259"/>
      <c r="IS591" s="259"/>
      <c r="IT591" s="259"/>
      <c r="IU591" s="259"/>
      <c r="IV591" s="259"/>
      <c r="IW591" s="259"/>
      <c r="IX591" s="259"/>
      <c r="IY591" s="259"/>
      <c r="IZ591" s="259"/>
      <c r="JA591" s="259"/>
      <c r="JB591" s="259"/>
      <c r="JC591" s="259"/>
      <c r="JD591" s="259"/>
      <c r="JE591" s="259"/>
      <c r="JF591" s="259"/>
      <c r="JG591" s="259"/>
      <c r="JH591" s="259"/>
      <c r="JI591" s="259"/>
      <c r="JJ591" s="259"/>
      <c r="JK591" s="259"/>
      <c r="JL591" s="259"/>
      <c r="JM591" s="259"/>
      <c r="JN591" s="259"/>
      <c r="JO591" s="259"/>
      <c r="JP591" s="259"/>
      <c r="JQ591" s="259"/>
      <c r="JR591" s="259"/>
      <c r="JS591" s="259"/>
      <c r="JT591" s="259"/>
      <c r="JU591" s="259"/>
      <c r="JV591" s="259"/>
      <c r="JW591" s="259"/>
      <c r="JX591" s="259"/>
      <c r="JY591" s="259"/>
      <c r="JZ591" s="259"/>
      <c r="KA591" s="259"/>
      <c r="KB591" s="259"/>
      <c r="KC591" s="259"/>
      <c r="KD591" s="259"/>
      <c r="KE591" s="259"/>
      <c r="KF591" s="259"/>
      <c r="KG591" s="259"/>
      <c r="KH591" s="259"/>
      <c r="KI591" s="259"/>
      <c r="KJ591" s="259"/>
      <c r="KK591" s="259"/>
      <c r="KL591" s="259"/>
      <c r="KM591" s="259"/>
      <c r="KN591" s="259"/>
      <c r="KO591" s="259"/>
      <c r="KP591" s="259"/>
      <c r="KQ591" s="259"/>
      <c r="KR591" s="259"/>
      <c r="KS591" s="259"/>
      <c r="KT591" s="259"/>
      <c r="KU591" s="259"/>
      <c r="KV591" s="259"/>
      <c r="KW591" s="259"/>
      <c r="KX591" s="259"/>
      <c r="KY591" s="259"/>
      <c r="KZ591" s="259"/>
      <c r="LA591" s="259"/>
      <c r="LB591" s="259"/>
      <c r="LC591" s="259"/>
      <c r="LD591" s="259"/>
      <c r="LE591" s="259"/>
      <c r="LF591" s="259"/>
      <c r="LG591" s="259"/>
      <c r="LH591" s="259"/>
      <c r="LI591" s="259"/>
      <c r="LJ591" s="259"/>
      <c r="LK591" s="259"/>
      <c r="LL591" s="259"/>
      <c r="LM591" s="259"/>
      <c r="LN591" s="259"/>
      <c r="LO591" s="259"/>
      <c r="LP591" s="259"/>
      <c r="LQ591" s="259"/>
      <c r="LR591" s="259"/>
      <c r="LS591" s="259"/>
      <c r="LT591" s="259"/>
      <c r="LU591" s="259"/>
      <c r="LV591" s="259"/>
      <c r="LW591" s="259"/>
      <c r="LX591" s="259"/>
      <c r="LY591" s="259"/>
      <c r="LZ591" s="259"/>
      <c r="MA591" s="259"/>
      <c r="MB591" s="259"/>
      <c r="MC591" s="259"/>
      <c r="MD591" s="259"/>
      <c r="ME591" s="259"/>
      <c r="MF591" s="259"/>
      <c r="MG591" s="259"/>
      <c r="MH591" s="259"/>
      <c r="MI591" s="259"/>
      <c r="MJ591" s="259"/>
      <c r="MK591" s="259"/>
      <c r="ML591" s="259"/>
      <c r="MM591" s="259"/>
      <c r="MN591" s="259"/>
      <c r="MO591" s="259"/>
      <c r="MP591" s="259"/>
      <c r="MQ591" s="259"/>
      <c r="MR591" s="259"/>
      <c r="MS591" s="259"/>
      <c r="MT591" s="259"/>
      <c r="MU591" s="259"/>
      <c r="MV591" s="259"/>
      <c r="MW591" s="259"/>
      <c r="MX591" s="259"/>
      <c r="MY591" s="259"/>
      <c r="MZ591" s="259"/>
      <c r="NA591" s="259"/>
      <c r="NB591" s="259"/>
      <c r="NC591" s="259"/>
      <c r="ND591" s="259"/>
      <c r="NE591" s="259"/>
      <c r="NF591" s="259"/>
      <c r="NG591" s="259"/>
      <c r="NH591" s="259"/>
      <c r="NI591" s="259"/>
      <c r="NJ591" s="259"/>
      <c r="NK591" s="259"/>
      <c r="NL591" s="259"/>
      <c r="NM591" s="259"/>
      <c r="NN591" s="259"/>
      <c r="NO591" s="259"/>
      <c r="NP591" s="259"/>
      <c r="NQ591" s="259"/>
      <c r="NR591" s="259"/>
      <c r="NS591" s="259"/>
      <c r="NT591" s="259"/>
      <c r="NU591" s="259"/>
      <c r="NV591" s="259"/>
      <c r="NW591" s="259"/>
      <c r="NX591" s="259"/>
      <c r="NY591" s="259"/>
      <c r="NZ591" s="259"/>
      <c r="OA591" s="259"/>
      <c r="OB591" s="259"/>
      <c r="OC591" s="259"/>
      <c r="OD591" s="259"/>
      <c r="OE591" s="259"/>
      <c r="OF591" s="259"/>
      <c r="OG591" s="259"/>
      <c r="OH591" s="259"/>
      <c r="OI591" s="259"/>
      <c r="OJ591" s="259"/>
      <c r="OK591" s="259"/>
      <c r="OL591" s="259"/>
      <c r="OM591" s="259"/>
      <c r="ON591" s="259"/>
      <c r="OO591" s="259"/>
      <c r="OP591" s="259"/>
      <c r="OQ591" s="259"/>
      <c r="OR591" s="259"/>
      <c r="OS591" s="259"/>
      <c r="OT591" s="259"/>
      <c r="OU591" s="259"/>
      <c r="OV591" s="259"/>
      <c r="OW591" s="259"/>
      <c r="OX591" s="259"/>
      <c r="OY591" s="259"/>
      <c r="OZ591" s="259"/>
      <c r="PA591" s="259"/>
      <c r="PB591" s="259"/>
      <c r="PC591" s="259"/>
      <c r="PD591" s="259"/>
      <c r="PE591" s="259"/>
      <c r="PF591" s="259"/>
      <c r="PG591" s="259"/>
      <c r="PH591" s="259"/>
      <c r="PI591" s="259"/>
      <c r="PJ591" s="259"/>
      <c r="PK591" s="259"/>
      <c r="PL591" s="259"/>
      <c r="PM591" s="259"/>
      <c r="PN591" s="259"/>
      <c r="PO591" s="259"/>
      <c r="PP591" s="259"/>
      <c r="PQ591" s="259"/>
      <c r="PR591" s="259"/>
      <c r="PS591" s="259"/>
      <c r="PT591" s="259"/>
      <c r="PU591" s="259"/>
      <c r="PV591" s="259"/>
      <c r="PW591" s="259"/>
      <c r="PX591" s="259"/>
      <c r="PY591" s="259"/>
      <c r="PZ591" s="259"/>
      <c r="QA591" s="259"/>
      <c r="QB591" s="259"/>
      <c r="QC591" s="259"/>
      <c r="QD591" s="259"/>
      <c r="QE591" s="259"/>
      <c r="QF591" s="259"/>
      <c r="QG591" s="259"/>
      <c r="QH591" s="259"/>
      <c r="QI591" s="259"/>
      <c r="QJ591" s="259"/>
      <c r="QK591" s="259"/>
      <c r="QL591" s="259"/>
      <c r="QM591" s="259"/>
      <c r="QN591" s="259"/>
      <c r="QO591" s="259"/>
      <c r="QP591" s="259"/>
      <c r="QQ591" s="259"/>
      <c r="QR591" s="259"/>
      <c r="QS591" s="259"/>
      <c r="QT591" s="259"/>
      <c r="QU591" s="259"/>
      <c r="QV591" s="259"/>
      <c r="QW591" s="259"/>
      <c r="QX591" s="259"/>
      <c r="QY591" s="259"/>
      <c r="QZ591" s="259"/>
      <c r="RA591" s="259"/>
      <c r="RB591" s="259"/>
      <c r="RC591" s="259"/>
      <c r="RD591" s="259"/>
      <c r="RE591" s="259"/>
      <c r="RF591" s="259"/>
      <c r="RG591" s="259"/>
      <c r="RH591" s="259"/>
      <c r="RI591" s="259"/>
      <c r="RJ591" s="259"/>
      <c r="RK591" s="259"/>
      <c r="RL591" s="259"/>
      <c r="RM591" s="259"/>
      <c r="RN591" s="259"/>
      <c r="RO591" s="259"/>
      <c r="RP591" s="259"/>
      <c r="RQ591" s="259"/>
      <c r="RR591" s="259"/>
      <c r="RS591" s="259"/>
      <c r="RT591" s="259"/>
      <c r="RU591" s="259"/>
      <c r="RV591" s="259"/>
      <c r="RW591" s="259"/>
      <c r="RX591" s="259"/>
      <c r="RY591" s="259"/>
      <c r="RZ591" s="259"/>
      <c r="SA591" s="259"/>
      <c r="SB591" s="259"/>
      <c r="SC591" s="259"/>
      <c r="SD591" s="259"/>
      <c r="SE591" s="259"/>
      <c r="SF591" s="259"/>
      <c r="SG591" s="259"/>
      <c r="SH591" s="259"/>
      <c r="SI591" s="259"/>
      <c r="SJ591" s="259"/>
      <c r="SK591" s="259"/>
      <c r="SL591" s="259"/>
      <c r="SM591" s="259"/>
      <c r="SN591" s="259"/>
      <c r="SO591" s="259"/>
      <c r="SP591" s="259"/>
      <c r="SQ591" s="259"/>
      <c r="SR591" s="259"/>
      <c r="SS591" s="259"/>
      <c r="ST591" s="259"/>
      <c r="SU591" s="259"/>
      <c r="SV591" s="259"/>
      <c r="SW591" s="259"/>
      <c r="SX591" s="259"/>
      <c r="SY591" s="259"/>
      <c r="SZ591" s="259"/>
      <c r="TA591" s="259"/>
      <c r="TB591" s="259"/>
      <c r="TC591" s="259"/>
      <c r="TD591" s="259"/>
      <c r="TE591" s="259"/>
      <c r="TF591" s="259"/>
      <c r="TG591" s="259"/>
      <c r="TH591" s="259"/>
      <c r="TI591" s="259"/>
      <c r="TJ591" s="259"/>
      <c r="TK591" s="259"/>
      <c r="TL591" s="259"/>
      <c r="TM591" s="259"/>
      <c r="TN591" s="259"/>
      <c r="TO591" s="259"/>
      <c r="TP591" s="259"/>
      <c r="TQ591" s="259"/>
      <c r="TR591" s="259"/>
      <c r="TS591" s="259"/>
      <c r="TT591" s="259"/>
      <c r="TU591" s="259"/>
      <c r="TV591" s="259"/>
      <c r="TW591" s="259"/>
      <c r="TX591" s="259"/>
      <c r="TY591" s="259"/>
      <c r="TZ591" s="259"/>
      <c r="UA591" s="259"/>
      <c r="UB591" s="259"/>
      <c r="UC591" s="259"/>
      <c r="UD591" s="259"/>
      <c r="UE591" s="259"/>
      <c r="UF591" s="259"/>
      <c r="UG591" s="259"/>
      <c r="UH591" s="259"/>
      <c r="UI591" s="259"/>
    </row>
    <row r="592" spans="1:555" ht="135">
      <c r="A592" s="296">
        <v>329</v>
      </c>
      <c r="B592" s="297" t="s">
        <v>3702</v>
      </c>
      <c r="C592" s="298">
        <v>79706321</v>
      </c>
      <c r="D592" s="354" t="s">
        <v>193</v>
      </c>
      <c r="E592" s="299">
        <v>42648</v>
      </c>
      <c r="F592" s="300">
        <v>42644</v>
      </c>
      <c r="G592" s="301" t="s">
        <v>3703</v>
      </c>
      <c r="H592" s="297" t="s">
        <v>625</v>
      </c>
      <c r="I592" s="297" t="s">
        <v>183</v>
      </c>
      <c r="J592" s="299">
        <v>43368</v>
      </c>
      <c r="K592" s="300">
        <v>43368</v>
      </c>
      <c r="L592" s="304" t="s">
        <v>3704</v>
      </c>
      <c r="M592" s="297" t="s">
        <v>5</v>
      </c>
      <c r="N592" s="304" t="s">
        <v>2413</v>
      </c>
      <c r="O592" s="299">
        <v>44000</v>
      </c>
      <c r="P592" s="302">
        <v>44000</v>
      </c>
      <c r="Q592" s="301" t="s">
        <v>9515</v>
      </c>
      <c r="R592" s="297" t="s">
        <v>63</v>
      </c>
      <c r="S592" s="297" t="s">
        <v>9516</v>
      </c>
      <c r="T592" s="299"/>
      <c r="U592" s="300"/>
      <c r="V592" s="301"/>
      <c r="W592" s="297"/>
      <c r="X592" s="297"/>
      <c r="Y592" s="299"/>
      <c r="Z592" s="300"/>
      <c r="AA592" s="301"/>
      <c r="AB592" s="297"/>
      <c r="AC592" s="297"/>
      <c r="AD592" s="299"/>
      <c r="AE592" s="300"/>
      <c r="AF592" s="301"/>
      <c r="AG592" s="297"/>
      <c r="AH592" s="297"/>
      <c r="AI592" s="322"/>
      <c r="AJ592" s="300"/>
      <c r="AK592" s="301"/>
      <c r="AL592" s="297"/>
      <c r="AM592" s="297"/>
      <c r="AN592" s="297" t="s">
        <v>3376</v>
      </c>
      <c r="AO592" s="554"/>
      <c r="AP592" s="297"/>
      <c r="AQ592" s="301" t="s">
        <v>3705</v>
      </c>
      <c r="AR592" s="297" t="s">
        <v>161</v>
      </c>
      <c r="AS592" s="299">
        <v>37712</v>
      </c>
      <c r="AT592" s="299">
        <v>39813</v>
      </c>
      <c r="AU592" s="297" t="s">
        <v>3706</v>
      </c>
      <c r="AV592" s="297"/>
      <c r="AW592" s="297" t="s">
        <v>92</v>
      </c>
      <c r="AX592" s="297" t="s">
        <v>1746</v>
      </c>
      <c r="AY592" s="299">
        <v>41729</v>
      </c>
      <c r="AZ592" s="297" t="s">
        <v>94</v>
      </c>
      <c r="BA592" s="299">
        <v>42621</v>
      </c>
      <c r="BB592" s="299">
        <v>42640</v>
      </c>
      <c r="BC592" s="297" t="s">
        <v>95</v>
      </c>
      <c r="BD592" s="297" t="s">
        <v>566</v>
      </c>
      <c r="BE592" s="297"/>
      <c r="BF592" s="301"/>
      <c r="BG592" s="301"/>
      <c r="BH592" s="301"/>
      <c r="BI592" s="301"/>
      <c r="BJ592" s="312">
        <f>+'[140]MATRIZ '!$J$67</f>
        <v>0</v>
      </c>
      <c r="BK592" s="312"/>
      <c r="BL592" s="313"/>
      <c r="BM592" s="299"/>
      <c r="BN592" s="314"/>
      <c r="BO592" s="460"/>
      <c r="BP592" s="390"/>
      <c r="BQ592" s="297"/>
      <c r="BR592" s="303"/>
      <c r="BS592" s="301"/>
      <c r="BT592" s="301"/>
      <c r="BU592" s="301"/>
      <c r="BV592" s="301"/>
      <c r="BW592" s="316"/>
      <c r="BX592" s="304"/>
      <c r="BY592" s="299"/>
      <c r="BZ592" s="317"/>
    </row>
    <row r="593" spans="1:555" ht="40.5">
      <c r="A593" s="729">
        <v>332</v>
      </c>
      <c r="B593" s="381" t="s">
        <v>3733</v>
      </c>
      <c r="C593" s="730"/>
      <c r="D593" s="731"/>
      <c r="E593" s="382"/>
      <c r="F593" s="379"/>
      <c r="G593" s="383"/>
      <c r="H593" s="381"/>
      <c r="I593" s="381"/>
      <c r="J593" s="382"/>
      <c r="K593" s="379"/>
      <c r="L593" s="383"/>
      <c r="M593" s="381"/>
      <c r="N593" s="381"/>
      <c r="O593" s="382"/>
      <c r="P593" s="732"/>
      <c r="Q593" s="383"/>
      <c r="R593" s="381"/>
      <c r="S593" s="381"/>
      <c r="T593" s="382"/>
      <c r="U593" s="379"/>
      <c r="V593" s="383"/>
      <c r="W593" s="381"/>
      <c r="X593" s="381"/>
      <c r="Y593" s="382"/>
      <c r="Z593" s="379"/>
      <c r="AA593" s="383"/>
      <c r="AB593" s="381"/>
      <c r="AC593" s="381"/>
      <c r="AD593" s="382"/>
      <c r="AE593" s="379"/>
      <c r="AF593" s="383"/>
      <c r="AG593" s="381"/>
      <c r="AH593" s="381"/>
      <c r="AI593" s="745"/>
      <c r="AJ593" s="379"/>
      <c r="AK593" s="383"/>
      <c r="AL593" s="381"/>
      <c r="AM593" s="381"/>
      <c r="AN593" s="381"/>
      <c r="AO593" s="381"/>
      <c r="AP593" s="381"/>
      <c r="AQ593" s="383"/>
      <c r="AR593" s="381"/>
      <c r="AS593" s="382"/>
      <c r="AT593" s="382"/>
      <c r="AU593" s="381"/>
      <c r="AV593" s="381"/>
      <c r="AW593" s="381"/>
      <c r="AX593" s="381"/>
      <c r="AY593" s="382"/>
      <c r="AZ593" s="381"/>
      <c r="BA593" s="382"/>
      <c r="BB593" s="382"/>
      <c r="BC593" s="381"/>
      <c r="BD593" s="381"/>
      <c r="BE593" s="381"/>
      <c r="BF593" s="383"/>
      <c r="BG593" s="383"/>
      <c r="BH593" s="383"/>
      <c r="BI593" s="383"/>
      <c r="BJ593" s="737"/>
      <c r="BK593" s="737"/>
      <c r="BL593" s="738"/>
      <c r="BM593" s="382"/>
      <c r="BN593" s="739"/>
      <c r="BO593" s="740"/>
      <c r="BP593" s="741"/>
      <c r="BQ593" s="381"/>
      <c r="BR593" s="742"/>
      <c r="BS593" s="383"/>
      <c r="BT593" s="383"/>
      <c r="BU593" s="383"/>
      <c r="BV593" s="383"/>
      <c r="BW593" s="743"/>
      <c r="BX593" s="733"/>
      <c r="BY593" s="382"/>
      <c r="BZ593" s="744"/>
      <c r="CA593" s="685"/>
      <c r="CB593" s="685"/>
      <c r="CC593" s="685"/>
      <c r="CD593" s="685"/>
      <c r="CE593" s="685"/>
      <c r="CF593" s="685"/>
      <c r="CG593" s="685"/>
      <c r="CH593" s="685"/>
      <c r="CI593" s="685"/>
      <c r="CJ593" s="685"/>
      <c r="CK593" s="685"/>
      <c r="CL593" s="685"/>
      <c r="CM593" s="685"/>
      <c r="CN593" s="685"/>
      <c r="CO593" s="685"/>
      <c r="CP593" s="685"/>
      <c r="CQ593" s="685"/>
      <c r="CR593" s="685"/>
      <c r="CS593" s="685"/>
      <c r="CT593" s="685"/>
      <c r="CU593" s="685"/>
      <c r="CV593" s="685"/>
      <c r="CW593" s="685"/>
      <c r="CX593" s="685"/>
      <c r="CY593" s="685"/>
      <c r="CZ593" s="685"/>
      <c r="DA593" s="685"/>
      <c r="DB593" s="685"/>
      <c r="DC593" s="685"/>
      <c r="DD593" s="685"/>
      <c r="DE593" s="685"/>
      <c r="DF593" s="685"/>
      <c r="DG593" s="685"/>
      <c r="DH593" s="685"/>
      <c r="DI593" s="685"/>
      <c r="DJ593" s="685"/>
      <c r="DK593" s="685"/>
      <c r="DL593" s="685"/>
      <c r="DM593" s="685"/>
      <c r="DN593" s="685"/>
      <c r="DO593" s="685"/>
      <c r="DP593" s="685"/>
      <c r="DQ593" s="685"/>
      <c r="DR593" s="685"/>
      <c r="DS593" s="685"/>
      <c r="DT593" s="685"/>
      <c r="DU593" s="685"/>
      <c r="DV593" s="685"/>
      <c r="DW593" s="685"/>
      <c r="DX593" s="685"/>
      <c r="DY593" s="685"/>
      <c r="DZ593" s="685"/>
      <c r="EA593" s="685"/>
      <c r="EB593" s="685"/>
      <c r="EC593" s="685"/>
      <c r="ED593" s="685"/>
      <c r="EE593" s="685"/>
      <c r="EF593" s="685"/>
      <c r="EG593" s="685"/>
      <c r="EH593" s="685"/>
      <c r="EI593" s="685"/>
      <c r="EJ593" s="685"/>
      <c r="EK593" s="685"/>
      <c r="EL593" s="685"/>
      <c r="EM593" s="685"/>
      <c r="EN593" s="685"/>
      <c r="EO593" s="685"/>
      <c r="EP593" s="685"/>
      <c r="EQ593" s="685"/>
      <c r="ER593" s="685"/>
      <c r="ES593" s="685"/>
      <c r="ET593" s="685"/>
      <c r="EU593" s="685"/>
      <c r="EV593" s="685"/>
      <c r="EW593" s="685"/>
      <c r="EX593" s="685"/>
      <c r="EY593" s="685"/>
      <c r="EZ593" s="685"/>
      <c r="FA593" s="685"/>
      <c r="FB593" s="685"/>
      <c r="FC593" s="685"/>
      <c r="FD593" s="685"/>
      <c r="FE593" s="685"/>
      <c r="FF593" s="685"/>
      <c r="FG593" s="685"/>
      <c r="FH593" s="685"/>
      <c r="FI593" s="685"/>
      <c r="FJ593" s="685"/>
      <c r="FK593" s="685"/>
      <c r="FL593" s="685"/>
      <c r="FM593" s="685"/>
      <c r="FN593" s="685"/>
      <c r="FO593" s="685"/>
      <c r="FP593" s="685"/>
      <c r="FQ593" s="685"/>
      <c r="FR593" s="685"/>
      <c r="FS593" s="685"/>
      <c r="FT593" s="685"/>
      <c r="FU593" s="685"/>
      <c r="FV593" s="685"/>
      <c r="FW593" s="685"/>
      <c r="FX593" s="685"/>
      <c r="FY593" s="685"/>
      <c r="FZ593" s="685"/>
      <c r="GA593" s="685"/>
      <c r="GB593" s="685"/>
      <c r="GC593" s="685"/>
      <c r="GD593" s="685"/>
      <c r="GE593" s="685"/>
      <c r="GF593" s="685"/>
      <c r="GG593" s="685"/>
      <c r="GH593" s="685"/>
      <c r="GI593" s="685"/>
      <c r="GJ593" s="685"/>
      <c r="GK593" s="685"/>
      <c r="GL593" s="685"/>
      <c r="GM593" s="685"/>
      <c r="GN593" s="685"/>
      <c r="GO593" s="685"/>
      <c r="GP593" s="685"/>
      <c r="GQ593" s="685"/>
      <c r="GR593" s="685"/>
      <c r="GS593" s="685"/>
      <c r="GT593" s="685"/>
      <c r="GU593" s="685"/>
      <c r="GV593" s="685"/>
      <c r="GW593" s="685"/>
      <c r="GX593" s="685"/>
      <c r="GY593" s="685"/>
      <c r="GZ593" s="685"/>
      <c r="HA593" s="685"/>
      <c r="HB593" s="685"/>
      <c r="HC593" s="685"/>
      <c r="HD593" s="685"/>
      <c r="HE593" s="685"/>
      <c r="HF593" s="685"/>
      <c r="HG593" s="685"/>
      <c r="HH593" s="685"/>
      <c r="HI593" s="685"/>
      <c r="HJ593" s="685"/>
      <c r="HK593" s="685"/>
      <c r="HL593" s="685"/>
      <c r="HM593" s="685"/>
      <c r="HN593" s="685"/>
      <c r="HO593" s="685"/>
      <c r="HP593" s="685"/>
      <c r="HQ593" s="685"/>
      <c r="HR593" s="685"/>
      <c r="HS593" s="685"/>
      <c r="HT593" s="685"/>
      <c r="HU593" s="685"/>
      <c r="HV593" s="685"/>
      <c r="HW593" s="685"/>
      <c r="HX593" s="685"/>
      <c r="HY593" s="685"/>
      <c r="HZ593" s="685"/>
      <c r="IA593" s="685"/>
      <c r="IB593" s="685"/>
      <c r="IC593" s="685"/>
      <c r="ID593" s="685"/>
      <c r="IE593" s="685"/>
      <c r="IF593" s="685"/>
      <c r="IG593" s="685"/>
      <c r="IH593" s="685"/>
      <c r="II593" s="685"/>
      <c r="IJ593" s="685"/>
      <c r="IK593" s="685"/>
      <c r="IL593" s="685"/>
      <c r="IM593" s="685"/>
      <c r="IN593" s="685"/>
      <c r="IO593" s="685"/>
      <c r="IP593" s="685"/>
      <c r="IQ593" s="685"/>
      <c r="IR593" s="685"/>
      <c r="IS593" s="685"/>
      <c r="IT593" s="685"/>
      <c r="IU593" s="685"/>
      <c r="IV593" s="685"/>
      <c r="IW593" s="685"/>
      <c r="IX593" s="685"/>
      <c r="IY593" s="685"/>
      <c r="IZ593" s="685"/>
      <c r="JA593" s="685"/>
      <c r="JB593" s="685"/>
      <c r="JC593" s="685"/>
      <c r="JD593" s="685"/>
      <c r="JE593" s="685"/>
      <c r="JF593" s="685"/>
      <c r="JG593" s="685"/>
      <c r="JH593" s="685"/>
      <c r="JI593" s="685"/>
      <c r="JJ593" s="685"/>
      <c r="JK593" s="685"/>
      <c r="JL593" s="685"/>
      <c r="JM593" s="685"/>
      <c r="JN593" s="685"/>
      <c r="JO593" s="685"/>
      <c r="JP593" s="685"/>
      <c r="JQ593" s="685"/>
      <c r="JR593" s="685"/>
      <c r="JS593" s="685"/>
      <c r="JT593" s="685"/>
      <c r="JU593" s="685"/>
      <c r="JV593" s="685"/>
      <c r="JW593" s="685"/>
      <c r="JX593" s="685"/>
      <c r="JY593" s="685"/>
      <c r="JZ593" s="685"/>
      <c r="KA593" s="685"/>
      <c r="KB593" s="685"/>
      <c r="KC593" s="685"/>
      <c r="KD593" s="685"/>
      <c r="KE593" s="685"/>
      <c r="KF593" s="685"/>
      <c r="KG593" s="685"/>
      <c r="KH593" s="685"/>
      <c r="KI593" s="685"/>
      <c r="KJ593" s="685"/>
      <c r="KK593" s="685"/>
      <c r="KL593" s="685"/>
      <c r="KM593" s="685"/>
      <c r="KN593" s="685"/>
      <c r="KO593" s="685"/>
      <c r="KP593" s="685"/>
      <c r="KQ593" s="685"/>
      <c r="KR593" s="685"/>
      <c r="KS593" s="685"/>
      <c r="KT593" s="685"/>
      <c r="KU593" s="685"/>
      <c r="KV593" s="685"/>
      <c r="KW593" s="685"/>
      <c r="KX593" s="685"/>
      <c r="KY593" s="685"/>
      <c r="KZ593" s="685"/>
      <c r="LA593" s="685"/>
      <c r="LB593" s="685"/>
      <c r="LC593" s="685"/>
      <c r="LD593" s="685"/>
      <c r="LE593" s="685"/>
      <c r="LF593" s="685"/>
      <c r="LG593" s="685"/>
      <c r="LH593" s="685"/>
      <c r="LI593" s="685"/>
      <c r="LJ593" s="685"/>
      <c r="LK593" s="685"/>
      <c r="LL593" s="685"/>
      <c r="LM593" s="685"/>
      <c r="LN593" s="685"/>
      <c r="LO593" s="685"/>
      <c r="LP593" s="685"/>
      <c r="LQ593" s="685"/>
      <c r="LR593" s="685"/>
      <c r="LS593" s="685"/>
      <c r="LT593" s="685"/>
      <c r="LU593" s="685"/>
      <c r="LV593" s="685"/>
      <c r="LW593" s="685"/>
      <c r="LX593" s="685"/>
      <c r="LY593" s="685"/>
      <c r="LZ593" s="685"/>
      <c r="MA593" s="685"/>
      <c r="MB593" s="685"/>
      <c r="MC593" s="685"/>
      <c r="MD593" s="685"/>
      <c r="ME593" s="685"/>
      <c r="MF593" s="685"/>
      <c r="MG593" s="685"/>
      <c r="MH593" s="685"/>
      <c r="MI593" s="685"/>
      <c r="MJ593" s="685"/>
      <c r="MK593" s="685"/>
      <c r="ML593" s="685"/>
      <c r="MM593" s="685"/>
      <c r="MN593" s="685"/>
      <c r="MO593" s="685"/>
      <c r="MP593" s="685"/>
      <c r="MQ593" s="685"/>
      <c r="MR593" s="685"/>
      <c r="MS593" s="685"/>
      <c r="MT593" s="685"/>
      <c r="MU593" s="685"/>
      <c r="MV593" s="685"/>
      <c r="MW593" s="685"/>
      <c r="MX593" s="685"/>
      <c r="MY593" s="685"/>
      <c r="MZ593" s="685"/>
      <c r="NA593" s="685"/>
      <c r="NB593" s="685"/>
      <c r="NC593" s="685"/>
      <c r="ND593" s="685"/>
      <c r="NE593" s="685"/>
      <c r="NF593" s="685"/>
      <c r="NG593" s="685"/>
      <c r="NH593" s="685"/>
      <c r="NI593" s="685"/>
      <c r="NJ593" s="685"/>
      <c r="NK593" s="685"/>
      <c r="NL593" s="685"/>
      <c r="NM593" s="685"/>
      <c r="NN593" s="685"/>
      <c r="NO593" s="685"/>
      <c r="NP593" s="685"/>
      <c r="NQ593" s="685"/>
      <c r="NR593" s="685"/>
      <c r="NS593" s="685"/>
      <c r="NT593" s="685"/>
      <c r="NU593" s="685"/>
      <c r="NV593" s="685"/>
      <c r="NW593" s="685"/>
      <c r="NX593" s="685"/>
      <c r="NY593" s="685"/>
      <c r="NZ593" s="685"/>
      <c r="OA593" s="685"/>
      <c r="OB593" s="685"/>
      <c r="OC593" s="685"/>
      <c r="OD593" s="685"/>
      <c r="OE593" s="685"/>
      <c r="OF593" s="685"/>
      <c r="OG593" s="685"/>
      <c r="OH593" s="685"/>
      <c r="OI593" s="685"/>
      <c r="OJ593" s="685"/>
      <c r="OK593" s="685"/>
      <c r="OL593" s="685"/>
      <c r="OM593" s="685"/>
      <c r="ON593" s="685"/>
      <c r="OO593" s="685"/>
      <c r="OP593" s="685"/>
      <c r="OQ593" s="685"/>
      <c r="OR593" s="685"/>
      <c r="OS593" s="685"/>
      <c r="OT593" s="685"/>
      <c r="OU593" s="685"/>
      <c r="OV593" s="685"/>
      <c r="OW593" s="685"/>
      <c r="OX593" s="685"/>
      <c r="OY593" s="685"/>
      <c r="OZ593" s="685"/>
      <c r="PA593" s="685"/>
      <c r="PB593" s="685"/>
      <c r="PC593" s="685"/>
      <c r="PD593" s="685"/>
      <c r="PE593" s="685"/>
      <c r="PF593" s="685"/>
      <c r="PG593" s="685"/>
      <c r="PH593" s="685"/>
      <c r="PI593" s="685"/>
      <c r="PJ593" s="685"/>
      <c r="PK593" s="685"/>
      <c r="PL593" s="685"/>
      <c r="PM593" s="685"/>
      <c r="PN593" s="685"/>
      <c r="PO593" s="685"/>
      <c r="PP593" s="685"/>
      <c r="PQ593" s="685"/>
      <c r="PR593" s="685"/>
      <c r="PS593" s="685"/>
      <c r="PT593" s="685"/>
      <c r="PU593" s="685"/>
      <c r="PV593" s="685"/>
      <c r="PW593" s="685"/>
      <c r="PX593" s="685"/>
      <c r="PY593" s="685"/>
      <c r="PZ593" s="685"/>
      <c r="QA593" s="685"/>
      <c r="QB593" s="685"/>
      <c r="QC593" s="685"/>
      <c r="QD593" s="685"/>
      <c r="QE593" s="685"/>
      <c r="QF593" s="685"/>
      <c r="QG593" s="685"/>
      <c r="QH593" s="685"/>
      <c r="QI593" s="685"/>
      <c r="QJ593" s="685"/>
      <c r="QK593" s="685"/>
      <c r="QL593" s="685"/>
      <c r="QM593" s="685"/>
      <c r="QN593" s="685"/>
      <c r="QO593" s="685"/>
      <c r="QP593" s="685"/>
      <c r="QQ593" s="685"/>
      <c r="QR593" s="685"/>
      <c r="QS593" s="685"/>
      <c r="QT593" s="685"/>
      <c r="QU593" s="685"/>
      <c r="QV593" s="685"/>
      <c r="QW593" s="685"/>
      <c r="QX593" s="685"/>
      <c r="QY593" s="685"/>
      <c r="QZ593" s="685"/>
      <c r="RA593" s="685"/>
      <c r="RB593" s="685"/>
      <c r="RC593" s="685"/>
      <c r="RD593" s="685"/>
      <c r="RE593" s="685"/>
      <c r="RF593" s="685"/>
      <c r="RG593" s="685"/>
      <c r="RH593" s="685"/>
      <c r="RI593" s="685"/>
      <c r="RJ593" s="685"/>
      <c r="RK593" s="685"/>
      <c r="RL593" s="685"/>
      <c r="RM593" s="685"/>
      <c r="RN593" s="685"/>
      <c r="RO593" s="685"/>
      <c r="RP593" s="685"/>
      <c r="RQ593" s="685"/>
      <c r="RR593" s="685"/>
      <c r="RS593" s="685"/>
      <c r="RT593" s="685"/>
      <c r="RU593" s="685"/>
      <c r="RV593" s="685"/>
      <c r="RW593" s="685"/>
      <c r="RX593" s="685"/>
      <c r="RY593" s="685"/>
      <c r="RZ593" s="685"/>
      <c r="SA593" s="685"/>
      <c r="SB593" s="685"/>
      <c r="SC593" s="685"/>
      <c r="SD593" s="685"/>
      <c r="SE593" s="685"/>
      <c r="SF593" s="685"/>
      <c r="SG593" s="685"/>
      <c r="SH593" s="685"/>
      <c r="SI593" s="685"/>
      <c r="SJ593" s="685"/>
      <c r="SK593" s="685"/>
      <c r="SL593" s="685"/>
      <c r="SM593" s="685"/>
      <c r="SN593" s="685"/>
      <c r="SO593" s="685"/>
      <c r="SP593" s="685"/>
      <c r="SQ593" s="685"/>
      <c r="SR593" s="685"/>
      <c r="SS593" s="685"/>
      <c r="ST593" s="685"/>
      <c r="SU593" s="685"/>
      <c r="SV593" s="685"/>
      <c r="SW593" s="685"/>
      <c r="SX593" s="685"/>
      <c r="SY593" s="685"/>
      <c r="SZ593" s="685"/>
      <c r="TA593" s="685"/>
      <c r="TB593" s="685"/>
      <c r="TC593" s="685"/>
      <c r="TD593" s="685"/>
      <c r="TE593" s="685"/>
      <c r="TF593" s="685"/>
      <c r="TG593" s="685"/>
      <c r="TH593" s="685"/>
      <c r="TI593" s="685"/>
      <c r="TJ593" s="685"/>
      <c r="TK593" s="685"/>
      <c r="TL593" s="685"/>
      <c r="TM593" s="685"/>
      <c r="TN593" s="685"/>
      <c r="TO593" s="685"/>
      <c r="TP593" s="685"/>
      <c r="TQ593" s="685"/>
      <c r="TR593" s="685"/>
      <c r="TS593" s="685"/>
      <c r="TT593" s="685"/>
      <c r="TU593" s="685"/>
      <c r="TV593" s="685"/>
      <c r="TW593" s="685"/>
      <c r="TX593" s="685"/>
      <c r="TY593" s="685"/>
      <c r="TZ593" s="685"/>
      <c r="UA593" s="685"/>
      <c r="UB593" s="685"/>
      <c r="UC593" s="685"/>
      <c r="UD593" s="685"/>
      <c r="UE593" s="685"/>
      <c r="UF593" s="685"/>
      <c r="UG593" s="685"/>
      <c r="UH593" s="685"/>
      <c r="UI593" s="685"/>
    </row>
    <row r="594" spans="1:555" s="259" customFormat="1" ht="54">
      <c r="A594" s="33">
        <v>333</v>
      </c>
      <c r="B594" s="34" t="s">
        <v>3734</v>
      </c>
      <c r="C594" s="35" t="s">
        <v>579</v>
      </c>
      <c r="D594" s="440" t="s">
        <v>579</v>
      </c>
      <c r="E594" s="37">
        <v>42654</v>
      </c>
      <c r="F594" s="38">
        <v>42644</v>
      </c>
      <c r="G594" s="39" t="s">
        <v>271</v>
      </c>
      <c r="H594" s="34" t="s">
        <v>171</v>
      </c>
      <c r="I594" s="34" t="s">
        <v>183</v>
      </c>
      <c r="J594" s="37"/>
      <c r="K594" s="38"/>
      <c r="L594" s="39"/>
      <c r="M594" s="34"/>
      <c r="N594" s="34"/>
      <c r="O594" s="37"/>
      <c r="P594" s="40"/>
      <c r="Q594" s="39"/>
      <c r="R594" s="34"/>
      <c r="S594" s="34"/>
      <c r="T594" s="37"/>
      <c r="U594" s="38"/>
      <c r="V594" s="39"/>
      <c r="W594" s="34"/>
      <c r="X594" s="34"/>
      <c r="Y594" s="37"/>
      <c r="Z594" s="38"/>
      <c r="AA594" s="39"/>
      <c r="AB594" s="34"/>
      <c r="AC594" s="34"/>
      <c r="AD594" s="37"/>
      <c r="AE594" s="38"/>
      <c r="AF594" s="39"/>
      <c r="AG594" s="34"/>
      <c r="AH594" s="34"/>
      <c r="AI594" s="73"/>
      <c r="AJ594" s="38"/>
      <c r="AK594" s="39"/>
      <c r="AL594" s="34"/>
      <c r="AM594" s="34"/>
      <c r="AN594" s="34"/>
      <c r="AO594" s="473"/>
      <c r="AP594" s="34"/>
      <c r="AQ594" s="39" t="s">
        <v>3735</v>
      </c>
      <c r="AR594" s="34" t="s">
        <v>161</v>
      </c>
      <c r="AS594" s="37" t="s">
        <v>579</v>
      </c>
      <c r="AT594" s="37" t="s">
        <v>579</v>
      </c>
      <c r="AU594" s="34" t="s">
        <v>3736</v>
      </c>
      <c r="AV594" s="34"/>
      <c r="AW594" s="34" t="s">
        <v>579</v>
      </c>
      <c r="AX594" s="34" t="s">
        <v>3737</v>
      </c>
      <c r="AY594" s="37" t="s">
        <v>579</v>
      </c>
      <c r="AZ594" s="34" t="s">
        <v>2383</v>
      </c>
      <c r="BA594" s="37" t="s">
        <v>579</v>
      </c>
      <c r="BB594" s="382"/>
      <c r="BC594" s="34" t="s">
        <v>3738</v>
      </c>
      <c r="BD594" s="34" t="s">
        <v>3739</v>
      </c>
      <c r="BE594" s="34"/>
      <c r="BF594" s="39"/>
      <c r="BG594" s="39"/>
      <c r="BH594" s="39"/>
      <c r="BI594" s="39"/>
      <c r="BJ594" s="138"/>
      <c r="BK594" s="74"/>
      <c r="BL594" s="44"/>
      <c r="BM594" s="37"/>
      <c r="BN594" s="45"/>
      <c r="BO594" s="462"/>
      <c r="BP594" s="391"/>
      <c r="BQ594" s="34"/>
      <c r="BR594" s="42"/>
      <c r="BS594" s="39"/>
      <c r="BT594" s="39"/>
      <c r="BU594" s="39"/>
      <c r="BV594" s="39"/>
      <c r="BW594" s="51"/>
      <c r="BX594" s="41"/>
      <c r="BY594" s="37"/>
      <c r="BZ594" s="52"/>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c r="JW594" s="1"/>
      <c r="JX594" s="1"/>
      <c r="JY594" s="1"/>
      <c r="JZ594" s="1"/>
      <c r="KA594" s="1"/>
      <c r="KB594" s="1"/>
      <c r="KC594" s="1"/>
      <c r="KD594" s="1"/>
      <c r="KE594" s="1"/>
      <c r="KF594" s="1"/>
      <c r="KG594" s="1"/>
      <c r="KH594" s="1"/>
      <c r="KI594" s="1"/>
      <c r="KJ594" s="1"/>
      <c r="KK594" s="1"/>
      <c r="KL594" s="1"/>
      <c r="KM594" s="1"/>
      <c r="KN594" s="1"/>
      <c r="KO594" s="1"/>
      <c r="KP594" s="1"/>
      <c r="KQ594" s="1"/>
      <c r="KR594" s="1"/>
      <c r="KS594" s="1"/>
      <c r="KT594" s="1"/>
      <c r="KU594" s="1"/>
      <c r="KV594" s="1"/>
      <c r="KW594" s="1"/>
      <c r="KX594" s="1"/>
      <c r="KY594" s="1"/>
      <c r="KZ594" s="1"/>
      <c r="LA594" s="1"/>
      <c r="LB594" s="1"/>
      <c r="LC594" s="1"/>
      <c r="LD594" s="1"/>
      <c r="LE594" s="1"/>
      <c r="LF594" s="1"/>
      <c r="LG594" s="1"/>
      <c r="LH594" s="1"/>
      <c r="LI594" s="1"/>
      <c r="LJ594" s="1"/>
      <c r="LK594" s="1"/>
      <c r="LL594" s="1"/>
      <c r="LM594" s="1"/>
      <c r="LN594" s="1"/>
      <c r="LO594" s="1"/>
      <c r="LP594" s="1"/>
      <c r="LQ594" s="1"/>
      <c r="LR594" s="1"/>
      <c r="LS594" s="1"/>
      <c r="LT594" s="1"/>
      <c r="LU594" s="1"/>
      <c r="LV594" s="1"/>
      <c r="LW594" s="1"/>
      <c r="LX594" s="1"/>
      <c r="LY594" s="1"/>
      <c r="LZ594" s="1"/>
      <c r="MA594" s="1"/>
      <c r="MB594" s="1"/>
      <c r="MC594" s="1"/>
      <c r="MD594" s="1"/>
      <c r="ME594" s="1"/>
      <c r="MF594" s="1"/>
      <c r="MG594" s="1"/>
      <c r="MH594" s="1"/>
      <c r="MI594" s="1"/>
      <c r="MJ594" s="1"/>
      <c r="MK594" s="1"/>
      <c r="ML594" s="1"/>
      <c r="MM594" s="1"/>
      <c r="MN594" s="1"/>
      <c r="MO594" s="1"/>
      <c r="MP594" s="1"/>
      <c r="MQ594" s="1"/>
      <c r="MR594" s="1"/>
      <c r="MS594" s="1"/>
      <c r="MT594" s="1"/>
      <c r="MU594" s="1"/>
      <c r="MV594" s="1"/>
      <c r="MW594" s="1"/>
      <c r="MX594" s="1"/>
      <c r="MY594" s="1"/>
      <c r="MZ594" s="1"/>
      <c r="NA594" s="1"/>
      <c r="NB594" s="1"/>
      <c r="NC594" s="1"/>
      <c r="ND594" s="1"/>
      <c r="NE594" s="1"/>
      <c r="NF594" s="1"/>
      <c r="NG594" s="1"/>
      <c r="NH594" s="1"/>
      <c r="NI594" s="1"/>
      <c r="NJ594" s="1"/>
      <c r="NK594" s="1"/>
      <c r="NL594" s="1"/>
      <c r="NM594" s="1"/>
      <c r="NN594" s="1"/>
      <c r="NO594" s="1"/>
      <c r="NP594" s="1"/>
      <c r="NQ594" s="1"/>
      <c r="NR594" s="1"/>
      <c r="NS594" s="1"/>
      <c r="NT594" s="1"/>
      <c r="NU594" s="1"/>
      <c r="NV594" s="1"/>
      <c r="NW594" s="1"/>
      <c r="NX594" s="1"/>
      <c r="NY594" s="1"/>
      <c r="NZ594" s="1"/>
      <c r="OA594" s="1"/>
      <c r="OB594" s="1"/>
      <c r="OC594" s="1"/>
      <c r="OD594" s="1"/>
      <c r="OE594" s="1"/>
      <c r="OF594" s="1"/>
      <c r="OG594" s="1"/>
      <c r="OH594" s="1"/>
      <c r="OI594" s="1"/>
      <c r="OJ594" s="1"/>
      <c r="OK594" s="1"/>
      <c r="OL594" s="1"/>
      <c r="OM594" s="1"/>
      <c r="ON594" s="1"/>
      <c r="OO594" s="1"/>
      <c r="OP594" s="1"/>
      <c r="OQ594" s="1"/>
      <c r="OR594" s="1"/>
      <c r="OS594" s="1"/>
      <c r="OT594" s="1"/>
      <c r="OU594" s="1"/>
      <c r="OV594" s="1"/>
      <c r="OW594" s="1"/>
      <c r="OX594" s="1"/>
      <c r="OY594" s="1"/>
      <c r="OZ594" s="1"/>
      <c r="PA594" s="1"/>
      <c r="PB594" s="1"/>
      <c r="PC594" s="1"/>
      <c r="PD594" s="1"/>
      <c r="PE594" s="1"/>
      <c r="PF594" s="1"/>
      <c r="PG594" s="1"/>
      <c r="PH594" s="1"/>
      <c r="PI594" s="1"/>
      <c r="PJ594" s="1"/>
      <c r="PK594" s="1"/>
      <c r="PL594" s="1"/>
      <c r="PM594" s="1"/>
      <c r="PN594" s="1"/>
      <c r="PO594" s="1"/>
      <c r="PP594" s="1"/>
      <c r="PQ594" s="1"/>
      <c r="PR594" s="1"/>
      <c r="PS594" s="1"/>
      <c r="PT594" s="1"/>
      <c r="PU594" s="1"/>
      <c r="PV594" s="1"/>
      <c r="PW594" s="1"/>
      <c r="PX594" s="1"/>
      <c r="PY594" s="1"/>
      <c r="PZ594" s="1"/>
      <c r="QA594" s="1"/>
      <c r="QB594" s="1"/>
      <c r="QC594" s="1"/>
      <c r="QD594" s="1"/>
      <c r="QE594" s="1"/>
      <c r="QF594" s="1"/>
      <c r="QG594" s="1"/>
      <c r="QH594" s="1"/>
      <c r="QI594" s="1"/>
      <c r="QJ594" s="1"/>
      <c r="QK594" s="1"/>
      <c r="QL594" s="1"/>
      <c r="QM594" s="1"/>
      <c r="QN594" s="1"/>
      <c r="QO594" s="1"/>
      <c r="QP594" s="1"/>
      <c r="QQ594" s="1"/>
      <c r="QR594" s="1"/>
      <c r="QS594" s="1"/>
      <c r="QT594" s="1"/>
      <c r="QU594" s="1"/>
      <c r="QV594" s="1"/>
      <c r="QW594" s="1"/>
      <c r="QX594" s="1"/>
      <c r="QY594" s="1"/>
      <c r="QZ594" s="1"/>
      <c r="RA594" s="1"/>
      <c r="RB594" s="1"/>
      <c r="RC594" s="1"/>
      <c r="RD594" s="1"/>
      <c r="RE594" s="1"/>
      <c r="RF594" s="1"/>
      <c r="RG594" s="1"/>
      <c r="RH594" s="1"/>
      <c r="RI594" s="1"/>
      <c r="RJ594" s="1"/>
      <c r="RK594" s="1"/>
      <c r="RL594" s="1"/>
      <c r="RM594" s="1"/>
      <c r="RN594" s="1"/>
      <c r="RO594" s="1"/>
      <c r="RP594" s="1"/>
      <c r="RQ594" s="1"/>
      <c r="RR594" s="1"/>
      <c r="RS594" s="1"/>
      <c r="RT594" s="1"/>
      <c r="RU594" s="1"/>
      <c r="RV594" s="1"/>
      <c r="RW594" s="1"/>
      <c r="RX594" s="1"/>
      <c r="RY594" s="1"/>
      <c r="RZ594" s="1"/>
      <c r="SA594" s="1"/>
      <c r="SB594" s="1"/>
      <c r="SC594" s="1"/>
      <c r="SD594" s="1"/>
      <c r="SE594" s="1"/>
      <c r="SF594" s="1"/>
      <c r="SG594" s="1"/>
      <c r="SH594" s="1"/>
      <c r="SI594" s="1"/>
      <c r="SJ594" s="1"/>
      <c r="SK594" s="1"/>
      <c r="SL594" s="1"/>
      <c r="SM594" s="1"/>
      <c r="SN594" s="1"/>
      <c r="SO594" s="1"/>
      <c r="SP594" s="1"/>
      <c r="SQ594" s="1"/>
      <c r="SR594" s="1"/>
      <c r="SS594" s="1"/>
      <c r="ST594" s="1"/>
      <c r="SU594" s="1"/>
      <c r="SV594" s="1"/>
      <c r="SW594" s="1"/>
      <c r="SX594" s="1"/>
      <c r="SY594" s="1"/>
      <c r="SZ594" s="1"/>
      <c r="TA594" s="1"/>
      <c r="TB594" s="1"/>
      <c r="TC594" s="1"/>
      <c r="TD594" s="1"/>
      <c r="TE594" s="1"/>
      <c r="TF594" s="1"/>
      <c r="TG594" s="1"/>
      <c r="TH594" s="1"/>
      <c r="TI594" s="1"/>
      <c r="TJ594" s="1"/>
      <c r="TK594" s="1"/>
      <c r="TL594" s="1"/>
      <c r="TM594" s="1"/>
      <c r="TN594" s="1"/>
      <c r="TO594" s="1"/>
      <c r="TP594" s="1"/>
      <c r="TQ594" s="1"/>
      <c r="TR594" s="1"/>
      <c r="TS594" s="1"/>
      <c r="TT594" s="1"/>
      <c r="TU594" s="1"/>
      <c r="TV594" s="1"/>
      <c r="TW594" s="1"/>
      <c r="TX594" s="1"/>
      <c r="TY594" s="1"/>
      <c r="TZ594" s="1"/>
      <c r="UA594" s="1"/>
      <c r="UB594" s="1"/>
      <c r="UC594" s="1"/>
      <c r="UD594" s="1"/>
      <c r="UE594" s="1"/>
      <c r="UF594" s="1"/>
      <c r="UG594" s="1"/>
      <c r="UH594" s="1"/>
      <c r="UI594" s="1"/>
    </row>
    <row r="595" spans="1:555" ht="121.5">
      <c r="A595" s="296">
        <v>334</v>
      </c>
      <c r="B595" s="297" t="s">
        <v>3740</v>
      </c>
      <c r="C595" s="298">
        <v>79218682</v>
      </c>
      <c r="D595" s="354" t="s">
        <v>3741</v>
      </c>
      <c r="E595" s="299">
        <v>42655</v>
      </c>
      <c r="F595" s="300">
        <v>42644</v>
      </c>
      <c r="G595" s="301" t="s">
        <v>3742</v>
      </c>
      <c r="H595" s="297" t="s">
        <v>625</v>
      </c>
      <c r="I595" s="297" t="s">
        <v>183</v>
      </c>
      <c r="J595" s="299">
        <v>43150</v>
      </c>
      <c r="K595" s="300">
        <v>43132</v>
      </c>
      <c r="L595" s="301" t="s">
        <v>3743</v>
      </c>
      <c r="M595" s="297" t="s">
        <v>5</v>
      </c>
      <c r="N595" s="297" t="s">
        <v>79</v>
      </c>
      <c r="O595" s="299">
        <v>43424</v>
      </c>
      <c r="P595" s="302">
        <v>43424</v>
      </c>
      <c r="Q595" s="301" t="s">
        <v>7531</v>
      </c>
      <c r="R595" s="297" t="s">
        <v>208</v>
      </c>
      <c r="S595" s="297" t="s">
        <v>7532</v>
      </c>
      <c r="T595" s="299">
        <v>43579</v>
      </c>
      <c r="U595" s="300">
        <v>43579</v>
      </c>
      <c r="V595" s="301" t="s">
        <v>8675</v>
      </c>
      <c r="W595" s="297" t="s">
        <v>208</v>
      </c>
      <c r="X595" s="297" t="s">
        <v>8243</v>
      </c>
      <c r="Y595" s="299">
        <v>43720</v>
      </c>
      <c r="Z595" s="300">
        <v>43720</v>
      </c>
      <c r="AA595" s="301" t="s">
        <v>9203</v>
      </c>
      <c r="AB595" s="297" t="s">
        <v>208</v>
      </c>
      <c r="AC595" s="297" t="s">
        <v>8243</v>
      </c>
      <c r="AD595" s="299"/>
      <c r="AE595" s="300"/>
      <c r="AF595" s="301"/>
      <c r="AG595" s="297"/>
      <c r="AH595" s="297"/>
      <c r="AI595" s="322"/>
      <c r="AJ595" s="300"/>
      <c r="AK595" s="301"/>
      <c r="AL595" s="297"/>
      <c r="AM595" s="297"/>
      <c r="AN595" s="325" t="s">
        <v>3744</v>
      </c>
      <c r="AO595" s="974"/>
      <c r="AP595" s="325"/>
      <c r="AQ595" s="301" t="s">
        <v>3745</v>
      </c>
      <c r="AR595" s="297" t="s">
        <v>161</v>
      </c>
      <c r="AS595" s="299">
        <v>38352</v>
      </c>
      <c r="AT595" s="299">
        <v>40694</v>
      </c>
      <c r="AU595" s="297" t="s">
        <v>7533</v>
      </c>
      <c r="AV595" s="297"/>
      <c r="AW595" s="297" t="s">
        <v>92</v>
      </c>
      <c r="AX595" s="297" t="s">
        <v>1887</v>
      </c>
      <c r="AY595" s="299" t="s">
        <v>3746</v>
      </c>
      <c r="AZ595" s="297" t="s">
        <v>1630</v>
      </c>
      <c r="BA595" s="299">
        <v>42614</v>
      </c>
      <c r="BB595" s="299">
        <v>42619</v>
      </c>
      <c r="BC595" s="297" t="s">
        <v>95</v>
      </c>
      <c r="BD595" s="297" t="s">
        <v>566</v>
      </c>
      <c r="BE595" s="297"/>
      <c r="BF595" s="301" t="s">
        <v>8006</v>
      </c>
      <c r="BG595" s="301"/>
      <c r="BH595" s="301"/>
      <c r="BI595" s="301"/>
      <c r="BJ595" s="312">
        <f>+[141]MATRIZ!$J$76</f>
        <v>0</v>
      </c>
      <c r="BK595" s="312"/>
      <c r="BL595" s="313"/>
      <c r="BM595" s="299"/>
      <c r="BN595" s="314"/>
      <c r="BO595" s="460"/>
      <c r="BP595" s="390"/>
      <c r="BQ595" s="297"/>
      <c r="BR595" s="303"/>
      <c r="BS595" s="301"/>
      <c r="BT595" s="301"/>
      <c r="BU595" s="301"/>
      <c r="BV595" s="301"/>
      <c r="BW595" s="316"/>
      <c r="BX595" s="304"/>
      <c r="BY595" s="299"/>
      <c r="BZ595" s="317"/>
    </row>
    <row r="596" spans="1:555" s="259" customFormat="1" ht="68.25" customHeight="1">
      <c r="A596" s="296">
        <v>335</v>
      </c>
      <c r="B596" s="297" t="s">
        <v>7324</v>
      </c>
      <c r="C596" s="298" t="s">
        <v>7325</v>
      </c>
      <c r="D596" s="354" t="s">
        <v>3747</v>
      </c>
      <c r="E596" s="299">
        <v>42656</v>
      </c>
      <c r="F596" s="300">
        <v>42644</v>
      </c>
      <c r="G596" s="301" t="s">
        <v>3748</v>
      </c>
      <c r="H596" s="297" t="s">
        <v>171</v>
      </c>
      <c r="I596" s="297" t="s">
        <v>183</v>
      </c>
      <c r="J596" s="299">
        <v>42747</v>
      </c>
      <c r="K596" s="300">
        <v>42736</v>
      </c>
      <c r="L596" s="301" t="s">
        <v>3749</v>
      </c>
      <c r="M596" s="297" t="s">
        <v>5</v>
      </c>
      <c r="N596" s="297" t="s">
        <v>101</v>
      </c>
      <c r="O596" s="299">
        <v>42765</v>
      </c>
      <c r="P596" s="302">
        <v>42736</v>
      </c>
      <c r="Q596" s="301" t="s">
        <v>3750</v>
      </c>
      <c r="R596" s="297" t="s">
        <v>5</v>
      </c>
      <c r="S596" s="297" t="s">
        <v>336</v>
      </c>
      <c r="T596" s="299">
        <v>43180</v>
      </c>
      <c r="U596" s="300">
        <v>43160</v>
      </c>
      <c r="V596" s="301" t="s">
        <v>3751</v>
      </c>
      <c r="W596" s="297" t="s">
        <v>5</v>
      </c>
      <c r="X596" s="297" t="s">
        <v>1213</v>
      </c>
      <c r="Y596" s="299">
        <v>43222</v>
      </c>
      <c r="Z596" s="300">
        <v>43221</v>
      </c>
      <c r="AA596" s="301" t="s">
        <v>3752</v>
      </c>
      <c r="AB596" s="297" t="s">
        <v>5</v>
      </c>
      <c r="AC596" s="297" t="s">
        <v>85</v>
      </c>
      <c r="AD596" s="299" t="s">
        <v>3753</v>
      </c>
      <c r="AE596" s="300" t="s">
        <v>3754</v>
      </c>
      <c r="AF596" s="301" t="s">
        <v>3755</v>
      </c>
      <c r="AG596" s="297" t="s">
        <v>1501</v>
      </c>
      <c r="AH596" s="297" t="s">
        <v>3756</v>
      </c>
      <c r="AI596" s="322" t="s">
        <v>9059</v>
      </c>
      <c r="AJ596" s="300" t="s">
        <v>9060</v>
      </c>
      <c r="AK596" s="301" t="s">
        <v>9058</v>
      </c>
      <c r="AL596" s="297" t="s">
        <v>1535</v>
      </c>
      <c r="AM596" s="297" t="s">
        <v>9061</v>
      </c>
      <c r="AN596" s="303" t="s">
        <v>1359</v>
      </c>
      <c r="AO596" s="971">
        <v>42765</v>
      </c>
      <c r="AP596" s="303"/>
      <c r="AQ596" s="301" t="s">
        <v>3757</v>
      </c>
      <c r="AR596" s="297" t="s">
        <v>161</v>
      </c>
      <c r="AS596" s="299" t="s">
        <v>67</v>
      </c>
      <c r="AT596" s="299" t="s">
        <v>67</v>
      </c>
      <c r="AU596" s="297" t="s">
        <v>3758</v>
      </c>
      <c r="AV596" s="297"/>
      <c r="AW596" s="297" t="s">
        <v>92</v>
      </c>
      <c r="AX596" s="297" t="s">
        <v>3759</v>
      </c>
      <c r="AY596" s="299">
        <v>40308</v>
      </c>
      <c r="AZ596" s="297" t="s">
        <v>2591</v>
      </c>
      <c r="BA596" s="299">
        <v>42552</v>
      </c>
      <c r="BB596" s="299">
        <v>42584</v>
      </c>
      <c r="BC596" s="303" t="s">
        <v>561</v>
      </c>
      <c r="BD596" s="303" t="s">
        <v>3760</v>
      </c>
      <c r="BE596" s="297"/>
      <c r="BF596" s="301" t="s">
        <v>7326</v>
      </c>
      <c r="BG596" s="301"/>
      <c r="BH596" s="301"/>
      <c r="BI596" s="301"/>
      <c r="BJ596" s="968">
        <f>+[142]MATRIZ!$L$31</f>
        <v>0</v>
      </c>
      <c r="BK596" s="312"/>
      <c r="BL596" s="313"/>
      <c r="BM596" s="299"/>
      <c r="BN596" s="314"/>
      <c r="BO596" s="434" t="s">
        <v>3761</v>
      </c>
      <c r="BP596" s="396"/>
      <c r="BQ596" s="336"/>
      <c r="BR596" s="331"/>
      <c r="BS596" s="301"/>
      <c r="BT596" s="301"/>
      <c r="BU596" s="301"/>
      <c r="BV596" s="301"/>
      <c r="BW596" s="316"/>
      <c r="BX596" s="304"/>
      <c r="BY596" s="299"/>
      <c r="BZ596" s="317"/>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c r="JW596" s="1"/>
      <c r="JX596" s="1"/>
      <c r="JY596" s="1"/>
      <c r="JZ596" s="1"/>
      <c r="KA596" s="1"/>
      <c r="KB596" s="1"/>
      <c r="KC596" s="1"/>
      <c r="KD596" s="1"/>
      <c r="KE596" s="1"/>
      <c r="KF596" s="1"/>
      <c r="KG596" s="1"/>
      <c r="KH596" s="1"/>
      <c r="KI596" s="1"/>
      <c r="KJ596" s="1"/>
      <c r="KK596" s="1"/>
      <c r="KL596" s="1"/>
      <c r="KM596" s="1"/>
      <c r="KN596" s="1"/>
      <c r="KO596" s="1"/>
      <c r="KP596" s="1"/>
      <c r="KQ596" s="1"/>
      <c r="KR596" s="1"/>
      <c r="KS596" s="1"/>
      <c r="KT596" s="1"/>
      <c r="KU596" s="1"/>
      <c r="KV596" s="1"/>
      <c r="KW596" s="1"/>
      <c r="KX596" s="1"/>
      <c r="KY596" s="1"/>
      <c r="KZ596" s="1"/>
      <c r="LA596" s="1"/>
      <c r="LB596" s="1"/>
      <c r="LC596" s="1"/>
      <c r="LD596" s="1"/>
      <c r="LE596" s="1"/>
      <c r="LF596" s="1"/>
      <c r="LG596" s="1"/>
      <c r="LH596" s="1"/>
      <c r="LI596" s="1"/>
      <c r="LJ596" s="1"/>
      <c r="LK596" s="1"/>
      <c r="LL596" s="1"/>
      <c r="LM596" s="1"/>
      <c r="LN596" s="1"/>
      <c r="LO596" s="1"/>
      <c r="LP596" s="1"/>
      <c r="LQ596" s="1"/>
      <c r="LR596" s="1"/>
      <c r="LS596" s="1"/>
      <c r="LT596" s="1"/>
      <c r="LU596" s="1"/>
      <c r="LV596" s="1"/>
      <c r="LW596" s="1"/>
      <c r="LX596" s="1"/>
      <c r="LY596" s="1"/>
      <c r="LZ596" s="1"/>
      <c r="MA596" s="1"/>
      <c r="MB596" s="1"/>
      <c r="MC596" s="1"/>
      <c r="MD596" s="1"/>
      <c r="ME596" s="1"/>
      <c r="MF596" s="1"/>
      <c r="MG596" s="1"/>
      <c r="MH596" s="1"/>
      <c r="MI596" s="1"/>
      <c r="MJ596" s="1"/>
      <c r="MK596" s="1"/>
      <c r="ML596" s="1"/>
      <c r="MM596" s="1"/>
      <c r="MN596" s="1"/>
      <c r="MO596" s="1"/>
      <c r="MP596" s="1"/>
      <c r="MQ596" s="1"/>
      <c r="MR596" s="1"/>
      <c r="MS596" s="1"/>
      <c r="MT596" s="1"/>
      <c r="MU596" s="1"/>
      <c r="MV596" s="1"/>
      <c r="MW596" s="1"/>
      <c r="MX596" s="1"/>
      <c r="MY596" s="1"/>
      <c r="MZ596" s="1"/>
      <c r="NA596" s="1"/>
      <c r="NB596" s="1"/>
      <c r="NC596" s="1"/>
      <c r="ND596" s="1"/>
      <c r="NE596" s="1"/>
      <c r="NF596" s="1"/>
      <c r="NG596" s="1"/>
      <c r="NH596" s="1"/>
      <c r="NI596" s="1"/>
      <c r="NJ596" s="1"/>
      <c r="NK596" s="1"/>
      <c r="NL596" s="1"/>
      <c r="NM596" s="1"/>
      <c r="NN596" s="1"/>
      <c r="NO596" s="1"/>
      <c r="NP596" s="1"/>
      <c r="NQ596" s="1"/>
      <c r="NR596" s="1"/>
      <c r="NS596" s="1"/>
      <c r="NT596" s="1"/>
      <c r="NU596" s="1"/>
      <c r="NV596" s="1"/>
      <c r="NW596" s="1"/>
      <c r="NX596" s="1"/>
      <c r="NY596" s="1"/>
      <c r="NZ596" s="1"/>
      <c r="OA596" s="1"/>
      <c r="OB596" s="1"/>
      <c r="OC596" s="1"/>
      <c r="OD596" s="1"/>
      <c r="OE596" s="1"/>
      <c r="OF596" s="1"/>
      <c r="OG596" s="1"/>
      <c r="OH596" s="1"/>
      <c r="OI596" s="1"/>
      <c r="OJ596" s="1"/>
      <c r="OK596" s="1"/>
      <c r="OL596" s="1"/>
      <c r="OM596" s="1"/>
      <c r="ON596" s="1"/>
      <c r="OO596" s="1"/>
      <c r="OP596" s="1"/>
      <c r="OQ596" s="1"/>
      <c r="OR596" s="1"/>
      <c r="OS596" s="1"/>
      <c r="OT596" s="1"/>
      <c r="OU596" s="1"/>
      <c r="OV596" s="1"/>
      <c r="OW596" s="1"/>
      <c r="OX596" s="1"/>
      <c r="OY596" s="1"/>
      <c r="OZ596" s="1"/>
      <c r="PA596" s="1"/>
      <c r="PB596" s="1"/>
      <c r="PC596" s="1"/>
      <c r="PD596" s="1"/>
      <c r="PE596" s="1"/>
      <c r="PF596" s="1"/>
      <c r="PG596" s="1"/>
      <c r="PH596" s="1"/>
      <c r="PI596" s="1"/>
      <c r="PJ596" s="1"/>
      <c r="PK596" s="1"/>
      <c r="PL596" s="1"/>
      <c r="PM596" s="1"/>
      <c r="PN596" s="1"/>
      <c r="PO596" s="1"/>
      <c r="PP596" s="1"/>
      <c r="PQ596" s="1"/>
      <c r="PR596" s="1"/>
      <c r="PS596" s="1"/>
      <c r="PT596" s="1"/>
      <c r="PU596" s="1"/>
      <c r="PV596" s="1"/>
      <c r="PW596" s="1"/>
      <c r="PX596" s="1"/>
      <c r="PY596" s="1"/>
      <c r="PZ596" s="1"/>
      <c r="QA596" s="1"/>
      <c r="QB596" s="1"/>
      <c r="QC596" s="1"/>
      <c r="QD596" s="1"/>
      <c r="QE596" s="1"/>
      <c r="QF596" s="1"/>
      <c r="QG596" s="1"/>
      <c r="QH596" s="1"/>
      <c r="QI596" s="1"/>
      <c r="QJ596" s="1"/>
      <c r="QK596" s="1"/>
      <c r="QL596" s="1"/>
      <c r="QM596" s="1"/>
      <c r="QN596" s="1"/>
      <c r="QO596" s="1"/>
      <c r="QP596" s="1"/>
      <c r="QQ596" s="1"/>
      <c r="QR596" s="1"/>
      <c r="QS596" s="1"/>
      <c r="QT596" s="1"/>
      <c r="QU596" s="1"/>
      <c r="QV596" s="1"/>
      <c r="QW596" s="1"/>
      <c r="QX596" s="1"/>
      <c r="QY596" s="1"/>
      <c r="QZ596" s="1"/>
      <c r="RA596" s="1"/>
      <c r="RB596" s="1"/>
      <c r="RC596" s="1"/>
      <c r="RD596" s="1"/>
      <c r="RE596" s="1"/>
      <c r="RF596" s="1"/>
      <c r="RG596" s="1"/>
      <c r="RH596" s="1"/>
      <c r="RI596" s="1"/>
      <c r="RJ596" s="1"/>
      <c r="RK596" s="1"/>
      <c r="RL596" s="1"/>
      <c r="RM596" s="1"/>
      <c r="RN596" s="1"/>
      <c r="RO596" s="1"/>
      <c r="RP596" s="1"/>
      <c r="RQ596" s="1"/>
      <c r="RR596" s="1"/>
      <c r="RS596" s="1"/>
      <c r="RT596" s="1"/>
      <c r="RU596" s="1"/>
      <c r="RV596" s="1"/>
      <c r="RW596" s="1"/>
      <c r="RX596" s="1"/>
      <c r="RY596" s="1"/>
      <c r="RZ596" s="1"/>
      <c r="SA596" s="1"/>
      <c r="SB596" s="1"/>
      <c r="SC596" s="1"/>
      <c r="SD596" s="1"/>
      <c r="SE596" s="1"/>
      <c r="SF596" s="1"/>
      <c r="SG596" s="1"/>
      <c r="SH596" s="1"/>
      <c r="SI596" s="1"/>
      <c r="SJ596" s="1"/>
      <c r="SK596" s="1"/>
      <c r="SL596" s="1"/>
      <c r="SM596" s="1"/>
      <c r="SN596" s="1"/>
      <c r="SO596" s="1"/>
      <c r="SP596" s="1"/>
      <c r="SQ596" s="1"/>
      <c r="SR596" s="1"/>
      <c r="SS596" s="1"/>
      <c r="ST596" s="1"/>
      <c r="SU596" s="1"/>
      <c r="SV596" s="1"/>
      <c r="SW596" s="1"/>
      <c r="SX596" s="1"/>
      <c r="SY596" s="1"/>
      <c r="SZ596" s="1"/>
      <c r="TA596" s="1"/>
      <c r="TB596" s="1"/>
      <c r="TC596" s="1"/>
      <c r="TD596" s="1"/>
      <c r="TE596" s="1"/>
      <c r="TF596" s="1"/>
      <c r="TG596" s="1"/>
      <c r="TH596" s="1"/>
      <c r="TI596" s="1"/>
      <c r="TJ596" s="1"/>
      <c r="TK596" s="1"/>
      <c r="TL596" s="1"/>
      <c r="TM596" s="1"/>
      <c r="TN596" s="1"/>
      <c r="TO596" s="1"/>
      <c r="TP596" s="1"/>
      <c r="TQ596" s="1"/>
      <c r="TR596" s="1"/>
      <c r="TS596" s="1"/>
      <c r="TT596" s="1"/>
      <c r="TU596" s="1"/>
      <c r="TV596" s="1"/>
      <c r="TW596" s="1"/>
      <c r="TX596" s="1"/>
      <c r="TY596" s="1"/>
      <c r="TZ596" s="1"/>
      <c r="UA596" s="1"/>
      <c r="UB596" s="1"/>
      <c r="UC596" s="1"/>
      <c r="UD596" s="1"/>
      <c r="UE596" s="1"/>
      <c r="UF596" s="1"/>
      <c r="UG596" s="1"/>
      <c r="UH596" s="1"/>
      <c r="UI596" s="1"/>
    </row>
    <row r="597" spans="1:555" ht="71.25" customHeight="1">
      <c r="A597" s="502">
        <v>337</v>
      </c>
      <c r="B597" s="686" t="s">
        <v>3779</v>
      </c>
      <c r="C597" s="687">
        <v>79378125</v>
      </c>
      <c r="D597" s="688" t="s">
        <v>597</v>
      </c>
      <c r="E597" s="27">
        <v>42661</v>
      </c>
      <c r="F597" s="689">
        <v>42644</v>
      </c>
      <c r="G597" s="690" t="s">
        <v>271</v>
      </c>
      <c r="H597" s="686" t="s">
        <v>3780</v>
      </c>
      <c r="I597" s="686" t="s">
        <v>183</v>
      </c>
      <c r="J597" s="27">
        <v>42782</v>
      </c>
      <c r="K597" s="689">
        <v>42767</v>
      </c>
      <c r="L597" s="690" t="s">
        <v>3781</v>
      </c>
      <c r="M597" s="686" t="s">
        <v>63</v>
      </c>
      <c r="N597" s="686" t="s">
        <v>3782</v>
      </c>
      <c r="O597" s="27">
        <v>42850</v>
      </c>
      <c r="P597" s="691">
        <v>42826</v>
      </c>
      <c r="Q597" s="690" t="s">
        <v>3783</v>
      </c>
      <c r="R597" s="686" t="s">
        <v>63</v>
      </c>
      <c r="S597" s="686" t="s">
        <v>85</v>
      </c>
      <c r="T597" s="27">
        <v>43097</v>
      </c>
      <c r="U597" s="689">
        <v>43070</v>
      </c>
      <c r="V597" s="690" t="s">
        <v>3784</v>
      </c>
      <c r="W597" s="686" t="s">
        <v>63</v>
      </c>
      <c r="X597" s="686" t="s">
        <v>79</v>
      </c>
      <c r="Y597" s="27">
        <v>41948</v>
      </c>
      <c r="Z597" s="689">
        <v>41944</v>
      </c>
      <c r="AA597" s="690" t="s">
        <v>3785</v>
      </c>
      <c r="AB597" s="686" t="s">
        <v>208</v>
      </c>
      <c r="AC597" s="686" t="s">
        <v>3786</v>
      </c>
      <c r="AD597" s="27" t="s">
        <v>3787</v>
      </c>
      <c r="AE597" s="689" t="s">
        <v>3788</v>
      </c>
      <c r="AF597" s="690" t="s">
        <v>3789</v>
      </c>
      <c r="AG597" s="686" t="s">
        <v>3790</v>
      </c>
      <c r="AH597" s="686" t="s">
        <v>3791</v>
      </c>
      <c r="AI597" s="704"/>
      <c r="AJ597" s="689"/>
      <c r="AK597" s="690"/>
      <c r="AL597" s="686"/>
      <c r="AM597" s="686"/>
      <c r="AN597" s="686" t="s">
        <v>600</v>
      </c>
      <c r="AO597" s="694">
        <v>42850</v>
      </c>
      <c r="AP597" s="686"/>
      <c r="AQ597" s="690" t="s">
        <v>3792</v>
      </c>
      <c r="AR597" s="686" t="s">
        <v>161</v>
      </c>
      <c r="AS597" s="27">
        <v>38412</v>
      </c>
      <c r="AT597" s="27">
        <v>39994</v>
      </c>
      <c r="AU597" s="686" t="s">
        <v>3793</v>
      </c>
      <c r="AV597" s="686"/>
      <c r="AW597" s="686" t="s">
        <v>92</v>
      </c>
      <c r="AX597" s="686" t="s">
        <v>3794</v>
      </c>
      <c r="AY597" s="27">
        <v>41484</v>
      </c>
      <c r="AZ597" s="686" t="s">
        <v>94</v>
      </c>
      <c r="BA597" s="27">
        <v>42635</v>
      </c>
      <c r="BB597" s="27">
        <v>42649</v>
      </c>
      <c r="BC597" s="686" t="s">
        <v>95</v>
      </c>
      <c r="BD597" s="686" t="s">
        <v>566</v>
      </c>
      <c r="BE597" s="686"/>
      <c r="BF597" s="690" t="s">
        <v>7304</v>
      </c>
      <c r="BG597" s="690"/>
      <c r="BH597" s="690"/>
      <c r="BI597" s="690"/>
      <c r="BJ597" s="696">
        <f>+[143]MATRIZ!$J$59</f>
        <v>0</v>
      </c>
      <c r="BK597" s="696"/>
      <c r="BL597" s="697"/>
      <c r="BM597" s="27"/>
      <c r="BN597" s="698"/>
      <c r="BO597" s="699"/>
      <c r="BP597" s="700"/>
      <c r="BQ597" s="686"/>
      <c r="BR597" s="701"/>
      <c r="BS597" s="690"/>
      <c r="BT597" s="690"/>
      <c r="BU597" s="690"/>
      <c r="BV597" s="690"/>
      <c r="BW597" s="702"/>
      <c r="BX597" s="693"/>
      <c r="BY597" s="27"/>
      <c r="BZ597" s="703"/>
      <c r="CA597" s="259"/>
      <c r="CB597" s="259"/>
      <c r="CC597" s="259"/>
      <c r="CD597" s="259"/>
      <c r="CE597" s="259"/>
      <c r="CF597" s="259"/>
      <c r="CG597" s="259"/>
      <c r="CH597" s="259"/>
      <c r="CI597" s="259"/>
      <c r="CJ597" s="259"/>
      <c r="CK597" s="259"/>
      <c r="CL597" s="259"/>
      <c r="CM597" s="259"/>
      <c r="CN597" s="259"/>
      <c r="CO597" s="259"/>
      <c r="CP597" s="259"/>
      <c r="CQ597" s="259"/>
      <c r="CR597" s="259"/>
      <c r="CS597" s="259"/>
      <c r="CT597" s="259"/>
      <c r="CU597" s="259"/>
      <c r="CV597" s="259"/>
      <c r="CW597" s="259"/>
      <c r="CX597" s="259"/>
      <c r="CY597" s="259"/>
      <c r="CZ597" s="259"/>
      <c r="DA597" s="259"/>
      <c r="DB597" s="259"/>
      <c r="DC597" s="259"/>
      <c r="DD597" s="259"/>
      <c r="DE597" s="259"/>
      <c r="DF597" s="259"/>
      <c r="DG597" s="259"/>
      <c r="DH597" s="259"/>
      <c r="DI597" s="259"/>
      <c r="DJ597" s="259"/>
      <c r="DK597" s="259"/>
      <c r="DL597" s="259"/>
      <c r="DM597" s="259"/>
      <c r="DN597" s="259"/>
      <c r="DO597" s="259"/>
      <c r="DP597" s="259"/>
      <c r="DQ597" s="259"/>
      <c r="DR597" s="259"/>
      <c r="DS597" s="259"/>
      <c r="DT597" s="259"/>
      <c r="DU597" s="259"/>
      <c r="DV597" s="259"/>
      <c r="DW597" s="259"/>
      <c r="DX597" s="259"/>
      <c r="DY597" s="259"/>
      <c r="DZ597" s="259"/>
      <c r="EA597" s="259"/>
      <c r="EB597" s="259"/>
      <c r="EC597" s="259"/>
      <c r="ED597" s="259"/>
      <c r="EE597" s="259"/>
      <c r="EF597" s="259"/>
      <c r="EG597" s="259"/>
      <c r="EH597" s="259"/>
      <c r="EI597" s="259"/>
      <c r="EJ597" s="259"/>
      <c r="EK597" s="259"/>
      <c r="EL597" s="259"/>
      <c r="EM597" s="259"/>
      <c r="EN597" s="259"/>
      <c r="EO597" s="259"/>
      <c r="EP597" s="259"/>
      <c r="EQ597" s="259"/>
      <c r="ER597" s="259"/>
      <c r="ES597" s="259"/>
      <c r="ET597" s="259"/>
      <c r="EU597" s="259"/>
      <c r="EV597" s="259"/>
      <c r="EW597" s="259"/>
      <c r="EX597" s="259"/>
      <c r="EY597" s="259"/>
      <c r="EZ597" s="259"/>
      <c r="FA597" s="259"/>
      <c r="FB597" s="259"/>
      <c r="FC597" s="259"/>
      <c r="FD597" s="259"/>
      <c r="FE597" s="259"/>
      <c r="FF597" s="259"/>
      <c r="FG597" s="259"/>
      <c r="FH597" s="259"/>
      <c r="FI597" s="259"/>
      <c r="FJ597" s="259"/>
      <c r="FK597" s="259"/>
      <c r="FL597" s="259"/>
      <c r="FM597" s="259"/>
      <c r="FN597" s="259"/>
      <c r="FO597" s="259"/>
      <c r="FP597" s="259"/>
      <c r="FQ597" s="259"/>
      <c r="FR597" s="259"/>
      <c r="FS597" s="259"/>
      <c r="FT597" s="259"/>
      <c r="FU597" s="259"/>
      <c r="FV597" s="259"/>
      <c r="FW597" s="259"/>
      <c r="FX597" s="259"/>
      <c r="FY597" s="259"/>
      <c r="FZ597" s="259"/>
      <c r="GA597" s="259"/>
      <c r="GB597" s="259"/>
      <c r="GC597" s="259"/>
      <c r="GD597" s="259"/>
      <c r="GE597" s="259"/>
      <c r="GF597" s="259"/>
      <c r="GG597" s="259"/>
      <c r="GH597" s="259"/>
      <c r="GI597" s="259"/>
      <c r="GJ597" s="259"/>
      <c r="GK597" s="259"/>
      <c r="GL597" s="259"/>
      <c r="GM597" s="259"/>
      <c r="GN597" s="259"/>
      <c r="GO597" s="259"/>
      <c r="GP597" s="259"/>
      <c r="GQ597" s="259"/>
      <c r="GR597" s="259"/>
      <c r="GS597" s="259"/>
      <c r="GT597" s="259"/>
      <c r="GU597" s="259"/>
      <c r="GV597" s="259"/>
      <c r="GW597" s="259"/>
      <c r="GX597" s="259"/>
      <c r="GY597" s="259"/>
      <c r="GZ597" s="259"/>
      <c r="HA597" s="259"/>
      <c r="HB597" s="259"/>
      <c r="HC597" s="259"/>
      <c r="HD597" s="259"/>
      <c r="HE597" s="259"/>
      <c r="HF597" s="259"/>
      <c r="HG597" s="259"/>
      <c r="HH597" s="259"/>
      <c r="HI597" s="259"/>
      <c r="HJ597" s="259"/>
      <c r="HK597" s="259"/>
      <c r="HL597" s="259"/>
      <c r="HM597" s="259"/>
      <c r="HN597" s="259"/>
      <c r="HO597" s="259"/>
      <c r="HP597" s="259"/>
      <c r="HQ597" s="259"/>
      <c r="HR597" s="259"/>
      <c r="HS597" s="259"/>
      <c r="HT597" s="259"/>
      <c r="HU597" s="259"/>
      <c r="HV597" s="259"/>
      <c r="HW597" s="259"/>
      <c r="HX597" s="259"/>
      <c r="HY597" s="259"/>
      <c r="HZ597" s="259"/>
      <c r="IA597" s="259"/>
      <c r="IB597" s="259"/>
      <c r="IC597" s="259"/>
      <c r="ID597" s="259"/>
      <c r="IE597" s="259"/>
      <c r="IF597" s="259"/>
      <c r="IG597" s="259"/>
      <c r="IH597" s="259"/>
      <c r="II597" s="259"/>
      <c r="IJ597" s="259"/>
      <c r="IK597" s="259"/>
      <c r="IL597" s="259"/>
      <c r="IM597" s="259"/>
      <c r="IN597" s="259"/>
      <c r="IO597" s="259"/>
      <c r="IP597" s="259"/>
      <c r="IQ597" s="259"/>
      <c r="IR597" s="259"/>
      <c r="IS597" s="259"/>
      <c r="IT597" s="259"/>
      <c r="IU597" s="259"/>
      <c r="IV597" s="259"/>
      <c r="IW597" s="259"/>
      <c r="IX597" s="259"/>
      <c r="IY597" s="259"/>
      <c r="IZ597" s="259"/>
      <c r="JA597" s="259"/>
      <c r="JB597" s="259"/>
      <c r="JC597" s="259"/>
      <c r="JD597" s="259"/>
      <c r="JE597" s="259"/>
      <c r="JF597" s="259"/>
      <c r="JG597" s="259"/>
      <c r="JH597" s="259"/>
      <c r="JI597" s="259"/>
      <c r="JJ597" s="259"/>
      <c r="JK597" s="259"/>
      <c r="JL597" s="259"/>
      <c r="JM597" s="259"/>
      <c r="JN597" s="259"/>
      <c r="JO597" s="259"/>
      <c r="JP597" s="259"/>
      <c r="JQ597" s="259"/>
      <c r="JR597" s="259"/>
      <c r="JS597" s="259"/>
      <c r="JT597" s="259"/>
      <c r="JU597" s="259"/>
      <c r="JV597" s="259"/>
      <c r="JW597" s="259"/>
      <c r="JX597" s="259"/>
      <c r="JY597" s="259"/>
      <c r="JZ597" s="259"/>
      <c r="KA597" s="259"/>
      <c r="KB597" s="259"/>
      <c r="KC597" s="259"/>
      <c r="KD597" s="259"/>
      <c r="KE597" s="259"/>
      <c r="KF597" s="259"/>
      <c r="KG597" s="259"/>
      <c r="KH597" s="259"/>
      <c r="KI597" s="259"/>
      <c r="KJ597" s="259"/>
      <c r="KK597" s="259"/>
      <c r="KL597" s="259"/>
      <c r="KM597" s="259"/>
      <c r="KN597" s="259"/>
      <c r="KO597" s="259"/>
      <c r="KP597" s="259"/>
      <c r="KQ597" s="259"/>
      <c r="KR597" s="259"/>
      <c r="KS597" s="259"/>
      <c r="KT597" s="259"/>
      <c r="KU597" s="259"/>
      <c r="KV597" s="259"/>
      <c r="KW597" s="259"/>
      <c r="KX597" s="259"/>
      <c r="KY597" s="259"/>
      <c r="KZ597" s="259"/>
      <c r="LA597" s="259"/>
      <c r="LB597" s="259"/>
      <c r="LC597" s="259"/>
      <c r="LD597" s="259"/>
      <c r="LE597" s="259"/>
      <c r="LF597" s="259"/>
      <c r="LG597" s="259"/>
      <c r="LH597" s="259"/>
      <c r="LI597" s="259"/>
      <c r="LJ597" s="259"/>
      <c r="LK597" s="259"/>
      <c r="LL597" s="259"/>
      <c r="LM597" s="259"/>
      <c r="LN597" s="259"/>
      <c r="LO597" s="259"/>
      <c r="LP597" s="259"/>
      <c r="LQ597" s="259"/>
      <c r="LR597" s="259"/>
      <c r="LS597" s="259"/>
      <c r="LT597" s="259"/>
      <c r="LU597" s="259"/>
      <c r="LV597" s="259"/>
      <c r="LW597" s="259"/>
      <c r="LX597" s="259"/>
      <c r="LY597" s="259"/>
      <c r="LZ597" s="259"/>
      <c r="MA597" s="259"/>
      <c r="MB597" s="259"/>
      <c r="MC597" s="259"/>
      <c r="MD597" s="259"/>
      <c r="ME597" s="259"/>
      <c r="MF597" s="259"/>
      <c r="MG597" s="259"/>
      <c r="MH597" s="259"/>
      <c r="MI597" s="259"/>
      <c r="MJ597" s="259"/>
      <c r="MK597" s="259"/>
      <c r="ML597" s="259"/>
      <c r="MM597" s="259"/>
      <c r="MN597" s="259"/>
      <c r="MO597" s="259"/>
      <c r="MP597" s="259"/>
      <c r="MQ597" s="259"/>
      <c r="MR597" s="259"/>
      <c r="MS597" s="259"/>
      <c r="MT597" s="259"/>
      <c r="MU597" s="259"/>
      <c r="MV597" s="259"/>
      <c r="MW597" s="259"/>
      <c r="MX597" s="259"/>
      <c r="MY597" s="259"/>
      <c r="MZ597" s="259"/>
      <c r="NA597" s="259"/>
      <c r="NB597" s="259"/>
      <c r="NC597" s="259"/>
      <c r="ND597" s="259"/>
      <c r="NE597" s="259"/>
      <c r="NF597" s="259"/>
      <c r="NG597" s="259"/>
      <c r="NH597" s="259"/>
      <c r="NI597" s="259"/>
      <c r="NJ597" s="259"/>
      <c r="NK597" s="259"/>
      <c r="NL597" s="259"/>
      <c r="NM597" s="259"/>
      <c r="NN597" s="259"/>
      <c r="NO597" s="259"/>
      <c r="NP597" s="259"/>
      <c r="NQ597" s="259"/>
      <c r="NR597" s="259"/>
      <c r="NS597" s="259"/>
      <c r="NT597" s="259"/>
      <c r="NU597" s="259"/>
      <c r="NV597" s="259"/>
      <c r="NW597" s="259"/>
      <c r="NX597" s="259"/>
      <c r="NY597" s="259"/>
      <c r="NZ597" s="259"/>
      <c r="OA597" s="259"/>
      <c r="OB597" s="259"/>
      <c r="OC597" s="259"/>
      <c r="OD597" s="259"/>
      <c r="OE597" s="259"/>
      <c r="OF597" s="259"/>
      <c r="OG597" s="259"/>
      <c r="OH597" s="259"/>
      <c r="OI597" s="259"/>
      <c r="OJ597" s="259"/>
      <c r="OK597" s="259"/>
      <c r="OL597" s="259"/>
      <c r="OM597" s="259"/>
      <c r="ON597" s="259"/>
      <c r="OO597" s="259"/>
      <c r="OP597" s="259"/>
      <c r="OQ597" s="259"/>
      <c r="OR597" s="259"/>
      <c r="OS597" s="259"/>
      <c r="OT597" s="259"/>
      <c r="OU597" s="259"/>
      <c r="OV597" s="259"/>
      <c r="OW597" s="259"/>
      <c r="OX597" s="259"/>
      <c r="OY597" s="259"/>
      <c r="OZ597" s="259"/>
      <c r="PA597" s="259"/>
      <c r="PB597" s="259"/>
      <c r="PC597" s="259"/>
      <c r="PD597" s="259"/>
      <c r="PE597" s="259"/>
      <c r="PF597" s="259"/>
      <c r="PG597" s="259"/>
      <c r="PH597" s="259"/>
      <c r="PI597" s="259"/>
      <c r="PJ597" s="259"/>
      <c r="PK597" s="259"/>
      <c r="PL597" s="259"/>
      <c r="PM597" s="259"/>
      <c r="PN597" s="259"/>
      <c r="PO597" s="259"/>
      <c r="PP597" s="259"/>
      <c r="PQ597" s="259"/>
      <c r="PR597" s="259"/>
      <c r="PS597" s="259"/>
      <c r="PT597" s="259"/>
      <c r="PU597" s="259"/>
      <c r="PV597" s="259"/>
      <c r="PW597" s="259"/>
      <c r="PX597" s="259"/>
      <c r="PY597" s="259"/>
      <c r="PZ597" s="259"/>
      <c r="QA597" s="259"/>
      <c r="QB597" s="259"/>
      <c r="QC597" s="259"/>
      <c r="QD597" s="259"/>
      <c r="QE597" s="259"/>
      <c r="QF597" s="259"/>
      <c r="QG597" s="259"/>
      <c r="QH597" s="259"/>
      <c r="QI597" s="259"/>
      <c r="QJ597" s="259"/>
      <c r="QK597" s="259"/>
      <c r="QL597" s="259"/>
      <c r="QM597" s="259"/>
      <c r="QN597" s="259"/>
      <c r="QO597" s="259"/>
      <c r="QP597" s="259"/>
      <c r="QQ597" s="259"/>
      <c r="QR597" s="259"/>
      <c r="QS597" s="259"/>
      <c r="QT597" s="259"/>
      <c r="QU597" s="259"/>
      <c r="QV597" s="259"/>
      <c r="QW597" s="259"/>
      <c r="QX597" s="259"/>
      <c r="QY597" s="259"/>
      <c r="QZ597" s="259"/>
      <c r="RA597" s="259"/>
      <c r="RB597" s="259"/>
      <c r="RC597" s="259"/>
      <c r="RD597" s="259"/>
      <c r="RE597" s="259"/>
      <c r="RF597" s="259"/>
      <c r="RG597" s="259"/>
      <c r="RH597" s="259"/>
      <c r="RI597" s="259"/>
      <c r="RJ597" s="259"/>
      <c r="RK597" s="259"/>
      <c r="RL597" s="259"/>
      <c r="RM597" s="259"/>
      <c r="RN597" s="259"/>
      <c r="RO597" s="259"/>
      <c r="RP597" s="259"/>
      <c r="RQ597" s="259"/>
      <c r="RR597" s="259"/>
      <c r="RS597" s="259"/>
      <c r="RT597" s="259"/>
      <c r="RU597" s="259"/>
      <c r="RV597" s="259"/>
      <c r="RW597" s="259"/>
      <c r="RX597" s="259"/>
      <c r="RY597" s="259"/>
      <c r="RZ597" s="259"/>
      <c r="SA597" s="259"/>
      <c r="SB597" s="259"/>
      <c r="SC597" s="259"/>
      <c r="SD597" s="259"/>
      <c r="SE597" s="259"/>
      <c r="SF597" s="259"/>
      <c r="SG597" s="259"/>
      <c r="SH597" s="259"/>
      <c r="SI597" s="259"/>
      <c r="SJ597" s="259"/>
      <c r="SK597" s="259"/>
      <c r="SL597" s="259"/>
      <c r="SM597" s="259"/>
      <c r="SN597" s="259"/>
      <c r="SO597" s="259"/>
      <c r="SP597" s="259"/>
      <c r="SQ597" s="259"/>
      <c r="SR597" s="259"/>
      <c r="SS597" s="259"/>
      <c r="ST597" s="259"/>
      <c r="SU597" s="259"/>
      <c r="SV597" s="259"/>
      <c r="SW597" s="259"/>
      <c r="SX597" s="259"/>
      <c r="SY597" s="259"/>
      <c r="SZ597" s="259"/>
      <c r="TA597" s="259"/>
      <c r="TB597" s="259"/>
      <c r="TC597" s="259"/>
      <c r="TD597" s="259"/>
      <c r="TE597" s="259"/>
      <c r="TF597" s="259"/>
      <c r="TG597" s="259"/>
      <c r="TH597" s="259"/>
      <c r="TI597" s="259"/>
      <c r="TJ597" s="259"/>
      <c r="TK597" s="259"/>
      <c r="TL597" s="259"/>
      <c r="TM597" s="259"/>
      <c r="TN597" s="259"/>
      <c r="TO597" s="259"/>
      <c r="TP597" s="259"/>
      <c r="TQ597" s="259"/>
      <c r="TR597" s="259"/>
      <c r="TS597" s="259"/>
      <c r="TT597" s="259"/>
      <c r="TU597" s="259"/>
      <c r="TV597" s="259"/>
      <c r="TW597" s="259"/>
      <c r="TX597" s="259"/>
      <c r="TY597" s="259"/>
      <c r="TZ597" s="259"/>
      <c r="UA597" s="259"/>
      <c r="UB597" s="259"/>
      <c r="UC597" s="259"/>
      <c r="UD597" s="259"/>
      <c r="UE597" s="259"/>
      <c r="UF597" s="259"/>
      <c r="UG597" s="259"/>
      <c r="UH597" s="259"/>
      <c r="UI597" s="259"/>
    </row>
    <row r="598" spans="1:555" ht="65.25" customHeight="1">
      <c r="A598" s="296">
        <v>338</v>
      </c>
      <c r="B598" s="297" t="s">
        <v>3795</v>
      </c>
      <c r="C598" s="298">
        <v>78712789</v>
      </c>
      <c r="D598" s="354" t="s">
        <v>1567</v>
      </c>
      <c r="E598" s="299">
        <v>42661</v>
      </c>
      <c r="F598" s="300">
        <v>42644</v>
      </c>
      <c r="G598" s="301" t="s">
        <v>3796</v>
      </c>
      <c r="H598" s="297" t="s">
        <v>625</v>
      </c>
      <c r="I598" s="297" t="s">
        <v>183</v>
      </c>
      <c r="J598" s="299">
        <v>42716</v>
      </c>
      <c r="K598" s="300">
        <v>42705</v>
      </c>
      <c r="L598" s="301" t="s">
        <v>3797</v>
      </c>
      <c r="M598" s="297" t="s">
        <v>5</v>
      </c>
      <c r="N598" s="297" t="s">
        <v>101</v>
      </c>
      <c r="O598" s="299">
        <v>42727</v>
      </c>
      <c r="P598" s="302">
        <v>42705</v>
      </c>
      <c r="Q598" s="301" t="s">
        <v>3798</v>
      </c>
      <c r="R598" s="297" t="s">
        <v>1493</v>
      </c>
      <c r="S598" s="297" t="s">
        <v>183</v>
      </c>
      <c r="T598" s="299">
        <v>42751</v>
      </c>
      <c r="U598" s="300">
        <v>42736</v>
      </c>
      <c r="V598" s="301" t="s">
        <v>1570</v>
      </c>
      <c r="W598" s="297" t="s">
        <v>5</v>
      </c>
      <c r="X598" s="297" t="s">
        <v>131</v>
      </c>
      <c r="Y598" s="299">
        <v>43122</v>
      </c>
      <c r="Z598" s="300">
        <v>43101</v>
      </c>
      <c r="AA598" s="301" t="s">
        <v>3799</v>
      </c>
      <c r="AB598" s="297" t="s">
        <v>5</v>
      </c>
      <c r="AC598" s="297" t="s">
        <v>1213</v>
      </c>
      <c r="AD598" s="299">
        <v>43612</v>
      </c>
      <c r="AE598" s="302">
        <v>43612</v>
      </c>
      <c r="AF598" s="301" t="s">
        <v>8775</v>
      </c>
      <c r="AG598" s="297" t="s">
        <v>208</v>
      </c>
      <c r="AH598" s="297" t="s">
        <v>8447</v>
      </c>
      <c r="AI598" s="299" t="s">
        <v>9554</v>
      </c>
      <c r="AJ598" s="300" t="s">
        <v>9554</v>
      </c>
      <c r="AK598" s="301" t="s">
        <v>9553</v>
      </c>
      <c r="AL598" s="297" t="s">
        <v>1501</v>
      </c>
      <c r="AM598" s="297" t="s">
        <v>9555</v>
      </c>
      <c r="AN598" s="297" t="s">
        <v>477</v>
      </c>
      <c r="AO598" s="540">
        <v>42716</v>
      </c>
      <c r="AP598" s="297"/>
      <c r="AQ598" s="301" t="s">
        <v>3800</v>
      </c>
      <c r="AR598" s="297" t="s">
        <v>161</v>
      </c>
      <c r="AS598" s="299">
        <v>38534</v>
      </c>
      <c r="AT598" s="299">
        <v>40630</v>
      </c>
      <c r="AU598" s="297" t="s">
        <v>3801</v>
      </c>
      <c r="AV598" s="297"/>
      <c r="AW598" s="297" t="s">
        <v>92</v>
      </c>
      <c r="AX598" s="297" t="s">
        <v>3802</v>
      </c>
      <c r="AY598" s="299">
        <v>41667</v>
      </c>
      <c r="AZ598" s="297" t="s">
        <v>1630</v>
      </c>
      <c r="BA598" s="299">
        <v>42614</v>
      </c>
      <c r="BB598" s="299">
        <v>42627</v>
      </c>
      <c r="BC598" s="297" t="s">
        <v>95</v>
      </c>
      <c r="BD598" s="297" t="s">
        <v>566</v>
      </c>
      <c r="BE598" s="297"/>
      <c r="BF598" s="301" t="s">
        <v>8005</v>
      </c>
      <c r="BG598" s="301"/>
      <c r="BH598" s="301"/>
      <c r="BI598" s="301"/>
      <c r="BJ598" s="312">
        <f>+[144]MATRIZ!$J$74</f>
        <v>0</v>
      </c>
      <c r="BK598" s="312"/>
      <c r="BL598" s="313"/>
      <c r="BM598" s="299"/>
      <c r="BN598" s="314"/>
      <c r="BO598" s="460"/>
      <c r="BP598" s="390"/>
      <c r="BQ598" s="297"/>
      <c r="BR598" s="303"/>
      <c r="BS598" s="301"/>
      <c r="BT598" s="301"/>
      <c r="BU598" s="301"/>
      <c r="BV598" s="301"/>
      <c r="BW598" s="316"/>
      <c r="BX598" s="304"/>
      <c r="BY598" s="299"/>
      <c r="BZ598" s="317"/>
    </row>
    <row r="599" spans="1:555" ht="74.25" customHeight="1">
      <c r="A599" s="57">
        <v>339</v>
      </c>
      <c r="B599" s="58" t="s">
        <v>3803</v>
      </c>
      <c r="C599" s="59">
        <v>92523417</v>
      </c>
      <c r="D599" s="170" t="s">
        <v>1153</v>
      </c>
      <c r="E599" s="60">
        <v>42664</v>
      </c>
      <c r="F599" s="61">
        <v>42644</v>
      </c>
      <c r="G599" s="62" t="s">
        <v>3804</v>
      </c>
      <c r="H599" s="58" t="s">
        <v>625</v>
      </c>
      <c r="I599" s="58" t="s">
        <v>183</v>
      </c>
      <c r="J599" s="60">
        <v>44410</v>
      </c>
      <c r="K599" s="61">
        <v>44409</v>
      </c>
      <c r="L599" s="61" t="s">
        <v>10618</v>
      </c>
      <c r="M599" s="58" t="s">
        <v>208</v>
      </c>
      <c r="N599" s="58" t="s">
        <v>131</v>
      </c>
      <c r="O599" s="60"/>
      <c r="P599" s="63"/>
      <c r="Q599" s="62"/>
      <c r="R599" s="58"/>
      <c r="S599" s="58"/>
      <c r="T599" s="60"/>
      <c r="U599" s="61"/>
      <c r="V599" s="62"/>
      <c r="W599" s="58"/>
      <c r="X599" s="58"/>
      <c r="Y599" s="60"/>
      <c r="Z599" s="61"/>
      <c r="AA599" s="62"/>
      <c r="AB599" s="58"/>
      <c r="AC599" s="58"/>
      <c r="AD599" s="60"/>
      <c r="AE599" s="61"/>
      <c r="AF599" s="62"/>
      <c r="AG599" s="58"/>
      <c r="AH599" s="58"/>
      <c r="AI599" s="117"/>
      <c r="AJ599" s="61"/>
      <c r="AK599" s="62"/>
      <c r="AL599" s="58"/>
      <c r="AM599" s="58"/>
      <c r="AN599" s="98" t="s">
        <v>3805</v>
      </c>
      <c r="AO599" s="480"/>
      <c r="AP599" s="98"/>
      <c r="AQ599" s="62" t="s">
        <v>3806</v>
      </c>
      <c r="AR599" s="58" t="s">
        <v>161</v>
      </c>
      <c r="AS599" s="60">
        <v>40540</v>
      </c>
      <c r="AT599" s="60">
        <v>40663</v>
      </c>
      <c r="AU599" s="58" t="s">
        <v>3807</v>
      </c>
      <c r="AV599" s="58"/>
      <c r="AW599" s="58" t="s">
        <v>69</v>
      </c>
      <c r="AX599" s="58" t="s">
        <v>3808</v>
      </c>
      <c r="AY599" s="60">
        <v>42338</v>
      </c>
      <c r="AZ599" s="58" t="s">
        <v>94</v>
      </c>
      <c r="BA599" s="60">
        <v>42649</v>
      </c>
      <c r="BB599" s="382">
        <v>42671</v>
      </c>
      <c r="BC599" s="58" t="s">
        <v>95</v>
      </c>
      <c r="BD599" s="58" t="s">
        <v>566</v>
      </c>
      <c r="BE599" s="58"/>
      <c r="BF599" s="62"/>
      <c r="BG599" s="62"/>
      <c r="BH599" s="62"/>
      <c r="BI599" s="62"/>
      <c r="BJ599" s="138">
        <f>+[145]MATRIZ!$J$65</f>
        <v>22098965.439894974</v>
      </c>
      <c r="BK599" s="67"/>
      <c r="BL599" s="68"/>
      <c r="BM599" s="60"/>
      <c r="BN599" s="69"/>
      <c r="BO599" s="463"/>
      <c r="BP599" s="122"/>
      <c r="BQ599" s="58"/>
      <c r="BR599" s="70"/>
      <c r="BS599" s="62"/>
      <c r="BT599" s="62"/>
      <c r="BU599" s="62"/>
      <c r="BV599" s="62"/>
      <c r="BW599" s="71"/>
      <c r="BX599" s="66"/>
      <c r="BY599" s="60"/>
      <c r="BZ599" s="72"/>
    </row>
    <row r="600" spans="1:555" s="509" customFormat="1" ht="64.5" customHeight="1">
      <c r="A600" s="296">
        <v>340</v>
      </c>
      <c r="B600" s="297" t="s">
        <v>3809</v>
      </c>
      <c r="C600" s="298">
        <v>11206937</v>
      </c>
      <c r="D600" s="354" t="s">
        <v>333</v>
      </c>
      <c r="E600" s="299">
        <v>42667</v>
      </c>
      <c r="F600" s="300">
        <v>42644</v>
      </c>
      <c r="G600" s="301" t="s">
        <v>3810</v>
      </c>
      <c r="H600" s="297" t="s">
        <v>5</v>
      </c>
      <c r="I600" s="297" t="s">
        <v>101</v>
      </c>
      <c r="J600" s="299">
        <v>42885</v>
      </c>
      <c r="K600" s="300">
        <v>42856</v>
      </c>
      <c r="L600" s="301" t="s">
        <v>3811</v>
      </c>
      <c r="M600" s="297" t="s">
        <v>625</v>
      </c>
      <c r="N600" s="297" t="s">
        <v>183</v>
      </c>
      <c r="O600" s="299">
        <v>42685</v>
      </c>
      <c r="P600" s="302">
        <v>42675</v>
      </c>
      <c r="Q600" s="301" t="s">
        <v>3812</v>
      </c>
      <c r="R600" s="297" t="s">
        <v>503</v>
      </c>
      <c r="S600" s="297" t="s">
        <v>570</v>
      </c>
      <c r="T600" s="299">
        <v>43585</v>
      </c>
      <c r="U600" s="300">
        <v>43585</v>
      </c>
      <c r="V600" s="301" t="s">
        <v>8592</v>
      </c>
      <c r="W600" s="297" t="s">
        <v>208</v>
      </c>
      <c r="X600" s="297" t="s">
        <v>8243</v>
      </c>
      <c r="Y600" s="299"/>
      <c r="Z600" s="300"/>
      <c r="AA600" s="301"/>
      <c r="AB600" s="297"/>
      <c r="AC600" s="297"/>
      <c r="AD600" s="299"/>
      <c r="AE600" s="300"/>
      <c r="AF600" s="301"/>
      <c r="AG600" s="297"/>
      <c r="AH600" s="297"/>
      <c r="AI600" s="322"/>
      <c r="AJ600" s="300"/>
      <c r="AK600" s="301"/>
      <c r="AL600" s="297"/>
      <c r="AM600" s="297"/>
      <c r="AN600" s="297" t="s">
        <v>3813</v>
      </c>
      <c r="AO600" s="540">
        <v>42667</v>
      </c>
      <c r="AP600" s="297"/>
      <c r="AQ600" s="301" t="s">
        <v>3814</v>
      </c>
      <c r="AR600" s="297" t="s">
        <v>161</v>
      </c>
      <c r="AS600" s="299">
        <v>112776</v>
      </c>
      <c r="AT600" s="299">
        <v>40267</v>
      </c>
      <c r="AU600" s="297" t="s">
        <v>3815</v>
      </c>
      <c r="AV600" s="297"/>
      <c r="AW600" s="297" t="s">
        <v>92</v>
      </c>
      <c r="AX600" s="297" t="s">
        <v>1779</v>
      </c>
      <c r="AY600" s="299">
        <v>42115</v>
      </c>
      <c r="AZ600" s="297" t="s">
        <v>409</v>
      </c>
      <c r="BA600" s="299">
        <v>42517</v>
      </c>
      <c r="BB600" s="299">
        <v>42531</v>
      </c>
      <c r="BC600" s="297" t="s">
        <v>95</v>
      </c>
      <c r="BD600" s="297" t="s">
        <v>566</v>
      </c>
      <c r="BE600" s="297"/>
      <c r="BF600" s="301" t="s">
        <v>3816</v>
      </c>
      <c r="BG600" s="301"/>
      <c r="BH600" s="301"/>
      <c r="BI600" s="301"/>
      <c r="BJ600" s="312">
        <f>+[146]MATRIZ!$J$51</f>
        <v>0</v>
      </c>
      <c r="BK600" s="312"/>
      <c r="BL600" s="313"/>
      <c r="BM600" s="299"/>
      <c r="BN600" s="314"/>
      <c r="BO600" s="460"/>
      <c r="BP600" s="390"/>
      <c r="BQ600" s="297"/>
      <c r="BR600" s="303"/>
      <c r="BS600" s="301"/>
      <c r="BT600" s="301"/>
      <c r="BU600" s="301"/>
      <c r="BV600" s="301"/>
      <c r="BW600" s="316"/>
      <c r="BX600" s="304"/>
      <c r="BY600" s="299"/>
      <c r="BZ600" s="317"/>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c r="JW600" s="1"/>
      <c r="JX600" s="1"/>
      <c r="JY600" s="1"/>
      <c r="JZ600" s="1"/>
      <c r="KA600" s="1"/>
      <c r="KB600" s="1"/>
      <c r="KC600" s="1"/>
      <c r="KD600" s="1"/>
      <c r="KE600" s="1"/>
      <c r="KF600" s="1"/>
      <c r="KG600" s="1"/>
      <c r="KH600" s="1"/>
      <c r="KI600" s="1"/>
      <c r="KJ600" s="1"/>
      <c r="KK600" s="1"/>
      <c r="KL600" s="1"/>
      <c r="KM600" s="1"/>
      <c r="KN600" s="1"/>
      <c r="KO600" s="1"/>
      <c r="KP600" s="1"/>
      <c r="KQ600" s="1"/>
      <c r="KR600" s="1"/>
      <c r="KS600" s="1"/>
      <c r="KT600" s="1"/>
      <c r="KU600" s="1"/>
      <c r="KV600" s="1"/>
      <c r="KW600" s="1"/>
      <c r="KX600" s="1"/>
      <c r="KY600" s="1"/>
      <c r="KZ600" s="1"/>
      <c r="LA600" s="1"/>
      <c r="LB600" s="1"/>
      <c r="LC600" s="1"/>
      <c r="LD600" s="1"/>
      <c r="LE600" s="1"/>
      <c r="LF600" s="1"/>
      <c r="LG600" s="1"/>
      <c r="LH600" s="1"/>
      <c r="LI600" s="1"/>
      <c r="LJ600" s="1"/>
      <c r="LK600" s="1"/>
      <c r="LL600" s="1"/>
      <c r="LM600" s="1"/>
      <c r="LN600" s="1"/>
      <c r="LO600" s="1"/>
      <c r="LP600" s="1"/>
      <c r="LQ600" s="1"/>
      <c r="LR600" s="1"/>
      <c r="LS600" s="1"/>
      <c r="LT600" s="1"/>
      <c r="LU600" s="1"/>
      <c r="LV600" s="1"/>
      <c r="LW600" s="1"/>
      <c r="LX600" s="1"/>
      <c r="LY600" s="1"/>
      <c r="LZ600" s="1"/>
      <c r="MA600" s="1"/>
      <c r="MB600" s="1"/>
      <c r="MC600" s="1"/>
      <c r="MD600" s="1"/>
      <c r="ME600" s="1"/>
      <c r="MF600" s="1"/>
      <c r="MG600" s="1"/>
      <c r="MH600" s="1"/>
      <c r="MI600" s="1"/>
      <c r="MJ600" s="1"/>
      <c r="MK600" s="1"/>
      <c r="ML600" s="1"/>
      <c r="MM600" s="1"/>
      <c r="MN600" s="1"/>
      <c r="MO600" s="1"/>
      <c r="MP600" s="1"/>
      <c r="MQ600" s="1"/>
      <c r="MR600" s="1"/>
      <c r="MS600" s="1"/>
      <c r="MT600" s="1"/>
      <c r="MU600" s="1"/>
      <c r="MV600" s="1"/>
      <c r="MW600" s="1"/>
      <c r="MX600" s="1"/>
      <c r="MY600" s="1"/>
      <c r="MZ600" s="1"/>
      <c r="NA600" s="1"/>
      <c r="NB600" s="1"/>
      <c r="NC600" s="1"/>
      <c r="ND600" s="1"/>
      <c r="NE600" s="1"/>
      <c r="NF600" s="1"/>
      <c r="NG600" s="1"/>
      <c r="NH600" s="1"/>
      <c r="NI600" s="1"/>
      <c r="NJ600" s="1"/>
      <c r="NK600" s="1"/>
      <c r="NL600" s="1"/>
      <c r="NM600" s="1"/>
      <c r="NN600" s="1"/>
      <c r="NO600" s="1"/>
      <c r="NP600" s="1"/>
      <c r="NQ600" s="1"/>
      <c r="NR600" s="1"/>
      <c r="NS600" s="1"/>
      <c r="NT600" s="1"/>
      <c r="NU600" s="1"/>
      <c r="NV600" s="1"/>
      <c r="NW600" s="1"/>
      <c r="NX600" s="1"/>
      <c r="NY600" s="1"/>
      <c r="NZ600" s="1"/>
      <c r="OA600" s="1"/>
      <c r="OB600" s="1"/>
      <c r="OC600" s="1"/>
      <c r="OD600" s="1"/>
      <c r="OE600" s="1"/>
      <c r="OF600" s="1"/>
      <c r="OG600" s="1"/>
      <c r="OH600" s="1"/>
      <c r="OI600" s="1"/>
      <c r="OJ600" s="1"/>
      <c r="OK600" s="1"/>
      <c r="OL600" s="1"/>
      <c r="OM600" s="1"/>
      <c r="ON600" s="1"/>
      <c r="OO600" s="1"/>
      <c r="OP600" s="1"/>
      <c r="OQ600" s="1"/>
      <c r="OR600" s="1"/>
      <c r="OS600" s="1"/>
      <c r="OT600" s="1"/>
      <c r="OU600" s="1"/>
      <c r="OV600" s="1"/>
      <c r="OW600" s="1"/>
      <c r="OX600" s="1"/>
      <c r="OY600" s="1"/>
      <c r="OZ600" s="1"/>
      <c r="PA600" s="1"/>
      <c r="PB600" s="1"/>
      <c r="PC600" s="1"/>
      <c r="PD600" s="1"/>
      <c r="PE600" s="1"/>
      <c r="PF600" s="1"/>
      <c r="PG600" s="1"/>
      <c r="PH600" s="1"/>
      <c r="PI600" s="1"/>
      <c r="PJ600" s="1"/>
      <c r="PK600" s="1"/>
      <c r="PL600" s="1"/>
      <c r="PM600" s="1"/>
      <c r="PN600" s="1"/>
      <c r="PO600" s="1"/>
      <c r="PP600" s="1"/>
      <c r="PQ600" s="1"/>
      <c r="PR600" s="1"/>
      <c r="PS600" s="1"/>
      <c r="PT600" s="1"/>
      <c r="PU600" s="1"/>
      <c r="PV600" s="1"/>
      <c r="PW600" s="1"/>
      <c r="PX600" s="1"/>
      <c r="PY600" s="1"/>
      <c r="PZ600" s="1"/>
      <c r="QA600" s="1"/>
      <c r="QB600" s="1"/>
      <c r="QC600" s="1"/>
      <c r="QD600" s="1"/>
      <c r="QE600" s="1"/>
      <c r="QF600" s="1"/>
      <c r="QG600" s="1"/>
      <c r="QH600" s="1"/>
      <c r="QI600" s="1"/>
      <c r="QJ600" s="1"/>
      <c r="QK600" s="1"/>
      <c r="QL600" s="1"/>
      <c r="QM600" s="1"/>
      <c r="QN600" s="1"/>
      <c r="QO600" s="1"/>
      <c r="QP600" s="1"/>
      <c r="QQ600" s="1"/>
      <c r="QR600" s="1"/>
      <c r="QS600" s="1"/>
      <c r="QT600" s="1"/>
      <c r="QU600" s="1"/>
      <c r="QV600" s="1"/>
      <c r="QW600" s="1"/>
      <c r="QX600" s="1"/>
      <c r="QY600" s="1"/>
      <c r="QZ600" s="1"/>
      <c r="RA600" s="1"/>
      <c r="RB600" s="1"/>
      <c r="RC600" s="1"/>
      <c r="RD600" s="1"/>
      <c r="RE600" s="1"/>
      <c r="RF600" s="1"/>
      <c r="RG600" s="1"/>
      <c r="RH600" s="1"/>
      <c r="RI600" s="1"/>
      <c r="RJ600" s="1"/>
      <c r="RK600" s="1"/>
      <c r="RL600" s="1"/>
      <c r="RM600" s="1"/>
      <c r="RN600" s="1"/>
      <c r="RO600" s="1"/>
      <c r="RP600" s="1"/>
      <c r="RQ600" s="1"/>
      <c r="RR600" s="1"/>
      <c r="RS600" s="1"/>
      <c r="RT600" s="1"/>
      <c r="RU600" s="1"/>
      <c r="RV600" s="1"/>
      <c r="RW600" s="1"/>
      <c r="RX600" s="1"/>
      <c r="RY600" s="1"/>
      <c r="RZ600" s="1"/>
      <c r="SA600" s="1"/>
      <c r="SB600" s="1"/>
      <c r="SC600" s="1"/>
      <c r="SD600" s="1"/>
      <c r="SE600" s="1"/>
      <c r="SF600" s="1"/>
      <c r="SG600" s="1"/>
      <c r="SH600" s="1"/>
      <c r="SI600" s="1"/>
      <c r="SJ600" s="1"/>
      <c r="SK600" s="1"/>
      <c r="SL600" s="1"/>
      <c r="SM600" s="1"/>
      <c r="SN600" s="1"/>
      <c r="SO600" s="1"/>
      <c r="SP600" s="1"/>
      <c r="SQ600" s="1"/>
      <c r="SR600" s="1"/>
      <c r="SS600" s="1"/>
      <c r="ST600" s="1"/>
      <c r="SU600" s="1"/>
      <c r="SV600" s="1"/>
      <c r="SW600" s="1"/>
      <c r="SX600" s="1"/>
      <c r="SY600" s="1"/>
      <c r="SZ600" s="1"/>
      <c r="TA600" s="1"/>
      <c r="TB600" s="1"/>
      <c r="TC600" s="1"/>
      <c r="TD600" s="1"/>
      <c r="TE600" s="1"/>
      <c r="TF600" s="1"/>
      <c r="TG600" s="1"/>
      <c r="TH600" s="1"/>
      <c r="TI600" s="1"/>
      <c r="TJ600" s="1"/>
      <c r="TK600" s="1"/>
      <c r="TL600" s="1"/>
      <c r="TM600" s="1"/>
      <c r="TN600" s="1"/>
      <c r="TO600" s="1"/>
      <c r="TP600" s="1"/>
      <c r="TQ600" s="1"/>
      <c r="TR600" s="1"/>
      <c r="TS600" s="1"/>
      <c r="TT600" s="1"/>
      <c r="TU600" s="1"/>
      <c r="TV600" s="1"/>
      <c r="TW600" s="1"/>
      <c r="TX600" s="1"/>
      <c r="TY600" s="1"/>
      <c r="TZ600" s="1"/>
      <c r="UA600" s="1"/>
      <c r="UB600" s="1"/>
      <c r="UC600" s="1"/>
      <c r="UD600" s="1"/>
      <c r="UE600" s="1"/>
      <c r="UF600" s="1"/>
      <c r="UG600" s="1"/>
      <c r="UH600" s="1"/>
      <c r="UI600" s="1"/>
    </row>
    <row r="601" spans="1:555" s="259" customFormat="1" ht="108">
      <c r="A601" s="57">
        <v>341</v>
      </c>
      <c r="B601" s="58" t="s">
        <v>3817</v>
      </c>
      <c r="C601" s="59">
        <v>94539396</v>
      </c>
      <c r="D601" s="170" t="s">
        <v>3818</v>
      </c>
      <c r="E601" s="60">
        <v>42303</v>
      </c>
      <c r="F601" s="61">
        <v>42303</v>
      </c>
      <c r="G601" s="62" t="s">
        <v>3819</v>
      </c>
      <c r="H601" s="58" t="s">
        <v>625</v>
      </c>
      <c r="I601" s="58" t="s">
        <v>183</v>
      </c>
      <c r="J601" s="60">
        <v>43735</v>
      </c>
      <c r="K601" s="61">
        <v>43735</v>
      </c>
      <c r="L601" s="62" t="s">
        <v>9204</v>
      </c>
      <c r="M601" s="58" t="s">
        <v>576</v>
      </c>
      <c r="N601" s="58" t="s">
        <v>9205</v>
      </c>
      <c r="O601" s="60"/>
      <c r="P601" s="63"/>
      <c r="Q601" s="62"/>
      <c r="R601" s="58"/>
      <c r="S601" s="58"/>
      <c r="T601" s="60"/>
      <c r="U601" s="61"/>
      <c r="V601" s="62"/>
      <c r="W601" s="58"/>
      <c r="X601" s="58"/>
      <c r="Y601" s="60"/>
      <c r="Z601" s="61"/>
      <c r="AA601" s="62"/>
      <c r="AB601" s="58"/>
      <c r="AC601" s="58"/>
      <c r="AD601" s="60"/>
      <c r="AE601" s="61"/>
      <c r="AF601" s="62"/>
      <c r="AG601" s="58"/>
      <c r="AH601" s="58"/>
      <c r="AI601" s="66"/>
      <c r="AJ601" s="61"/>
      <c r="AK601" s="62"/>
      <c r="AL601" s="58"/>
      <c r="AM601" s="58"/>
      <c r="AN601" s="58" t="s">
        <v>3820</v>
      </c>
      <c r="AO601" s="478"/>
      <c r="AP601" s="119" t="s">
        <v>2558</v>
      </c>
      <c r="AQ601" s="62" t="s">
        <v>3821</v>
      </c>
      <c r="AR601" s="58" t="s">
        <v>161</v>
      </c>
      <c r="AS601" s="60">
        <v>39387</v>
      </c>
      <c r="AT601" s="60">
        <v>39860</v>
      </c>
      <c r="AU601" s="58" t="s">
        <v>3822</v>
      </c>
      <c r="AV601" s="58"/>
      <c r="AW601" s="58" t="s">
        <v>69</v>
      </c>
      <c r="AX601" s="58" t="s">
        <v>3823</v>
      </c>
      <c r="AY601" s="60">
        <v>42299</v>
      </c>
      <c r="AZ601" s="58" t="s">
        <v>3824</v>
      </c>
      <c r="BA601" s="60">
        <v>43167</v>
      </c>
      <c r="BB601" s="382">
        <v>43699</v>
      </c>
      <c r="BC601" s="58" t="s">
        <v>95</v>
      </c>
      <c r="BD601" s="58" t="s">
        <v>3825</v>
      </c>
      <c r="BE601" s="58"/>
      <c r="BF601" s="62"/>
      <c r="BG601" s="62"/>
      <c r="BH601" s="62"/>
      <c r="BI601" s="62"/>
      <c r="BJ601" s="138">
        <f>+'[147]MATRIZ '!$J$43</f>
        <v>3846984.714089876</v>
      </c>
      <c r="BK601" s="67"/>
      <c r="BL601" s="68"/>
      <c r="BM601" s="60"/>
      <c r="BN601" s="69"/>
      <c r="BO601" s="463"/>
      <c r="BP601" s="122"/>
      <c r="BQ601" s="58"/>
      <c r="BR601" s="70"/>
      <c r="BS601" s="62"/>
      <c r="BT601" s="62"/>
      <c r="BU601" s="62"/>
      <c r="BV601" s="62"/>
      <c r="BW601" s="71"/>
      <c r="BX601" s="66"/>
      <c r="BY601" s="60"/>
      <c r="BZ601" s="72"/>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c r="JW601" s="1"/>
      <c r="JX601" s="1"/>
      <c r="JY601" s="1"/>
      <c r="JZ601" s="1"/>
      <c r="KA601" s="1"/>
      <c r="KB601" s="1"/>
      <c r="KC601" s="1"/>
      <c r="KD601" s="1"/>
      <c r="KE601" s="1"/>
      <c r="KF601" s="1"/>
      <c r="KG601" s="1"/>
      <c r="KH601" s="1"/>
      <c r="KI601" s="1"/>
      <c r="KJ601" s="1"/>
      <c r="KK601" s="1"/>
      <c r="KL601" s="1"/>
      <c r="KM601" s="1"/>
      <c r="KN601" s="1"/>
      <c r="KO601" s="1"/>
      <c r="KP601" s="1"/>
      <c r="KQ601" s="1"/>
      <c r="KR601" s="1"/>
      <c r="KS601" s="1"/>
      <c r="KT601" s="1"/>
      <c r="KU601" s="1"/>
      <c r="KV601" s="1"/>
      <c r="KW601" s="1"/>
      <c r="KX601" s="1"/>
      <c r="KY601" s="1"/>
      <c r="KZ601" s="1"/>
      <c r="LA601" s="1"/>
      <c r="LB601" s="1"/>
      <c r="LC601" s="1"/>
      <c r="LD601" s="1"/>
      <c r="LE601" s="1"/>
      <c r="LF601" s="1"/>
      <c r="LG601" s="1"/>
      <c r="LH601" s="1"/>
      <c r="LI601" s="1"/>
      <c r="LJ601" s="1"/>
      <c r="LK601" s="1"/>
      <c r="LL601" s="1"/>
      <c r="LM601" s="1"/>
      <c r="LN601" s="1"/>
      <c r="LO601" s="1"/>
      <c r="LP601" s="1"/>
      <c r="LQ601" s="1"/>
      <c r="LR601" s="1"/>
      <c r="LS601" s="1"/>
      <c r="LT601" s="1"/>
      <c r="LU601" s="1"/>
      <c r="LV601" s="1"/>
      <c r="LW601" s="1"/>
      <c r="LX601" s="1"/>
      <c r="LY601" s="1"/>
      <c r="LZ601" s="1"/>
      <c r="MA601" s="1"/>
      <c r="MB601" s="1"/>
      <c r="MC601" s="1"/>
      <c r="MD601" s="1"/>
      <c r="ME601" s="1"/>
      <c r="MF601" s="1"/>
      <c r="MG601" s="1"/>
      <c r="MH601" s="1"/>
      <c r="MI601" s="1"/>
      <c r="MJ601" s="1"/>
      <c r="MK601" s="1"/>
      <c r="ML601" s="1"/>
      <c r="MM601" s="1"/>
      <c r="MN601" s="1"/>
      <c r="MO601" s="1"/>
      <c r="MP601" s="1"/>
      <c r="MQ601" s="1"/>
      <c r="MR601" s="1"/>
      <c r="MS601" s="1"/>
      <c r="MT601" s="1"/>
      <c r="MU601" s="1"/>
      <c r="MV601" s="1"/>
      <c r="MW601" s="1"/>
      <c r="MX601" s="1"/>
      <c r="MY601" s="1"/>
      <c r="MZ601" s="1"/>
      <c r="NA601" s="1"/>
      <c r="NB601" s="1"/>
      <c r="NC601" s="1"/>
      <c r="ND601" s="1"/>
      <c r="NE601" s="1"/>
      <c r="NF601" s="1"/>
      <c r="NG601" s="1"/>
      <c r="NH601" s="1"/>
      <c r="NI601" s="1"/>
      <c r="NJ601" s="1"/>
      <c r="NK601" s="1"/>
      <c r="NL601" s="1"/>
      <c r="NM601" s="1"/>
      <c r="NN601" s="1"/>
      <c r="NO601" s="1"/>
      <c r="NP601" s="1"/>
      <c r="NQ601" s="1"/>
      <c r="NR601" s="1"/>
      <c r="NS601" s="1"/>
      <c r="NT601" s="1"/>
      <c r="NU601" s="1"/>
      <c r="NV601" s="1"/>
      <c r="NW601" s="1"/>
      <c r="NX601" s="1"/>
      <c r="NY601" s="1"/>
      <c r="NZ601" s="1"/>
      <c r="OA601" s="1"/>
      <c r="OB601" s="1"/>
      <c r="OC601" s="1"/>
      <c r="OD601" s="1"/>
      <c r="OE601" s="1"/>
      <c r="OF601" s="1"/>
      <c r="OG601" s="1"/>
      <c r="OH601" s="1"/>
      <c r="OI601" s="1"/>
      <c r="OJ601" s="1"/>
      <c r="OK601" s="1"/>
      <c r="OL601" s="1"/>
      <c r="OM601" s="1"/>
      <c r="ON601" s="1"/>
      <c r="OO601" s="1"/>
      <c r="OP601" s="1"/>
      <c r="OQ601" s="1"/>
      <c r="OR601" s="1"/>
      <c r="OS601" s="1"/>
      <c r="OT601" s="1"/>
      <c r="OU601" s="1"/>
      <c r="OV601" s="1"/>
      <c r="OW601" s="1"/>
      <c r="OX601" s="1"/>
      <c r="OY601" s="1"/>
      <c r="OZ601" s="1"/>
      <c r="PA601" s="1"/>
      <c r="PB601" s="1"/>
      <c r="PC601" s="1"/>
      <c r="PD601" s="1"/>
      <c r="PE601" s="1"/>
      <c r="PF601" s="1"/>
      <c r="PG601" s="1"/>
      <c r="PH601" s="1"/>
      <c r="PI601" s="1"/>
      <c r="PJ601" s="1"/>
      <c r="PK601" s="1"/>
      <c r="PL601" s="1"/>
      <c r="PM601" s="1"/>
      <c r="PN601" s="1"/>
      <c r="PO601" s="1"/>
      <c r="PP601" s="1"/>
      <c r="PQ601" s="1"/>
      <c r="PR601" s="1"/>
      <c r="PS601" s="1"/>
      <c r="PT601" s="1"/>
      <c r="PU601" s="1"/>
      <c r="PV601" s="1"/>
      <c r="PW601" s="1"/>
      <c r="PX601" s="1"/>
      <c r="PY601" s="1"/>
      <c r="PZ601" s="1"/>
      <c r="QA601" s="1"/>
      <c r="QB601" s="1"/>
      <c r="QC601" s="1"/>
      <c r="QD601" s="1"/>
      <c r="QE601" s="1"/>
      <c r="QF601" s="1"/>
      <c r="QG601" s="1"/>
      <c r="QH601" s="1"/>
      <c r="QI601" s="1"/>
      <c r="QJ601" s="1"/>
      <c r="QK601" s="1"/>
      <c r="QL601" s="1"/>
      <c r="QM601" s="1"/>
      <c r="QN601" s="1"/>
      <c r="QO601" s="1"/>
      <c r="QP601" s="1"/>
      <c r="QQ601" s="1"/>
      <c r="QR601" s="1"/>
      <c r="QS601" s="1"/>
      <c r="QT601" s="1"/>
      <c r="QU601" s="1"/>
      <c r="QV601" s="1"/>
      <c r="QW601" s="1"/>
      <c r="QX601" s="1"/>
      <c r="QY601" s="1"/>
      <c r="QZ601" s="1"/>
      <c r="RA601" s="1"/>
      <c r="RB601" s="1"/>
      <c r="RC601" s="1"/>
      <c r="RD601" s="1"/>
      <c r="RE601" s="1"/>
      <c r="RF601" s="1"/>
      <c r="RG601" s="1"/>
      <c r="RH601" s="1"/>
      <c r="RI601" s="1"/>
      <c r="RJ601" s="1"/>
      <c r="RK601" s="1"/>
      <c r="RL601" s="1"/>
      <c r="RM601" s="1"/>
      <c r="RN601" s="1"/>
      <c r="RO601" s="1"/>
      <c r="RP601" s="1"/>
      <c r="RQ601" s="1"/>
      <c r="RR601" s="1"/>
      <c r="RS601" s="1"/>
      <c r="RT601" s="1"/>
      <c r="RU601" s="1"/>
      <c r="RV601" s="1"/>
      <c r="RW601" s="1"/>
      <c r="RX601" s="1"/>
      <c r="RY601" s="1"/>
      <c r="RZ601" s="1"/>
      <c r="SA601" s="1"/>
      <c r="SB601" s="1"/>
      <c r="SC601" s="1"/>
      <c r="SD601" s="1"/>
      <c r="SE601" s="1"/>
      <c r="SF601" s="1"/>
      <c r="SG601" s="1"/>
      <c r="SH601" s="1"/>
      <c r="SI601" s="1"/>
      <c r="SJ601" s="1"/>
      <c r="SK601" s="1"/>
      <c r="SL601" s="1"/>
      <c r="SM601" s="1"/>
      <c r="SN601" s="1"/>
      <c r="SO601" s="1"/>
      <c r="SP601" s="1"/>
      <c r="SQ601" s="1"/>
      <c r="SR601" s="1"/>
      <c r="SS601" s="1"/>
      <c r="ST601" s="1"/>
      <c r="SU601" s="1"/>
      <c r="SV601" s="1"/>
      <c r="SW601" s="1"/>
      <c r="SX601" s="1"/>
      <c r="SY601" s="1"/>
      <c r="SZ601" s="1"/>
      <c r="TA601" s="1"/>
      <c r="TB601" s="1"/>
      <c r="TC601" s="1"/>
      <c r="TD601" s="1"/>
      <c r="TE601" s="1"/>
      <c r="TF601" s="1"/>
      <c r="TG601" s="1"/>
      <c r="TH601" s="1"/>
      <c r="TI601" s="1"/>
      <c r="TJ601" s="1"/>
      <c r="TK601" s="1"/>
      <c r="TL601" s="1"/>
      <c r="TM601" s="1"/>
      <c r="TN601" s="1"/>
      <c r="TO601" s="1"/>
      <c r="TP601" s="1"/>
      <c r="TQ601" s="1"/>
      <c r="TR601" s="1"/>
      <c r="TS601" s="1"/>
      <c r="TT601" s="1"/>
      <c r="TU601" s="1"/>
      <c r="TV601" s="1"/>
      <c r="TW601" s="1"/>
      <c r="TX601" s="1"/>
      <c r="TY601" s="1"/>
      <c r="TZ601" s="1"/>
      <c r="UA601" s="1"/>
      <c r="UB601" s="1"/>
      <c r="UC601" s="1"/>
      <c r="UD601" s="1"/>
      <c r="UE601" s="1"/>
      <c r="UF601" s="1"/>
      <c r="UG601" s="1"/>
      <c r="UH601" s="1"/>
      <c r="UI601" s="1"/>
    </row>
    <row r="602" spans="1:555" s="259" customFormat="1" ht="162">
      <c r="A602" s="502">
        <v>344</v>
      </c>
      <c r="B602" s="686" t="s">
        <v>3833</v>
      </c>
      <c r="C602" s="687">
        <v>76328803</v>
      </c>
      <c r="D602" s="688" t="s">
        <v>3677</v>
      </c>
      <c r="E602" s="27">
        <v>42670</v>
      </c>
      <c r="F602" s="689">
        <v>42644</v>
      </c>
      <c r="G602" s="690" t="s">
        <v>3834</v>
      </c>
      <c r="H602" s="686" t="s">
        <v>5</v>
      </c>
      <c r="I602" s="686" t="s">
        <v>101</v>
      </c>
      <c r="J602" s="27">
        <v>42735</v>
      </c>
      <c r="K602" s="689">
        <v>42705</v>
      </c>
      <c r="L602" s="690" t="s">
        <v>3835</v>
      </c>
      <c r="M602" s="686" t="s">
        <v>5</v>
      </c>
      <c r="N602" s="686" t="s">
        <v>131</v>
      </c>
      <c r="O602" s="27">
        <v>42817</v>
      </c>
      <c r="P602" s="691">
        <v>42795</v>
      </c>
      <c r="Q602" s="690" t="s">
        <v>3836</v>
      </c>
      <c r="R602" s="686" t="s">
        <v>5</v>
      </c>
      <c r="S602" s="686" t="s">
        <v>85</v>
      </c>
      <c r="T602" s="27">
        <v>42020</v>
      </c>
      <c r="U602" s="689">
        <v>42005</v>
      </c>
      <c r="V602" s="690" t="s">
        <v>3837</v>
      </c>
      <c r="W602" s="686" t="s">
        <v>171</v>
      </c>
      <c r="X602" s="686" t="s">
        <v>1864</v>
      </c>
      <c r="Y602" s="27">
        <v>42765</v>
      </c>
      <c r="Z602" s="689">
        <v>42736</v>
      </c>
      <c r="AA602" s="690" t="s">
        <v>3838</v>
      </c>
      <c r="AB602" s="686" t="s">
        <v>503</v>
      </c>
      <c r="AC602" s="686" t="s">
        <v>3375</v>
      </c>
      <c r="AD602" s="27">
        <v>43158</v>
      </c>
      <c r="AE602" s="689">
        <v>43132</v>
      </c>
      <c r="AF602" s="690" t="s">
        <v>3839</v>
      </c>
      <c r="AG602" s="686" t="s">
        <v>5</v>
      </c>
      <c r="AH602" s="686" t="s">
        <v>85</v>
      </c>
      <c r="AI602" s="16" t="s">
        <v>8250</v>
      </c>
      <c r="AJ602" s="689" t="s">
        <v>8251</v>
      </c>
      <c r="AK602" s="706" t="s">
        <v>8249</v>
      </c>
      <c r="AL602" s="686" t="s">
        <v>8252</v>
      </c>
      <c r="AM602" s="686" t="s">
        <v>8253</v>
      </c>
      <c r="AN602" s="686" t="s">
        <v>3841</v>
      </c>
      <c r="AO602" s="694">
        <v>42832</v>
      </c>
      <c r="AP602" s="686"/>
      <c r="AQ602" s="690" t="s">
        <v>3842</v>
      </c>
      <c r="AR602" s="686" t="s">
        <v>161</v>
      </c>
      <c r="AS602" s="27">
        <v>37837</v>
      </c>
      <c r="AT602" s="27">
        <v>39813</v>
      </c>
      <c r="AU602" s="686" t="s">
        <v>8135</v>
      </c>
      <c r="AV602" s="686"/>
      <c r="AW602" s="686" t="s">
        <v>92</v>
      </c>
      <c r="AX602" s="686" t="s">
        <v>3843</v>
      </c>
      <c r="AY602" s="27">
        <v>41943</v>
      </c>
      <c r="AZ602" s="686" t="s">
        <v>3688</v>
      </c>
      <c r="BA602" s="27">
        <v>42558</v>
      </c>
      <c r="BB602" s="27">
        <v>42577</v>
      </c>
      <c r="BC602" s="686" t="s">
        <v>95</v>
      </c>
      <c r="BD602" s="686" t="s">
        <v>566</v>
      </c>
      <c r="BE602" s="686"/>
      <c r="BF602" s="690"/>
      <c r="BG602" s="690"/>
      <c r="BH602" s="690"/>
      <c r="BI602" s="690"/>
      <c r="BJ602" s="803">
        <f>+[148]MATRIZ!$J$62</f>
        <v>0</v>
      </c>
      <c r="BK602" s="696"/>
      <c r="BL602" s="697"/>
      <c r="BM602" s="27"/>
      <c r="BN602" s="698"/>
      <c r="BO602" s="798" t="s">
        <v>3689</v>
      </c>
      <c r="BP602" s="799"/>
      <c r="BQ602" s="800"/>
      <c r="BR602" s="801"/>
      <c r="BS602" s="690"/>
      <c r="BT602" s="690"/>
      <c r="BU602" s="690"/>
      <c r="BV602" s="690"/>
      <c r="BW602" s="702"/>
      <c r="BX602" s="693"/>
      <c r="BY602" s="27"/>
      <c r="BZ602" s="703"/>
    </row>
    <row r="603" spans="1:555" ht="90.75" customHeight="1">
      <c r="A603" s="296">
        <v>347</v>
      </c>
      <c r="B603" s="297" t="s">
        <v>3874</v>
      </c>
      <c r="C603" s="298">
        <v>80016617</v>
      </c>
      <c r="D603" s="354" t="s">
        <v>167</v>
      </c>
      <c r="E603" s="299">
        <v>42684</v>
      </c>
      <c r="F603" s="300">
        <v>42675</v>
      </c>
      <c r="G603" s="301" t="s">
        <v>3875</v>
      </c>
      <c r="H603" s="297" t="s">
        <v>94</v>
      </c>
      <c r="I603" s="297" t="s">
        <v>183</v>
      </c>
      <c r="J603" s="299">
        <v>42779</v>
      </c>
      <c r="K603" s="300">
        <v>42767</v>
      </c>
      <c r="L603" s="301" t="s">
        <v>3876</v>
      </c>
      <c r="M603" s="297" t="s">
        <v>5</v>
      </c>
      <c r="N603" s="297" t="s">
        <v>101</v>
      </c>
      <c r="O603" s="299">
        <v>42171</v>
      </c>
      <c r="P603" s="302">
        <v>42156</v>
      </c>
      <c r="Q603" s="301" t="s">
        <v>3877</v>
      </c>
      <c r="R603" s="297" t="s">
        <v>171</v>
      </c>
      <c r="S603" s="297" t="s">
        <v>3248</v>
      </c>
      <c r="T603" s="299"/>
      <c r="U603" s="300"/>
      <c r="V603" s="301"/>
      <c r="W603" s="297"/>
      <c r="X603" s="297"/>
      <c r="Y603" s="299"/>
      <c r="Z603" s="300"/>
      <c r="AA603" s="301"/>
      <c r="AB603" s="297"/>
      <c r="AC603" s="297"/>
      <c r="AD603" s="299"/>
      <c r="AE603" s="300"/>
      <c r="AF603" s="301"/>
      <c r="AG603" s="297"/>
      <c r="AH603" s="297"/>
      <c r="AI603" s="322"/>
      <c r="AJ603" s="300"/>
      <c r="AK603" s="301"/>
      <c r="AL603" s="297"/>
      <c r="AM603" s="297"/>
      <c r="AN603" s="297" t="s">
        <v>3878</v>
      </c>
      <c r="AO603" s="554" t="s">
        <v>7950</v>
      </c>
      <c r="AP603" s="297"/>
      <c r="AQ603" s="301" t="s">
        <v>3879</v>
      </c>
      <c r="AR603" s="297" t="s">
        <v>161</v>
      </c>
      <c r="AS603" s="299">
        <v>37238</v>
      </c>
      <c r="AT603" s="299">
        <v>40694</v>
      </c>
      <c r="AU603" s="297" t="s">
        <v>3880</v>
      </c>
      <c r="AV603" s="297"/>
      <c r="AW603" s="297" t="s">
        <v>92</v>
      </c>
      <c r="AX603" s="297" t="s">
        <v>3808</v>
      </c>
      <c r="AY603" s="299">
        <v>42062</v>
      </c>
      <c r="AZ603" s="297" t="s">
        <v>3090</v>
      </c>
      <c r="BA603" s="299">
        <v>42656</v>
      </c>
      <c r="BB603" s="299">
        <v>42675</v>
      </c>
      <c r="BC603" s="297" t="s">
        <v>95</v>
      </c>
      <c r="BD603" s="297" t="s">
        <v>566</v>
      </c>
      <c r="BE603" s="297"/>
      <c r="BF603" s="301" t="s">
        <v>3881</v>
      </c>
      <c r="BG603" s="301"/>
      <c r="BH603" s="301"/>
      <c r="BI603" s="301"/>
      <c r="BJ603" s="968">
        <f>+[149]MATRIZ!$J$94</f>
        <v>0</v>
      </c>
      <c r="BK603" s="312"/>
      <c r="BL603" s="313"/>
      <c r="BM603" s="299"/>
      <c r="BN603" s="314"/>
      <c r="BO603" s="460"/>
      <c r="BP603" s="390"/>
      <c r="BQ603" s="297"/>
      <c r="BR603" s="303"/>
      <c r="BS603" s="301"/>
      <c r="BT603" s="301"/>
      <c r="BU603" s="301"/>
      <c r="BV603" s="301"/>
      <c r="BW603" s="316"/>
      <c r="BX603" s="304"/>
      <c r="BY603" s="299"/>
      <c r="BZ603" s="317"/>
    </row>
    <row r="604" spans="1:555" ht="84.75" customHeight="1">
      <c r="A604" s="33">
        <v>350</v>
      </c>
      <c r="B604" s="34" t="s">
        <v>3901</v>
      </c>
      <c r="C604" s="35">
        <v>76333689</v>
      </c>
      <c r="D604" s="440" t="s">
        <v>906</v>
      </c>
      <c r="E604" s="37">
        <v>42689</v>
      </c>
      <c r="F604" s="38">
        <v>42675</v>
      </c>
      <c r="G604" s="39" t="s">
        <v>3902</v>
      </c>
      <c r="H604" s="34" t="s">
        <v>5</v>
      </c>
      <c r="I604" s="34" t="s">
        <v>101</v>
      </c>
      <c r="J604" s="37">
        <v>42689</v>
      </c>
      <c r="K604" s="38">
        <v>42675</v>
      </c>
      <c r="L604" s="39" t="s">
        <v>3902</v>
      </c>
      <c r="M604" s="34" t="s">
        <v>5</v>
      </c>
      <c r="N604" s="34" t="s">
        <v>3375</v>
      </c>
      <c r="O604" s="37"/>
      <c r="P604" s="40"/>
      <c r="Q604" s="39"/>
      <c r="R604" s="34"/>
      <c r="S604" s="34"/>
      <c r="T604" s="37"/>
      <c r="U604" s="38"/>
      <c r="V604" s="39"/>
      <c r="W604" s="34"/>
      <c r="X604" s="34"/>
      <c r="Y604" s="37"/>
      <c r="Z604" s="38"/>
      <c r="AA604" s="39"/>
      <c r="AB604" s="34"/>
      <c r="AC604" s="34"/>
      <c r="AD604" s="37"/>
      <c r="AE604" s="38"/>
      <c r="AF604" s="39"/>
      <c r="AG604" s="34"/>
      <c r="AH604" s="34"/>
      <c r="AI604" s="73"/>
      <c r="AJ604" s="38"/>
      <c r="AK604" s="39"/>
      <c r="AL604" s="34"/>
      <c r="AM604" s="34"/>
      <c r="AN604" s="34" t="s">
        <v>3903</v>
      </c>
      <c r="AO604" s="473"/>
      <c r="AP604" s="34"/>
      <c r="AQ604" s="39" t="s">
        <v>3904</v>
      </c>
      <c r="AR604" s="34" t="s">
        <v>161</v>
      </c>
      <c r="AS604" s="37">
        <v>33637</v>
      </c>
      <c r="AT604" s="37">
        <v>40908</v>
      </c>
      <c r="AU604" s="120" t="s">
        <v>3905</v>
      </c>
      <c r="AV604" s="120"/>
      <c r="AW604" s="34" t="s">
        <v>92</v>
      </c>
      <c r="AX604" s="34" t="s">
        <v>3906</v>
      </c>
      <c r="AY604" s="37">
        <v>41715</v>
      </c>
      <c r="AZ604" s="34" t="s">
        <v>409</v>
      </c>
      <c r="BA604" s="37">
        <v>42164</v>
      </c>
      <c r="BB604" s="382">
        <v>42171</v>
      </c>
      <c r="BC604" s="42" t="s">
        <v>912</v>
      </c>
      <c r="BD604" s="42"/>
      <c r="BE604" s="34"/>
      <c r="BF604" s="39"/>
      <c r="BG604" s="39"/>
      <c r="BH604" s="39"/>
      <c r="BI604" s="39"/>
      <c r="BJ604" s="138">
        <v>8350000</v>
      </c>
      <c r="BK604" s="74"/>
      <c r="BL604" s="44"/>
      <c r="BM604" s="37"/>
      <c r="BN604" s="45"/>
      <c r="BO604" s="462"/>
      <c r="BP604" s="391"/>
      <c r="BQ604" s="34"/>
      <c r="BR604" s="42"/>
      <c r="BS604" s="39"/>
      <c r="BT604" s="39"/>
      <c r="BU604" s="39"/>
      <c r="BV604" s="39"/>
      <c r="BW604" s="51"/>
      <c r="BX604" s="41"/>
      <c r="BY604" s="37"/>
      <c r="BZ604" s="52"/>
    </row>
    <row r="605" spans="1:555" ht="162">
      <c r="A605" s="502">
        <v>351</v>
      </c>
      <c r="B605" s="686" t="s">
        <v>3907</v>
      </c>
      <c r="C605" s="687">
        <v>93295097</v>
      </c>
      <c r="D605" s="688" t="s">
        <v>597</v>
      </c>
      <c r="E605" s="27">
        <v>42689</v>
      </c>
      <c r="F605" s="689">
        <v>42675</v>
      </c>
      <c r="G605" s="690" t="s">
        <v>3908</v>
      </c>
      <c r="H605" s="686" t="s">
        <v>63</v>
      </c>
      <c r="I605" s="686" t="s">
        <v>183</v>
      </c>
      <c r="J605" s="27">
        <v>42746</v>
      </c>
      <c r="K605" s="689">
        <v>42736</v>
      </c>
      <c r="L605" s="690" t="s">
        <v>3909</v>
      </c>
      <c r="M605" s="686" t="s">
        <v>625</v>
      </c>
      <c r="N605" s="686" t="s">
        <v>183</v>
      </c>
      <c r="O605" s="27">
        <v>43207</v>
      </c>
      <c r="P605" s="691">
        <v>43191</v>
      </c>
      <c r="Q605" s="690" t="s">
        <v>3910</v>
      </c>
      <c r="R605" s="686" t="s">
        <v>63</v>
      </c>
      <c r="S605" s="686" t="s">
        <v>3911</v>
      </c>
      <c r="T605" s="27"/>
      <c r="U605" s="689"/>
      <c r="V605" s="690"/>
      <c r="W605" s="686"/>
      <c r="X605" s="686"/>
      <c r="Y605" s="27"/>
      <c r="Z605" s="689"/>
      <c r="AA605" s="690"/>
      <c r="AB605" s="686"/>
      <c r="AC605" s="686"/>
      <c r="AD605" s="27"/>
      <c r="AE605" s="689"/>
      <c r="AF605" s="690"/>
      <c r="AG605" s="686"/>
      <c r="AH605" s="686"/>
      <c r="AI605" s="704"/>
      <c r="AJ605" s="689"/>
      <c r="AK605" s="690"/>
      <c r="AL605" s="686"/>
      <c r="AM605" s="686"/>
      <c r="AN605" s="686" t="s">
        <v>3912</v>
      </c>
      <c r="AO605" s="694">
        <v>42686</v>
      </c>
      <c r="AP605" s="686"/>
      <c r="AQ605" s="690" t="s">
        <v>3913</v>
      </c>
      <c r="AR605" s="686" t="s">
        <v>161</v>
      </c>
      <c r="AS605" s="27">
        <v>38281</v>
      </c>
      <c r="AT605" s="27">
        <v>40084</v>
      </c>
      <c r="AU605" s="686" t="s">
        <v>3914</v>
      </c>
      <c r="AV605" s="686"/>
      <c r="AW605" s="686" t="s">
        <v>92</v>
      </c>
      <c r="AX605" s="686" t="s">
        <v>3915</v>
      </c>
      <c r="AY605" s="27">
        <v>41355</v>
      </c>
      <c r="AZ605" s="686" t="s">
        <v>94</v>
      </c>
      <c r="BA605" s="27">
        <v>42621</v>
      </c>
      <c r="BB605" s="27">
        <v>42635</v>
      </c>
      <c r="BC605" s="686" t="s">
        <v>95</v>
      </c>
      <c r="BD605" s="686" t="s">
        <v>566</v>
      </c>
      <c r="BE605" s="686"/>
      <c r="BF605" s="690" t="s">
        <v>7306</v>
      </c>
      <c r="BG605" s="690"/>
      <c r="BH605" s="690"/>
      <c r="BI605" s="690"/>
      <c r="BJ605" s="803">
        <f>+[150]MATRIZ!$J$66</f>
        <v>0</v>
      </c>
      <c r="BK605" s="696"/>
      <c r="BL605" s="697"/>
      <c r="BM605" s="27"/>
      <c r="BN605" s="698"/>
      <c r="BO605" s="699"/>
      <c r="BP605" s="700"/>
      <c r="BQ605" s="686"/>
      <c r="BR605" s="701"/>
      <c r="BS605" s="690"/>
      <c r="BT605" s="690"/>
      <c r="BU605" s="690"/>
      <c r="BV605" s="690"/>
      <c r="BW605" s="702"/>
      <c r="BX605" s="693"/>
      <c r="BY605" s="27"/>
      <c r="BZ605" s="703"/>
      <c r="CA605" s="259"/>
      <c r="CB605" s="259"/>
      <c r="CC605" s="259"/>
      <c r="CD605" s="259"/>
      <c r="CE605" s="259"/>
      <c r="CF605" s="259"/>
      <c r="CG605" s="259"/>
      <c r="CH605" s="259"/>
      <c r="CI605" s="259"/>
      <c r="CJ605" s="259"/>
      <c r="CK605" s="259"/>
      <c r="CL605" s="259"/>
      <c r="CM605" s="259"/>
      <c r="CN605" s="259"/>
      <c r="CO605" s="259"/>
      <c r="CP605" s="259"/>
      <c r="CQ605" s="259"/>
      <c r="CR605" s="259"/>
      <c r="CS605" s="259"/>
      <c r="CT605" s="259"/>
      <c r="CU605" s="259"/>
      <c r="CV605" s="259"/>
      <c r="CW605" s="259"/>
      <c r="CX605" s="259"/>
      <c r="CY605" s="259"/>
      <c r="CZ605" s="259"/>
      <c r="DA605" s="259"/>
      <c r="DB605" s="259"/>
      <c r="DC605" s="259"/>
      <c r="DD605" s="259"/>
      <c r="DE605" s="259"/>
      <c r="DF605" s="259"/>
      <c r="DG605" s="259"/>
      <c r="DH605" s="259"/>
      <c r="DI605" s="259"/>
      <c r="DJ605" s="259"/>
      <c r="DK605" s="259"/>
      <c r="DL605" s="259"/>
      <c r="DM605" s="259"/>
      <c r="DN605" s="259"/>
      <c r="DO605" s="259"/>
      <c r="DP605" s="259"/>
      <c r="DQ605" s="259"/>
      <c r="DR605" s="259"/>
      <c r="DS605" s="259"/>
      <c r="DT605" s="259"/>
      <c r="DU605" s="259"/>
      <c r="DV605" s="259"/>
      <c r="DW605" s="259"/>
      <c r="DX605" s="259"/>
      <c r="DY605" s="259"/>
      <c r="DZ605" s="259"/>
      <c r="EA605" s="259"/>
      <c r="EB605" s="259"/>
      <c r="EC605" s="259"/>
      <c r="ED605" s="259"/>
      <c r="EE605" s="259"/>
      <c r="EF605" s="259"/>
      <c r="EG605" s="259"/>
      <c r="EH605" s="259"/>
      <c r="EI605" s="259"/>
      <c r="EJ605" s="259"/>
      <c r="EK605" s="259"/>
      <c r="EL605" s="259"/>
      <c r="EM605" s="259"/>
      <c r="EN605" s="259"/>
      <c r="EO605" s="259"/>
      <c r="EP605" s="259"/>
      <c r="EQ605" s="259"/>
      <c r="ER605" s="259"/>
      <c r="ES605" s="259"/>
      <c r="ET605" s="259"/>
      <c r="EU605" s="259"/>
      <c r="EV605" s="259"/>
      <c r="EW605" s="259"/>
      <c r="EX605" s="259"/>
      <c r="EY605" s="259"/>
      <c r="EZ605" s="259"/>
      <c r="FA605" s="259"/>
      <c r="FB605" s="259"/>
      <c r="FC605" s="259"/>
      <c r="FD605" s="259"/>
      <c r="FE605" s="259"/>
      <c r="FF605" s="259"/>
      <c r="FG605" s="259"/>
      <c r="FH605" s="259"/>
      <c r="FI605" s="259"/>
      <c r="FJ605" s="259"/>
      <c r="FK605" s="259"/>
      <c r="FL605" s="259"/>
      <c r="FM605" s="259"/>
      <c r="FN605" s="259"/>
      <c r="FO605" s="259"/>
      <c r="FP605" s="259"/>
      <c r="FQ605" s="259"/>
      <c r="FR605" s="259"/>
      <c r="FS605" s="259"/>
      <c r="FT605" s="259"/>
      <c r="FU605" s="259"/>
      <c r="FV605" s="259"/>
      <c r="FW605" s="259"/>
      <c r="FX605" s="259"/>
      <c r="FY605" s="259"/>
      <c r="FZ605" s="259"/>
      <c r="GA605" s="259"/>
      <c r="GB605" s="259"/>
      <c r="GC605" s="259"/>
      <c r="GD605" s="259"/>
      <c r="GE605" s="259"/>
      <c r="GF605" s="259"/>
      <c r="GG605" s="259"/>
      <c r="GH605" s="259"/>
      <c r="GI605" s="259"/>
      <c r="GJ605" s="259"/>
      <c r="GK605" s="259"/>
      <c r="GL605" s="259"/>
      <c r="GM605" s="259"/>
      <c r="GN605" s="259"/>
      <c r="GO605" s="259"/>
      <c r="GP605" s="259"/>
      <c r="GQ605" s="259"/>
      <c r="GR605" s="259"/>
      <c r="GS605" s="259"/>
      <c r="GT605" s="259"/>
      <c r="GU605" s="259"/>
      <c r="GV605" s="259"/>
      <c r="GW605" s="259"/>
      <c r="GX605" s="259"/>
      <c r="GY605" s="259"/>
      <c r="GZ605" s="259"/>
      <c r="HA605" s="259"/>
      <c r="HB605" s="259"/>
      <c r="HC605" s="259"/>
      <c r="HD605" s="259"/>
      <c r="HE605" s="259"/>
      <c r="HF605" s="259"/>
      <c r="HG605" s="259"/>
      <c r="HH605" s="259"/>
      <c r="HI605" s="259"/>
      <c r="HJ605" s="259"/>
      <c r="HK605" s="259"/>
      <c r="HL605" s="259"/>
      <c r="HM605" s="259"/>
      <c r="HN605" s="259"/>
      <c r="HO605" s="259"/>
      <c r="HP605" s="259"/>
      <c r="HQ605" s="259"/>
      <c r="HR605" s="259"/>
      <c r="HS605" s="259"/>
      <c r="HT605" s="259"/>
      <c r="HU605" s="259"/>
      <c r="HV605" s="259"/>
      <c r="HW605" s="259"/>
      <c r="HX605" s="259"/>
      <c r="HY605" s="259"/>
      <c r="HZ605" s="259"/>
      <c r="IA605" s="259"/>
      <c r="IB605" s="259"/>
      <c r="IC605" s="259"/>
      <c r="ID605" s="259"/>
      <c r="IE605" s="259"/>
      <c r="IF605" s="259"/>
      <c r="IG605" s="259"/>
      <c r="IH605" s="259"/>
      <c r="II605" s="259"/>
      <c r="IJ605" s="259"/>
      <c r="IK605" s="259"/>
      <c r="IL605" s="259"/>
      <c r="IM605" s="259"/>
      <c r="IN605" s="259"/>
      <c r="IO605" s="259"/>
      <c r="IP605" s="259"/>
      <c r="IQ605" s="259"/>
      <c r="IR605" s="259"/>
      <c r="IS605" s="259"/>
      <c r="IT605" s="259"/>
      <c r="IU605" s="259"/>
      <c r="IV605" s="259"/>
      <c r="IW605" s="259"/>
      <c r="IX605" s="259"/>
      <c r="IY605" s="259"/>
      <c r="IZ605" s="259"/>
      <c r="JA605" s="259"/>
      <c r="JB605" s="259"/>
      <c r="JC605" s="259"/>
      <c r="JD605" s="259"/>
      <c r="JE605" s="259"/>
      <c r="JF605" s="259"/>
      <c r="JG605" s="259"/>
      <c r="JH605" s="259"/>
      <c r="JI605" s="259"/>
      <c r="JJ605" s="259"/>
      <c r="JK605" s="259"/>
      <c r="JL605" s="259"/>
      <c r="JM605" s="259"/>
      <c r="JN605" s="259"/>
      <c r="JO605" s="259"/>
      <c r="JP605" s="259"/>
      <c r="JQ605" s="259"/>
      <c r="JR605" s="259"/>
      <c r="JS605" s="259"/>
      <c r="JT605" s="259"/>
      <c r="JU605" s="259"/>
      <c r="JV605" s="259"/>
      <c r="JW605" s="259"/>
      <c r="JX605" s="259"/>
      <c r="JY605" s="259"/>
      <c r="JZ605" s="259"/>
      <c r="KA605" s="259"/>
      <c r="KB605" s="259"/>
      <c r="KC605" s="259"/>
      <c r="KD605" s="259"/>
      <c r="KE605" s="259"/>
      <c r="KF605" s="259"/>
      <c r="KG605" s="259"/>
      <c r="KH605" s="259"/>
      <c r="KI605" s="259"/>
      <c r="KJ605" s="259"/>
      <c r="KK605" s="259"/>
      <c r="KL605" s="259"/>
      <c r="KM605" s="259"/>
      <c r="KN605" s="259"/>
      <c r="KO605" s="259"/>
      <c r="KP605" s="259"/>
      <c r="KQ605" s="259"/>
      <c r="KR605" s="259"/>
      <c r="KS605" s="259"/>
      <c r="KT605" s="259"/>
      <c r="KU605" s="259"/>
      <c r="KV605" s="259"/>
      <c r="KW605" s="259"/>
      <c r="KX605" s="259"/>
      <c r="KY605" s="259"/>
      <c r="KZ605" s="259"/>
      <c r="LA605" s="259"/>
      <c r="LB605" s="259"/>
      <c r="LC605" s="259"/>
      <c r="LD605" s="259"/>
      <c r="LE605" s="259"/>
      <c r="LF605" s="259"/>
      <c r="LG605" s="259"/>
      <c r="LH605" s="259"/>
      <c r="LI605" s="259"/>
      <c r="LJ605" s="259"/>
      <c r="LK605" s="259"/>
      <c r="LL605" s="259"/>
      <c r="LM605" s="259"/>
      <c r="LN605" s="259"/>
      <c r="LO605" s="259"/>
      <c r="LP605" s="259"/>
      <c r="LQ605" s="259"/>
      <c r="LR605" s="259"/>
      <c r="LS605" s="259"/>
      <c r="LT605" s="259"/>
      <c r="LU605" s="259"/>
      <c r="LV605" s="259"/>
      <c r="LW605" s="259"/>
      <c r="LX605" s="259"/>
      <c r="LY605" s="259"/>
      <c r="LZ605" s="259"/>
      <c r="MA605" s="259"/>
      <c r="MB605" s="259"/>
      <c r="MC605" s="259"/>
      <c r="MD605" s="259"/>
      <c r="ME605" s="259"/>
      <c r="MF605" s="259"/>
      <c r="MG605" s="259"/>
      <c r="MH605" s="259"/>
      <c r="MI605" s="259"/>
      <c r="MJ605" s="259"/>
      <c r="MK605" s="259"/>
      <c r="ML605" s="259"/>
      <c r="MM605" s="259"/>
      <c r="MN605" s="259"/>
      <c r="MO605" s="259"/>
      <c r="MP605" s="259"/>
      <c r="MQ605" s="259"/>
      <c r="MR605" s="259"/>
      <c r="MS605" s="259"/>
      <c r="MT605" s="259"/>
      <c r="MU605" s="259"/>
      <c r="MV605" s="259"/>
      <c r="MW605" s="259"/>
      <c r="MX605" s="259"/>
      <c r="MY605" s="259"/>
      <c r="MZ605" s="259"/>
      <c r="NA605" s="259"/>
      <c r="NB605" s="259"/>
      <c r="NC605" s="259"/>
      <c r="ND605" s="259"/>
      <c r="NE605" s="259"/>
      <c r="NF605" s="259"/>
      <c r="NG605" s="259"/>
      <c r="NH605" s="259"/>
      <c r="NI605" s="259"/>
      <c r="NJ605" s="259"/>
      <c r="NK605" s="259"/>
      <c r="NL605" s="259"/>
      <c r="NM605" s="259"/>
      <c r="NN605" s="259"/>
      <c r="NO605" s="259"/>
      <c r="NP605" s="259"/>
      <c r="NQ605" s="259"/>
      <c r="NR605" s="259"/>
      <c r="NS605" s="259"/>
      <c r="NT605" s="259"/>
      <c r="NU605" s="259"/>
      <c r="NV605" s="259"/>
      <c r="NW605" s="259"/>
      <c r="NX605" s="259"/>
      <c r="NY605" s="259"/>
      <c r="NZ605" s="259"/>
      <c r="OA605" s="259"/>
      <c r="OB605" s="259"/>
      <c r="OC605" s="259"/>
      <c r="OD605" s="259"/>
      <c r="OE605" s="259"/>
      <c r="OF605" s="259"/>
      <c r="OG605" s="259"/>
      <c r="OH605" s="259"/>
      <c r="OI605" s="259"/>
      <c r="OJ605" s="259"/>
      <c r="OK605" s="259"/>
      <c r="OL605" s="259"/>
      <c r="OM605" s="259"/>
      <c r="ON605" s="259"/>
      <c r="OO605" s="259"/>
      <c r="OP605" s="259"/>
      <c r="OQ605" s="259"/>
      <c r="OR605" s="259"/>
      <c r="OS605" s="259"/>
      <c r="OT605" s="259"/>
      <c r="OU605" s="259"/>
      <c r="OV605" s="259"/>
      <c r="OW605" s="259"/>
      <c r="OX605" s="259"/>
      <c r="OY605" s="259"/>
      <c r="OZ605" s="259"/>
      <c r="PA605" s="259"/>
      <c r="PB605" s="259"/>
      <c r="PC605" s="259"/>
      <c r="PD605" s="259"/>
      <c r="PE605" s="259"/>
      <c r="PF605" s="259"/>
      <c r="PG605" s="259"/>
      <c r="PH605" s="259"/>
      <c r="PI605" s="259"/>
      <c r="PJ605" s="259"/>
      <c r="PK605" s="259"/>
      <c r="PL605" s="259"/>
      <c r="PM605" s="259"/>
      <c r="PN605" s="259"/>
      <c r="PO605" s="259"/>
      <c r="PP605" s="259"/>
      <c r="PQ605" s="259"/>
      <c r="PR605" s="259"/>
      <c r="PS605" s="259"/>
      <c r="PT605" s="259"/>
      <c r="PU605" s="259"/>
      <c r="PV605" s="259"/>
      <c r="PW605" s="259"/>
      <c r="PX605" s="259"/>
      <c r="PY605" s="259"/>
      <c r="PZ605" s="259"/>
      <c r="QA605" s="259"/>
      <c r="QB605" s="259"/>
      <c r="QC605" s="259"/>
      <c r="QD605" s="259"/>
      <c r="QE605" s="259"/>
      <c r="QF605" s="259"/>
      <c r="QG605" s="259"/>
      <c r="QH605" s="259"/>
      <c r="QI605" s="259"/>
      <c r="QJ605" s="259"/>
      <c r="QK605" s="259"/>
      <c r="QL605" s="259"/>
      <c r="QM605" s="259"/>
      <c r="QN605" s="259"/>
      <c r="QO605" s="259"/>
      <c r="QP605" s="259"/>
      <c r="QQ605" s="259"/>
      <c r="QR605" s="259"/>
      <c r="QS605" s="259"/>
      <c r="QT605" s="259"/>
      <c r="QU605" s="259"/>
      <c r="QV605" s="259"/>
      <c r="QW605" s="259"/>
      <c r="QX605" s="259"/>
      <c r="QY605" s="259"/>
      <c r="QZ605" s="259"/>
      <c r="RA605" s="259"/>
      <c r="RB605" s="259"/>
      <c r="RC605" s="259"/>
      <c r="RD605" s="259"/>
      <c r="RE605" s="259"/>
      <c r="RF605" s="259"/>
      <c r="RG605" s="259"/>
      <c r="RH605" s="259"/>
      <c r="RI605" s="259"/>
      <c r="RJ605" s="259"/>
      <c r="RK605" s="259"/>
      <c r="RL605" s="259"/>
      <c r="RM605" s="259"/>
      <c r="RN605" s="259"/>
      <c r="RO605" s="259"/>
      <c r="RP605" s="259"/>
      <c r="RQ605" s="259"/>
      <c r="RR605" s="259"/>
      <c r="RS605" s="259"/>
      <c r="RT605" s="259"/>
      <c r="RU605" s="259"/>
      <c r="RV605" s="259"/>
      <c r="RW605" s="259"/>
      <c r="RX605" s="259"/>
      <c r="RY605" s="259"/>
      <c r="RZ605" s="259"/>
      <c r="SA605" s="259"/>
      <c r="SB605" s="259"/>
      <c r="SC605" s="259"/>
      <c r="SD605" s="259"/>
      <c r="SE605" s="259"/>
      <c r="SF605" s="259"/>
      <c r="SG605" s="259"/>
      <c r="SH605" s="259"/>
      <c r="SI605" s="259"/>
      <c r="SJ605" s="259"/>
      <c r="SK605" s="259"/>
      <c r="SL605" s="259"/>
      <c r="SM605" s="259"/>
      <c r="SN605" s="259"/>
      <c r="SO605" s="259"/>
      <c r="SP605" s="259"/>
      <c r="SQ605" s="259"/>
      <c r="SR605" s="259"/>
      <c r="SS605" s="259"/>
      <c r="ST605" s="259"/>
      <c r="SU605" s="259"/>
      <c r="SV605" s="259"/>
      <c r="SW605" s="259"/>
      <c r="SX605" s="259"/>
      <c r="SY605" s="259"/>
      <c r="SZ605" s="259"/>
      <c r="TA605" s="259"/>
      <c r="TB605" s="259"/>
      <c r="TC605" s="259"/>
      <c r="TD605" s="259"/>
      <c r="TE605" s="259"/>
      <c r="TF605" s="259"/>
      <c r="TG605" s="259"/>
      <c r="TH605" s="259"/>
      <c r="TI605" s="259"/>
      <c r="TJ605" s="259"/>
      <c r="TK605" s="259"/>
      <c r="TL605" s="259"/>
      <c r="TM605" s="259"/>
      <c r="TN605" s="259"/>
      <c r="TO605" s="259"/>
      <c r="TP605" s="259"/>
      <c r="TQ605" s="259"/>
      <c r="TR605" s="259"/>
      <c r="TS605" s="259"/>
      <c r="TT605" s="259"/>
      <c r="TU605" s="259"/>
      <c r="TV605" s="259"/>
      <c r="TW605" s="259"/>
      <c r="TX605" s="259"/>
      <c r="TY605" s="259"/>
      <c r="TZ605" s="259"/>
      <c r="UA605" s="259"/>
      <c r="UB605" s="259"/>
      <c r="UC605" s="259"/>
      <c r="UD605" s="259"/>
      <c r="UE605" s="259"/>
      <c r="UF605" s="259"/>
      <c r="UG605" s="259"/>
      <c r="UH605" s="259"/>
      <c r="UI605" s="259"/>
    </row>
    <row r="606" spans="1:555" s="259" customFormat="1" ht="243">
      <c r="A606" s="296">
        <v>352</v>
      </c>
      <c r="B606" s="297" t="s">
        <v>3916</v>
      </c>
      <c r="C606" s="298">
        <v>11221028</v>
      </c>
      <c r="D606" s="354" t="s">
        <v>597</v>
      </c>
      <c r="E606" s="299">
        <v>42690</v>
      </c>
      <c r="F606" s="300">
        <v>42675</v>
      </c>
      <c r="G606" s="301" t="s">
        <v>3917</v>
      </c>
      <c r="H606" s="297" t="s">
        <v>195</v>
      </c>
      <c r="I606" s="297" t="s">
        <v>183</v>
      </c>
      <c r="J606" s="299">
        <v>42697</v>
      </c>
      <c r="K606" s="300">
        <v>42675</v>
      </c>
      <c r="L606" s="301" t="s">
        <v>3918</v>
      </c>
      <c r="M606" s="297" t="s">
        <v>625</v>
      </c>
      <c r="N606" s="297" t="s">
        <v>183</v>
      </c>
      <c r="O606" s="299">
        <v>42664</v>
      </c>
      <c r="P606" s="302">
        <v>42644</v>
      </c>
      <c r="Q606" s="301" t="s">
        <v>3919</v>
      </c>
      <c r="R606" s="297" t="s">
        <v>625</v>
      </c>
      <c r="S606" s="297" t="s">
        <v>183</v>
      </c>
      <c r="T606" s="299">
        <v>42752</v>
      </c>
      <c r="U606" s="300">
        <v>42736</v>
      </c>
      <c r="V606" s="301" t="s">
        <v>3920</v>
      </c>
      <c r="W606" s="297" t="s">
        <v>63</v>
      </c>
      <c r="X606" s="297" t="s">
        <v>183</v>
      </c>
      <c r="Y606" s="299">
        <v>42750</v>
      </c>
      <c r="Z606" s="300">
        <v>42736</v>
      </c>
      <c r="AA606" s="301" t="s">
        <v>3921</v>
      </c>
      <c r="AB606" s="297" t="s">
        <v>63</v>
      </c>
      <c r="AC606" s="297" t="s">
        <v>183</v>
      </c>
      <c r="AD606" s="299" t="s">
        <v>3922</v>
      </c>
      <c r="AE606" s="300" t="s">
        <v>3923</v>
      </c>
      <c r="AF606" s="301" t="s">
        <v>3924</v>
      </c>
      <c r="AG606" s="297" t="s">
        <v>3925</v>
      </c>
      <c r="AH606" s="297" t="s">
        <v>3926</v>
      </c>
      <c r="AI606" s="322"/>
      <c r="AJ606" s="300"/>
      <c r="AK606" s="301"/>
      <c r="AL606" s="297"/>
      <c r="AM606" s="297"/>
      <c r="AN606" s="325" t="s">
        <v>3927</v>
      </c>
      <c r="AO606" s="540">
        <v>42822</v>
      </c>
      <c r="AP606" s="325"/>
      <c r="AQ606" s="301" t="s">
        <v>3928</v>
      </c>
      <c r="AR606" s="297" t="s">
        <v>161</v>
      </c>
      <c r="AS606" s="299">
        <v>40391</v>
      </c>
      <c r="AT606" s="299">
        <v>40858</v>
      </c>
      <c r="AU606" s="297" t="s">
        <v>3929</v>
      </c>
      <c r="AV606" s="297"/>
      <c r="AW606" s="297" t="s">
        <v>69</v>
      </c>
      <c r="AX606" s="297" t="s">
        <v>3930</v>
      </c>
      <c r="AY606" s="299">
        <v>42244</v>
      </c>
      <c r="AZ606" s="297" t="s">
        <v>2657</v>
      </c>
      <c r="BA606" s="299">
        <v>42494</v>
      </c>
      <c r="BB606" s="299">
        <v>42668</v>
      </c>
      <c r="BC606" s="297" t="s">
        <v>95</v>
      </c>
      <c r="BD606" s="297" t="s">
        <v>566</v>
      </c>
      <c r="BE606" s="297"/>
      <c r="BF606" s="301" t="s">
        <v>3931</v>
      </c>
      <c r="BG606" s="301"/>
      <c r="BH606" s="301"/>
      <c r="BI606" s="301"/>
      <c r="BJ606" s="968">
        <f>+'[151]MATRIZ '!$J$63</f>
        <v>21063542.470896337</v>
      </c>
      <c r="BK606" s="312"/>
      <c r="BL606" s="313"/>
      <c r="BM606" s="299"/>
      <c r="BN606" s="314"/>
      <c r="BO606" s="460"/>
      <c r="BP606" s="390"/>
      <c r="BQ606" s="297"/>
      <c r="BR606" s="303"/>
      <c r="BS606" s="301"/>
      <c r="BT606" s="301"/>
      <c r="BU606" s="301"/>
      <c r="BV606" s="301"/>
      <c r="BW606" s="316"/>
      <c r="BX606" s="304"/>
      <c r="BY606" s="299"/>
      <c r="BZ606" s="317"/>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c r="JW606" s="1"/>
      <c r="JX606" s="1"/>
      <c r="JY606" s="1"/>
      <c r="JZ606" s="1"/>
      <c r="KA606" s="1"/>
      <c r="KB606" s="1"/>
      <c r="KC606" s="1"/>
      <c r="KD606" s="1"/>
      <c r="KE606" s="1"/>
      <c r="KF606" s="1"/>
      <c r="KG606" s="1"/>
      <c r="KH606" s="1"/>
      <c r="KI606" s="1"/>
      <c r="KJ606" s="1"/>
      <c r="KK606" s="1"/>
      <c r="KL606" s="1"/>
      <c r="KM606" s="1"/>
      <c r="KN606" s="1"/>
      <c r="KO606" s="1"/>
      <c r="KP606" s="1"/>
      <c r="KQ606" s="1"/>
      <c r="KR606" s="1"/>
      <c r="KS606" s="1"/>
      <c r="KT606" s="1"/>
      <c r="KU606" s="1"/>
      <c r="KV606" s="1"/>
      <c r="KW606" s="1"/>
      <c r="KX606" s="1"/>
      <c r="KY606" s="1"/>
      <c r="KZ606" s="1"/>
      <c r="LA606" s="1"/>
      <c r="LB606" s="1"/>
      <c r="LC606" s="1"/>
      <c r="LD606" s="1"/>
      <c r="LE606" s="1"/>
      <c r="LF606" s="1"/>
      <c r="LG606" s="1"/>
      <c r="LH606" s="1"/>
      <c r="LI606" s="1"/>
      <c r="LJ606" s="1"/>
      <c r="LK606" s="1"/>
      <c r="LL606" s="1"/>
      <c r="LM606" s="1"/>
      <c r="LN606" s="1"/>
      <c r="LO606" s="1"/>
      <c r="LP606" s="1"/>
      <c r="LQ606" s="1"/>
      <c r="LR606" s="1"/>
      <c r="LS606" s="1"/>
      <c r="LT606" s="1"/>
      <c r="LU606" s="1"/>
      <c r="LV606" s="1"/>
      <c r="LW606" s="1"/>
      <c r="LX606" s="1"/>
      <c r="LY606" s="1"/>
      <c r="LZ606" s="1"/>
      <c r="MA606" s="1"/>
      <c r="MB606" s="1"/>
      <c r="MC606" s="1"/>
      <c r="MD606" s="1"/>
      <c r="ME606" s="1"/>
      <c r="MF606" s="1"/>
      <c r="MG606" s="1"/>
      <c r="MH606" s="1"/>
      <c r="MI606" s="1"/>
      <c r="MJ606" s="1"/>
      <c r="MK606" s="1"/>
      <c r="ML606" s="1"/>
      <c r="MM606" s="1"/>
      <c r="MN606" s="1"/>
      <c r="MO606" s="1"/>
      <c r="MP606" s="1"/>
      <c r="MQ606" s="1"/>
      <c r="MR606" s="1"/>
      <c r="MS606" s="1"/>
      <c r="MT606" s="1"/>
      <c r="MU606" s="1"/>
      <c r="MV606" s="1"/>
      <c r="MW606" s="1"/>
      <c r="MX606" s="1"/>
      <c r="MY606" s="1"/>
      <c r="MZ606" s="1"/>
      <c r="NA606" s="1"/>
      <c r="NB606" s="1"/>
      <c r="NC606" s="1"/>
      <c r="ND606" s="1"/>
      <c r="NE606" s="1"/>
      <c r="NF606" s="1"/>
      <c r="NG606" s="1"/>
      <c r="NH606" s="1"/>
      <c r="NI606" s="1"/>
      <c r="NJ606" s="1"/>
      <c r="NK606" s="1"/>
      <c r="NL606" s="1"/>
      <c r="NM606" s="1"/>
      <c r="NN606" s="1"/>
      <c r="NO606" s="1"/>
      <c r="NP606" s="1"/>
      <c r="NQ606" s="1"/>
      <c r="NR606" s="1"/>
      <c r="NS606" s="1"/>
      <c r="NT606" s="1"/>
      <c r="NU606" s="1"/>
      <c r="NV606" s="1"/>
      <c r="NW606" s="1"/>
      <c r="NX606" s="1"/>
      <c r="NY606" s="1"/>
      <c r="NZ606" s="1"/>
      <c r="OA606" s="1"/>
      <c r="OB606" s="1"/>
      <c r="OC606" s="1"/>
      <c r="OD606" s="1"/>
      <c r="OE606" s="1"/>
      <c r="OF606" s="1"/>
      <c r="OG606" s="1"/>
      <c r="OH606" s="1"/>
      <c r="OI606" s="1"/>
      <c r="OJ606" s="1"/>
      <c r="OK606" s="1"/>
      <c r="OL606" s="1"/>
      <c r="OM606" s="1"/>
      <c r="ON606" s="1"/>
      <c r="OO606" s="1"/>
      <c r="OP606" s="1"/>
      <c r="OQ606" s="1"/>
      <c r="OR606" s="1"/>
      <c r="OS606" s="1"/>
      <c r="OT606" s="1"/>
      <c r="OU606" s="1"/>
      <c r="OV606" s="1"/>
      <c r="OW606" s="1"/>
      <c r="OX606" s="1"/>
      <c r="OY606" s="1"/>
      <c r="OZ606" s="1"/>
      <c r="PA606" s="1"/>
      <c r="PB606" s="1"/>
      <c r="PC606" s="1"/>
      <c r="PD606" s="1"/>
      <c r="PE606" s="1"/>
      <c r="PF606" s="1"/>
      <c r="PG606" s="1"/>
      <c r="PH606" s="1"/>
      <c r="PI606" s="1"/>
      <c r="PJ606" s="1"/>
      <c r="PK606" s="1"/>
      <c r="PL606" s="1"/>
      <c r="PM606" s="1"/>
      <c r="PN606" s="1"/>
      <c r="PO606" s="1"/>
      <c r="PP606" s="1"/>
      <c r="PQ606" s="1"/>
      <c r="PR606" s="1"/>
      <c r="PS606" s="1"/>
      <c r="PT606" s="1"/>
      <c r="PU606" s="1"/>
      <c r="PV606" s="1"/>
      <c r="PW606" s="1"/>
      <c r="PX606" s="1"/>
      <c r="PY606" s="1"/>
      <c r="PZ606" s="1"/>
      <c r="QA606" s="1"/>
      <c r="QB606" s="1"/>
      <c r="QC606" s="1"/>
      <c r="QD606" s="1"/>
      <c r="QE606" s="1"/>
      <c r="QF606" s="1"/>
      <c r="QG606" s="1"/>
      <c r="QH606" s="1"/>
      <c r="QI606" s="1"/>
      <c r="QJ606" s="1"/>
      <c r="QK606" s="1"/>
      <c r="QL606" s="1"/>
      <c r="QM606" s="1"/>
      <c r="QN606" s="1"/>
      <c r="QO606" s="1"/>
      <c r="QP606" s="1"/>
      <c r="QQ606" s="1"/>
      <c r="QR606" s="1"/>
      <c r="QS606" s="1"/>
      <c r="QT606" s="1"/>
      <c r="QU606" s="1"/>
      <c r="QV606" s="1"/>
      <c r="QW606" s="1"/>
      <c r="QX606" s="1"/>
      <c r="QY606" s="1"/>
      <c r="QZ606" s="1"/>
      <c r="RA606" s="1"/>
      <c r="RB606" s="1"/>
      <c r="RC606" s="1"/>
      <c r="RD606" s="1"/>
      <c r="RE606" s="1"/>
      <c r="RF606" s="1"/>
      <c r="RG606" s="1"/>
      <c r="RH606" s="1"/>
      <c r="RI606" s="1"/>
      <c r="RJ606" s="1"/>
      <c r="RK606" s="1"/>
      <c r="RL606" s="1"/>
      <c r="RM606" s="1"/>
      <c r="RN606" s="1"/>
      <c r="RO606" s="1"/>
      <c r="RP606" s="1"/>
      <c r="RQ606" s="1"/>
      <c r="RR606" s="1"/>
      <c r="RS606" s="1"/>
      <c r="RT606" s="1"/>
      <c r="RU606" s="1"/>
      <c r="RV606" s="1"/>
      <c r="RW606" s="1"/>
      <c r="RX606" s="1"/>
      <c r="RY606" s="1"/>
      <c r="RZ606" s="1"/>
      <c r="SA606" s="1"/>
      <c r="SB606" s="1"/>
      <c r="SC606" s="1"/>
      <c r="SD606" s="1"/>
      <c r="SE606" s="1"/>
      <c r="SF606" s="1"/>
      <c r="SG606" s="1"/>
      <c r="SH606" s="1"/>
      <c r="SI606" s="1"/>
      <c r="SJ606" s="1"/>
      <c r="SK606" s="1"/>
      <c r="SL606" s="1"/>
      <c r="SM606" s="1"/>
      <c r="SN606" s="1"/>
      <c r="SO606" s="1"/>
      <c r="SP606" s="1"/>
      <c r="SQ606" s="1"/>
      <c r="SR606" s="1"/>
      <c r="SS606" s="1"/>
      <c r="ST606" s="1"/>
      <c r="SU606" s="1"/>
      <c r="SV606" s="1"/>
      <c r="SW606" s="1"/>
      <c r="SX606" s="1"/>
      <c r="SY606" s="1"/>
      <c r="SZ606" s="1"/>
      <c r="TA606" s="1"/>
      <c r="TB606" s="1"/>
      <c r="TC606" s="1"/>
      <c r="TD606" s="1"/>
      <c r="TE606" s="1"/>
      <c r="TF606" s="1"/>
      <c r="TG606" s="1"/>
      <c r="TH606" s="1"/>
      <c r="TI606" s="1"/>
      <c r="TJ606" s="1"/>
      <c r="TK606" s="1"/>
      <c r="TL606" s="1"/>
      <c r="TM606" s="1"/>
      <c r="TN606" s="1"/>
      <c r="TO606" s="1"/>
      <c r="TP606" s="1"/>
      <c r="TQ606" s="1"/>
      <c r="TR606" s="1"/>
      <c r="TS606" s="1"/>
      <c r="TT606" s="1"/>
      <c r="TU606" s="1"/>
      <c r="TV606" s="1"/>
      <c r="TW606" s="1"/>
      <c r="TX606" s="1"/>
      <c r="TY606" s="1"/>
      <c r="TZ606" s="1"/>
      <c r="UA606" s="1"/>
      <c r="UB606" s="1"/>
      <c r="UC606" s="1"/>
      <c r="UD606" s="1"/>
      <c r="UE606" s="1"/>
      <c r="UF606" s="1"/>
      <c r="UG606" s="1"/>
      <c r="UH606" s="1"/>
      <c r="UI606" s="1"/>
    </row>
    <row r="607" spans="1:555" s="259" customFormat="1" ht="95.25" customHeight="1">
      <c r="A607" s="502">
        <v>354</v>
      </c>
      <c r="B607" s="704" t="s">
        <v>3953</v>
      </c>
      <c r="C607" s="804">
        <v>75100184</v>
      </c>
      <c r="D607" s="688" t="s">
        <v>564</v>
      </c>
      <c r="E607" s="27">
        <v>42692</v>
      </c>
      <c r="F607" s="689">
        <v>42675</v>
      </c>
      <c r="G607" s="704" t="s">
        <v>3954</v>
      </c>
      <c r="H607" s="704" t="s">
        <v>152</v>
      </c>
      <c r="I607" s="704" t="s">
        <v>336</v>
      </c>
      <c r="J607" s="27">
        <v>42683</v>
      </c>
      <c r="K607" s="689">
        <v>42675</v>
      </c>
      <c r="L607" s="693" t="s">
        <v>3955</v>
      </c>
      <c r="M607" s="693" t="s">
        <v>63</v>
      </c>
      <c r="N607" s="704" t="s">
        <v>101</v>
      </c>
      <c r="O607" s="27">
        <v>42747</v>
      </c>
      <c r="P607" s="689">
        <v>42736</v>
      </c>
      <c r="Q607" s="704" t="s">
        <v>3956</v>
      </c>
      <c r="R607" s="704" t="s">
        <v>63</v>
      </c>
      <c r="S607" s="704" t="s">
        <v>3957</v>
      </c>
      <c r="T607" s="27">
        <v>42765</v>
      </c>
      <c r="U607" s="689">
        <v>42736</v>
      </c>
      <c r="V607" s="704" t="s">
        <v>3958</v>
      </c>
      <c r="W607" s="704" t="s">
        <v>63</v>
      </c>
      <c r="X607" s="704" t="s">
        <v>336</v>
      </c>
      <c r="Y607" s="27">
        <v>42786</v>
      </c>
      <c r="Z607" s="689">
        <v>42767</v>
      </c>
      <c r="AA607" s="704" t="s">
        <v>3959</v>
      </c>
      <c r="AB607" s="704" t="s">
        <v>63</v>
      </c>
      <c r="AC607" s="704" t="s">
        <v>336</v>
      </c>
      <c r="AD607" s="27" t="s">
        <v>10472</v>
      </c>
      <c r="AE607" s="689" t="s">
        <v>10473</v>
      </c>
      <c r="AF607" s="704" t="s">
        <v>10471</v>
      </c>
      <c r="AG607" s="704" t="s">
        <v>10474</v>
      </c>
      <c r="AH607" s="704" t="s">
        <v>10475</v>
      </c>
      <c r="AI607" s="16" t="s">
        <v>9161</v>
      </c>
      <c r="AJ607" s="27" t="s">
        <v>9162</v>
      </c>
      <c r="AK607" s="706" t="s">
        <v>9163</v>
      </c>
      <c r="AL607" s="27" t="s">
        <v>9167</v>
      </c>
      <c r="AM607" s="27" t="s">
        <v>9164</v>
      </c>
      <c r="AN607" s="695" t="s">
        <v>3912</v>
      </c>
      <c r="AO607" s="805">
        <v>42765</v>
      </c>
      <c r="AP607" s="704"/>
      <c r="AQ607" s="704" t="s">
        <v>3960</v>
      </c>
      <c r="AR607" s="704" t="s">
        <v>161</v>
      </c>
      <c r="AS607" s="27">
        <v>37956</v>
      </c>
      <c r="AT607" s="27">
        <v>39447</v>
      </c>
      <c r="AU607" s="704" t="s">
        <v>7553</v>
      </c>
      <c r="AV607" s="704"/>
      <c r="AW607" s="704" t="s">
        <v>92</v>
      </c>
      <c r="AX607" s="704" t="s">
        <v>627</v>
      </c>
      <c r="AY607" s="27">
        <v>42047</v>
      </c>
      <c r="AZ607" s="704" t="s">
        <v>1040</v>
      </c>
      <c r="BA607" s="27">
        <v>42649</v>
      </c>
      <c r="BB607" s="27">
        <v>42671</v>
      </c>
      <c r="BC607" s="704" t="s">
        <v>95</v>
      </c>
      <c r="BD607" s="706" t="s">
        <v>7355</v>
      </c>
      <c r="BE607" s="704"/>
      <c r="BF607" s="704" t="s">
        <v>3961</v>
      </c>
      <c r="BG607" s="704"/>
      <c r="BH607" s="704"/>
      <c r="BI607" s="700">
        <v>78277500</v>
      </c>
      <c r="BJ607" s="803">
        <f>+[152]MATRIZ!$J$62</f>
        <v>0</v>
      </c>
      <c r="BK607" s="806"/>
      <c r="BL607" s="704"/>
      <c r="BM607" s="698"/>
      <c r="BN607" s="706"/>
      <c r="BO607" s="807"/>
      <c r="BP607" s="700"/>
      <c r="BQ607" s="695"/>
      <c r="BR607" s="695"/>
      <c r="BS607" s="704"/>
      <c r="BT607" s="704"/>
      <c r="BU607" s="700"/>
      <c r="BV607" s="700"/>
      <c r="BW607" s="806"/>
      <c r="BX607" s="693"/>
      <c r="BY607" s="704"/>
      <c r="BZ607" s="808"/>
    </row>
    <row r="608" spans="1:555" ht="66" customHeight="1">
      <c r="A608" s="502">
        <v>355</v>
      </c>
      <c r="B608" s="686" t="s">
        <v>3962</v>
      </c>
      <c r="C608" s="687">
        <v>17583126</v>
      </c>
      <c r="D608" s="688" t="s">
        <v>906</v>
      </c>
      <c r="E608" s="27">
        <v>42695</v>
      </c>
      <c r="F608" s="689">
        <v>42675</v>
      </c>
      <c r="G608" s="690" t="s">
        <v>3963</v>
      </c>
      <c r="H608" s="686" t="s">
        <v>625</v>
      </c>
      <c r="I608" s="686" t="s">
        <v>183</v>
      </c>
      <c r="J608" s="27">
        <v>42783</v>
      </c>
      <c r="K608" s="689">
        <v>42767</v>
      </c>
      <c r="L608" s="690" t="s">
        <v>3964</v>
      </c>
      <c r="M608" s="686" t="s">
        <v>171</v>
      </c>
      <c r="N608" s="686" t="s">
        <v>1544</v>
      </c>
      <c r="O608" s="27"/>
      <c r="P608" s="691"/>
      <c r="Q608" s="690"/>
      <c r="R608" s="686"/>
      <c r="S608" s="686"/>
      <c r="T608" s="27"/>
      <c r="U608" s="689"/>
      <c r="V608" s="690"/>
      <c r="W608" s="686"/>
      <c r="X608" s="686"/>
      <c r="Y608" s="27"/>
      <c r="Z608" s="689"/>
      <c r="AA608" s="690"/>
      <c r="AB608" s="686"/>
      <c r="AC608" s="686"/>
      <c r="AD608" s="27"/>
      <c r="AE608" s="689"/>
      <c r="AF608" s="690"/>
      <c r="AG608" s="686"/>
      <c r="AH608" s="686"/>
      <c r="AI608" s="704"/>
      <c r="AJ608" s="689"/>
      <c r="AK608" s="690"/>
      <c r="AL608" s="686"/>
      <c r="AM608" s="686"/>
      <c r="AN608" s="686" t="s">
        <v>3376</v>
      </c>
      <c r="AO608" s="705"/>
      <c r="AP608" s="686"/>
      <c r="AQ608" s="690" t="s">
        <v>3965</v>
      </c>
      <c r="AR608" s="686" t="s">
        <v>161</v>
      </c>
      <c r="AS608" s="27">
        <v>40527</v>
      </c>
      <c r="AT608" s="27">
        <v>40908</v>
      </c>
      <c r="AU608" s="686" t="s">
        <v>3966</v>
      </c>
      <c r="AV608" s="686"/>
      <c r="AW608" s="686" t="s">
        <v>69</v>
      </c>
      <c r="AX608" s="686" t="s">
        <v>3967</v>
      </c>
      <c r="AY608" s="27">
        <v>42174</v>
      </c>
      <c r="AZ608" s="686" t="s">
        <v>94</v>
      </c>
      <c r="BA608" s="27">
        <v>42565</v>
      </c>
      <c r="BB608" s="27">
        <v>42697</v>
      </c>
      <c r="BC608" s="701" t="s">
        <v>912</v>
      </c>
      <c r="BD608" s="701" t="s">
        <v>566</v>
      </c>
      <c r="BE608" s="686"/>
      <c r="BF608" s="690"/>
      <c r="BG608" s="690"/>
      <c r="BH608" s="690"/>
      <c r="BI608" s="690"/>
      <c r="BJ608" s="803">
        <f>+[153]MATRIZ!$J$55</f>
        <v>0</v>
      </c>
      <c r="BK608" s="696"/>
      <c r="BL608" s="697"/>
      <c r="BM608" s="27"/>
      <c r="BN608" s="698"/>
      <c r="BO608" s="699"/>
      <c r="BP608" s="700"/>
      <c r="BQ608" s="686"/>
      <c r="BR608" s="701"/>
      <c r="BS608" s="690"/>
      <c r="BT608" s="690"/>
      <c r="BU608" s="690"/>
      <c r="BV608" s="690"/>
      <c r="BW608" s="702"/>
      <c r="BX608" s="693"/>
      <c r="BY608" s="27"/>
      <c r="BZ608" s="703"/>
      <c r="CA608" s="259"/>
      <c r="CB608" s="259"/>
      <c r="CC608" s="259"/>
      <c r="CD608" s="259"/>
      <c r="CE608" s="259"/>
      <c r="CF608" s="259"/>
      <c r="CG608" s="259"/>
      <c r="CH608" s="259"/>
      <c r="CI608" s="259"/>
      <c r="CJ608" s="259"/>
      <c r="CK608" s="259"/>
      <c r="CL608" s="259"/>
      <c r="CM608" s="259"/>
      <c r="CN608" s="259"/>
      <c r="CO608" s="259"/>
      <c r="CP608" s="259"/>
      <c r="CQ608" s="259"/>
      <c r="CR608" s="259"/>
      <c r="CS608" s="259"/>
      <c r="CT608" s="259"/>
      <c r="CU608" s="259"/>
      <c r="CV608" s="259"/>
      <c r="CW608" s="259"/>
      <c r="CX608" s="259"/>
      <c r="CY608" s="259"/>
      <c r="CZ608" s="259"/>
      <c r="DA608" s="259"/>
      <c r="DB608" s="259"/>
      <c r="DC608" s="259"/>
      <c r="DD608" s="259"/>
      <c r="DE608" s="259"/>
      <c r="DF608" s="259"/>
      <c r="DG608" s="259"/>
      <c r="DH608" s="259"/>
      <c r="DI608" s="259"/>
      <c r="DJ608" s="259"/>
      <c r="DK608" s="259"/>
      <c r="DL608" s="259"/>
      <c r="DM608" s="259"/>
      <c r="DN608" s="259"/>
      <c r="DO608" s="259"/>
      <c r="DP608" s="259"/>
      <c r="DQ608" s="259"/>
      <c r="DR608" s="259"/>
      <c r="DS608" s="259"/>
      <c r="DT608" s="259"/>
      <c r="DU608" s="259"/>
      <c r="DV608" s="259"/>
      <c r="DW608" s="259"/>
      <c r="DX608" s="259"/>
      <c r="DY608" s="259"/>
      <c r="DZ608" s="259"/>
      <c r="EA608" s="259"/>
      <c r="EB608" s="259"/>
      <c r="EC608" s="259"/>
      <c r="ED608" s="259"/>
      <c r="EE608" s="259"/>
      <c r="EF608" s="259"/>
      <c r="EG608" s="259"/>
      <c r="EH608" s="259"/>
      <c r="EI608" s="259"/>
      <c r="EJ608" s="259"/>
      <c r="EK608" s="259"/>
      <c r="EL608" s="259"/>
      <c r="EM608" s="259"/>
      <c r="EN608" s="259"/>
      <c r="EO608" s="259"/>
      <c r="EP608" s="259"/>
      <c r="EQ608" s="259"/>
      <c r="ER608" s="259"/>
      <c r="ES608" s="259"/>
      <c r="ET608" s="259"/>
      <c r="EU608" s="259"/>
      <c r="EV608" s="259"/>
      <c r="EW608" s="259"/>
      <c r="EX608" s="259"/>
      <c r="EY608" s="259"/>
      <c r="EZ608" s="259"/>
      <c r="FA608" s="259"/>
      <c r="FB608" s="259"/>
      <c r="FC608" s="259"/>
      <c r="FD608" s="259"/>
      <c r="FE608" s="259"/>
      <c r="FF608" s="259"/>
      <c r="FG608" s="259"/>
      <c r="FH608" s="259"/>
      <c r="FI608" s="259"/>
      <c r="FJ608" s="259"/>
      <c r="FK608" s="259"/>
      <c r="FL608" s="259"/>
      <c r="FM608" s="259"/>
      <c r="FN608" s="259"/>
      <c r="FO608" s="259"/>
      <c r="FP608" s="259"/>
      <c r="FQ608" s="259"/>
      <c r="FR608" s="259"/>
      <c r="FS608" s="259"/>
      <c r="FT608" s="259"/>
      <c r="FU608" s="259"/>
      <c r="FV608" s="259"/>
      <c r="FW608" s="259"/>
      <c r="FX608" s="259"/>
      <c r="FY608" s="259"/>
      <c r="FZ608" s="259"/>
      <c r="GA608" s="259"/>
      <c r="GB608" s="259"/>
      <c r="GC608" s="259"/>
      <c r="GD608" s="259"/>
      <c r="GE608" s="259"/>
      <c r="GF608" s="259"/>
      <c r="GG608" s="259"/>
      <c r="GH608" s="259"/>
      <c r="GI608" s="259"/>
      <c r="GJ608" s="259"/>
      <c r="GK608" s="259"/>
      <c r="GL608" s="259"/>
      <c r="GM608" s="259"/>
      <c r="GN608" s="259"/>
      <c r="GO608" s="259"/>
      <c r="GP608" s="259"/>
      <c r="GQ608" s="259"/>
      <c r="GR608" s="259"/>
      <c r="GS608" s="259"/>
      <c r="GT608" s="259"/>
      <c r="GU608" s="259"/>
      <c r="GV608" s="259"/>
      <c r="GW608" s="259"/>
      <c r="GX608" s="259"/>
      <c r="GY608" s="259"/>
      <c r="GZ608" s="259"/>
      <c r="HA608" s="259"/>
      <c r="HB608" s="259"/>
      <c r="HC608" s="259"/>
      <c r="HD608" s="259"/>
      <c r="HE608" s="259"/>
      <c r="HF608" s="259"/>
      <c r="HG608" s="259"/>
      <c r="HH608" s="259"/>
      <c r="HI608" s="259"/>
      <c r="HJ608" s="259"/>
      <c r="HK608" s="259"/>
      <c r="HL608" s="259"/>
      <c r="HM608" s="259"/>
      <c r="HN608" s="259"/>
      <c r="HO608" s="259"/>
      <c r="HP608" s="259"/>
      <c r="HQ608" s="259"/>
      <c r="HR608" s="259"/>
      <c r="HS608" s="259"/>
      <c r="HT608" s="259"/>
      <c r="HU608" s="259"/>
      <c r="HV608" s="259"/>
      <c r="HW608" s="259"/>
      <c r="HX608" s="259"/>
      <c r="HY608" s="259"/>
      <c r="HZ608" s="259"/>
      <c r="IA608" s="259"/>
      <c r="IB608" s="259"/>
      <c r="IC608" s="259"/>
      <c r="ID608" s="259"/>
      <c r="IE608" s="259"/>
      <c r="IF608" s="259"/>
      <c r="IG608" s="259"/>
      <c r="IH608" s="259"/>
      <c r="II608" s="259"/>
      <c r="IJ608" s="259"/>
      <c r="IK608" s="259"/>
      <c r="IL608" s="259"/>
      <c r="IM608" s="259"/>
      <c r="IN608" s="259"/>
      <c r="IO608" s="259"/>
      <c r="IP608" s="259"/>
      <c r="IQ608" s="259"/>
      <c r="IR608" s="259"/>
      <c r="IS608" s="259"/>
      <c r="IT608" s="259"/>
      <c r="IU608" s="259"/>
      <c r="IV608" s="259"/>
      <c r="IW608" s="259"/>
      <c r="IX608" s="259"/>
      <c r="IY608" s="259"/>
      <c r="IZ608" s="259"/>
      <c r="JA608" s="259"/>
      <c r="JB608" s="259"/>
      <c r="JC608" s="259"/>
      <c r="JD608" s="259"/>
      <c r="JE608" s="259"/>
      <c r="JF608" s="259"/>
      <c r="JG608" s="259"/>
      <c r="JH608" s="259"/>
      <c r="JI608" s="259"/>
      <c r="JJ608" s="259"/>
      <c r="JK608" s="259"/>
      <c r="JL608" s="259"/>
      <c r="JM608" s="259"/>
      <c r="JN608" s="259"/>
      <c r="JO608" s="259"/>
      <c r="JP608" s="259"/>
      <c r="JQ608" s="259"/>
      <c r="JR608" s="259"/>
      <c r="JS608" s="259"/>
      <c r="JT608" s="259"/>
      <c r="JU608" s="259"/>
      <c r="JV608" s="259"/>
      <c r="JW608" s="259"/>
      <c r="JX608" s="259"/>
      <c r="JY608" s="259"/>
      <c r="JZ608" s="259"/>
      <c r="KA608" s="259"/>
      <c r="KB608" s="259"/>
      <c r="KC608" s="259"/>
      <c r="KD608" s="259"/>
      <c r="KE608" s="259"/>
      <c r="KF608" s="259"/>
      <c r="KG608" s="259"/>
      <c r="KH608" s="259"/>
      <c r="KI608" s="259"/>
      <c r="KJ608" s="259"/>
      <c r="KK608" s="259"/>
      <c r="KL608" s="259"/>
      <c r="KM608" s="259"/>
      <c r="KN608" s="259"/>
      <c r="KO608" s="259"/>
      <c r="KP608" s="259"/>
      <c r="KQ608" s="259"/>
      <c r="KR608" s="259"/>
      <c r="KS608" s="259"/>
      <c r="KT608" s="259"/>
      <c r="KU608" s="259"/>
      <c r="KV608" s="259"/>
      <c r="KW608" s="259"/>
      <c r="KX608" s="259"/>
      <c r="KY608" s="259"/>
      <c r="KZ608" s="259"/>
      <c r="LA608" s="259"/>
      <c r="LB608" s="259"/>
      <c r="LC608" s="259"/>
      <c r="LD608" s="259"/>
      <c r="LE608" s="259"/>
      <c r="LF608" s="259"/>
      <c r="LG608" s="259"/>
      <c r="LH608" s="259"/>
      <c r="LI608" s="259"/>
      <c r="LJ608" s="259"/>
      <c r="LK608" s="259"/>
      <c r="LL608" s="259"/>
      <c r="LM608" s="259"/>
      <c r="LN608" s="259"/>
      <c r="LO608" s="259"/>
      <c r="LP608" s="259"/>
      <c r="LQ608" s="259"/>
      <c r="LR608" s="259"/>
      <c r="LS608" s="259"/>
      <c r="LT608" s="259"/>
      <c r="LU608" s="259"/>
      <c r="LV608" s="259"/>
      <c r="LW608" s="259"/>
      <c r="LX608" s="259"/>
      <c r="LY608" s="259"/>
      <c r="LZ608" s="259"/>
      <c r="MA608" s="259"/>
      <c r="MB608" s="259"/>
      <c r="MC608" s="259"/>
      <c r="MD608" s="259"/>
      <c r="ME608" s="259"/>
      <c r="MF608" s="259"/>
      <c r="MG608" s="259"/>
      <c r="MH608" s="259"/>
      <c r="MI608" s="259"/>
      <c r="MJ608" s="259"/>
      <c r="MK608" s="259"/>
      <c r="ML608" s="259"/>
      <c r="MM608" s="259"/>
      <c r="MN608" s="259"/>
      <c r="MO608" s="259"/>
      <c r="MP608" s="259"/>
      <c r="MQ608" s="259"/>
      <c r="MR608" s="259"/>
      <c r="MS608" s="259"/>
      <c r="MT608" s="259"/>
      <c r="MU608" s="259"/>
      <c r="MV608" s="259"/>
      <c r="MW608" s="259"/>
      <c r="MX608" s="259"/>
      <c r="MY608" s="259"/>
      <c r="MZ608" s="259"/>
      <c r="NA608" s="259"/>
      <c r="NB608" s="259"/>
      <c r="NC608" s="259"/>
      <c r="ND608" s="259"/>
      <c r="NE608" s="259"/>
      <c r="NF608" s="259"/>
      <c r="NG608" s="259"/>
      <c r="NH608" s="259"/>
      <c r="NI608" s="259"/>
      <c r="NJ608" s="259"/>
      <c r="NK608" s="259"/>
      <c r="NL608" s="259"/>
      <c r="NM608" s="259"/>
      <c r="NN608" s="259"/>
      <c r="NO608" s="259"/>
      <c r="NP608" s="259"/>
      <c r="NQ608" s="259"/>
      <c r="NR608" s="259"/>
      <c r="NS608" s="259"/>
      <c r="NT608" s="259"/>
      <c r="NU608" s="259"/>
      <c r="NV608" s="259"/>
      <c r="NW608" s="259"/>
      <c r="NX608" s="259"/>
      <c r="NY608" s="259"/>
      <c r="NZ608" s="259"/>
      <c r="OA608" s="259"/>
      <c r="OB608" s="259"/>
      <c r="OC608" s="259"/>
      <c r="OD608" s="259"/>
      <c r="OE608" s="259"/>
      <c r="OF608" s="259"/>
      <c r="OG608" s="259"/>
      <c r="OH608" s="259"/>
      <c r="OI608" s="259"/>
      <c r="OJ608" s="259"/>
      <c r="OK608" s="259"/>
      <c r="OL608" s="259"/>
      <c r="OM608" s="259"/>
      <c r="ON608" s="259"/>
      <c r="OO608" s="259"/>
      <c r="OP608" s="259"/>
      <c r="OQ608" s="259"/>
      <c r="OR608" s="259"/>
      <c r="OS608" s="259"/>
      <c r="OT608" s="259"/>
      <c r="OU608" s="259"/>
      <c r="OV608" s="259"/>
      <c r="OW608" s="259"/>
      <c r="OX608" s="259"/>
      <c r="OY608" s="259"/>
      <c r="OZ608" s="259"/>
      <c r="PA608" s="259"/>
      <c r="PB608" s="259"/>
      <c r="PC608" s="259"/>
      <c r="PD608" s="259"/>
      <c r="PE608" s="259"/>
      <c r="PF608" s="259"/>
      <c r="PG608" s="259"/>
      <c r="PH608" s="259"/>
      <c r="PI608" s="259"/>
      <c r="PJ608" s="259"/>
      <c r="PK608" s="259"/>
      <c r="PL608" s="259"/>
      <c r="PM608" s="259"/>
      <c r="PN608" s="259"/>
      <c r="PO608" s="259"/>
      <c r="PP608" s="259"/>
      <c r="PQ608" s="259"/>
      <c r="PR608" s="259"/>
      <c r="PS608" s="259"/>
      <c r="PT608" s="259"/>
      <c r="PU608" s="259"/>
      <c r="PV608" s="259"/>
      <c r="PW608" s="259"/>
      <c r="PX608" s="259"/>
      <c r="PY608" s="259"/>
      <c r="PZ608" s="259"/>
      <c r="QA608" s="259"/>
      <c r="QB608" s="259"/>
      <c r="QC608" s="259"/>
      <c r="QD608" s="259"/>
      <c r="QE608" s="259"/>
      <c r="QF608" s="259"/>
      <c r="QG608" s="259"/>
      <c r="QH608" s="259"/>
      <c r="QI608" s="259"/>
      <c r="QJ608" s="259"/>
      <c r="QK608" s="259"/>
      <c r="QL608" s="259"/>
      <c r="QM608" s="259"/>
      <c r="QN608" s="259"/>
      <c r="QO608" s="259"/>
      <c r="QP608" s="259"/>
      <c r="QQ608" s="259"/>
      <c r="QR608" s="259"/>
      <c r="QS608" s="259"/>
      <c r="QT608" s="259"/>
      <c r="QU608" s="259"/>
      <c r="QV608" s="259"/>
      <c r="QW608" s="259"/>
      <c r="QX608" s="259"/>
      <c r="QY608" s="259"/>
      <c r="QZ608" s="259"/>
      <c r="RA608" s="259"/>
      <c r="RB608" s="259"/>
      <c r="RC608" s="259"/>
      <c r="RD608" s="259"/>
      <c r="RE608" s="259"/>
      <c r="RF608" s="259"/>
      <c r="RG608" s="259"/>
      <c r="RH608" s="259"/>
      <c r="RI608" s="259"/>
      <c r="RJ608" s="259"/>
      <c r="RK608" s="259"/>
      <c r="RL608" s="259"/>
      <c r="RM608" s="259"/>
      <c r="RN608" s="259"/>
      <c r="RO608" s="259"/>
      <c r="RP608" s="259"/>
      <c r="RQ608" s="259"/>
      <c r="RR608" s="259"/>
      <c r="RS608" s="259"/>
      <c r="RT608" s="259"/>
      <c r="RU608" s="259"/>
      <c r="RV608" s="259"/>
      <c r="RW608" s="259"/>
      <c r="RX608" s="259"/>
      <c r="RY608" s="259"/>
      <c r="RZ608" s="259"/>
      <c r="SA608" s="259"/>
      <c r="SB608" s="259"/>
      <c r="SC608" s="259"/>
      <c r="SD608" s="259"/>
      <c r="SE608" s="259"/>
      <c r="SF608" s="259"/>
      <c r="SG608" s="259"/>
      <c r="SH608" s="259"/>
      <c r="SI608" s="259"/>
      <c r="SJ608" s="259"/>
      <c r="SK608" s="259"/>
      <c r="SL608" s="259"/>
      <c r="SM608" s="259"/>
      <c r="SN608" s="259"/>
      <c r="SO608" s="259"/>
      <c r="SP608" s="259"/>
      <c r="SQ608" s="259"/>
      <c r="SR608" s="259"/>
      <c r="SS608" s="259"/>
      <c r="ST608" s="259"/>
      <c r="SU608" s="259"/>
      <c r="SV608" s="259"/>
      <c r="SW608" s="259"/>
      <c r="SX608" s="259"/>
      <c r="SY608" s="259"/>
      <c r="SZ608" s="259"/>
      <c r="TA608" s="259"/>
      <c r="TB608" s="259"/>
      <c r="TC608" s="259"/>
      <c r="TD608" s="259"/>
      <c r="TE608" s="259"/>
      <c r="TF608" s="259"/>
      <c r="TG608" s="259"/>
      <c r="TH608" s="259"/>
      <c r="TI608" s="259"/>
      <c r="TJ608" s="259"/>
      <c r="TK608" s="259"/>
      <c r="TL608" s="259"/>
      <c r="TM608" s="259"/>
      <c r="TN608" s="259"/>
      <c r="TO608" s="259"/>
      <c r="TP608" s="259"/>
      <c r="TQ608" s="259"/>
      <c r="TR608" s="259"/>
      <c r="TS608" s="259"/>
      <c r="TT608" s="259"/>
      <c r="TU608" s="259"/>
      <c r="TV608" s="259"/>
      <c r="TW608" s="259"/>
      <c r="TX608" s="259"/>
      <c r="TY608" s="259"/>
      <c r="TZ608" s="259"/>
      <c r="UA608" s="259"/>
      <c r="UB608" s="259"/>
      <c r="UC608" s="259"/>
      <c r="UD608" s="259"/>
      <c r="UE608" s="259"/>
      <c r="UF608" s="259"/>
      <c r="UG608" s="259"/>
      <c r="UH608" s="259"/>
      <c r="UI608" s="259"/>
    </row>
    <row r="609" spans="1:555" s="259" customFormat="1" ht="60" customHeight="1">
      <c r="A609" s="296">
        <v>356</v>
      </c>
      <c r="B609" s="297" t="s">
        <v>3968</v>
      </c>
      <c r="C609" s="298">
        <v>80068604</v>
      </c>
      <c r="D609" s="354" t="s">
        <v>2446</v>
      </c>
      <c r="E609" s="299">
        <v>42695</v>
      </c>
      <c r="F609" s="300">
        <v>42675</v>
      </c>
      <c r="G609" s="301" t="s">
        <v>3969</v>
      </c>
      <c r="H609" s="297" t="s">
        <v>171</v>
      </c>
      <c r="I609" s="297" t="s">
        <v>183</v>
      </c>
      <c r="J609" s="299">
        <v>42719</v>
      </c>
      <c r="K609" s="300">
        <v>42705</v>
      </c>
      <c r="L609" s="301" t="s">
        <v>3970</v>
      </c>
      <c r="M609" s="297" t="s">
        <v>5</v>
      </c>
      <c r="N609" s="297" t="s">
        <v>101</v>
      </c>
      <c r="O609" s="299">
        <v>42621</v>
      </c>
      <c r="P609" s="302">
        <v>42614</v>
      </c>
      <c r="Q609" s="301" t="s">
        <v>3971</v>
      </c>
      <c r="R609" s="297" t="s">
        <v>171</v>
      </c>
      <c r="S609" s="297" t="s">
        <v>582</v>
      </c>
      <c r="T609" s="299">
        <v>42608</v>
      </c>
      <c r="U609" s="300">
        <v>42608</v>
      </c>
      <c r="V609" s="301" t="s">
        <v>3972</v>
      </c>
      <c r="W609" s="297" t="s">
        <v>171</v>
      </c>
      <c r="X609" s="297" t="s">
        <v>582</v>
      </c>
      <c r="Y609" s="299">
        <v>42724</v>
      </c>
      <c r="Z609" s="300">
        <v>42705</v>
      </c>
      <c r="AA609" s="301" t="s">
        <v>3973</v>
      </c>
      <c r="AB609" s="297" t="s">
        <v>503</v>
      </c>
      <c r="AC609" s="297" t="s">
        <v>3974</v>
      </c>
      <c r="AD609" s="299">
        <v>43686</v>
      </c>
      <c r="AE609" s="300">
        <v>43686</v>
      </c>
      <c r="AF609" s="315" t="s">
        <v>9097</v>
      </c>
      <c r="AG609" s="297" t="s">
        <v>5</v>
      </c>
      <c r="AH609" s="299" t="s">
        <v>8243</v>
      </c>
      <c r="AI609" s="299" t="s">
        <v>10364</v>
      </c>
      <c r="AJ609" s="300" t="s">
        <v>10363</v>
      </c>
      <c r="AK609" s="301" t="s">
        <v>10362</v>
      </c>
      <c r="AL609" s="297" t="s">
        <v>10365</v>
      </c>
      <c r="AM609" s="297" t="s">
        <v>10366</v>
      </c>
      <c r="AN609" s="297" t="s">
        <v>3975</v>
      </c>
      <c r="AO609" s="554"/>
      <c r="AP609" s="297"/>
      <c r="AQ609" s="301" t="s">
        <v>3976</v>
      </c>
      <c r="AR609" s="297" t="s">
        <v>161</v>
      </c>
      <c r="AS609" s="299">
        <v>37987</v>
      </c>
      <c r="AT609" s="299">
        <v>40862</v>
      </c>
      <c r="AU609" s="297" t="s">
        <v>8195</v>
      </c>
      <c r="AV609" s="297"/>
      <c r="AW609" s="297" t="s">
        <v>69</v>
      </c>
      <c r="AX609" s="297" t="s">
        <v>3977</v>
      </c>
      <c r="AY609" s="299">
        <v>42573</v>
      </c>
      <c r="AZ609" s="297" t="s">
        <v>67</v>
      </c>
      <c r="BA609" s="299" t="s">
        <v>67</v>
      </c>
      <c r="BB609" s="299">
        <v>42592</v>
      </c>
      <c r="BC609" s="297" t="s">
        <v>95</v>
      </c>
      <c r="BD609" s="297" t="s">
        <v>566</v>
      </c>
      <c r="BE609" s="297"/>
      <c r="BF609" s="301" t="s">
        <v>7309</v>
      </c>
      <c r="BG609" s="301"/>
      <c r="BH609" s="301"/>
      <c r="BI609" s="301"/>
      <c r="BJ609" s="968">
        <f>+[154]MATRIZ!$J$87</f>
        <v>402866238</v>
      </c>
      <c r="BK609" s="312"/>
      <c r="BL609" s="313"/>
      <c r="BM609" s="299"/>
      <c r="BN609" s="314"/>
      <c r="BO609" s="460"/>
      <c r="BP609" s="390"/>
      <c r="BQ609" s="297"/>
      <c r="BR609" s="303"/>
      <c r="BS609" s="301"/>
      <c r="BT609" s="301"/>
      <c r="BU609" s="301"/>
      <c r="BV609" s="301"/>
      <c r="BW609" s="316"/>
      <c r="BX609" s="304"/>
      <c r="BY609" s="299"/>
      <c r="BZ609" s="317"/>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c r="JW609" s="1"/>
      <c r="JX609" s="1"/>
      <c r="JY609" s="1"/>
      <c r="JZ609" s="1"/>
      <c r="KA609" s="1"/>
      <c r="KB609" s="1"/>
      <c r="KC609" s="1"/>
      <c r="KD609" s="1"/>
      <c r="KE609" s="1"/>
      <c r="KF609" s="1"/>
      <c r="KG609" s="1"/>
      <c r="KH609" s="1"/>
      <c r="KI609" s="1"/>
      <c r="KJ609" s="1"/>
      <c r="KK609" s="1"/>
      <c r="KL609" s="1"/>
      <c r="KM609" s="1"/>
      <c r="KN609" s="1"/>
      <c r="KO609" s="1"/>
      <c r="KP609" s="1"/>
      <c r="KQ609" s="1"/>
      <c r="KR609" s="1"/>
      <c r="KS609" s="1"/>
      <c r="KT609" s="1"/>
      <c r="KU609" s="1"/>
      <c r="KV609" s="1"/>
      <c r="KW609" s="1"/>
      <c r="KX609" s="1"/>
      <c r="KY609" s="1"/>
      <c r="KZ609" s="1"/>
      <c r="LA609" s="1"/>
      <c r="LB609" s="1"/>
      <c r="LC609" s="1"/>
      <c r="LD609" s="1"/>
      <c r="LE609" s="1"/>
      <c r="LF609" s="1"/>
      <c r="LG609" s="1"/>
      <c r="LH609" s="1"/>
      <c r="LI609" s="1"/>
      <c r="LJ609" s="1"/>
      <c r="LK609" s="1"/>
      <c r="LL609" s="1"/>
      <c r="LM609" s="1"/>
      <c r="LN609" s="1"/>
      <c r="LO609" s="1"/>
      <c r="LP609" s="1"/>
      <c r="LQ609" s="1"/>
      <c r="LR609" s="1"/>
      <c r="LS609" s="1"/>
      <c r="LT609" s="1"/>
      <c r="LU609" s="1"/>
      <c r="LV609" s="1"/>
      <c r="LW609" s="1"/>
      <c r="LX609" s="1"/>
      <c r="LY609" s="1"/>
      <c r="LZ609" s="1"/>
      <c r="MA609" s="1"/>
      <c r="MB609" s="1"/>
      <c r="MC609" s="1"/>
      <c r="MD609" s="1"/>
      <c r="ME609" s="1"/>
      <c r="MF609" s="1"/>
      <c r="MG609" s="1"/>
      <c r="MH609" s="1"/>
      <c r="MI609" s="1"/>
      <c r="MJ609" s="1"/>
      <c r="MK609" s="1"/>
      <c r="ML609" s="1"/>
      <c r="MM609" s="1"/>
      <c r="MN609" s="1"/>
      <c r="MO609" s="1"/>
      <c r="MP609" s="1"/>
      <c r="MQ609" s="1"/>
      <c r="MR609" s="1"/>
      <c r="MS609" s="1"/>
      <c r="MT609" s="1"/>
      <c r="MU609" s="1"/>
      <c r="MV609" s="1"/>
      <c r="MW609" s="1"/>
      <c r="MX609" s="1"/>
      <c r="MY609" s="1"/>
      <c r="MZ609" s="1"/>
      <c r="NA609" s="1"/>
      <c r="NB609" s="1"/>
      <c r="NC609" s="1"/>
      <c r="ND609" s="1"/>
      <c r="NE609" s="1"/>
      <c r="NF609" s="1"/>
      <c r="NG609" s="1"/>
      <c r="NH609" s="1"/>
      <c r="NI609" s="1"/>
      <c r="NJ609" s="1"/>
      <c r="NK609" s="1"/>
      <c r="NL609" s="1"/>
      <c r="NM609" s="1"/>
      <c r="NN609" s="1"/>
      <c r="NO609" s="1"/>
      <c r="NP609" s="1"/>
      <c r="NQ609" s="1"/>
      <c r="NR609" s="1"/>
      <c r="NS609" s="1"/>
      <c r="NT609" s="1"/>
      <c r="NU609" s="1"/>
      <c r="NV609" s="1"/>
      <c r="NW609" s="1"/>
      <c r="NX609" s="1"/>
      <c r="NY609" s="1"/>
      <c r="NZ609" s="1"/>
      <c r="OA609" s="1"/>
      <c r="OB609" s="1"/>
      <c r="OC609" s="1"/>
      <c r="OD609" s="1"/>
      <c r="OE609" s="1"/>
      <c r="OF609" s="1"/>
      <c r="OG609" s="1"/>
      <c r="OH609" s="1"/>
      <c r="OI609" s="1"/>
      <c r="OJ609" s="1"/>
      <c r="OK609" s="1"/>
      <c r="OL609" s="1"/>
      <c r="OM609" s="1"/>
      <c r="ON609" s="1"/>
      <c r="OO609" s="1"/>
      <c r="OP609" s="1"/>
      <c r="OQ609" s="1"/>
      <c r="OR609" s="1"/>
      <c r="OS609" s="1"/>
      <c r="OT609" s="1"/>
      <c r="OU609" s="1"/>
      <c r="OV609" s="1"/>
      <c r="OW609" s="1"/>
      <c r="OX609" s="1"/>
      <c r="OY609" s="1"/>
      <c r="OZ609" s="1"/>
      <c r="PA609" s="1"/>
      <c r="PB609" s="1"/>
      <c r="PC609" s="1"/>
      <c r="PD609" s="1"/>
      <c r="PE609" s="1"/>
      <c r="PF609" s="1"/>
      <c r="PG609" s="1"/>
      <c r="PH609" s="1"/>
      <c r="PI609" s="1"/>
      <c r="PJ609" s="1"/>
      <c r="PK609" s="1"/>
      <c r="PL609" s="1"/>
      <c r="PM609" s="1"/>
      <c r="PN609" s="1"/>
      <c r="PO609" s="1"/>
      <c r="PP609" s="1"/>
      <c r="PQ609" s="1"/>
      <c r="PR609" s="1"/>
      <c r="PS609" s="1"/>
      <c r="PT609" s="1"/>
      <c r="PU609" s="1"/>
      <c r="PV609" s="1"/>
      <c r="PW609" s="1"/>
      <c r="PX609" s="1"/>
      <c r="PY609" s="1"/>
      <c r="PZ609" s="1"/>
      <c r="QA609" s="1"/>
      <c r="QB609" s="1"/>
      <c r="QC609" s="1"/>
      <c r="QD609" s="1"/>
      <c r="QE609" s="1"/>
      <c r="QF609" s="1"/>
      <c r="QG609" s="1"/>
      <c r="QH609" s="1"/>
      <c r="QI609" s="1"/>
      <c r="QJ609" s="1"/>
      <c r="QK609" s="1"/>
      <c r="QL609" s="1"/>
      <c r="QM609" s="1"/>
      <c r="QN609" s="1"/>
      <c r="QO609" s="1"/>
      <c r="QP609" s="1"/>
      <c r="QQ609" s="1"/>
      <c r="QR609" s="1"/>
      <c r="QS609" s="1"/>
      <c r="QT609" s="1"/>
      <c r="QU609" s="1"/>
      <c r="QV609" s="1"/>
      <c r="QW609" s="1"/>
      <c r="QX609" s="1"/>
      <c r="QY609" s="1"/>
      <c r="QZ609" s="1"/>
      <c r="RA609" s="1"/>
      <c r="RB609" s="1"/>
      <c r="RC609" s="1"/>
      <c r="RD609" s="1"/>
      <c r="RE609" s="1"/>
      <c r="RF609" s="1"/>
      <c r="RG609" s="1"/>
      <c r="RH609" s="1"/>
      <c r="RI609" s="1"/>
      <c r="RJ609" s="1"/>
      <c r="RK609" s="1"/>
      <c r="RL609" s="1"/>
      <c r="RM609" s="1"/>
      <c r="RN609" s="1"/>
      <c r="RO609" s="1"/>
      <c r="RP609" s="1"/>
      <c r="RQ609" s="1"/>
      <c r="RR609" s="1"/>
      <c r="RS609" s="1"/>
      <c r="RT609" s="1"/>
      <c r="RU609" s="1"/>
      <c r="RV609" s="1"/>
      <c r="RW609" s="1"/>
      <c r="RX609" s="1"/>
      <c r="RY609" s="1"/>
      <c r="RZ609" s="1"/>
      <c r="SA609" s="1"/>
      <c r="SB609" s="1"/>
      <c r="SC609" s="1"/>
      <c r="SD609" s="1"/>
      <c r="SE609" s="1"/>
      <c r="SF609" s="1"/>
      <c r="SG609" s="1"/>
      <c r="SH609" s="1"/>
      <c r="SI609" s="1"/>
      <c r="SJ609" s="1"/>
      <c r="SK609" s="1"/>
      <c r="SL609" s="1"/>
      <c r="SM609" s="1"/>
      <c r="SN609" s="1"/>
      <c r="SO609" s="1"/>
      <c r="SP609" s="1"/>
      <c r="SQ609" s="1"/>
      <c r="SR609" s="1"/>
      <c r="SS609" s="1"/>
      <c r="ST609" s="1"/>
      <c r="SU609" s="1"/>
      <c r="SV609" s="1"/>
      <c r="SW609" s="1"/>
      <c r="SX609" s="1"/>
      <c r="SY609" s="1"/>
      <c r="SZ609" s="1"/>
      <c r="TA609" s="1"/>
      <c r="TB609" s="1"/>
      <c r="TC609" s="1"/>
      <c r="TD609" s="1"/>
      <c r="TE609" s="1"/>
      <c r="TF609" s="1"/>
      <c r="TG609" s="1"/>
      <c r="TH609" s="1"/>
      <c r="TI609" s="1"/>
      <c r="TJ609" s="1"/>
      <c r="TK609" s="1"/>
      <c r="TL609" s="1"/>
      <c r="TM609" s="1"/>
      <c r="TN609" s="1"/>
      <c r="TO609" s="1"/>
      <c r="TP609" s="1"/>
      <c r="TQ609" s="1"/>
      <c r="TR609" s="1"/>
      <c r="TS609" s="1"/>
      <c r="TT609" s="1"/>
      <c r="TU609" s="1"/>
      <c r="TV609" s="1"/>
      <c r="TW609" s="1"/>
      <c r="TX609" s="1"/>
      <c r="TY609" s="1"/>
      <c r="TZ609" s="1"/>
      <c r="UA609" s="1"/>
      <c r="UB609" s="1"/>
      <c r="UC609" s="1"/>
      <c r="UD609" s="1"/>
      <c r="UE609" s="1"/>
      <c r="UF609" s="1"/>
      <c r="UG609" s="1"/>
      <c r="UH609" s="1"/>
      <c r="UI609" s="1"/>
    </row>
    <row r="610" spans="1:555" ht="135">
      <c r="A610" s="296">
        <v>357</v>
      </c>
      <c r="B610" s="297" t="s">
        <v>3978</v>
      </c>
      <c r="C610" s="298">
        <v>88219594</v>
      </c>
      <c r="D610" s="354" t="s">
        <v>597</v>
      </c>
      <c r="E610" s="299">
        <v>42697</v>
      </c>
      <c r="F610" s="300">
        <v>42675</v>
      </c>
      <c r="G610" s="301" t="s">
        <v>3979</v>
      </c>
      <c r="H610" s="297" t="s">
        <v>1493</v>
      </c>
      <c r="I610" s="297" t="s">
        <v>183</v>
      </c>
      <c r="J610" s="299">
        <v>42782</v>
      </c>
      <c r="K610" s="300">
        <v>42767</v>
      </c>
      <c r="L610" s="301" t="s">
        <v>3980</v>
      </c>
      <c r="M610" s="297" t="s">
        <v>63</v>
      </c>
      <c r="N610" s="297" t="s">
        <v>183</v>
      </c>
      <c r="O610" s="299">
        <v>42887</v>
      </c>
      <c r="P610" s="302">
        <v>42887</v>
      </c>
      <c r="Q610" s="301" t="s">
        <v>3981</v>
      </c>
      <c r="R610" s="297" t="s">
        <v>63</v>
      </c>
      <c r="S610" s="297" t="s">
        <v>101</v>
      </c>
      <c r="T610" s="299">
        <v>43097</v>
      </c>
      <c r="U610" s="300">
        <v>43070</v>
      </c>
      <c r="V610" s="301" t="s">
        <v>3982</v>
      </c>
      <c r="W610" s="297" t="s">
        <v>63</v>
      </c>
      <c r="X610" s="297" t="s">
        <v>3983</v>
      </c>
      <c r="Y610" s="299"/>
      <c r="Z610" s="300"/>
      <c r="AA610" s="301"/>
      <c r="AB610" s="297"/>
      <c r="AC610" s="297"/>
      <c r="AD610" s="299"/>
      <c r="AE610" s="300"/>
      <c r="AF610" s="301"/>
      <c r="AG610" s="297"/>
      <c r="AH610" s="297"/>
      <c r="AI610" s="322"/>
      <c r="AJ610" s="300"/>
      <c r="AK610" s="301"/>
      <c r="AL610" s="297"/>
      <c r="AM610" s="297"/>
      <c r="AN610" s="297" t="s">
        <v>3376</v>
      </c>
      <c r="AO610" s="554"/>
      <c r="AP610" s="297"/>
      <c r="AQ610" s="301" t="s">
        <v>3984</v>
      </c>
      <c r="AR610" s="297" t="s">
        <v>161</v>
      </c>
      <c r="AS610" s="299">
        <v>38139</v>
      </c>
      <c r="AT610" s="299">
        <v>39813</v>
      </c>
      <c r="AU610" s="297" t="s">
        <v>3985</v>
      </c>
      <c r="AV610" s="297"/>
      <c r="AW610" s="297" t="s">
        <v>92</v>
      </c>
      <c r="AX610" s="297" t="s">
        <v>3492</v>
      </c>
      <c r="AY610" s="299">
        <v>41486</v>
      </c>
      <c r="AZ610" s="297" t="s">
        <v>94</v>
      </c>
      <c r="BA610" s="299">
        <v>42649</v>
      </c>
      <c r="BB610" s="299">
        <v>42664</v>
      </c>
      <c r="BC610" s="297" t="s">
        <v>95</v>
      </c>
      <c r="BD610" s="297" t="s">
        <v>566</v>
      </c>
      <c r="BE610" s="297"/>
      <c r="BF610" s="301" t="s">
        <v>3986</v>
      </c>
      <c r="BG610" s="301"/>
      <c r="BH610" s="301"/>
      <c r="BI610" s="301"/>
      <c r="BJ610" s="968">
        <f>+[155]MATRIZ!$J$71</f>
        <v>0</v>
      </c>
      <c r="BK610" s="312"/>
      <c r="BL610" s="313"/>
      <c r="BM610" s="299"/>
      <c r="BN610" s="314"/>
      <c r="BO610" s="460"/>
      <c r="BP610" s="390"/>
      <c r="BQ610" s="297"/>
      <c r="BR610" s="303"/>
      <c r="BS610" s="301"/>
      <c r="BT610" s="301"/>
      <c r="BU610" s="301"/>
      <c r="BV610" s="301"/>
      <c r="BW610" s="316"/>
      <c r="BX610" s="304"/>
      <c r="BY610" s="299"/>
      <c r="BZ610" s="317"/>
    </row>
    <row r="611" spans="1:555" s="259" customFormat="1" ht="64.5" customHeight="1">
      <c r="A611" s="33">
        <v>358</v>
      </c>
      <c r="B611" s="34" t="s">
        <v>3987</v>
      </c>
      <c r="C611" s="35">
        <v>7988362</v>
      </c>
      <c r="D611" s="440" t="s">
        <v>3988</v>
      </c>
      <c r="E611" s="37">
        <v>42697</v>
      </c>
      <c r="F611" s="38">
        <v>42675</v>
      </c>
      <c r="G611" s="39" t="s">
        <v>3989</v>
      </c>
      <c r="H611" s="34" t="s">
        <v>625</v>
      </c>
      <c r="I611" s="34" t="s">
        <v>183</v>
      </c>
      <c r="J611" s="37"/>
      <c r="K611" s="38"/>
      <c r="L611" s="39"/>
      <c r="M611" s="34"/>
      <c r="N611" s="34"/>
      <c r="O611" s="37"/>
      <c r="P611" s="40"/>
      <c r="Q611" s="39"/>
      <c r="R611" s="34"/>
      <c r="S611" s="34"/>
      <c r="T611" s="37"/>
      <c r="U611" s="38"/>
      <c r="V611" s="39"/>
      <c r="W611" s="34"/>
      <c r="X611" s="34"/>
      <c r="Y611" s="37"/>
      <c r="Z611" s="38"/>
      <c r="AA611" s="39"/>
      <c r="AB611" s="34"/>
      <c r="AC611" s="34"/>
      <c r="AD611" s="37"/>
      <c r="AE611" s="38"/>
      <c r="AF611" s="39"/>
      <c r="AG611" s="34"/>
      <c r="AH611" s="34"/>
      <c r="AI611" s="73"/>
      <c r="AJ611" s="38"/>
      <c r="AK611" s="39"/>
      <c r="AL611" s="34"/>
      <c r="AM611" s="34"/>
      <c r="AN611" s="34" t="s">
        <v>3990</v>
      </c>
      <c r="AO611" s="473"/>
      <c r="AP611" s="34"/>
      <c r="AQ611" s="39" t="s">
        <v>3991</v>
      </c>
      <c r="AR611" s="34" t="s">
        <v>161</v>
      </c>
      <c r="AS611" s="37" t="s">
        <v>67</v>
      </c>
      <c r="AT611" s="37" t="s">
        <v>67</v>
      </c>
      <c r="AU611" s="34" t="s">
        <v>3992</v>
      </c>
      <c r="AV611" s="34"/>
      <c r="AW611" s="34" t="s">
        <v>69</v>
      </c>
      <c r="AX611" s="34" t="s">
        <v>3993</v>
      </c>
      <c r="AY611" s="37">
        <v>42535</v>
      </c>
      <c r="AZ611" s="34" t="s">
        <v>3994</v>
      </c>
      <c r="BA611" s="37">
        <v>42677</v>
      </c>
      <c r="BB611" s="382">
        <v>42684</v>
      </c>
      <c r="BC611" s="42" t="s">
        <v>912</v>
      </c>
      <c r="BD611" s="42"/>
      <c r="BE611" s="34"/>
      <c r="BF611" s="39"/>
      <c r="BG611" s="39"/>
      <c r="BH611" s="39"/>
      <c r="BI611" s="39"/>
      <c r="BJ611" s="138"/>
      <c r="BK611" s="74"/>
      <c r="BL611" s="44"/>
      <c r="BM611" s="37"/>
      <c r="BN611" s="45"/>
      <c r="BO611" s="462"/>
      <c r="BP611" s="391"/>
      <c r="BQ611" s="34"/>
      <c r="BR611" s="42"/>
      <c r="BS611" s="39"/>
      <c r="BT611" s="39"/>
      <c r="BU611" s="39"/>
      <c r="BV611" s="39"/>
      <c r="BW611" s="51"/>
      <c r="BX611" s="41"/>
      <c r="BY611" s="37"/>
      <c r="BZ611" s="52"/>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c r="JW611" s="1"/>
      <c r="JX611" s="1"/>
      <c r="JY611" s="1"/>
      <c r="JZ611" s="1"/>
      <c r="KA611" s="1"/>
      <c r="KB611" s="1"/>
      <c r="KC611" s="1"/>
      <c r="KD611" s="1"/>
      <c r="KE611" s="1"/>
      <c r="KF611" s="1"/>
      <c r="KG611" s="1"/>
      <c r="KH611" s="1"/>
      <c r="KI611" s="1"/>
      <c r="KJ611" s="1"/>
      <c r="KK611" s="1"/>
      <c r="KL611" s="1"/>
      <c r="KM611" s="1"/>
      <c r="KN611" s="1"/>
      <c r="KO611" s="1"/>
      <c r="KP611" s="1"/>
      <c r="KQ611" s="1"/>
      <c r="KR611" s="1"/>
      <c r="KS611" s="1"/>
      <c r="KT611" s="1"/>
      <c r="KU611" s="1"/>
      <c r="KV611" s="1"/>
      <c r="KW611" s="1"/>
      <c r="KX611" s="1"/>
      <c r="KY611" s="1"/>
      <c r="KZ611" s="1"/>
      <c r="LA611" s="1"/>
      <c r="LB611" s="1"/>
      <c r="LC611" s="1"/>
      <c r="LD611" s="1"/>
      <c r="LE611" s="1"/>
      <c r="LF611" s="1"/>
      <c r="LG611" s="1"/>
      <c r="LH611" s="1"/>
      <c r="LI611" s="1"/>
      <c r="LJ611" s="1"/>
      <c r="LK611" s="1"/>
      <c r="LL611" s="1"/>
      <c r="LM611" s="1"/>
      <c r="LN611" s="1"/>
      <c r="LO611" s="1"/>
      <c r="LP611" s="1"/>
      <c r="LQ611" s="1"/>
      <c r="LR611" s="1"/>
      <c r="LS611" s="1"/>
      <c r="LT611" s="1"/>
      <c r="LU611" s="1"/>
      <c r="LV611" s="1"/>
      <c r="LW611" s="1"/>
      <c r="LX611" s="1"/>
      <c r="LY611" s="1"/>
      <c r="LZ611" s="1"/>
      <c r="MA611" s="1"/>
      <c r="MB611" s="1"/>
      <c r="MC611" s="1"/>
      <c r="MD611" s="1"/>
      <c r="ME611" s="1"/>
      <c r="MF611" s="1"/>
      <c r="MG611" s="1"/>
      <c r="MH611" s="1"/>
      <c r="MI611" s="1"/>
      <c r="MJ611" s="1"/>
      <c r="MK611" s="1"/>
      <c r="ML611" s="1"/>
      <c r="MM611" s="1"/>
      <c r="MN611" s="1"/>
      <c r="MO611" s="1"/>
      <c r="MP611" s="1"/>
      <c r="MQ611" s="1"/>
      <c r="MR611" s="1"/>
      <c r="MS611" s="1"/>
      <c r="MT611" s="1"/>
      <c r="MU611" s="1"/>
      <c r="MV611" s="1"/>
      <c r="MW611" s="1"/>
      <c r="MX611" s="1"/>
      <c r="MY611" s="1"/>
      <c r="MZ611" s="1"/>
      <c r="NA611" s="1"/>
      <c r="NB611" s="1"/>
      <c r="NC611" s="1"/>
      <c r="ND611" s="1"/>
      <c r="NE611" s="1"/>
      <c r="NF611" s="1"/>
      <c r="NG611" s="1"/>
      <c r="NH611" s="1"/>
      <c r="NI611" s="1"/>
      <c r="NJ611" s="1"/>
      <c r="NK611" s="1"/>
      <c r="NL611" s="1"/>
      <c r="NM611" s="1"/>
      <c r="NN611" s="1"/>
      <c r="NO611" s="1"/>
      <c r="NP611" s="1"/>
      <c r="NQ611" s="1"/>
      <c r="NR611" s="1"/>
      <c r="NS611" s="1"/>
      <c r="NT611" s="1"/>
      <c r="NU611" s="1"/>
      <c r="NV611" s="1"/>
      <c r="NW611" s="1"/>
      <c r="NX611" s="1"/>
      <c r="NY611" s="1"/>
      <c r="NZ611" s="1"/>
      <c r="OA611" s="1"/>
      <c r="OB611" s="1"/>
      <c r="OC611" s="1"/>
      <c r="OD611" s="1"/>
      <c r="OE611" s="1"/>
      <c r="OF611" s="1"/>
      <c r="OG611" s="1"/>
      <c r="OH611" s="1"/>
      <c r="OI611" s="1"/>
      <c r="OJ611" s="1"/>
      <c r="OK611" s="1"/>
      <c r="OL611" s="1"/>
      <c r="OM611" s="1"/>
      <c r="ON611" s="1"/>
      <c r="OO611" s="1"/>
      <c r="OP611" s="1"/>
      <c r="OQ611" s="1"/>
      <c r="OR611" s="1"/>
      <c r="OS611" s="1"/>
      <c r="OT611" s="1"/>
      <c r="OU611" s="1"/>
      <c r="OV611" s="1"/>
      <c r="OW611" s="1"/>
      <c r="OX611" s="1"/>
      <c r="OY611" s="1"/>
      <c r="OZ611" s="1"/>
      <c r="PA611" s="1"/>
      <c r="PB611" s="1"/>
      <c r="PC611" s="1"/>
      <c r="PD611" s="1"/>
      <c r="PE611" s="1"/>
      <c r="PF611" s="1"/>
      <c r="PG611" s="1"/>
      <c r="PH611" s="1"/>
      <c r="PI611" s="1"/>
      <c r="PJ611" s="1"/>
      <c r="PK611" s="1"/>
      <c r="PL611" s="1"/>
      <c r="PM611" s="1"/>
      <c r="PN611" s="1"/>
      <c r="PO611" s="1"/>
      <c r="PP611" s="1"/>
      <c r="PQ611" s="1"/>
      <c r="PR611" s="1"/>
      <c r="PS611" s="1"/>
      <c r="PT611" s="1"/>
      <c r="PU611" s="1"/>
      <c r="PV611" s="1"/>
      <c r="PW611" s="1"/>
      <c r="PX611" s="1"/>
      <c r="PY611" s="1"/>
      <c r="PZ611" s="1"/>
      <c r="QA611" s="1"/>
      <c r="QB611" s="1"/>
      <c r="QC611" s="1"/>
      <c r="QD611" s="1"/>
      <c r="QE611" s="1"/>
      <c r="QF611" s="1"/>
      <c r="QG611" s="1"/>
      <c r="QH611" s="1"/>
      <c r="QI611" s="1"/>
      <c r="QJ611" s="1"/>
      <c r="QK611" s="1"/>
      <c r="QL611" s="1"/>
      <c r="QM611" s="1"/>
      <c r="QN611" s="1"/>
      <c r="QO611" s="1"/>
      <c r="QP611" s="1"/>
      <c r="QQ611" s="1"/>
      <c r="QR611" s="1"/>
      <c r="QS611" s="1"/>
      <c r="QT611" s="1"/>
      <c r="QU611" s="1"/>
      <c r="QV611" s="1"/>
      <c r="QW611" s="1"/>
      <c r="QX611" s="1"/>
      <c r="QY611" s="1"/>
      <c r="QZ611" s="1"/>
      <c r="RA611" s="1"/>
      <c r="RB611" s="1"/>
      <c r="RC611" s="1"/>
      <c r="RD611" s="1"/>
      <c r="RE611" s="1"/>
      <c r="RF611" s="1"/>
      <c r="RG611" s="1"/>
      <c r="RH611" s="1"/>
      <c r="RI611" s="1"/>
      <c r="RJ611" s="1"/>
      <c r="RK611" s="1"/>
      <c r="RL611" s="1"/>
      <c r="RM611" s="1"/>
      <c r="RN611" s="1"/>
      <c r="RO611" s="1"/>
      <c r="RP611" s="1"/>
      <c r="RQ611" s="1"/>
      <c r="RR611" s="1"/>
      <c r="RS611" s="1"/>
      <c r="RT611" s="1"/>
      <c r="RU611" s="1"/>
      <c r="RV611" s="1"/>
      <c r="RW611" s="1"/>
      <c r="RX611" s="1"/>
      <c r="RY611" s="1"/>
      <c r="RZ611" s="1"/>
      <c r="SA611" s="1"/>
      <c r="SB611" s="1"/>
      <c r="SC611" s="1"/>
      <c r="SD611" s="1"/>
      <c r="SE611" s="1"/>
      <c r="SF611" s="1"/>
      <c r="SG611" s="1"/>
      <c r="SH611" s="1"/>
      <c r="SI611" s="1"/>
      <c r="SJ611" s="1"/>
      <c r="SK611" s="1"/>
      <c r="SL611" s="1"/>
      <c r="SM611" s="1"/>
      <c r="SN611" s="1"/>
      <c r="SO611" s="1"/>
      <c r="SP611" s="1"/>
      <c r="SQ611" s="1"/>
      <c r="SR611" s="1"/>
      <c r="SS611" s="1"/>
      <c r="ST611" s="1"/>
      <c r="SU611" s="1"/>
      <c r="SV611" s="1"/>
      <c r="SW611" s="1"/>
      <c r="SX611" s="1"/>
      <c r="SY611" s="1"/>
      <c r="SZ611" s="1"/>
      <c r="TA611" s="1"/>
      <c r="TB611" s="1"/>
      <c r="TC611" s="1"/>
      <c r="TD611" s="1"/>
      <c r="TE611" s="1"/>
      <c r="TF611" s="1"/>
      <c r="TG611" s="1"/>
      <c r="TH611" s="1"/>
      <c r="TI611" s="1"/>
      <c r="TJ611" s="1"/>
      <c r="TK611" s="1"/>
      <c r="TL611" s="1"/>
      <c r="TM611" s="1"/>
      <c r="TN611" s="1"/>
      <c r="TO611" s="1"/>
      <c r="TP611" s="1"/>
      <c r="TQ611" s="1"/>
      <c r="TR611" s="1"/>
      <c r="TS611" s="1"/>
      <c r="TT611" s="1"/>
      <c r="TU611" s="1"/>
      <c r="TV611" s="1"/>
      <c r="TW611" s="1"/>
      <c r="TX611" s="1"/>
      <c r="TY611" s="1"/>
      <c r="TZ611" s="1"/>
      <c r="UA611" s="1"/>
      <c r="UB611" s="1"/>
      <c r="UC611" s="1"/>
      <c r="UD611" s="1"/>
      <c r="UE611" s="1"/>
      <c r="UF611" s="1"/>
      <c r="UG611" s="1"/>
      <c r="UH611" s="1"/>
      <c r="UI611" s="1"/>
    </row>
    <row r="612" spans="1:555" ht="81">
      <c r="A612" s="296">
        <v>359</v>
      </c>
      <c r="B612" s="297" t="s">
        <v>3995</v>
      </c>
      <c r="C612" s="298">
        <v>79644200</v>
      </c>
      <c r="D612" s="354" t="s">
        <v>167</v>
      </c>
      <c r="E612" s="299">
        <v>42697</v>
      </c>
      <c r="F612" s="300">
        <v>42675</v>
      </c>
      <c r="G612" s="301" t="s">
        <v>3996</v>
      </c>
      <c r="H612" s="297" t="s">
        <v>1493</v>
      </c>
      <c r="I612" s="297" t="s">
        <v>183</v>
      </c>
      <c r="J612" s="299">
        <v>42726</v>
      </c>
      <c r="K612" s="300">
        <v>42705</v>
      </c>
      <c r="L612" s="301" t="s">
        <v>3997</v>
      </c>
      <c r="M612" s="297" t="s">
        <v>5</v>
      </c>
      <c r="N612" s="297" t="s">
        <v>101</v>
      </c>
      <c r="O612" s="299"/>
      <c r="P612" s="302"/>
      <c r="Q612" s="301"/>
      <c r="R612" s="297"/>
      <c r="S612" s="297"/>
      <c r="T612" s="299"/>
      <c r="U612" s="300"/>
      <c r="V612" s="301"/>
      <c r="W612" s="297"/>
      <c r="X612" s="297"/>
      <c r="Y612" s="299"/>
      <c r="Z612" s="300"/>
      <c r="AA612" s="301"/>
      <c r="AB612" s="297"/>
      <c r="AC612" s="297"/>
      <c r="AD612" s="299"/>
      <c r="AE612" s="300"/>
      <c r="AF612" s="301"/>
      <c r="AG612" s="297"/>
      <c r="AH612" s="297"/>
      <c r="AI612" s="322"/>
      <c r="AJ612" s="300"/>
      <c r="AK612" s="301"/>
      <c r="AL612" s="297"/>
      <c r="AM612" s="297"/>
      <c r="AN612" s="297" t="s">
        <v>2151</v>
      </c>
      <c r="AO612" s="540">
        <v>42726</v>
      </c>
      <c r="AP612" s="297"/>
      <c r="AQ612" s="301" t="s">
        <v>3998</v>
      </c>
      <c r="AR612" s="297" t="s">
        <v>161</v>
      </c>
      <c r="AS612" s="299">
        <v>39608</v>
      </c>
      <c r="AT612" s="299">
        <v>40547</v>
      </c>
      <c r="AU612" s="297" t="s">
        <v>8196</v>
      </c>
      <c r="AV612" s="297"/>
      <c r="AW612" s="297" t="s">
        <v>92</v>
      </c>
      <c r="AX612" s="297" t="s">
        <v>1721</v>
      </c>
      <c r="AY612" s="299">
        <v>41789</v>
      </c>
      <c r="AZ612" s="297" t="s">
        <v>94</v>
      </c>
      <c r="BA612" s="299">
        <v>42656</v>
      </c>
      <c r="BB612" s="299">
        <v>42685</v>
      </c>
      <c r="BC612" s="297" t="s">
        <v>95</v>
      </c>
      <c r="BD612" s="297" t="s">
        <v>566</v>
      </c>
      <c r="BE612" s="297"/>
      <c r="BF612" s="301" t="s">
        <v>3999</v>
      </c>
      <c r="BG612" s="301"/>
      <c r="BH612" s="301"/>
      <c r="BI612" s="301"/>
      <c r="BJ612" s="312">
        <f>+[156]MATRIZ!$J$56</f>
        <v>0</v>
      </c>
      <c r="BK612" s="312"/>
      <c r="BL612" s="313"/>
      <c r="BM612" s="299"/>
      <c r="BN612" s="314"/>
      <c r="BO612" s="460"/>
      <c r="BP612" s="390"/>
      <c r="BQ612" s="297"/>
      <c r="BR612" s="303"/>
      <c r="BS612" s="301"/>
      <c r="BT612" s="301"/>
      <c r="BU612" s="301"/>
      <c r="BV612" s="301"/>
      <c r="BW612" s="316"/>
      <c r="BX612" s="304"/>
      <c r="BY612" s="299"/>
      <c r="BZ612" s="317"/>
    </row>
    <row r="613" spans="1:555" ht="69" customHeight="1">
      <c r="A613" s="296">
        <v>361</v>
      </c>
      <c r="B613" s="297" t="s">
        <v>4011</v>
      </c>
      <c r="C613" s="298">
        <v>19446918</v>
      </c>
      <c r="D613" s="354" t="s">
        <v>4012</v>
      </c>
      <c r="E613" s="299">
        <v>42699</v>
      </c>
      <c r="F613" s="300">
        <v>42675</v>
      </c>
      <c r="G613" s="301" t="s">
        <v>4013</v>
      </c>
      <c r="H613" s="297" t="s">
        <v>625</v>
      </c>
      <c r="I613" s="297" t="s">
        <v>183</v>
      </c>
      <c r="J613" s="299" t="s">
        <v>10350</v>
      </c>
      <c r="K613" s="300" t="s">
        <v>10351</v>
      </c>
      <c r="L613" s="301" t="s">
        <v>10349</v>
      </c>
      <c r="M613" s="297" t="s">
        <v>1501</v>
      </c>
      <c r="N613" s="297" t="s">
        <v>10352</v>
      </c>
      <c r="O613" s="299">
        <v>42853</v>
      </c>
      <c r="P613" s="302">
        <v>42826</v>
      </c>
      <c r="Q613" s="301" t="s">
        <v>4015</v>
      </c>
      <c r="R613" s="297" t="s">
        <v>5</v>
      </c>
      <c r="S613" s="297" t="s">
        <v>4016</v>
      </c>
      <c r="T613" s="299">
        <v>42990</v>
      </c>
      <c r="U613" s="300">
        <v>42979</v>
      </c>
      <c r="V613" s="301" t="s">
        <v>4017</v>
      </c>
      <c r="W613" s="297" t="s">
        <v>5</v>
      </c>
      <c r="X613" s="297" t="s">
        <v>107</v>
      </c>
      <c r="Y613" s="299">
        <v>42758</v>
      </c>
      <c r="Z613" s="300">
        <v>42736</v>
      </c>
      <c r="AA613" s="301" t="s">
        <v>4018</v>
      </c>
      <c r="AB613" s="297" t="s">
        <v>5</v>
      </c>
      <c r="AC613" s="297" t="s">
        <v>4019</v>
      </c>
      <c r="AD613" s="299" t="s">
        <v>4020</v>
      </c>
      <c r="AE613" s="300" t="s">
        <v>4021</v>
      </c>
      <c r="AF613" s="301" t="s">
        <v>4022</v>
      </c>
      <c r="AG613" s="297" t="s">
        <v>4023</v>
      </c>
      <c r="AH613" s="297" t="s">
        <v>4024</v>
      </c>
      <c r="AI613" s="305" t="s">
        <v>10650</v>
      </c>
      <c r="AJ613" s="300" t="s">
        <v>10651</v>
      </c>
      <c r="AK613" s="308" t="s">
        <v>10649</v>
      </c>
      <c r="AL613" s="297" t="s">
        <v>10652</v>
      </c>
      <c r="AM613" s="303" t="s">
        <v>10653</v>
      </c>
      <c r="AN613" s="297" t="s">
        <v>2968</v>
      </c>
      <c r="AO613" s="540">
        <v>42853</v>
      </c>
      <c r="AP613" s="297"/>
      <c r="AQ613" s="301" t="s">
        <v>4026</v>
      </c>
      <c r="AR613" s="297" t="s">
        <v>161</v>
      </c>
      <c r="AS613" s="299">
        <v>37617</v>
      </c>
      <c r="AT613" s="299">
        <v>40630</v>
      </c>
      <c r="AU613" s="297" t="s">
        <v>8086</v>
      </c>
      <c r="AV613" s="297"/>
      <c r="AW613" s="297" t="s">
        <v>92</v>
      </c>
      <c r="AX613" s="297" t="s">
        <v>3663</v>
      </c>
      <c r="AY613" s="299">
        <v>41486</v>
      </c>
      <c r="AZ613" s="297" t="s">
        <v>2657</v>
      </c>
      <c r="BA613" s="299">
        <v>42636</v>
      </c>
      <c r="BB613" s="299">
        <v>42649</v>
      </c>
      <c r="BC613" s="297" t="s">
        <v>95</v>
      </c>
      <c r="BD613" s="297" t="s">
        <v>7374</v>
      </c>
      <c r="BE613" s="297"/>
      <c r="BF613" s="301" t="s">
        <v>4027</v>
      </c>
      <c r="BG613" s="301"/>
      <c r="BH613" s="301"/>
      <c r="BI613" s="301"/>
      <c r="BJ613" s="312">
        <f>+[157]MATRIZ!$J$78</f>
        <v>0</v>
      </c>
      <c r="BK613" s="312"/>
      <c r="BL613" s="313"/>
      <c r="BM613" s="299"/>
      <c r="BN613" s="314"/>
      <c r="BO613" s="460"/>
      <c r="BP613" s="390"/>
      <c r="BQ613" s="297"/>
      <c r="BR613" s="303"/>
      <c r="BS613" s="301"/>
      <c r="BT613" s="301"/>
      <c r="BU613" s="301"/>
      <c r="BV613" s="301"/>
      <c r="BW613" s="316"/>
      <c r="BX613" s="304"/>
      <c r="BY613" s="299"/>
      <c r="BZ613" s="317"/>
    </row>
    <row r="614" spans="1:555" ht="72.75" customHeight="1">
      <c r="A614" s="502">
        <v>362</v>
      </c>
      <c r="B614" s="686" t="s">
        <v>4028</v>
      </c>
      <c r="C614" s="687">
        <v>80504321</v>
      </c>
      <c r="D614" s="688" t="s">
        <v>906</v>
      </c>
      <c r="E614" s="27">
        <v>42704</v>
      </c>
      <c r="F614" s="689">
        <v>42675</v>
      </c>
      <c r="G614" s="690" t="s">
        <v>4029</v>
      </c>
      <c r="H614" s="686" t="s">
        <v>1997</v>
      </c>
      <c r="I614" s="686" t="s">
        <v>183</v>
      </c>
      <c r="J614" s="27">
        <v>42765</v>
      </c>
      <c r="K614" s="689">
        <v>42736</v>
      </c>
      <c r="L614" s="690" t="s">
        <v>4030</v>
      </c>
      <c r="M614" s="686" t="s">
        <v>171</v>
      </c>
      <c r="N614" s="686" t="s">
        <v>1544</v>
      </c>
      <c r="O614" s="27">
        <v>42825</v>
      </c>
      <c r="P614" s="691">
        <v>42795</v>
      </c>
      <c r="Q614" s="690" t="s">
        <v>1852</v>
      </c>
      <c r="R614" s="686" t="s">
        <v>171</v>
      </c>
      <c r="S614" s="686" t="s">
        <v>1544</v>
      </c>
      <c r="T614" s="27">
        <v>43070</v>
      </c>
      <c r="U614" s="689">
        <v>43070</v>
      </c>
      <c r="V614" s="690" t="s">
        <v>4031</v>
      </c>
      <c r="W614" s="686" t="s">
        <v>5</v>
      </c>
      <c r="X614" s="686" t="s">
        <v>570</v>
      </c>
      <c r="Y614" s="27">
        <v>41990</v>
      </c>
      <c r="Z614" s="689">
        <v>41974</v>
      </c>
      <c r="AA614" s="690" t="s">
        <v>4032</v>
      </c>
      <c r="AB614" s="686" t="s">
        <v>4033</v>
      </c>
      <c r="AC614" s="686" t="s">
        <v>4034</v>
      </c>
      <c r="AD614" s="27" t="s">
        <v>4035</v>
      </c>
      <c r="AE614" s="689" t="s">
        <v>4036</v>
      </c>
      <c r="AF614" s="690" t="s">
        <v>4037</v>
      </c>
      <c r="AG614" s="686" t="s">
        <v>4038</v>
      </c>
      <c r="AH614" s="686" t="s">
        <v>4039</v>
      </c>
      <c r="AI614" s="704"/>
      <c r="AJ614" s="689"/>
      <c r="AK614" s="690"/>
      <c r="AL614" s="686"/>
      <c r="AM614" s="812"/>
      <c r="AN614" s="686" t="s">
        <v>3376</v>
      </c>
      <c r="AO614" s="705"/>
      <c r="AP614" s="686"/>
      <c r="AQ614" s="690" t="s">
        <v>4040</v>
      </c>
      <c r="AR614" s="686" t="s">
        <v>161</v>
      </c>
      <c r="AS614" s="27">
        <v>36844</v>
      </c>
      <c r="AT614" s="27">
        <v>40908</v>
      </c>
      <c r="AU614" s="686" t="s">
        <v>4041</v>
      </c>
      <c r="AV614" s="686"/>
      <c r="AW614" s="686" t="s">
        <v>69</v>
      </c>
      <c r="AX614" s="686" t="s">
        <v>4042</v>
      </c>
      <c r="AY614" s="27">
        <v>42390</v>
      </c>
      <c r="AZ614" s="686" t="s">
        <v>4043</v>
      </c>
      <c r="BA614" s="27">
        <v>42607</v>
      </c>
      <c r="BB614" s="27">
        <v>43013</v>
      </c>
      <c r="BC614" s="701" t="s">
        <v>912</v>
      </c>
      <c r="BD614" s="701" t="s">
        <v>566</v>
      </c>
      <c r="BE614" s="686"/>
      <c r="BF614" s="690"/>
      <c r="BG614" s="690"/>
      <c r="BH614" s="690"/>
      <c r="BI614" s="690"/>
      <c r="BJ614" s="696">
        <f>+[158]MATRIZ!$J$56</f>
        <v>0</v>
      </c>
      <c r="BK614" s="696"/>
      <c r="BL614" s="697"/>
      <c r="BM614" s="27"/>
      <c r="BN614" s="698"/>
      <c r="BO614" s="699"/>
      <c r="BP614" s="700"/>
      <c r="BQ614" s="686"/>
      <c r="BR614" s="701"/>
      <c r="BS614" s="690"/>
      <c r="BT614" s="690"/>
      <c r="BU614" s="690"/>
      <c r="BV614" s="690"/>
      <c r="BW614" s="702"/>
      <c r="BX614" s="693"/>
      <c r="BY614" s="27"/>
      <c r="BZ614" s="703"/>
      <c r="CA614" s="259"/>
      <c r="CB614" s="259"/>
      <c r="CC614" s="259"/>
      <c r="CD614" s="259"/>
      <c r="CE614" s="259"/>
      <c r="CF614" s="259"/>
      <c r="CG614" s="259"/>
      <c r="CH614" s="259"/>
      <c r="CI614" s="259"/>
      <c r="CJ614" s="259"/>
      <c r="CK614" s="259"/>
      <c r="CL614" s="259"/>
      <c r="CM614" s="259"/>
      <c r="CN614" s="259"/>
      <c r="CO614" s="259"/>
      <c r="CP614" s="259"/>
      <c r="CQ614" s="259"/>
      <c r="CR614" s="259"/>
      <c r="CS614" s="259"/>
      <c r="CT614" s="259"/>
      <c r="CU614" s="259"/>
      <c r="CV614" s="259"/>
      <c r="CW614" s="259"/>
      <c r="CX614" s="259"/>
      <c r="CY614" s="259"/>
      <c r="CZ614" s="259"/>
      <c r="DA614" s="259"/>
      <c r="DB614" s="259"/>
      <c r="DC614" s="259"/>
      <c r="DD614" s="259"/>
      <c r="DE614" s="259"/>
      <c r="DF614" s="259"/>
      <c r="DG614" s="259"/>
      <c r="DH614" s="259"/>
      <c r="DI614" s="259"/>
      <c r="DJ614" s="259"/>
      <c r="DK614" s="259"/>
      <c r="DL614" s="259"/>
      <c r="DM614" s="259"/>
      <c r="DN614" s="259"/>
      <c r="DO614" s="259"/>
      <c r="DP614" s="259"/>
      <c r="DQ614" s="259"/>
      <c r="DR614" s="259"/>
      <c r="DS614" s="259"/>
      <c r="DT614" s="259"/>
      <c r="DU614" s="259"/>
      <c r="DV614" s="259"/>
      <c r="DW614" s="259"/>
      <c r="DX614" s="259"/>
      <c r="DY614" s="259"/>
      <c r="DZ614" s="259"/>
      <c r="EA614" s="259"/>
      <c r="EB614" s="259"/>
      <c r="EC614" s="259"/>
      <c r="ED614" s="259"/>
      <c r="EE614" s="259"/>
      <c r="EF614" s="259"/>
      <c r="EG614" s="259"/>
      <c r="EH614" s="259"/>
      <c r="EI614" s="259"/>
      <c r="EJ614" s="259"/>
      <c r="EK614" s="259"/>
      <c r="EL614" s="259"/>
      <c r="EM614" s="259"/>
      <c r="EN614" s="259"/>
      <c r="EO614" s="259"/>
      <c r="EP614" s="259"/>
      <c r="EQ614" s="259"/>
      <c r="ER614" s="259"/>
      <c r="ES614" s="259"/>
      <c r="ET614" s="259"/>
      <c r="EU614" s="259"/>
      <c r="EV614" s="259"/>
      <c r="EW614" s="259"/>
      <c r="EX614" s="259"/>
      <c r="EY614" s="259"/>
      <c r="EZ614" s="259"/>
      <c r="FA614" s="259"/>
      <c r="FB614" s="259"/>
      <c r="FC614" s="259"/>
      <c r="FD614" s="259"/>
      <c r="FE614" s="259"/>
      <c r="FF614" s="259"/>
      <c r="FG614" s="259"/>
      <c r="FH614" s="259"/>
      <c r="FI614" s="259"/>
      <c r="FJ614" s="259"/>
      <c r="FK614" s="259"/>
      <c r="FL614" s="259"/>
      <c r="FM614" s="259"/>
      <c r="FN614" s="259"/>
      <c r="FO614" s="259"/>
      <c r="FP614" s="259"/>
      <c r="FQ614" s="259"/>
      <c r="FR614" s="259"/>
      <c r="FS614" s="259"/>
      <c r="FT614" s="259"/>
      <c r="FU614" s="259"/>
      <c r="FV614" s="259"/>
      <c r="FW614" s="259"/>
      <c r="FX614" s="259"/>
      <c r="FY614" s="259"/>
      <c r="FZ614" s="259"/>
      <c r="GA614" s="259"/>
      <c r="GB614" s="259"/>
      <c r="GC614" s="259"/>
      <c r="GD614" s="259"/>
      <c r="GE614" s="259"/>
      <c r="GF614" s="259"/>
      <c r="GG614" s="259"/>
      <c r="GH614" s="259"/>
      <c r="GI614" s="259"/>
      <c r="GJ614" s="259"/>
      <c r="GK614" s="259"/>
      <c r="GL614" s="259"/>
      <c r="GM614" s="259"/>
      <c r="GN614" s="259"/>
      <c r="GO614" s="259"/>
      <c r="GP614" s="259"/>
      <c r="GQ614" s="259"/>
      <c r="GR614" s="259"/>
      <c r="GS614" s="259"/>
      <c r="GT614" s="259"/>
      <c r="GU614" s="259"/>
      <c r="GV614" s="259"/>
      <c r="GW614" s="259"/>
      <c r="GX614" s="259"/>
      <c r="GY614" s="259"/>
      <c r="GZ614" s="259"/>
      <c r="HA614" s="259"/>
      <c r="HB614" s="259"/>
      <c r="HC614" s="259"/>
      <c r="HD614" s="259"/>
      <c r="HE614" s="259"/>
      <c r="HF614" s="259"/>
      <c r="HG614" s="259"/>
      <c r="HH614" s="259"/>
      <c r="HI614" s="259"/>
      <c r="HJ614" s="259"/>
      <c r="HK614" s="259"/>
      <c r="HL614" s="259"/>
      <c r="HM614" s="259"/>
      <c r="HN614" s="259"/>
      <c r="HO614" s="259"/>
      <c r="HP614" s="259"/>
      <c r="HQ614" s="259"/>
      <c r="HR614" s="259"/>
      <c r="HS614" s="259"/>
      <c r="HT614" s="259"/>
      <c r="HU614" s="259"/>
      <c r="HV614" s="259"/>
      <c r="HW614" s="259"/>
      <c r="HX614" s="259"/>
      <c r="HY614" s="259"/>
      <c r="HZ614" s="259"/>
      <c r="IA614" s="259"/>
      <c r="IB614" s="259"/>
      <c r="IC614" s="259"/>
      <c r="ID614" s="259"/>
      <c r="IE614" s="259"/>
      <c r="IF614" s="259"/>
      <c r="IG614" s="259"/>
      <c r="IH614" s="259"/>
      <c r="II614" s="259"/>
      <c r="IJ614" s="259"/>
      <c r="IK614" s="259"/>
      <c r="IL614" s="259"/>
      <c r="IM614" s="259"/>
      <c r="IN614" s="259"/>
      <c r="IO614" s="259"/>
      <c r="IP614" s="259"/>
      <c r="IQ614" s="259"/>
      <c r="IR614" s="259"/>
      <c r="IS614" s="259"/>
      <c r="IT614" s="259"/>
      <c r="IU614" s="259"/>
      <c r="IV614" s="259"/>
      <c r="IW614" s="259"/>
      <c r="IX614" s="259"/>
      <c r="IY614" s="259"/>
      <c r="IZ614" s="259"/>
      <c r="JA614" s="259"/>
      <c r="JB614" s="259"/>
      <c r="JC614" s="259"/>
      <c r="JD614" s="259"/>
      <c r="JE614" s="259"/>
      <c r="JF614" s="259"/>
      <c r="JG614" s="259"/>
      <c r="JH614" s="259"/>
      <c r="JI614" s="259"/>
      <c r="JJ614" s="259"/>
      <c r="JK614" s="259"/>
      <c r="JL614" s="259"/>
      <c r="JM614" s="259"/>
      <c r="JN614" s="259"/>
      <c r="JO614" s="259"/>
      <c r="JP614" s="259"/>
      <c r="JQ614" s="259"/>
      <c r="JR614" s="259"/>
      <c r="JS614" s="259"/>
      <c r="JT614" s="259"/>
      <c r="JU614" s="259"/>
      <c r="JV614" s="259"/>
      <c r="JW614" s="259"/>
      <c r="JX614" s="259"/>
      <c r="JY614" s="259"/>
      <c r="JZ614" s="259"/>
      <c r="KA614" s="259"/>
      <c r="KB614" s="259"/>
      <c r="KC614" s="259"/>
      <c r="KD614" s="259"/>
      <c r="KE614" s="259"/>
      <c r="KF614" s="259"/>
      <c r="KG614" s="259"/>
      <c r="KH614" s="259"/>
      <c r="KI614" s="259"/>
      <c r="KJ614" s="259"/>
      <c r="KK614" s="259"/>
      <c r="KL614" s="259"/>
      <c r="KM614" s="259"/>
      <c r="KN614" s="259"/>
      <c r="KO614" s="259"/>
      <c r="KP614" s="259"/>
      <c r="KQ614" s="259"/>
      <c r="KR614" s="259"/>
      <c r="KS614" s="259"/>
      <c r="KT614" s="259"/>
      <c r="KU614" s="259"/>
      <c r="KV614" s="259"/>
      <c r="KW614" s="259"/>
      <c r="KX614" s="259"/>
      <c r="KY614" s="259"/>
      <c r="KZ614" s="259"/>
      <c r="LA614" s="259"/>
      <c r="LB614" s="259"/>
      <c r="LC614" s="259"/>
      <c r="LD614" s="259"/>
      <c r="LE614" s="259"/>
      <c r="LF614" s="259"/>
      <c r="LG614" s="259"/>
      <c r="LH614" s="259"/>
      <c r="LI614" s="259"/>
      <c r="LJ614" s="259"/>
      <c r="LK614" s="259"/>
      <c r="LL614" s="259"/>
      <c r="LM614" s="259"/>
      <c r="LN614" s="259"/>
      <c r="LO614" s="259"/>
      <c r="LP614" s="259"/>
      <c r="LQ614" s="259"/>
      <c r="LR614" s="259"/>
      <c r="LS614" s="259"/>
      <c r="LT614" s="259"/>
      <c r="LU614" s="259"/>
      <c r="LV614" s="259"/>
      <c r="LW614" s="259"/>
      <c r="LX614" s="259"/>
      <c r="LY614" s="259"/>
      <c r="LZ614" s="259"/>
      <c r="MA614" s="259"/>
      <c r="MB614" s="259"/>
      <c r="MC614" s="259"/>
      <c r="MD614" s="259"/>
      <c r="ME614" s="259"/>
      <c r="MF614" s="259"/>
      <c r="MG614" s="259"/>
      <c r="MH614" s="259"/>
      <c r="MI614" s="259"/>
      <c r="MJ614" s="259"/>
      <c r="MK614" s="259"/>
      <c r="ML614" s="259"/>
      <c r="MM614" s="259"/>
      <c r="MN614" s="259"/>
      <c r="MO614" s="259"/>
      <c r="MP614" s="259"/>
      <c r="MQ614" s="259"/>
      <c r="MR614" s="259"/>
      <c r="MS614" s="259"/>
      <c r="MT614" s="259"/>
      <c r="MU614" s="259"/>
      <c r="MV614" s="259"/>
      <c r="MW614" s="259"/>
      <c r="MX614" s="259"/>
      <c r="MY614" s="259"/>
      <c r="MZ614" s="259"/>
      <c r="NA614" s="259"/>
      <c r="NB614" s="259"/>
      <c r="NC614" s="259"/>
      <c r="ND614" s="259"/>
      <c r="NE614" s="259"/>
      <c r="NF614" s="259"/>
      <c r="NG614" s="259"/>
      <c r="NH614" s="259"/>
      <c r="NI614" s="259"/>
      <c r="NJ614" s="259"/>
      <c r="NK614" s="259"/>
      <c r="NL614" s="259"/>
      <c r="NM614" s="259"/>
      <c r="NN614" s="259"/>
      <c r="NO614" s="259"/>
      <c r="NP614" s="259"/>
      <c r="NQ614" s="259"/>
      <c r="NR614" s="259"/>
      <c r="NS614" s="259"/>
      <c r="NT614" s="259"/>
      <c r="NU614" s="259"/>
      <c r="NV614" s="259"/>
      <c r="NW614" s="259"/>
      <c r="NX614" s="259"/>
      <c r="NY614" s="259"/>
      <c r="NZ614" s="259"/>
      <c r="OA614" s="259"/>
      <c r="OB614" s="259"/>
      <c r="OC614" s="259"/>
      <c r="OD614" s="259"/>
      <c r="OE614" s="259"/>
      <c r="OF614" s="259"/>
      <c r="OG614" s="259"/>
      <c r="OH614" s="259"/>
      <c r="OI614" s="259"/>
      <c r="OJ614" s="259"/>
      <c r="OK614" s="259"/>
      <c r="OL614" s="259"/>
      <c r="OM614" s="259"/>
      <c r="ON614" s="259"/>
      <c r="OO614" s="259"/>
      <c r="OP614" s="259"/>
      <c r="OQ614" s="259"/>
      <c r="OR614" s="259"/>
      <c r="OS614" s="259"/>
      <c r="OT614" s="259"/>
      <c r="OU614" s="259"/>
      <c r="OV614" s="259"/>
      <c r="OW614" s="259"/>
      <c r="OX614" s="259"/>
      <c r="OY614" s="259"/>
      <c r="OZ614" s="259"/>
      <c r="PA614" s="259"/>
      <c r="PB614" s="259"/>
      <c r="PC614" s="259"/>
      <c r="PD614" s="259"/>
      <c r="PE614" s="259"/>
      <c r="PF614" s="259"/>
      <c r="PG614" s="259"/>
      <c r="PH614" s="259"/>
      <c r="PI614" s="259"/>
      <c r="PJ614" s="259"/>
      <c r="PK614" s="259"/>
      <c r="PL614" s="259"/>
      <c r="PM614" s="259"/>
      <c r="PN614" s="259"/>
      <c r="PO614" s="259"/>
      <c r="PP614" s="259"/>
      <c r="PQ614" s="259"/>
      <c r="PR614" s="259"/>
      <c r="PS614" s="259"/>
      <c r="PT614" s="259"/>
      <c r="PU614" s="259"/>
      <c r="PV614" s="259"/>
      <c r="PW614" s="259"/>
      <c r="PX614" s="259"/>
      <c r="PY614" s="259"/>
      <c r="PZ614" s="259"/>
      <c r="QA614" s="259"/>
      <c r="QB614" s="259"/>
      <c r="QC614" s="259"/>
      <c r="QD614" s="259"/>
      <c r="QE614" s="259"/>
      <c r="QF614" s="259"/>
      <c r="QG614" s="259"/>
      <c r="QH614" s="259"/>
      <c r="QI614" s="259"/>
      <c r="QJ614" s="259"/>
      <c r="QK614" s="259"/>
      <c r="QL614" s="259"/>
      <c r="QM614" s="259"/>
      <c r="QN614" s="259"/>
      <c r="QO614" s="259"/>
      <c r="QP614" s="259"/>
      <c r="QQ614" s="259"/>
      <c r="QR614" s="259"/>
      <c r="QS614" s="259"/>
      <c r="QT614" s="259"/>
      <c r="QU614" s="259"/>
      <c r="QV614" s="259"/>
      <c r="QW614" s="259"/>
      <c r="QX614" s="259"/>
      <c r="QY614" s="259"/>
      <c r="QZ614" s="259"/>
      <c r="RA614" s="259"/>
      <c r="RB614" s="259"/>
      <c r="RC614" s="259"/>
      <c r="RD614" s="259"/>
      <c r="RE614" s="259"/>
      <c r="RF614" s="259"/>
      <c r="RG614" s="259"/>
      <c r="RH614" s="259"/>
      <c r="RI614" s="259"/>
      <c r="RJ614" s="259"/>
      <c r="RK614" s="259"/>
      <c r="RL614" s="259"/>
      <c r="RM614" s="259"/>
      <c r="RN614" s="259"/>
      <c r="RO614" s="259"/>
      <c r="RP614" s="259"/>
      <c r="RQ614" s="259"/>
      <c r="RR614" s="259"/>
      <c r="RS614" s="259"/>
      <c r="RT614" s="259"/>
      <c r="RU614" s="259"/>
      <c r="RV614" s="259"/>
      <c r="RW614" s="259"/>
      <c r="RX614" s="259"/>
      <c r="RY614" s="259"/>
      <c r="RZ614" s="259"/>
      <c r="SA614" s="259"/>
      <c r="SB614" s="259"/>
      <c r="SC614" s="259"/>
      <c r="SD614" s="259"/>
      <c r="SE614" s="259"/>
      <c r="SF614" s="259"/>
      <c r="SG614" s="259"/>
      <c r="SH614" s="259"/>
      <c r="SI614" s="259"/>
      <c r="SJ614" s="259"/>
      <c r="SK614" s="259"/>
      <c r="SL614" s="259"/>
      <c r="SM614" s="259"/>
      <c r="SN614" s="259"/>
      <c r="SO614" s="259"/>
      <c r="SP614" s="259"/>
      <c r="SQ614" s="259"/>
      <c r="SR614" s="259"/>
      <c r="SS614" s="259"/>
      <c r="ST614" s="259"/>
      <c r="SU614" s="259"/>
      <c r="SV614" s="259"/>
      <c r="SW614" s="259"/>
      <c r="SX614" s="259"/>
      <c r="SY614" s="259"/>
      <c r="SZ614" s="259"/>
      <c r="TA614" s="259"/>
      <c r="TB614" s="259"/>
      <c r="TC614" s="259"/>
      <c r="TD614" s="259"/>
      <c r="TE614" s="259"/>
      <c r="TF614" s="259"/>
      <c r="TG614" s="259"/>
      <c r="TH614" s="259"/>
      <c r="TI614" s="259"/>
      <c r="TJ614" s="259"/>
      <c r="TK614" s="259"/>
      <c r="TL614" s="259"/>
      <c r="TM614" s="259"/>
      <c r="TN614" s="259"/>
      <c r="TO614" s="259"/>
      <c r="TP614" s="259"/>
      <c r="TQ614" s="259"/>
      <c r="TR614" s="259"/>
      <c r="TS614" s="259"/>
      <c r="TT614" s="259"/>
      <c r="TU614" s="259"/>
      <c r="TV614" s="259"/>
      <c r="TW614" s="259"/>
      <c r="TX614" s="259"/>
      <c r="TY614" s="259"/>
      <c r="TZ614" s="259"/>
      <c r="UA614" s="259"/>
      <c r="UB614" s="259"/>
      <c r="UC614" s="259"/>
      <c r="UD614" s="259"/>
      <c r="UE614" s="259"/>
      <c r="UF614" s="259"/>
      <c r="UG614" s="259"/>
      <c r="UH614" s="259"/>
      <c r="UI614" s="259"/>
    </row>
    <row r="615" spans="1:555" ht="71.25" customHeight="1">
      <c r="A615" s="296">
        <v>363</v>
      </c>
      <c r="B615" s="297" t="s">
        <v>4044</v>
      </c>
      <c r="C615" s="298">
        <v>79390322</v>
      </c>
      <c r="D615" s="354" t="s">
        <v>4045</v>
      </c>
      <c r="E615" s="299">
        <v>42710</v>
      </c>
      <c r="F615" s="300">
        <v>42705</v>
      </c>
      <c r="G615" s="301" t="s">
        <v>4046</v>
      </c>
      <c r="H615" s="297" t="s">
        <v>625</v>
      </c>
      <c r="I615" s="297" t="s">
        <v>183</v>
      </c>
      <c r="J615" s="299">
        <v>42941</v>
      </c>
      <c r="K615" s="300">
        <v>42917</v>
      </c>
      <c r="L615" s="301" t="s">
        <v>4047</v>
      </c>
      <c r="M615" s="297" t="s">
        <v>198</v>
      </c>
      <c r="N615" s="297" t="s">
        <v>1491</v>
      </c>
      <c r="O615" s="299">
        <v>42943</v>
      </c>
      <c r="P615" s="302">
        <v>42917</v>
      </c>
      <c r="Q615" s="301" t="s">
        <v>4048</v>
      </c>
      <c r="R615" s="297" t="s">
        <v>198</v>
      </c>
      <c r="S615" s="297" t="s">
        <v>352</v>
      </c>
      <c r="T615" s="299">
        <v>43082</v>
      </c>
      <c r="U615" s="300">
        <v>43070</v>
      </c>
      <c r="V615" s="301" t="s">
        <v>4049</v>
      </c>
      <c r="W615" s="297" t="s">
        <v>5</v>
      </c>
      <c r="X615" s="297" t="s">
        <v>4050</v>
      </c>
      <c r="Y615" s="299">
        <v>43053</v>
      </c>
      <c r="Z615" s="300">
        <v>43040</v>
      </c>
      <c r="AA615" s="301" t="s">
        <v>4051</v>
      </c>
      <c r="AB615" s="297" t="s">
        <v>5</v>
      </c>
      <c r="AC615" s="297" t="s">
        <v>79</v>
      </c>
      <c r="AD615" s="305">
        <v>43250</v>
      </c>
      <c r="AE615" s="300">
        <v>43250</v>
      </c>
      <c r="AF615" s="315" t="s">
        <v>4052</v>
      </c>
      <c r="AG615" s="297" t="s">
        <v>208</v>
      </c>
      <c r="AH615" s="297" t="s">
        <v>79</v>
      </c>
      <c r="AI615" s="299" t="s">
        <v>10537</v>
      </c>
      <c r="AJ615" s="300" t="s">
        <v>10537</v>
      </c>
      <c r="AK615" s="301" t="s">
        <v>10536</v>
      </c>
      <c r="AL615" s="297" t="s">
        <v>10532</v>
      </c>
      <c r="AM615" s="297" t="s">
        <v>8243</v>
      </c>
      <c r="AN615" s="297" t="s">
        <v>4053</v>
      </c>
      <c r="AO615" s="554"/>
      <c r="AP615" s="297"/>
      <c r="AQ615" s="301" t="s">
        <v>7575</v>
      </c>
      <c r="AR615" s="297" t="s">
        <v>161</v>
      </c>
      <c r="AS615" s="299">
        <v>37773</v>
      </c>
      <c r="AT615" s="299">
        <v>40590</v>
      </c>
      <c r="AU615" s="297" t="s">
        <v>4054</v>
      </c>
      <c r="AV615" s="297"/>
      <c r="AW615" s="297" t="s">
        <v>92</v>
      </c>
      <c r="AX615" s="297" t="s">
        <v>4055</v>
      </c>
      <c r="AY615" s="299">
        <v>41425</v>
      </c>
      <c r="AZ615" s="297" t="s">
        <v>4056</v>
      </c>
      <c r="BA615" s="299">
        <v>42635</v>
      </c>
      <c r="BB615" s="299">
        <v>42649</v>
      </c>
      <c r="BC615" s="297" t="s">
        <v>95</v>
      </c>
      <c r="BD615" s="297" t="s">
        <v>566</v>
      </c>
      <c r="BE615" s="297"/>
      <c r="BF615" s="301" t="s">
        <v>7310</v>
      </c>
      <c r="BG615" s="301"/>
      <c r="BH615" s="301"/>
      <c r="BI615" s="301"/>
      <c r="BJ615" s="312">
        <f>+[159]MATRIZ!$J$73</f>
        <v>0</v>
      </c>
      <c r="BK615" s="312"/>
      <c r="BL615" s="313"/>
      <c r="BM615" s="299"/>
      <c r="BN615" s="314"/>
      <c r="BO615" s="460"/>
      <c r="BP615" s="390"/>
      <c r="BQ615" s="297"/>
      <c r="BR615" s="303"/>
      <c r="BS615" s="301"/>
      <c r="BT615" s="301"/>
      <c r="BU615" s="301"/>
      <c r="BV615" s="301"/>
      <c r="BW615" s="316"/>
      <c r="BX615" s="304"/>
      <c r="BY615" s="299"/>
      <c r="BZ615" s="317"/>
    </row>
    <row r="616" spans="1:555" s="259" customFormat="1" ht="67.5" customHeight="1">
      <c r="A616" s="502">
        <v>364</v>
      </c>
      <c r="B616" s="686" t="s">
        <v>9083</v>
      </c>
      <c r="C616" s="687">
        <v>79869537</v>
      </c>
      <c r="D616" s="688" t="s">
        <v>597</v>
      </c>
      <c r="E616" s="27">
        <v>42716</v>
      </c>
      <c r="F616" s="689">
        <v>42705</v>
      </c>
      <c r="G616" s="690" t="s">
        <v>8203</v>
      </c>
      <c r="H616" s="686" t="s">
        <v>63</v>
      </c>
      <c r="I616" s="686" t="s">
        <v>183</v>
      </c>
      <c r="J616" s="27">
        <v>42716</v>
      </c>
      <c r="K616" s="689">
        <v>42705</v>
      </c>
      <c r="L616" s="690" t="s">
        <v>4058</v>
      </c>
      <c r="M616" s="686" t="s">
        <v>625</v>
      </c>
      <c r="N616" s="686" t="s">
        <v>183</v>
      </c>
      <c r="O616" s="27">
        <v>42723</v>
      </c>
      <c r="P616" s="691">
        <v>42705</v>
      </c>
      <c r="Q616" s="690" t="s">
        <v>4059</v>
      </c>
      <c r="R616" s="686" t="s">
        <v>171</v>
      </c>
      <c r="S616" s="686" t="s">
        <v>1544</v>
      </c>
      <c r="T616" s="27">
        <v>42726</v>
      </c>
      <c r="U616" s="689">
        <v>42705</v>
      </c>
      <c r="V616" s="690" t="s">
        <v>4060</v>
      </c>
      <c r="W616" s="686" t="s">
        <v>195</v>
      </c>
      <c r="X616" s="686" t="s">
        <v>336</v>
      </c>
      <c r="Y616" s="27">
        <v>42783</v>
      </c>
      <c r="Z616" s="689">
        <v>42767</v>
      </c>
      <c r="AA616" s="690" t="s">
        <v>4061</v>
      </c>
      <c r="AB616" s="686" t="s">
        <v>4062</v>
      </c>
      <c r="AC616" s="686" t="s">
        <v>79</v>
      </c>
      <c r="AD616" s="27" t="s">
        <v>4063</v>
      </c>
      <c r="AE616" s="689" t="s">
        <v>4064</v>
      </c>
      <c r="AF616" s="690" t="s">
        <v>4065</v>
      </c>
      <c r="AG616" s="686" t="s">
        <v>3943</v>
      </c>
      <c r="AH616" s="686" t="s">
        <v>4066</v>
      </c>
      <c r="AI616" s="27">
        <v>43700</v>
      </c>
      <c r="AJ616" s="689">
        <v>43700</v>
      </c>
      <c r="AK616" s="690" t="s">
        <v>9108</v>
      </c>
      <c r="AL616" s="686" t="s">
        <v>208</v>
      </c>
      <c r="AM616" s="27" t="s">
        <v>8243</v>
      </c>
      <c r="AN616" s="686" t="s">
        <v>1359</v>
      </c>
      <c r="AO616" s="694">
        <v>42811</v>
      </c>
      <c r="AP616" s="686"/>
      <c r="AQ616" s="690" t="s">
        <v>9084</v>
      </c>
      <c r="AR616" s="686" t="s">
        <v>161</v>
      </c>
      <c r="AS616" s="27">
        <v>39814</v>
      </c>
      <c r="AT616" s="27">
        <v>40862</v>
      </c>
      <c r="AU616" s="686" t="s">
        <v>4067</v>
      </c>
      <c r="AV616" s="686"/>
      <c r="AW616" s="686" t="s">
        <v>4068</v>
      </c>
      <c r="AX616" s="686" t="s">
        <v>2971</v>
      </c>
      <c r="AY616" s="27">
        <v>42242</v>
      </c>
      <c r="AZ616" s="686" t="s">
        <v>2657</v>
      </c>
      <c r="BA616" s="27">
        <v>42697</v>
      </c>
      <c r="BB616" s="27">
        <v>42713</v>
      </c>
      <c r="BC616" s="686" t="s">
        <v>95</v>
      </c>
      <c r="BD616" s="686" t="s">
        <v>566</v>
      </c>
      <c r="BE616" s="686"/>
      <c r="BF616" s="690" t="s">
        <v>4069</v>
      </c>
      <c r="BG616" s="690"/>
      <c r="BH616" s="690"/>
      <c r="BI616" s="690"/>
      <c r="BJ616" s="803">
        <f>+[160]MATRIZ!$J$64</f>
        <v>0</v>
      </c>
      <c r="BK616" s="696"/>
      <c r="BL616" s="697"/>
      <c r="BM616" s="27"/>
      <c r="BN616" s="698"/>
      <c r="BO616" s="699"/>
      <c r="BP616" s="700"/>
      <c r="BQ616" s="686"/>
      <c r="BR616" s="701"/>
      <c r="BS616" s="690"/>
      <c r="BT616" s="690"/>
      <c r="BU616" s="690"/>
      <c r="BV616" s="690"/>
      <c r="BW616" s="702"/>
      <c r="BX616" s="693"/>
      <c r="BY616" s="27"/>
      <c r="BZ616" s="703"/>
    </row>
    <row r="617" spans="1:555" s="259" customFormat="1" ht="67.5" customHeight="1">
      <c r="A617" s="296">
        <v>365</v>
      </c>
      <c r="B617" s="297" t="s">
        <v>4070</v>
      </c>
      <c r="C617" s="298">
        <v>3276504</v>
      </c>
      <c r="D617" s="354" t="s">
        <v>906</v>
      </c>
      <c r="E617" s="299">
        <v>42719</v>
      </c>
      <c r="F617" s="300">
        <v>42705</v>
      </c>
      <c r="G617" s="301" t="s">
        <v>4071</v>
      </c>
      <c r="H617" s="297" t="s">
        <v>625</v>
      </c>
      <c r="I617" s="297" t="s">
        <v>183</v>
      </c>
      <c r="J617" s="299">
        <v>42748</v>
      </c>
      <c r="K617" s="300">
        <v>42736</v>
      </c>
      <c r="L617" s="301" t="s">
        <v>3964</v>
      </c>
      <c r="M617" s="297" t="s">
        <v>171</v>
      </c>
      <c r="N617" s="297" t="s">
        <v>2189</v>
      </c>
      <c r="O617" s="299">
        <v>42808</v>
      </c>
      <c r="P617" s="302">
        <v>42795</v>
      </c>
      <c r="Q617" s="301" t="s">
        <v>4072</v>
      </c>
      <c r="R617" s="297" t="s">
        <v>171</v>
      </c>
      <c r="S617" s="297" t="s">
        <v>1544</v>
      </c>
      <c r="T617" s="299">
        <v>42054</v>
      </c>
      <c r="U617" s="300">
        <v>42036</v>
      </c>
      <c r="V617" s="301" t="s">
        <v>4073</v>
      </c>
      <c r="W617" s="297" t="s">
        <v>195</v>
      </c>
      <c r="X617" s="297" t="s">
        <v>4074</v>
      </c>
      <c r="Y617" s="299">
        <v>42804</v>
      </c>
      <c r="Z617" s="300">
        <v>42795</v>
      </c>
      <c r="AA617" s="301" t="s">
        <v>4072</v>
      </c>
      <c r="AB617" s="297" t="s">
        <v>171</v>
      </c>
      <c r="AC617" s="297" t="s">
        <v>777</v>
      </c>
      <c r="AD617" s="299">
        <v>42874</v>
      </c>
      <c r="AE617" s="300">
        <v>42874</v>
      </c>
      <c r="AF617" s="301" t="s">
        <v>10389</v>
      </c>
      <c r="AG617" s="297" t="s">
        <v>5</v>
      </c>
      <c r="AH617" s="297" t="s">
        <v>79</v>
      </c>
      <c r="AI617" s="299" t="s">
        <v>4075</v>
      </c>
      <c r="AJ617" s="300" t="s">
        <v>4076</v>
      </c>
      <c r="AK617" s="301" t="s">
        <v>4077</v>
      </c>
      <c r="AL617" s="297" t="s">
        <v>4078</v>
      </c>
      <c r="AM617" s="297" t="s">
        <v>4079</v>
      </c>
      <c r="AN617" s="297" t="s">
        <v>4080</v>
      </c>
      <c r="AO617" s="554"/>
      <c r="AP617" s="297"/>
      <c r="AQ617" s="301" t="s">
        <v>4081</v>
      </c>
      <c r="AR617" s="297" t="s">
        <v>161</v>
      </c>
      <c r="AS617" s="299" t="s">
        <v>67</v>
      </c>
      <c r="AT617" s="299" t="s">
        <v>67</v>
      </c>
      <c r="AU617" s="297" t="s">
        <v>4082</v>
      </c>
      <c r="AV617" s="297"/>
      <c r="AW617" s="297" t="s">
        <v>69</v>
      </c>
      <c r="AX617" s="297" t="s">
        <v>2971</v>
      </c>
      <c r="AY617" s="299">
        <v>42417</v>
      </c>
      <c r="AZ617" s="297" t="s">
        <v>2657</v>
      </c>
      <c r="BA617" s="299">
        <v>42586</v>
      </c>
      <c r="BB617" s="299">
        <v>42592</v>
      </c>
      <c r="BC617" s="303" t="s">
        <v>912</v>
      </c>
      <c r="BD617" s="303" t="s">
        <v>566</v>
      </c>
      <c r="BE617" s="297"/>
      <c r="BF617" s="301"/>
      <c r="BG617" s="301"/>
      <c r="BH617" s="301"/>
      <c r="BI617" s="301"/>
      <c r="BJ617" s="972">
        <f>+[161]MATRIZ!$J$48</f>
        <v>0</v>
      </c>
      <c r="BK617" s="312"/>
      <c r="BL617" s="313"/>
      <c r="BM617" s="299"/>
      <c r="BN617" s="314"/>
      <c r="BO617" s="460"/>
      <c r="BP617" s="390"/>
      <c r="BQ617" s="297"/>
      <c r="BR617" s="303"/>
      <c r="BS617" s="301"/>
      <c r="BT617" s="301"/>
      <c r="BU617" s="301"/>
      <c r="BV617" s="301"/>
      <c r="BW617" s="316"/>
      <c r="BX617" s="304"/>
      <c r="BY617" s="299"/>
      <c r="BZ617" s="317"/>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c r="JW617" s="1"/>
      <c r="JX617" s="1"/>
      <c r="JY617" s="1"/>
      <c r="JZ617" s="1"/>
      <c r="KA617" s="1"/>
      <c r="KB617" s="1"/>
      <c r="KC617" s="1"/>
      <c r="KD617" s="1"/>
      <c r="KE617" s="1"/>
      <c r="KF617" s="1"/>
      <c r="KG617" s="1"/>
      <c r="KH617" s="1"/>
      <c r="KI617" s="1"/>
      <c r="KJ617" s="1"/>
      <c r="KK617" s="1"/>
      <c r="KL617" s="1"/>
      <c r="KM617" s="1"/>
      <c r="KN617" s="1"/>
      <c r="KO617" s="1"/>
      <c r="KP617" s="1"/>
      <c r="KQ617" s="1"/>
      <c r="KR617" s="1"/>
      <c r="KS617" s="1"/>
      <c r="KT617" s="1"/>
      <c r="KU617" s="1"/>
      <c r="KV617" s="1"/>
      <c r="KW617" s="1"/>
      <c r="KX617" s="1"/>
      <c r="KY617" s="1"/>
      <c r="KZ617" s="1"/>
      <c r="LA617" s="1"/>
      <c r="LB617" s="1"/>
      <c r="LC617" s="1"/>
      <c r="LD617" s="1"/>
      <c r="LE617" s="1"/>
      <c r="LF617" s="1"/>
      <c r="LG617" s="1"/>
      <c r="LH617" s="1"/>
      <c r="LI617" s="1"/>
      <c r="LJ617" s="1"/>
      <c r="LK617" s="1"/>
      <c r="LL617" s="1"/>
      <c r="LM617" s="1"/>
      <c r="LN617" s="1"/>
      <c r="LO617" s="1"/>
      <c r="LP617" s="1"/>
      <c r="LQ617" s="1"/>
      <c r="LR617" s="1"/>
      <c r="LS617" s="1"/>
      <c r="LT617" s="1"/>
      <c r="LU617" s="1"/>
      <c r="LV617" s="1"/>
      <c r="LW617" s="1"/>
      <c r="LX617" s="1"/>
      <c r="LY617" s="1"/>
      <c r="LZ617" s="1"/>
      <c r="MA617" s="1"/>
      <c r="MB617" s="1"/>
      <c r="MC617" s="1"/>
      <c r="MD617" s="1"/>
      <c r="ME617" s="1"/>
      <c r="MF617" s="1"/>
      <c r="MG617" s="1"/>
      <c r="MH617" s="1"/>
      <c r="MI617" s="1"/>
      <c r="MJ617" s="1"/>
      <c r="MK617" s="1"/>
      <c r="ML617" s="1"/>
      <c r="MM617" s="1"/>
      <c r="MN617" s="1"/>
      <c r="MO617" s="1"/>
      <c r="MP617" s="1"/>
      <c r="MQ617" s="1"/>
      <c r="MR617" s="1"/>
      <c r="MS617" s="1"/>
      <c r="MT617" s="1"/>
      <c r="MU617" s="1"/>
      <c r="MV617" s="1"/>
      <c r="MW617" s="1"/>
      <c r="MX617" s="1"/>
      <c r="MY617" s="1"/>
      <c r="MZ617" s="1"/>
      <c r="NA617" s="1"/>
      <c r="NB617" s="1"/>
      <c r="NC617" s="1"/>
      <c r="ND617" s="1"/>
      <c r="NE617" s="1"/>
      <c r="NF617" s="1"/>
      <c r="NG617" s="1"/>
      <c r="NH617" s="1"/>
      <c r="NI617" s="1"/>
      <c r="NJ617" s="1"/>
      <c r="NK617" s="1"/>
      <c r="NL617" s="1"/>
      <c r="NM617" s="1"/>
      <c r="NN617" s="1"/>
      <c r="NO617" s="1"/>
      <c r="NP617" s="1"/>
      <c r="NQ617" s="1"/>
      <c r="NR617" s="1"/>
      <c r="NS617" s="1"/>
      <c r="NT617" s="1"/>
      <c r="NU617" s="1"/>
      <c r="NV617" s="1"/>
      <c r="NW617" s="1"/>
      <c r="NX617" s="1"/>
      <c r="NY617" s="1"/>
      <c r="NZ617" s="1"/>
      <c r="OA617" s="1"/>
      <c r="OB617" s="1"/>
      <c r="OC617" s="1"/>
      <c r="OD617" s="1"/>
      <c r="OE617" s="1"/>
      <c r="OF617" s="1"/>
      <c r="OG617" s="1"/>
      <c r="OH617" s="1"/>
      <c r="OI617" s="1"/>
      <c r="OJ617" s="1"/>
      <c r="OK617" s="1"/>
      <c r="OL617" s="1"/>
      <c r="OM617" s="1"/>
      <c r="ON617" s="1"/>
      <c r="OO617" s="1"/>
      <c r="OP617" s="1"/>
      <c r="OQ617" s="1"/>
      <c r="OR617" s="1"/>
      <c r="OS617" s="1"/>
      <c r="OT617" s="1"/>
      <c r="OU617" s="1"/>
      <c r="OV617" s="1"/>
      <c r="OW617" s="1"/>
      <c r="OX617" s="1"/>
      <c r="OY617" s="1"/>
      <c r="OZ617" s="1"/>
      <c r="PA617" s="1"/>
      <c r="PB617" s="1"/>
      <c r="PC617" s="1"/>
      <c r="PD617" s="1"/>
      <c r="PE617" s="1"/>
      <c r="PF617" s="1"/>
      <c r="PG617" s="1"/>
      <c r="PH617" s="1"/>
      <c r="PI617" s="1"/>
      <c r="PJ617" s="1"/>
      <c r="PK617" s="1"/>
      <c r="PL617" s="1"/>
      <c r="PM617" s="1"/>
      <c r="PN617" s="1"/>
      <c r="PO617" s="1"/>
      <c r="PP617" s="1"/>
      <c r="PQ617" s="1"/>
      <c r="PR617" s="1"/>
      <c r="PS617" s="1"/>
      <c r="PT617" s="1"/>
      <c r="PU617" s="1"/>
      <c r="PV617" s="1"/>
      <c r="PW617" s="1"/>
      <c r="PX617" s="1"/>
      <c r="PY617" s="1"/>
      <c r="PZ617" s="1"/>
      <c r="QA617" s="1"/>
      <c r="QB617" s="1"/>
      <c r="QC617" s="1"/>
      <c r="QD617" s="1"/>
      <c r="QE617" s="1"/>
      <c r="QF617" s="1"/>
      <c r="QG617" s="1"/>
      <c r="QH617" s="1"/>
      <c r="QI617" s="1"/>
      <c r="QJ617" s="1"/>
      <c r="QK617" s="1"/>
      <c r="QL617" s="1"/>
      <c r="QM617" s="1"/>
      <c r="QN617" s="1"/>
      <c r="QO617" s="1"/>
      <c r="QP617" s="1"/>
      <c r="QQ617" s="1"/>
      <c r="QR617" s="1"/>
      <c r="QS617" s="1"/>
      <c r="QT617" s="1"/>
      <c r="QU617" s="1"/>
      <c r="QV617" s="1"/>
      <c r="QW617" s="1"/>
      <c r="QX617" s="1"/>
      <c r="QY617" s="1"/>
      <c r="QZ617" s="1"/>
      <c r="RA617" s="1"/>
      <c r="RB617" s="1"/>
      <c r="RC617" s="1"/>
      <c r="RD617" s="1"/>
      <c r="RE617" s="1"/>
      <c r="RF617" s="1"/>
      <c r="RG617" s="1"/>
      <c r="RH617" s="1"/>
      <c r="RI617" s="1"/>
      <c r="RJ617" s="1"/>
      <c r="RK617" s="1"/>
      <c r="RL617" s="1"/>
      <c r="RM617" s="1"/>
      <c r="RN617" s="1"/>
      <c r="RO617" s="1"/>
      <c r="RP617" s="1"/>
      <c r="RQ617" s="1"/>
      <c r="RR617" s="1"/>
      <c r="RS617" s="1"/>
      <c r="RT617" s="1"/>
      <c r="RU617" s="1"/>
      <c r="RV617" s="1"/>
      <c r="RW617" s="1"/>
      <c r="RX617" s="1"/>
      <c r="RY617" s="1"/>
      <c r="RZ617" s="1"/>
      <c r="SA617" s="1"/>
      <c r="SB617" s="1"/>
      <c r="SC617" s="1"/>
      <c r="SD617" s="1"/>
      <c r="SE617" s="1"/>
      <c r="SF617" s="1"/>
      <c r="SG617" s="1"/>
      <c r="SH617" s="1"/>
      <c r="SI617" s="1"/>
      <c r="SJ617" s="1"/>
      <c r="SK617" s="1"/>
      <c r="SL617" s="1"/>
      <c r="SM617" s="1"/>
      <c r="SN617" s="1"/>
      <c r="SO617" s="1"/>
      <c r="SP617" s="1"/>
      <c r="SQ617" s="1"/>
      <c r="SR617" s="1"/>
      <c r="SS617" s="1"/>
      <c r="ST617" s="1"/>
      <c r="SU617" s="1"/>
      <c r="SV617" s="1"/>
      <c r="SW617" s="1"/>
      <c r="SX617" s="1"/>
      <c r="SY617" s="1"/>
      <c r="SZ617" s="1"/>
      <c r="TA617" s="1"/>
      <c r="TB617" s="1"/>
      <c r="TC617" s="1"/>
      <c r="TD617" s="1"/>
      <c r="TE617" s="1"/>
      <c r="TF617" s="1"/>
      <c r="TG617" s="1"/>
      <c r="TH617" s="1"/>
      <c r="TI617" s="1"/>
      <c r="TJ617" s="1"/>
      <c r="TK617" s="1"/>
      <c r="TL617" s="1"/>
      <c r="TM617" s="1"/>
      <c r="TN617" s="1"/>
      <c r="TO617" s="1"/>
      <c r="TP617" s="1"/>
      <c r="TQ617" s="1"/>
      <c r="TR617" s="1"/>
      <c r="TS617" s="1"/>
      <c r="TT617" s="1"/>
      <c r="TU617" s="1"/>
      <c r="TV617" s="1"/>
      <c r="TW617" s="1"/>
      <c r="TX617" s="1"/>
      <c r="TY617" s="1"/>
      <c r="TZ617" s="1"/>
      <c r="UA617" s="1"/>
      <c r="UB617" s="1"/>
      <c r="UC617" s="1"/>
      <c r="UD617" s="1"/>
      <c r="UE617" s="1"/>
      <c r="UF617" s="1"/>
      <c r="UG617" s="1"/>
      <c r="UH617" s="1"/>
      <c r="UI617" s="1"/>
    </row>
    <row r="618" spans="1:555" s="685" customFormat="1" ht="108">
      <c r="A618" s="88">
        <v>366</v>
      </c>
      <c r="B618" s="75" t="s">
        <v>4083</v>
      </c>
      <c r="C618" s="76">
        <v>93206729</v>
      </c>
      <c r="D618" s="441" t="s">
        <v>597</v>
      </c>
      <c r="E618" s="77">
        <v>42719</v>
      </c>
      <c r="F618" s="78">
        <v>42705</v>
      </c>
      <c r="G618" s="79" t="s">
        <v>4084</v>
      </c>
      <c r="H618" s="75" t="s">
        <v>625</v>
      </c>
      <c r="I618" s="75" t="s">
        <v>1544</v>
      </c>
      <c r="J618" s="77">
        <v>42794</v>
      </c>
      <c r="K618" s="78">
        <v>42767</v>
      </c>
      <c r="L618" s="79" t="s">
        <v>4085</v>
      </c>
      <c r="M618" s="75" t="s">
        <v>1493</v>
      </c>
      <c r="N618" s="75" t="s">
        <v>183</v>
      </c>
      <c r="O618" s="77">
        <v>42803</v>
      </c>
      <c r="P618" s="80">
        <v>42795</v>
      </c>
      <c r="Q618" s="79" t="s">
        <v>4086</v>
      </c>
      <c r="R618" s="75" t="s">
        <v>63</v>
      </c>
      <c r="S618" s="75" t="s">
        <v>183</v>
      </c>
      <c r="T618" s="77">
        <v>42781</v>
      </c>
      <c r="U618" s="78">
        <v>42767</v>
      </c>
      <c r="V618" s="79" t="s">
        <v>3495</v>
      </c>
      <c r="W618" s="75" t="s">
        <v>63</v>
      </c>
      <c r="X618" s="75" t="s">
        <v>101</v>
      </c>
      <c r="Y618" s="77">
        <v>43032</v>
      </c>
      <c r="Z618" s="78">
        <v>43009</v>
      </c>
      <c r="AA618" s="79" t="s">
        <v>4087</v>
      </c>
      <c r="AB618" s="75" t="s">
        <v>63</v>
      </c>
      <c r="AC618" s="75" t="s">
        <v>4088</v>
      </c>
      <c r="AD618" s="77"/>
      <c r="AE618" s="78"/>
      <c r="AF618" s="79"/>
      <c r="AG618" s="75"/>
      <c r="AH618" s="75"/>
      <c r="AI618" s="102"/>
      <c r="AJ618" s="78"/>
      <c r="AK618" s="79"/>
      <c r="AL618" s="75"/>
      <c r="AM618" s="75"/>
      <c r="AN618" s="75" t="s">
        <v>2968</v>
      </c>
      <c r="AO618" s="479">
        <v>42822</v>
      </c>
      <c r="AP618" s="75"/>
      <c r="AQ618" s="79" t="s">
        <v>4089</v>
      </c>
      <c r="AR618" s="75" t="s">
        <v>161</v>
      </c>
      <c r="AS618" s="77">
        <v>38601</v>
      </c>
      <c r="AT618" s="77">
        <v>40858</v>
      </c>
      <c r="AU618" s="75" t="s">
        <v>4090</v>
      </c>
      <c r="AV618" s="75"/>
      <c r="AW618" s="75" t="s">
        <v>69</v>
      </c>
      <c r="AX618" s="75" t="s">
        <v>4091</v>
      </c>
      <c r="AY618" s="77">
        <v>42243</v>
      </c>
      <c r="AZ618" s="75" t="s">
        <v>2657</v>
      </c>
      <c r="BA618" s="77">
        <v>42711</v>
      </c>
      <c r="BB618" s="382">
        <v>42723</v>
      </c>
      <c r="BC618" s="75" t="s">
        <v>95</v>
      </c>
      <c r="BD618" s="75" t="s">
        <v>566</v>
      </c>
      <c r="BE618" s="75"/>
      <c r="BF618" s="79" t="s">
        <v>4092</v>
      </c>
      <c r="BG618" s="79"/>
      <c r="BH618" s="79"/>
      <c r="BI618" s="79"/>
      <c r="BJ618" s="74">
        <f>+[162]MATRIZ!$J$65</f>
        <v>0</v>
      </c>
      <c r="BK618" s="82"/>
      <c r="BL618" s="83"/>
      <c r="BM618" s="77"/>
      <c r="BN618" s="84"/>
      <c r="BO618" s="464"/>
      <c r="BP618" s="400"/>
      <c r="BQ618" s="75"/>
      <c r="BR618" s="85"/>
      <c r="BS618" s="79"/>
      <c r="BT618" s="79"/>
      <c r="BU618" s="79"/>
      <c r="BV618" s="79"/>
      <c r="BW618" s="86"/>
      <c r="BX618" s="81"/>
      <c r="BY618" s="77"/>
      <c r="BZ618" s="87"/>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c r="JW618" s="1"/>
      <c r="JX618" s="1"/>
      <c r="JY618" s="1"/>
      <c r="JZ618" s="1"/>
      <c r="KA618" s="1"/>
      <c r="KB618" s="1"/>
      <c r="KC618" s="1"/>
      <c r="KD618" s="1"/>
      <c r="KE618" s="1"/>
      <c r="KF618" s="1"/>
      <c r="KG618" s="1"/>
      <c r="KH618" s="1"/>
      <c r="KI618" s="1"/>
      <c r="KJ618" s="1"/>
      <c r="KK618" s="1"/>
      <c r="KL618" s="1"/>
      <c r="KM618" s="1"/>
      <c r="KN618" s="1"/>
      <c r="KO618" s="1"/>
      <c r="KP618" s="1"/>
      <c r="KQ618" s="1"/>
      <c r="KR618" s="1"/>
      <c r="KS618" s="1"/>
      <c r="KT618" s="1"/>
      <c r="KU618" s="1"/>
      <c r="KV618" s="1"/>
      <c r="KW618" s="1"/>
      <c r="KX618" s="1"/>
      <c r="KY618" s="1"/>
      <c r="KZ618" s="1"/>
      <c r="LA618" s="1"/>
      <c r="LB618" s="1"/>
      <c r="LC618" s="1"/>
      <c r="LD618" s="1"/>
      <c r="LE618" s="1"/>
      <c r="LF618" s="1"/>
      <c r="LG618" s="1"/>
      <c r="LH618" s="1"/>
      <c r="LI618" s="1"/>
      <c r="LJ618" s="1"/>
      <c r="LK618" s="1"/>
      <c r="LL618" s="1"/>
      <c r="LM618" s="1"/>
      <c r="LN618" s="1"/>
      <c r="LO618" s="1"/>
      <c r="LP618" s="1"/>
      <c r="LQ618" s="1"/>
      <c r="LR618" s="1"/>
      <c r="LS618" s="1"/>
      <c r="LT618" s="1"/>
      <c r="LU618" s="1"/>
      <c r="LV618" s="1"/>
      <c r="LW618" s="1"/>
      <c r="LX618" s="1"/>
      <c r="LY618" s="1"/>
      <c r="LZ618" s="1"/>
      <c r="MA618" s="1"/>
      <c r="MB618" s="1"/>
      <c r="MC618" s="1"/>
      <c r="MD618" s="1"/>
      <c r="ME618" s="1"/>
      <c r="MF618" s="1"/>
      <c r="MG618" s="1"/>
      <c r="MH618" s="1"/>
      <c r="MI618" s="1"/>
      <c r="MJ618" s="1"/>
      <c r="MK618" s="1"/>
      <c r="ML618" s="1"/>
      <c r="MM618" s="1"/>
      <c r="MN618" s="1"/>
      <c r="MO618" s="1"/>
      <c r="MP618" s="1"/>
      <c r="MQ618" s="1"/>
      <c r="MR618" s="1"/>
      <c r="MS618" s="1"/>
      <c r="MT618" s="1"/>
      <c r="MU618" s="1"/>
      <c r="MV618" s="1"/>
      <c r="MW618" s="1"/>
      <c r="MX618" s="1"/>
      <c r="MY618" s="1"/>
      <c r="MZ618" s="1"/>
      <c r="NA618" s="1"/>
      <c r="NB618" s="1"/>
      <c r="NC618" s="1"/>
      <c r="ND618" s="1"/>
      <c r="NE618" s="1"/>
      <c r="NF618" s="1"/>
      <c r="NG618" s="1"/>
      <c r="NH618" s="1"/>
      <c r="NI618" s="1"/>
      <c r="NJ618" s="1"/>
      <c r="NK618" s="1"/>
      <c r="NL618" s="1"/>
      <c r="NM618" s="1"/>
      <c r="NN618" s="1"/>
      <c r="NO618" s="1"/>
      <c r="NP618" s="1"/>
      <c r="NQ618" s="1"/>
      <c r="NR618" s="1"/>
      <c r="NS618" s="1"/>
      <c r="NT618" s="1"/>
      <c r="NU618" s="1"/>
      <c r="NV618" s="1"/>
      <c r="NW618" s="1"/>
      <c r="NX618" s="1"/>
      <c r="NY618" s="1"/>
      <c r="NZ618" s="1"/>
      <c r="OA618" s="1"/>
      <c r="OB618" s="1"/>
      <c r="OC618" s="1"/>
      <c r="OD618" s="1"/>
      <c r="OE618" s="1"/>
      <c r="OF618" s="1"/>
      <c r="OG618" s="1"/>
      <c r="OH618" s="1"/>
      <c r="OI618" s="1"/>
      <c r="OJ618" s="1"/>
      <c r="OK618" s="1"/>
      <c r="OL618" s="1"/>
      <c r="OM618" s="1"/>
      <c r="ON618" s="1"/>
      <c r="OO618" s="1"/>
      <c r="OP618" s="1"/>
      <c r="OQ618" s="1"/>
      <c r="OR618" s="1"/>
      <c r="OS618" s="1"/>
      <c r="OT618" s="1"/>
      <c r="OU618" s="1"/>
      <c r="OV618" s="1"/>
      <c r="OW618" s="1"/>
      <c r="OX618" s="1"/>
      <c r="OY618" s="1"/>
      <c r="OZ618" s="1"/>
      <c r="PA618" s="1"/>
      <c r="PB618" s="1"/>
      <c r="PC618" s="1"/>
      <c r="PD618" s="1"/>
      <c r="PE618" s="1"/>
      <c r="PF618" s="1"/>
      <c r="PG618" s="1"/>
      <c r="PH618" s="1"/>
      <c r="PI618" s="1"/>
      <c r="PJ618" s="1"/>
      <c r="PK618" s="1"/>
      <c r="PL618" s="1"/>
      <c r="PM618" s="1"/>
      <c r="PN618" s="1"/>
      <c r="PO618" s="1"/>
      <c r="PP618" s="1"/>
      <c r="PQ618" s="1"/>
      <c r="PR618" s="1"/>
      <c r="PS618" s="1"/>
      <c r="PT618" s="1"/>
      <c r="PU618" s="1"/>
      <c r="PV618" s="1"/>
      <c r="PW618" s="1"/>
      <c r="PX618" s="1"/>
      <c r="PY618" s="1"/>
      <c r="PZ618" s="1"/>
      <c r="QA618" s="1"/>
      <c r="QB618" s="1"/>
      <c r="QC618" s="1"/>
      <c r="QD618" s="1"/>
      <c r="QE618" s="1"/>
      <c r="QF618" s="1"/>
      <c r="QG618" s="1"/>
      <c r="QH618" s="1"/>
      <c r="QI618" s="1"/>
      <c r="QJ618" s="1"/>
      <c r="QK618" s="1"/>
      <c r="QL618" s="1"/>
      <c r="QM618" s="1"/>
      <c r="QN618" s="1"/>
      <c r="QO618" s="1"/>
      <c r="QP618" s="1"/>
      <c r="QQ618" s="1"/>
      <c r="QR618" s="1"/>
      <c r="QS618" s="1"/>
      <c r="QT618" s="1"/>
      <c r="QU618" s="1"/>
      <c r="QV618" s="1"/>
      <c r="QW618" s="1"/>
      <c r="QX618" s="1"/>
      <c r="QY618" s="1"/>
      <c r="QZ618" s="1"/>
      <c r="RA618" s="1"/>
      <c r="RB618" s="1"/>
      <c r="RC618" s="1"/>
      <c r="RD618" s="1"/>
      <c r="RE618" s="1"/>
      <c r="RF618" s="1"/>
      <c r="RG618" s="1"/>
      <c r="RH618" s="1"/>
      <c r="RI618" s="1"/>
      <c r="RJ618" s="1"/>
      <c r="RK618" s="1"/>
      <c r="RL618" s="1"/>
      <c r="RM618" s="1"/>
      <c r="RN618" s="1"/>
      <c r="RO618" s="1"/>
      <c r="RP618" s="1"/>
      <c r="RQ618" s="1"/>
      <c r="RR618" s="1"/>
      <c r="RS618" s="1"/>
      <c r="RT618" s="1"/>
      <c r="RU618" s="1"/>
      <c r="RV618" s="1"/>
      <c r="RW618" s="1"/>
      <c r="RX618" s="1"/>
      <c r="RY618" s="1"/>
      <c r="RZ618" s="1"/>
      <c r="SA618" s="1"/>
      <c r="SB618" s="1"/>
      <c r="SC618" s="1"/>
      <c r="SD618" s="1"/>
      <c r="SE618" s="1"/>
      <c r="SF618" s="1"/>
      <c r="SG618" s="1"/>
      <c r="SH618" s="1"/>
      <c r="SI618" s="1"/>
      <c r="SJ618" s="1"/>
      <c r="SK618" s="1"/>
      <c r="SL618" s="1"/>
      <c r="SM618" s="1"/>
      <c r="SN618" s="1"/>
      <c r="SO618" s="1"/>
      <c r="SP618" s="1"/>
      <c r="SQ618" s="1"/>
      <c r="SR618" s="1"/>
      <c r="SS618" s="1"/>
      <c r="ST618" s="1"/>
      <c r="SU618" s="1"/>
      <c r="SV618" s="1"/>
      <c r="SW618" s="1"/>
      <c r="SX618" s="1"/>
      <c r="SY618" s="1"/>
      <c r="SZ618" s="1"/>
      <c r="TA618" s="1"/>
      <c r="TB618" s="1"/>
      <c r="TC618" s="1"/>
      <c r="TD618" s="1"/>
      <c r="TE618" s="1"/>
      <c r="TF618" s="1"/>
      <c r="TG618" s="1"/>
      <c r="TH618" s="1"/>
      <c r="TI618" s="1"/>
      <c r="TJ618" s="1"/>
      <c r="TK618" s="1"/>
      <c r="TL618" s="1"/>
      <c r="TM618" s="1"/>
      <c r="TN618" s="1"/>
      <c r="TO618" s="1"/>
      <c r="TP618" s="1"/>
      <c r="TQ618" s="1"/>
      <c r="TR618" s="1"/>
      <c r="TS618" s="1"/>
      <c r="TT618" s="1"/>
      <c r="TU618" s="1"/>
      <c r="TV618" s="1"/>
      <c r="TW618" s="1"/>
      <c r="TX618" s="1"/>
      <c r="TY618" s="1"/>
      <c r="TZ618" s="1"/>
      <c r="UA618" s="1"/>
      <c r="UB618" s="1"/>
      <c r="UC618" s="1"/>
      <c r="UD618" s="1"/>
      <c r="UE618" s="1"/>
      <c r="UF618" s="1"/>
      <c r="UG618" s="1"/>
      <c r="UH618" s="1"/>
      <c r="UI618" s="1"/>
    </row>
    <row r="619" spans="1:555" ht="85.5" customHeight="1">
      <c r="A619" s="296">
        <v>390</v>
      </c>
      <c r="B619" s="297" t="s">
        <v>4155</v>
      </c>
      <c r="C619" s="298">
        <v>10768390</v>
      </c>
      <c r="D619" s="354" t="s">
        <v>1567</v>
      </c>
      <c r="E619" s="299">
        <v>42723</v>
      </c>
      <c r="F619" s="300">
        <v>42705</v>
      </c>
      <c r="G619" s="301" t="s">
        <v>4156</v>
      </c>
      <c r="H619" s="297" t="s">
        <v>5</v>
      </c>
      <c r="I619" s="297" t="s">
        <v>101</v>
      </c>
      <c r="J619" s="299">
        <v>44001</v>
      </c>
      <c r="K619" s="300">
        <v>44001</v>
      </c>
      <c r="L619" s="301" t="s">
        <v>9518</v>
      </c>
      <c r="M619" s="297" t="s">
        <v>5</v>
      </c>
      <c r="N619" s="297" t="s">
        <v>85</v>
      </c>
      <c r="O619" s="299">
        <v>44027</v>
      </c>
      <c r="P619" s="302">
        <v>44027</v>
      </c>
      <c r="Q619" s="301" t="s">
        <v>9552</v>
      </c>
      <c r="R619" s="297" t="s">
        <v>5</v>
      </c>
      <c r="S619" s="297" t="s">
        <v>9543</v>
      </c>
      <c r="T619" s="299"/>
      <c r="U619" s="300"/>
      <c r="V619" s="301"/>
      <c r="W619" s="297"/>
      <c r="X619" s="297"/>
      <c r="Y619" s="299"/>
      <c r="Z619" s="300"/>
      <c r="AA619" s="301"/>
      <c r="AB619" s="297"/>
      <c r="AC619" s="297"/>
      <c r="AD619" s="299"/>
      <c r="AE619" s="300"/>
      <c r="AF619" s="301"/>
      <c r="AG619" s="297"/>
      <c r="AH619" s="297"/>
      <c r="AI619" s="322"/>
      <c r="AJ619" s="300"/>
      <c r="AK619" s="301"/>
      <c r="AL619" s="297"/>
      <c r="AM619" s="297"/>
      <c r="AN619" s="297" t="s">
        <v>2968</v>
      </c>
      <c r="AO619" s="540">
        <v>42723</v>
      </c>
      <c r="AP619" s="297"/>
      <c r="AQ619" s="301" t="s">
        <v>4157</v>
      </c>
      <c r="AR619" s="297" t="s">
        <v>161</v>
      </c>
      <c r="AS619" s="299">
        <v>38534</v>
      </c>
      <c r="AT619" s="299">
        <v>40064</v>
      </c>
      <c r="AU619" s="297" t="s">
        <v>4158</v>
      </c>
      <c r="AV619" s="297"/>
      <c r="AW619" s="297" t="s">
        <v>92</v>
      </c>
      <c r="AX619" s="297" t="s">
        <v>4159</v>
      </c>
      <c r="AY619" s="299">
        <v>41667</v>
      </c>
      <c r="AZ619" s="297" t="s">
        <v>1630</v>
      </c>
      <c r="BA619" s="299">
        <v>42614</v>
      </c>
      <c r="BB619" s="299">
        <v>42622</v>
      </c>
      <c r="BC619" s="297" t="s">
        <v>95</v>
      </c>
      <c r="BD619" s="297" t="s">
        <v>566</v>
      </c>
      <c r="BE619" s="297"/>
      <c r="BF619" s="301" t="s">
        <v>8005</v>
      </c>
      <c r="BG619" s="301"/>
      <c r="BH619" s="301"/>
      <c r="BI619" s="301"/>
      <c r="BJ619" s="968">
        <f>+[163]MATRIZ!$J$61</f>
        <v>0</v>
      </c>
      <c r="BK619" s="312"/>
      <c r="BL619" s="313"/>
      <c r="BM619" s="299"/>
      <c r="BN619" s="314"/>
      <c r="BO619" s="460"/>
      <c r="BP619" s="390"/>
      <c r="BQ619" s="297"/>
      <c r="BR619" s="303"/>
      <c r="BS619" s="301"/>
      <c r="BT619" s="301"/>
      <c r="BU619" s="301"/>
      <c r="BV619" s="301"/>
      <c r="BW619" s="316"/>
      <c r="BX619" s="304"/>
      <c r="BY619" s="299"/>
      <c r="BZ619" s="317"/>
    </row>
    <row r="620" spans="1:555" ht="108">
      <c r="A620" s="502">
        <v>393</v>
      </c>
      <c r="B620" s="686" t="s">
        <v>4179</v>
      </c>
      <c r="C620" s="687">
        <v>11515248</v>
      </c>
      <c r="D620" s="688" t="s">
        <v>906</v>
      </c>
      <c r="E620" s="27">
        <v>42748</v>
      </c>
      <c r="F620" s="689">
        <v>42736</v>
      </c>
      <c r="G620" s="690" t="s">
        <v>271</v>
      </c>
      <c r="H620" s="686" t="s">
        <v>625</v>
      </c>
      <c r="I620" s="686" t="s">
        <v>183</v>
      </c>
      <c r="J620" s="27">
        <v>42788</v>
      </c>
      <c r="K620" s="689">
        <v>42767</v>
      </c>
      <c r="L620" s="690" t="s">
        <v>4180</v>
      </c>
      <c r="M620" s="686" t="s">
        <v>5</v>
      </c>
      <c r="N620" s="686" t="s">
        <v>101</v>
      </c>
      <c r="O620" s="27"/>
      <c r="P620" s="691"/>
      <c r="Q620" s="959"/>
      <c r="R620" s="686"/>
      <c r="S620" s="686"/>
      <c r="T620" s="27"/>
      <c r="U620" s="689"/>
      <c r="V620" s="690"/>
      <c r="W620" s="686"/>
      <c r="X620" s="686"/>
      <c r="Y620" s="27"/>
      <c r="Z620" s="689"/>
      <c r="AA620" s="690"/>
      <c r="AB620" s="686"/>
      <c r="AC620" s="686"/>
      <c r="AD620" s="27"/>
      <c r="AE620" s="689"/>
      <c r="AF620" s="690"/>
      <c r="AG620" s="686"/>
      <c r="AH620" s="686"/>
      <c r="AI620" s="704"/>
      <c r="AJ620" s="689"/>
      <c r="AK620" s="690"/>
      <c r="AL620" s="686"/>
      <c r="AM620" s="686"/>
      <c r="AN620" s="686" t="s">
        <v>2968</v>
      </c>
      <c r="AO620" s="694">
        <v>42788</v>
      </c>
      <c r="AP620" s="686"/>
      <c r="AQ620" s="690" t="s">
        <v>4181</v>
      </c>
      <c r="AR620" s="686" t="s">
        <v>161</v>
      </c>
      <c r="AS620" s="27">
        <v>40522</v>
      </c>
      <c r="AT620" s="27">
        <v>40908</v>
      </c>
      <c r="AU620" s="686" t="s">
        <v>4182</v>
      </c>
      <c r="AV620" s="686"/>
      <c r="AW620" s="686" t="s">
        <v>69</v>
      </c>
      <c r="AX620" s="686" t="s">
        <v>4183</v>
      </c>
      <c r="AY620" s="27">
        <v>42139</v>
      </c>
      <c r="AZ620" s="686" t="s">
        <v>94</v>
      </c>
      <c r="BA620" s="27">
        <v>42285</v>
      </c>
      <c r="BB620" s="27">
        <v>42422</v>
      </c>
      <c r="BC620" s="701" t="s">
        <v>912</v>
      </c>
      <c r="BD620" s="701" t="s">
        <v>566</v>
      </c>
      <c r="BE620" s="686"/>
      <c r="BF620" s="690"/>
      <c r="BG620" s="690"/>
      <c r="BH620" s="690"/>
      <c r="BI620" s="690"/>
      <c r="BJ620" s="803">
        <f>+'[164]MATRIZ '!$J$48</f>
        <v>0</v>
      </c>
      <c r="BK620" s="696"/>
      <c r="BL620" s="697"/>
      <c r="BM620" s="27"/>
      <c r="BN620" s="698"/>
      <c r="BO620" s="699"/>
      <c r="BP620" s="700"/>
      <c r="BQ620" s="686"/>
      <c r="BR620" s="701"/>
      <c r="BS620" s="690"/>
      <c r="BT620" s="690"/>
      <c r="BU620" s="690"/>
      <c r="BV620" s="690"/>
      <c r="BW620" s="702"/>
      <c r="BX620" s="693"/>
      <c r="BY620" s="27"/>
      <c r="BZ620" s="703"/>
      <c r="CA620" s="259"/>
      <c r="CB620" s="259"/>
      <c r="CC620" s="259"/>
      <c r="CD620" s="259"/>
      <c r="CE620" s="259"/>
      <c r="CF620" s="259"/>
      <c r="CG620" s="259"/>
      <c r="CH620" s="259"/>
      <c r="CI620" s="259"/>
      <c r="CJ620" s="259"/>
      <c r="CK620" s="259"/>
      <c r="CL620" s="259"/>
      <c r="CM620" s="259"/>
      <c r="CN620" s="259"/>
      <c r="CO620" s="259"/>
      <c r="CP620" s="259"/>
      <c r="CQ620" s="259"/>
      <c r="CR620" s="259"/>
      <c r="CS620" s="259"/>
      <c r="CT620" s="259"/>
      <c r="CU620" s="259"/>
      <c r="CV620" s="259"/>
      <c r="CW620" s="259"/>
      <c r="CX620" s="259"/>
      <c r="CY620" s="259"/>
      <c r="CZ620" s="259"/>
      <c r="DA620" s="259"/>
      <c r="DB620" s="259"/>
      <c r="DC620" s="259"/>
      <c r="DD620" s="259"/>
      <c r="DE620" s="259"/>
      <c r="DF620" s="259"/>
      <c r="DG620" s="259"/>
      <c r="DH620" s="259"/>
      <c r="DI620" s="259"/>
      <c r="DJ620" s="259"/>
      <c r="DK620" s="259"/>
      <c r="DL620" s="259"/>
      <c r="DM620" s="259"/>
      <c r="DN620" s="259"/>
      <c r="DO620" s="259"/>
      <c r="DP620" s="259"/>
      <c r="DQ620" s="259"/>
      <c r="DR620" s="259"/>
      <c r="DS620" s="259"/>
      <c r="DT620" s="259"/>
      <c r="DU620" s="259"/>
      <c r="DV620" s="259"/>
      <c r="DW620" s="259"/>
      <c r="DX620" s="259"/>
      <c r="DY620" s="259"/>
      <c r="DZ620" s="259"/>
      <c r="EA620" s="259"/>
      <c r="EB620" s="259"/>
      <c r="EC620" s="259"/>
      <c r="ED620" s="259"/>
      <c r="EE620" s="259"/>
      <c r="EF620" s="259"/>
      <c r="EG620" s="259"/>
      <c r="EH620" s="259"/>
      <c r="EI620" s="259"/>
      <c r="EJ620" s="259"/>
      <c r="EK620" s="259"/>
      <c r="EL620" s="259"/>
      <c r="EM620" s="259"/>
      <c r="EN620" s="259"/>
      <c r="EO620" s="259"/>
      <c r="EP620" s="259"/>
      <c r="EQ620" s="259"/>
      <c r="ER620" s="259"/>
      <c r="ES620" s="259"/>
      <c r="ET620" s="259"/>
      <c r="EU620" s="259"/>
      <c r="EV620" s="259"/>
      <c r="EW620" s="259"/>
      <c r="EX620" s="259"/>
      <c r="EY620" s="259"/>
      <c r="EZ620" s="259"/>
      <c r="FA620" s="259"/>
      <c r="FB620" s="259"/>
      <c r="FC620" s="259"/>
      <c r="FD620" s="259"/>
      <c r="FE620" s="259"/>
      <c r="FF620" s="259"/>
      <c r="FG620" s="259"/>
      <c r="FH620" s="259"/>
      <c r="FI620" s="259"/>
      <c r="FJ620" s="259"/>
      <c r="FK620" s="259"/>
      <c r="FL620" s="259"/>
      <c r="FM620" s="259"/>
      <c r="FN620" s="259"/>
      <c r="FO620" s="259"/>
      <c r="FP620" s="259"/>
      <c r="FQ620" s="259"/>
      <c r="FR620" s="259"/>
      <c r="FS620" s="259"/>
      <c r="FT620" s="259"/>
      <c r="FU620" s="259"/>
      <c r="FV620" s="259"/>
      <c r="FW620" s="259"/>
      <c r="FX620" s="259"/>
      <c r="FY620" s="259"/>
      <c r="FZ620" s="259"/>
      <c r="GA620" s="259"/>
      <c r="GB620" s="259"/>
      <c r="GC620" s="259"/>
      <c r="GD620" s="259"/>
      <c r="GE620" s="259"/>
      <c r="GF620" s="259"/>
      <c r="GG620" s="259"/>
      <c r="GH620" s="259"/>
      <c r="GI620" s="259"/>
      <c r="GJ620" s="259"/>
      <c r="GK620" s="259"/>
      <c r="GL620" s="259"/>
      <c r="GM620" s="259"/>
      <c r="GN620" s="259"/>
      <c r="GO620" s="259"/>
      <c r="GP620" s="259"/>
      <c r="GQ620" s="259"/>
      <c r="GR620" s="259"/>
      <c r="GS620" s="259"/>
      <c r="GT620" s="259"/>
      <c r="GU620" s="259"/>
      <c r="GV620" s="259"/>
      <c r="GW620" s="259"/>
      <c r="GX620" s="259"/>
      <c r="GY620" s="259"/>
      <c r="GZ620" s="259"/>
      <c r="HA620" s="259"/>
      <c r="HB620" s="259"/>
      <c r="HC620" s="259"/>
      <c r="HD620" s="259"/>
      <c r="HE620" s="259"/>
      <c r="HF620" s="259"/>
      <c r="HG620" s="259"/>
      <c r="HH620" s="259"/>
      <c r="HI620" s="259"/>
      <c r="HJ620" s="259"/>
      <c r="HK620" s="259"/>
      <c r="HL620" s="259"/>
      <c r="HM620" s="259"/>
      <c r="HN620" s="259"/>
      <c r="HO620" s="259"/>
      <c r="HP620" s="259"/>
      <c r="HQ620" s="259"/>
      <c r="HR620" s="259"/>
      <c r="HS620" s="259"/>
      <c r="HT620" s="259"/>
      <c r="HU620" s="259"/>
      <c r="HV620" s="259"/>
      <c r="HW620" s="259"/>
      <c r="HX620" s="259"/>
      <c r="HY620" s="259"/>
      <c r="HZ620" s="259"/>
      <c r="IA620" s="259"/>
      <c r="IB620" s="259"/>
      <c r="IC620" s="259"/>
      <c r="ID620" s="259"/>
      <c r="IE620" s="259"/>
      <c r="IF620" s="259"/>
      <c r="IG620" s="259"/>
      <c r="IH620" s="259"/>
      <c r="II620" s="259"/>
      <c r="IJ620" s="259"/>
      <c r="IK620" s="259"/>
      <c r="IL620" s="259"/>
      <c r="IM620" s="259"/>
      <c r="IN620" s="259"/>
      <c r="IO620" s="259"/>
      <c r="IP620" s="259"/>
      <c r="IQ620" s="259"/>
      <c r="IR620" s="259"/>
      <c r="IS620" s="259"/>
      <c r="IT620" s="259"/>
      <c r="IU620" s="259"/>
      <c r="IV620" s="259"/>
      <c r="IW620" s="259"/>
      <c r="IX620" s="259"/>
      <c r="IY620" s="259"/>
      <c r="IZ620" s="259"/>
      <c r="JA620" s="259"/>
      <c r="JB620" s="259"/>
      <c r="JC620" s="259"/>
      <c r="JD620" s="259"/>
      <c r="JE620" s="259"/>
      <c r="JF620" s="259"/>
      <c r="JG620" s="259"/>
      <c r="JH620" s="259"/>
      <c r="JI620" s="259"/>
      <c r="JJ620" s="259"/>
      <c r="JK620" s="259"/>
      <c r="JL620" s="259"/>
      <c r="JM620" s="259"/>
      <c r="JN620" s="259"/>
      <c r="JO620" s="259"/>
      <c r="JP620" s="259"/>
      <c r="JQ620" s="259"/>
      <c r="JR620" s="259"/>
      <c r="JS620" s="259"/>
      <c r="JT620" s="259"/>
      <c r="JU620" s="259"/>
      <c r="JV620" s="259"/>
      <c r="JW620" s="259"/>
      <c r="JX620" s="259"/>
      <c r="JY620" s="259"/>
      <c r="JZ620" s="259"/>
      <c r="KA620" s="259"/>
      <c r="KB620" s="259"/>
      <c r="KC620" s="259"/>
      <c r="KD620" s="259"/>
      <c r="KE620" s="259"/>
      <c r="KF620" s="259"/>
      <c r="KG620" s="259"/>
      <c r="KH620" s="259"/>
      <c r="KI620" s="259"/>
      <c r="KJ620" s="259"/>
      <c r="KK620" s="259"/>
      <c r="KL620" s="259"/>
      <c r="KM620" s="259"/>
      <c r="KN620" s="259"/>
      <c r="KO620" s="259"/>
      <c r="KP620" s="259"/>
      <c r="KQ620" s="259"/>
      <c r="KR620" s="259"/>
      <c r="KS620" s="259"/>
      <c r="KT620" s="259"/>
      <c r="KU620" s="259"/>
      <c r="KV620" s="259"/>
      <c r="KW620" s="259"/>
      <c r="KX620" s="259"/>
      <c r="KY620" s="259"/>
      <c r="KZ620" s="259"/>
      <c r="LA620" s="259"/>
      <c r="LB620" s="259"/>
      <c r="LC620" s="259"/>
      <c r="LD620" s="259"/>
      <c r="LE620" s="259"/>
      <c r="LF620" s="259"/>
      <c r="LG620" s="259"/>
      <c r="LH620" s="259"/>
      <c r="LI620" s="259"/>
      <c r="LJ620" s="259"/>
      <c r="LK620" s="259"/>
      <c r="LL620" s="259"/>
      <c r="LM620" s="259"/>
      <c r="LN620" s="259"/>
      <c r="LO620" s="259"/>
      <c r="LP620" s="259"/>
      <c r="LQ620" s="259"/>
      <c r="LR620" s="259"/>
      <c r="LS620" s="259"/>
      <c r="LT620" s="259"/>
      <c r="LU620" s="259"/>
      <c r="LV620" s="259"/>
      <c r="LW620" s="259"/>
      <c r="LX620" s="259"/>
      <c r="LY620" s="259"/>
      <c r="LZ620" s="259"/>
      <c r="MA620" s="259"/>
      <c r="MB620" s="259"/>
      <c r="MC620" s="259"/>
      <c r="MD620" s="259"/>
      <c r="ME620" s="259"/>
      <c r="MF620" s="259"/>
      <c r="MG620" s="259"/>
      <c r="MH620" s="259"/>
      <c r="MI620" s="259"/>
      <c r="MJ620" s="259"/>
      <c r="MK620" s="259"/>
      <c r="ML620" s="259"/>
      <c r="MM620" s="259"/>
      <c r="MN620" s="259"/>
      <c r="MO620" s="259"/>
      <c r="MP620" s="259"/>
      <c r="MQ620" s="259"/>
      <c r="MR620" s="259"/>
      <c r="MS620" s="259"/>
      <c r="MT620" s="259"/>
      <c r="MU620" s="259"/>
      <c r="MV620" s="259"/>
      <c r="MW620" s="259"/>
      <c r="MX620" s="259"/>
      <c r="MY620" s="259"/>
      <c r="MZ620" s="259"/>
      <c r="NA620" s="259"/>
      <c r="NB620" s="259"/>
      <c r="NC620" s="259"/>
      <c r="ND620" s="259"/>
      <c r="NE620" s="259"/>
      <c r="NF620" s="259"/>
      <c r="NG620" s="259"/>
      <c r="NH620" s="259"/>
      <c r="NI620" s="259"/>
      <c r="NJ620" s="259"/>
      <c r="NK620" s="259"/>
      <c r="NL620" s="259"/>
      <c r="NM620" s="259"/>
      <c r="NN620" s="259"/>
      <c r="NO620" s="259"/>
      <c r="NP620" s="259"/>
      <c r="NQ620" s="259"/>
      <c r="NR620" s="259"/>
      <c r="NS620" s="259"/>
      <c r="NT620" s="259"/>
      <c r="NU620" s="259"/>
      <c r="NV620" s="259"/>
      <c r="NW620" s="259"/>
      <c r="NX620" s="259"/>
      <c r="NY620" s="259"/>
      <c r="NZ620" s="259"/>
      <c r="OA620" s="259"/>
      <c r="OB620" s="259"/>
      <c r="OC620" s="259"/>
      <c r="OD620" s="259"/>
      <c r="OE620" s="259"/>
      <c r="OF620" s="259"/>
      <c r="OG620" s="259"/>
      <c r="OH620" s="259"/>
      <c r="OI620" s="259"/>
      <c r="OJ620" s="259"/>
      <c r="OK620" s="259"/>
      <c r="OL620" s="259"/>
      <c r="OM620" s="259"/>
      <c r="ON620" s="259"/>
      <c r="OO620" s="259"/>
      <c r="OP620" s="259"/>
      <c r="OQ620" s="259"/>
      <c r="OR620" s="259"/>
      <c r="OS620" s="259"/>
      <c r="OT620" s="259"/>
      <c r="OU620" s="259"/>
      <c r="OV620" s="259"/>
      <c r="OW620" s="259"/>
      <c r="OX620" s="259"/>
      <c r="OY620" s="259"/>
      <c r="OZ620" s="259"/>
      <c r="PA620" s="259"/>
      <c r="PB620" s="259"/>
      <c r="PC620" s="259"/>
      <c r="PD620" s="259"/>
      <c r="PE620" s="259"/>
      <c r="PF620" s="259"/>
      <c r="PG620" s="259"/>
      <c r="PH620" s="259"/>
      <c r="PI620" s="259"/>
      <c r="PJ620" s="259"/>
      <c r="PK620" s="259"/>
      <c r="PL620" s="259"/>
      <c r="PM620" s="259"/>
      <c r="PN620" s="259"/>
      <c r="PO620" s="259"/>
      <c r="PP620" s="259"/>
      <c r="PQ620" s="259"/>
      <c r="PR620" s="259"/>
      <c r="PS620" s="259"/>
      <c r="PT620" s="259"/>
      <c r="PU620" s="259"/>
      <c r="PV620" s="259"/>
      <c r="PW620" s="259"/>
      <c r="PX620" s="259"/>
      <c r="PY620" s="259"/>
      <c r="PZ620" s="259"/>
      <c r="QA620" s="259"/>
      <c r="QB620" s="259"/>
      <c r="QC620" s="259"/>
      <c r="QD620" s="259"/>
      <c r="QE620" s="259"/>
      <c r="QF620" s="259"/>
      <c r="QG620" s="259"/>
      <c r="QH620" s="259"/>
      <c r="QI620" s="259"/>
      <c r="QJ620" s="259"/>
      <c r="QK620" s="259"/>
      <c r="QL620" s="259"/>
      <c r="QM620" s="259"/>
      <c r="QN620" s="259"/>
      <c r="QO620" s="259"/>
      <c r="QP620" s="259"/>
      <c r="QQ620" s="259"/>
      <c r="QR620" s="259"/>
      <c r="QS620" s="259"/>
      <c r="QT620" s="259"/>
      <c r="QU620" s="259"/>
      <c r="QV620" s="259"/>
      <c r="QW620" s="259"/>
      <c r="QX620" s="259"/>
      <c r="QY620" s="259"/>
      <c r="QZ620" s="259"/>
      <c r="RA620" s="259"/>
      <c r="RB620" s="259"/>
      <c r="RC620" s="259"/>
      <c r="RD620" s="259"/>
      <c r="RE620" s="259"/>
      <c r="RF620" s="259"/>
      <c r="RG620" s="259"/>
      <c r="RH620" s="259"/>
      <c r="RI620" s="259"/>
      <c r="RJ620" s="259"/>
      <c r="RK620" s="259"/>
      <c r="RL620" s="259"/>
      <c r="RM620" s="259"/>
      <c r="RN620" s="259"/>
      <c r="RO620" s="259"/>
      <c r="RP620" s="259"/>
      <c r="RQ620" s="259"/>
      <c r="RR620" s="259"/>
      <c r="RS620" s="259"/>
      <c r="RT620" s="259"/>
      <c r="RU620" s="259"/>
      <c r="RV620" s="259"/>
      <c r="RW620" s="259"/>
      <c r="RX620" s="259"/>
      <c r="RY620" s="259"/>
      <c r="RZ620" s="259"/>
      <c r="SA620" s="259"/>
      <c r="SB620" s="259"/>
      <c r="SC620" s="259"/>
      <c r="SD620" s="259"/>
      <c r="SE620" s="259"/>
      <c r="SF620" s="259"/>
      <c r="SG620" s="259"/>
      <c r="SH620" s="259"/>
      <c r="SI620" s="259"/>
      <c r="SJ620" s="259"/>
      <c r="SK620" s="259"/>
      <c r="SL620" s="259"/>
      <c r="SM620" s="259"/>
      <c r="SN620" s="259"/>
      <c r="SO620" s="259"/>
      <c r="SP620" s="259"/>
      <c r="SQ620" s="259"/>
      <c r="SR620" s="259"/>
      <c r="SS620" s="259"/>
      <c r="ST620" s="259"/>
      <c r="SU620" s="259"/>
      <c r="SV620" s="259"/>
      <c r="SW620" s="259"/>
      <c r="SX620" s="259"/>
      <c r="SY620" s="259"/>
      <c r="SZ620" s="259"/>
      <c r="TA620" s="259"/>
      <c r="TB620" s="259"/>
      <c r="TC620" s="259"/>
      <c r="TD620" s="259"/>
      <c r="TE620" s="259"/>
      <c r="TF620" s="259"/>
      <c r="TG620" s="259"/>
      <c r="TH620" s="259"/>
      <c r="TI620" s="259"/>
      <c r="TJ620" s="259"/>
      <c r="TK620" s="259"/>
      <c r="TL620" s="259"/>
      <c r="TM620" s="259"/>
      <c r="TN620" s="259"/>
      <c r="TO620" s="259"/>
      <c r="TP620" s="259"/>
      <c r="TQ620" s="259"/>
      <c r="TR620" s="259"/>
      <c r="TS620" s="259"/>
      <c r="TT620" s="259"/>
      <c r="TU620" s="259"/>
      <c r="TV620" s="259"/>
      <c r="TW620" s="259"/>
      <c r="TX620" s="259"/>
      <c r="TY620" s="259"/>
      <c r="TZ620" s="259"/>
      <c r="UA620" s="259"/>
      <c r="UB620" s="259"/>
      <c r="UC620" s="259"/>
      <c r="UD620" s="259"/>
      <c r="UE620" s="259"/>
      <c r="UF620" s="259"/>
      <c r="UG620" s="259"/>
      <c r="UH620" s="259"/>
      <c r="UI620" s="259"/>
    </row>
    <row r="621" spans="1:555" s="259" customFormat="1" ht="53.25" customHeight="1">
      <c r="A621" s="502">
        <v>394</v>
      </c>
      <c r="B621" s="686" t="s">
        <v>4184</v>
      </c>
      <c r="C621" s="809">
        <v>11408468</v>
      </c>
      <c r="D621" s="688" t="s">
        <v>906</v>
      </c>
      <c r="E621" s="27">
        <v>42748</v>
      </c>
      <c r="F621" s="689">
        <v>42736</v>
      </c>
      <c r="G621" s="690" t="s">
        <v>271</v>
      </c>
      <c r="H621" s="686" t="s">
        <v>625</v>
      </c>
      <c r="I621" s="686" t="s">
        <v>183</v>
      </c>
      <c r="J621" s="27">
        <v>42928</v>
      </c>
      <c r="K621" s="689">
        <v>42917</v>
      </c>
      <c r="L621" s="690" t="s">
        <v>4185</v>
      </c>
      <c r="M621" s="686" t="s">
        <v>5</v>
      </c>
      <c r="N621" s="686" t="s">
        <v>79</v>
      </c>
      <c r="O621" s="27">
        <v>41893</v>
      </c>
      <c r="P621" s="691">
        <v>41883</v>
      </c>
      <c r="Q621" s="690" t="s">
        <v>4186</v>
      </c>
      <c r="R621" s="686" t="s">
        <v>171</v>
      </c>
      <c r="S621" s="686" t="s">
        <v>4187</v>
      </c>
      <c r="T621" s="27">
        <v>42772</v>
      </c>
      <c r="U621" s="689">
        <v>42767</v>
      </c>
      <c r="V621" s="690" t="s">
        <v>4188</v>
      </c>
      <c r="W621" s="686" t="s">
        <v>503</v>
      </c>
      <c r="X621" s="686" t="s">
        <v>4189</v>
      </c>
      <c r="Y621" s="27"/>
      <c r="Z621" s="689"/>
      <c r="AA621" s="690"/>
      <c r="AB621" s="686"/>
      <c r="AC621" s="686"/>
      <c r="AD621" s="27"/>
      <c r="AE621" s="689"/>
      <c r="AF621" s="690"/>
      <c r="AG621" s="686"/>
      <c r="AH621" s="686"/>
      <c r="AI621" s="704"/>
      <c r="AJ621" s="689"/>
      <c r="AK621" s="690"/>
      <c r="AL621" s="686"/>
      <c r="AM621" s="686"/>
      <c r="AN621" s="686" t="s">
        <v>3671</v>
      </c>
      <c r="AO621" s="694">
        <v>42928</v>
      </c>
      <c r="AP621" s="686"/>
      <c r="AQ621" s="690" t="s">
        <v>4190</v>
      </c>
      <c r="AR621" s="686" t="s">
        <v>161</v>
      </c>
      <c r="AS621" s="27">
        <v>39478</v>
      </c>
      <c r="AT621" s="27">
        <v>40908</v>
      </c>
      <c r="AU621" s="686" t="s">
        <v>4191</v>
      </c>
      <c r="AV621" s="686"/>
      <c r="AW621" s="686" t="s">
        <v>69</v>
      </c>
      <c r="AX621" s="686" t="s">
        <v>4192</v>
      </c>
      <c r="AY621" s="27">
        <v>42080</v>
      </c>
      <c r="AZ621" s="686" t="s">
        <v>2657</v>
      </c>
      <c r="BA621" s="27">
        <v>42585</v>
      </c>
      <c r="BB621" s="27">
        <v>42600</v>
      </c>
      <c r="BC621" s="701" t="s">
        <v>912</v>
      </c>
      <c r="BD621" s="701" t="s">
        <v>566</v>
      </c>
      <c r="BE621" s="686"/>
      <c r="BF621" s="690" t="s">
        <v>4193</v>
      </c>
      <c r="BG621" s="690"/>
      <c r="BH621" s="690"/>
      <c r="BI621" s="690"/>
      <c r="BJ621" s="803">
        <f>+'[165]MATRIZ '!$J$43</f>
        <v>0</v>
      </c>
      <c r="BK621" s="696"/>
      <c r="BL621" s="697"/>
      <c r="BM621" s="27"/>
      <c r="BN621" s="698"/>
      <c r="BO621" s="699"/>
      <c r="BP621" s="700"/>
      <c r="BQ621" s="686"/>
      <c r="BR621" s="701"/>
      <c r="BS621" s="690"/>
      <c r="BT621" s="690"/>
      <c r="BU621" s="690"/>
      <c r="BV621" s="690"/>
      <c r="BW621" s="702"/>
      <c r="BX621" s="693"/>
      <c r="BY621" s="27"/>
      <c r="BZ621" s="703"/>
    </row>
    <row r="622" spans="1:555" ht="65.25" customHeight="1">
      <c r="A622" s="296">
        <v>397</v>
      </c>
      <c r="B622" s="297" t="s">
        <v>4201</v>
      </c>
      <c r="C622" s="298">
        <v>12988050</v>
      </c>
      <c r="D622" s="354" t="s">
        <v>4202</v>
      </c>
      <c r="E622" s="299">
        <v>42751</v>
      </c>
      <c r="F622" s="300">
        <v>42736</v>
      </c>
      <c r="G622" s="301" t="s">
        <v>4203</v>
      </c>
      <c r="H622" s="297" t="s">
        <v>63</v>
      </c>
      <c r="I622" s="297" t="s">
        <v>101</v>
      </c>
      <c r="J622" s="299">
        <v>42943</v>
      </c>
      <c r="K622" s="300">
        <v>42917</v>
      </c>
      <c r="L622" s="301" t="s">
        <v>4204</v>
      </c>
      <c r="M622" s="297" t="s">
        <v>63</v>
      </c>
      <c r="N622" s="297" t="s">
        <v>2378</v>
      </c>
      <c r="O622" s="299">
        <v>42948</v>
      </c>
      <c r="P622" s="302">
        <v>42948</v>
      </c>
      <c r="Q622" s="301" t="s">
        <v>4205</v>
      </c>
      <c r="R622" s="297" t="s">
        <v>63</v>
      </c>
      <c r="S622" s="297" t="s">
        <v>4206</v>
      </c>
      <c r="T622" s="299">
        <v>42943</v>
      </c>
      <c r="U622" s="300">
        <v>42917</v>
      </c>
      <c r="V622" s="301" t="s">
        <v>4207</v>
      </c>
      <c r="W622" s="297" t="s">
        <v>63</v>
      </c>
      <c r="X622" s="297" t="s">
        <v>4208</v>
      </c>
      <c r="Y622" s="299">
        <v>42948</v>
      </c>
      <c r="Z622" s="300">
        <v>42948</v>
      </c>
      <c r="AA622" s="301" t="s">
        <v>4205</v>
      </c>
      <c r="AB622" s="297" t="s">
        <v>63</v>
      </c>
      <c r="AC622" s="297" t="s">
        <v>4209</v>
      </c>
      <c r="AD622" s="299">
        <v>43139</v>
      </c>
      <c r="AE622" s="300">
        <v>43132</v>
      </c>
      <c r="AF622" s="301" t="s">
        <v>4210</v>
      </c>
      <c r="AG622" s="297" t="s">
        <v>63</v>
      </c>
      <c r="AH622" s="297" t="s">
        <v>1114</v>
      </c>
      <c r="AI622" s="299" t="s">
        <v>9537</v>
      </c>
      <c r="AJ622" s="300" t="s">
        <v>9536</v>
      </c>
      <c r="AK622" s="301" t="s">
        <v>9535</v>
      </c>
      <c r="AL622" s="297" t="s">
        <v>9538</v>
      </c>
      <c r="AM622" s="297" t="s">
        <v>9539</v>
      </c>
      <c r="AN622" s="297" t="s">
        <v>4212</v>
      </c>
      <c r="AO622" s="540">
        <v>42874</v>
      </c>
      <c r="AP622" s="297"/>
      <c r="AQ622" s="301" t="s">
        <v>4213</v>
      </c>
      <c r="AR622" s="297" t="s">
        <v>161</v>
      </c>
      <c r="AS622" s="299">
        <v>37771</v>
      </c>
      <c r="AT622" s="299">
        <v>40543</v>
      </c>
      <c r="AU622" s="297" t="s">
        <v>8800</v>
      </c>
      <c r="AV622" s="297"/>
      <c r="AW622" s="297" t="s">
        <v>92</v>
      </c>
      <c r="AX622" s="297" t="s">
        <v>4214</v>
      </c>
      <c r="AY622" s="299">
        <v>41765</v>
      </c>
      <c r="AZ622" s="297" t="s">
        <v>4215</v>
      </c>
      <c r="BA622" s="299">
        <v>42566</v>
      </c>
      <c r="BB622" s="299">
        <v>42598</v>
      </c>
      <c r="BC622" s="297" t="s">
        <v>95</v>
      </c>
      <c r="BD622" s="297" t="s">
        <v>566</v>
      </c>
      <c r="BE622" s="297"/>
      <c r="BF622" s="301" t="s">
        <v>7236</v>
      </c>
      <c r="BG622" s="301"/>
      <c r="BH622" s="301"/>
      <c r="BI622" s="301"/>
      <c r="BJ622" s="312">
        <f>+[166]MATRIZ!$J$78</f>
        <v>0</v>
      </c>
      <c r="BK622" s="312"/>
      <c r="BL622" s="313"/>
      <c r="BM622" s="299"/>
      <c r="BN622" s="314"/>
      <c r="BO622" s="460"/>
      <c r="BP622" s="390"/>
      <c r="BQ622" s="297"/>
      <c r="BR622" s="303"/>
      <c r="BS622" s="301"/>
      <c r="BT622" s="301"/>
      <c r="BU622" s="301"/>
      <c r="BV622" s="301"/>
      <c r="BW622" s="316"/>
      <c r="BX622" s="304"/>
      <c r="BY622" s="299"/>
      <c r="BZ622" s="317"/>
    </row>
    <row r="623" spans="1:555" s="259" customFormat="1" ht="72.75" customHeight="1">
      <c r="A623" s="502">
        <v>398</v>
      </c>
      <c r="B623" s="686" t="s">
        <v>4216</v>
      </c>
      <c r="C623" s="687">
        <v>79834858</v>
      </c>
      <c r="D623" s="688" t="s">
        <v>906</v>
      </c>
      <c r="E623" s="27">
        <v>42751</v>
      </c>
      <c r="F623" s="689">
        <v>42736</v>
      </c>
      <c r="G623" s="690" t="s">
        <v>6922</v>
      </c>
      <c r="H623" s="686" t="s">
        <v>625</v>
      </c>
      <c r="I623" s="686" t="s">
        <v>183</v>
      </c>
      <c r="J623" s="27">
        <v>42768</v>
      </c>
      <c r="K623" s="689">
        <v>42767</v>
      </c>
      <c r="L623" s="690" t="s">
        <v>4217</v>
      </c>
      <c r="M623" s="686" t="s">
        <v>171</v>
      </c>
      <c r="N623" s="686" t="s">
        <v>183</v>
      </c>
      <c r="O623" s="27">
        <v>42247</v>
      </c>
      <c r="P623" s="689">
        <v>42217</v>
      </c>
      <c r="Q623" s="690" t="s">
        <v>4219</v>
      </c>
      <c r="R623" s="686" t="s">
        <v>171</v>
      </c>
      <c r="S623" s="686" t="s">
        <v>4220</v>
      </c>
      <c r="T623" s="27">
        <v>42054</v>
      </c>
      <c r="U623" s="689">
        <v>42036</v>
      </c>
      <c r="V623" s="690" t="s">
        <v>4221</v>
      </c>
      <c r="W623" s="686" t="s">
        <v>195</v>
      </c>
      <c r="X623" s="686" t="s">
        <v>4074</v>
      </c>
      <c r="Y623" s="27">
        <v>42117</v>
      </c>
      <c r="Z623" s="689">
        <v>42117</v>
      </c>
      <c r="AA623" s="690" t="s">
        <v>7016</v>
      </c>
      <c r="AB623" s="686" t="s">
        <v>5</v>
      </c>
      <c r="AC623" s="686" t="s">
        <v>3375</v>
      </c>
      <c r="AD623" s="27">
        <v>42117</v>
      </c>
      <c r="AE623" s="689">
        <v>42117</v>
      </c>
      <c r="AF623" s="690" t="s">
        <v>6840</v>
      </c>
      <c r="AG623" s="686" t="s">
        <v>195</v>
      </c>
      <c r="AH623" s="686" t="s">
        <v>1854</v>
      </c>
      <c r="AI623" s="704"/>
      <c r="AJ623" s="689"/>
      <c r="AK623" s="690"/>
      <c r="AL623" s="686"/>
      <c r="AM623" s="686"/>
      <c r="AN623" s="686" t="s">
        <v>3671</v>
      </c>
      <c r="AO623" s="705"/>
      <c r="AP623" s="686"/>
      <c r="AQ623" s="690" t="s">
        <v>4222</v>
      </c>
      <c r="AR623" s="686" t="s">
        <v>161</v>
      </c>
      <c r="AS623" s="27">
        <v>40503</v>
      </c>
      <c r="AT623" s="27">
        <v>40908</v>
      </c>
      <c r="AU623" s="686" t="s">
        <v>4223</v>
      </c>
      <c r="AV623" s="686"/>
      <c r="AW623" s="686" t="s">
        <v>69</v>
      </c>
      <c r="AX623" s="686" t="s">
        <v>4224</v>
      </c>
      <c r="AY623" s="27">
        <v>42418</v>
      </c>
      <c r="AZ623" s="686" t="s">
        <v>4043</v>
      </c>
      <c r="BA623" s="27">
        <v>42670</v>
      </c>
      <c r="BB623" s="27">
        <v>42754</v>
      </c>
      <c r="BC623" s="701" t="s">
        <v>912</v>
      </c>
      <c r="BD623" s="701" t="s">
        <v>566</v>
      </c>
      <c r="BE623" s="686"/>
      <c r="BF623" s="690" t="s">
        <v>4225</v>
      </c>
      <c r="BG623" s="690"/>
      <c r="BH623" s="690"/>
      <c r="BI623" s="690"/>
      <c r="BJ623" s="803">
        <f>+[167]MATRIZ!$J$58</f>
        <v>0</v>
      </c>
      <c r="BK623" s="696"/>
      <c r="BL623" s="697"/>
      <c r="BM623" s="27"/>
      <c r="BN623" s="698"/>
      <c r="BO623" s="699"/>
      <c r="BP623" s="700"/>
      <c r="BQ623" s="686"/>
      <c r="BR623" s="701"/>
      <c r="BS623" s="690"/>
      <c r="BT623" s="690"/>
      <c r="BU623" s="690"/>
      <c r="BV623" s="690"/>
      <c r="BW623" s="702"/>
      <c r="BX623" s="693"/>
      <c r="BY623" s="27"/>
      <c r="BZ623" s="703"/>
    </row>
    <row r="624" spans="1:555" ht="64.5" customHeight="1">
      <c r="A624" s="88">
        <v>399</v>
      </c>
      <c r="B624" s="75" t="s">
        <v>4226</v>
      </c>
      <c r="C624" s="76">
        <v>79467834</v>
      </c>
      <c r="D624" s="441" t="s">
        <v>906</v>
      </c>
      <c r="E624" s="77">
        <v>42751</v>
      </c>
      <c r="F624" s="78">
        <v>42736</v>
      </c>
      <c r="G624" s="79" t="s">
        <v>4227</v>
      </c>
      <c r="H624" s="75" t="s">
        <v>625</v>
      </c>
      <c r="I624" s="75" t="s">
        <v>183</v>
      </c>
      <c r="J624" s="77">
        <v>42830</v>
      </c>
      <c r="K624" s="78">
        <v>42826</v>
      </c>
      <c r="L624" s="79" t="s">
        <v>4218</v>
      </c>
      <c r="M624" s="75" t="s">
        <v>5</v>
      </c>
      <c r="N624" s="75" t="s">
        <v>570</v>
      </c>
      <c r="O624" s="77"/>
      <c r="P624" s="80"/>
      <c r="Q624" s="79"/>
      <c r="R624" s="75"/>
      <c r="S624" s="75"/>
      <c r="T624" s="77"/>
      <c r="U624" s="78"/>
      <c r="V624" s="79"/>
      <c r="W624" s="75"/>
      <c r="X624" s="75"/>
      <c r="Y624" s="77"/>
      <c r="Z624" s="78"/>
      <c r="AA624" s="79"/>
      <c r="AB624" s="75"/>
      <c r="AC624" s="75"/>
      <c r="AD624" s="77"/>
      <c r="AE624" s="78"/>
      <c r="AF624" s="79"/>
      <c r="AG624" s="75"/>
      <c r="AH624" s="75"/>
      <c r="AI624" s="102"/>
      <c r="AJ624" s="78"/>
      <c r="AK624" s="79"/>
      <c r="AL624" s="75"/>
      <c r="AM624" s="75"/>
      <c r="AN624" s="75" t="s">
        <v>2968</v>
      </c>
      <c r="AO624" s="479">
        <v>42830</v>
      </c>
      <c r="AP624" s="75"/>
      <c r="AQ624" s="79" t="s">
        <v>4228</v>
      </c>
      <c r="AR624" s="75" t="s">
        <v>161</v>
      </c>
      <c r="AS624" s="77">
        <v>40573</v>
      </c>
      <c r="AT624" s="77">
        <v>40908</v>
      </c>
      <c r="AU624" s="75" t="s">
        <v>4229</v>
      </c>
      <c r="AV624" s="75"/>
      <c r="AW624" s="75" t="s">
        <v>69</v>
      </c>
      <c r="AX624" s="75" t="s">
        <v>4230</v>
      </c>
      <c r="AY624" s="77">
        <v>42538</v>
      </c>
      <c r="AZ624" s="75" t="s">
        <v>94</v>
      </c>
      <c r="BA624" s="77">
        <v>42717</v>
      </c>
      <c r="BB624" s="382">
        <v>42754</v>
      </c>
      <c r="BC624" s="85" t="s">
        <v>912</v>
      </c>
      <c r="BD624" s="85" t="s">
        <v>566</v>
      </c>
      <c r="BE624" s="75"/>
      <c r="BF624" s="79"/>
      <c r="BG624" s="79"/>
      <c r="BH624" s="79"/>
      <c r="BI624" s="79"/>
      <c r="BJ624" s="138">
        <f>+[168]MATRIZ!$J$76</f>
        <v>0</v>
      </c>
      <c r="BK624" s="82"/>
      <c r="BL624" s="83"/>
      <c r="BM624" s="77"/>
      <c r="BN624" s="84"/>
      <c r="BO624" s="464"/>
      <c r="BP624" s="400"/>
      <c r="BQ624" s="75"/>
      <c r="BR624" s="85"/>
      <c r="BS624" s="79"/>
      <c r="BT624" s="79"/>
      <c r="BU624" s="79"/>
      <c r="BV624" s="79"/>
      <c r="BW624" s="86"/>
      <c r="BX624" s="81"/>
      <c r="BY624" s="77"/>
      <c r="BZ624" s="87"/>
    </row>
    <row r="625" spans="1:555" ht="69.75" customHeight="1">
      <c r="A625" s="502">
        <v>400</v>
      </c>
      <c r="B625" s="686" t="s">
        <v>4231</v>
      </c>
      <c r="C625" s="687">
        <v>79848401</v>
      </c>
      <c r="D625" s="688" t="s">
        <v>597</v>
      </c>
      <c r="E625" s="27">
        <v>42758</v>
      </c>
      <c r="F625" s="689">
        <v>42736</v>
      </c>
      <c r="G625" s="690" t="s">
        <v>4232</v>
      </c>
      <c r="H625" s="686" t="s">
        <v>625</v>
      </c>
      <c r="I625" s="686" t="s">
        <v>183</v>
      </c>
      <c r="J625" s="27">
        <v>42782</v>
      </c>
      <c r="K625" s="689">
        <v>42767</v>
      </c>
      <c r="L625" s="690" t="s">
        <v>4233</v>
      </c>
      <c r="M625" s="686" t="s">
        <v>63</v>
      </c>
      <c r="N625" s="686" t="s">
        <v>183</v>
      </c>
      <c r="O625" s="27">
        <v>42930</v>
      </c>
      <c r="P625" s="691">
        <v>46569</v>
      </c>
      <c r="Q625" s="690" t="s">
        <v>4234</v>
      </c>
      <c r="R625" s="686" t="s">
        <v>63</v>
      </c>
      <c r="S625" s="686" t="s">
        <v>79</v>
      </c>
      <c r="T625" s="27">
        <v>43032</v>
      </c>
      <c r="U625" s="689">
        <v>43009</v>
      </c>
      <c r="V625" s="690" t="s">
        <v>4235</v>
      </c>
      <c r="W625" s="686" t="s">
        <v>63</v>
      </c>
      <c r="X625" s="686" t="s">
        <v>4236</v>
      </c>
      <c r="Y625" s="27">
        <v>42248</v>
      </c>
      <c r="Z625" s="689">
        <v>42248</v>
      </c>
      <c r="AA625" s="690" t="s">
        <v>4237</v>
      </c>
      <c r="AB625" s="686" t="s">
        <v>625</v>
      </c>
      <c r="AC625" s="686" t="s">
        <v>4238</v>
      </c>
      <c r="AD625" s="27">
        <v>43892</v>
      </c>
      <c r="AE625" s="689">
        <v>43892</v>
      </c>
      <c r="AF625" s="690" t="s">
        <v>9486</v>
      </c>
      <c r="AG625" s="686" t="s">
        <v>208</v>
      </c>
      <c r="AH625" s="686" t="s">
        <v>8255</v>
      </c>
      <c r="AI625" s="704"/>
      <c r="AJ625" s="689"/>
      <c r="AK625" s="690"/>
      <c r="AL625" s="686"/>
      <c r="AM625" s="704"/>
      <c r="AN625" s="686" t="s">
        <v>4239</v>
      </c>
      <c r="AO625" s="694" t="s">
        <v>7951</v>
      </c>
      <c r="AP625" s="686"/>
      <c r="AQ625" s="690" t="s">
        <v>4240</v>
      </c>
      <c r="AR625" s="686" t="s">
        <v>161</v>
      </c>
      <c r="AS625" s="27">
        <v>37992</v>
      </c>
      <c r="AT625" s="27">
        <v>39813</v>
      </c>
      <c r="AU625" s="686" t="s">
        <v>4241</v>
      </c>
      <c r="AV625" s="686"/>
      <c r="AW625" s="686" t="s">
        <v>92</v>
      </c>
      <c r="AX625" s="686" t="s">
        <v>2757</v>
      </c>
      <c r="AY625" s="27">
        <v>41470</v>
      </c>
      <c r="AZ625" s="686" t="s">
        <v>94</v>
      </c>
      <c r="BA625" s="27">
        <v>42691</v>
      </c>
      <c r="BB625" s="27">
        <v>42718</v>
      </c>
      <c r="BC625" s="686" t="s">
        <v>95</v>
      </c>
      <c r="BD625" s="686" t="s">
        <v>566</v>
      </c>
      <c r="BE625" s="686"/>
      <c r="BF625" s="690" t="s">
        <v>4242</v>
      </c>
      <c r="BG625" s="690"/>
      <c r="BH625" s="690"/>
      <c r="BI625" s="690"/>
      <c r="BJ625" s="803">
        <f>+[169]MATRIZ!$J$76</f>
        <v>0</v>
      </c>
      <c r="BK625" s="696"/>
      <c r="BL625" s="697"/>
      <c r="BM625" s="27"/>
      <c r="BN625" s="698"/>
      <c r="BO625" s="699"/>
      <c r="BP625" s="700"/>
      <c r="BQ625" s="686"/>
      <c r="BR625" s="701"/>
      <c r="BS625" s="690"/>
      <c r="BT625" s="690"/>
      <c r="BU625" s="690"/>
      <c r="BV625" s="690"/>
      <c r="BW625" s="702"/>
      <c r="BX625" s="693"/>
      <c r="BY625" s="27"/>
      <c r="BZ625" s="703"/>
      <c r="CA625" s="259"/>
      <c r="CB625" s="259"/>
      <c r="CC625" s="259"/>
      <c r="CD625" s="259"/>
      <c r="CE625" s="259"/>
      <c r="CF625" s="259"/>
      <c r="CG625" s="259"/>
      <c r="CH625" s="259"/>
      <c r="CI625" s="259"/>
      <c r="CJ625" s="259"/>
      <c r="CK625" s="259"/>
      <c r="CL625" s="259"/>
      <c r="CM625" s="259"/>
      <c r="CN625" s="259"/>
      <c r="CO625" s="259"/>
      <c r="CP625" s="259"/>
      <c r="CQ625" s="259"/>
      <c r="CR625" s="259"/>
      <c r="CS625" s="259"/>
      <c r="CT625" s="259"/>
      <c r="CU625" s="259"/>
      <c r="CV625" s="259"/>
      <c r="CW625" s="259"/>
      <c r="CX625" s="259"/>
      <c r="CY625" s="259"/>
      <c r="CZ625" s="259"/>
      <c r="DA625" s="259"/>
      <c r="DB625" s="259"/>
      <c r="DC625" s="259"/>
      <c r="DD625" s="259"/>
      <c r="DE625" s="259"/>
      <c r="DF625" s="259"/>
      <c r="DG625" s="259"/>
      <c r="DH625" s="259"/>
      <c r="DI625" s="259"/>
      <c r="DJ625" s="259"/>
      <c r="DK625" s="259"/>
      <c r="DL625" s="259"/>
      <c r="DM625" s="259"/>
      <c r="DN625" s="259"/>
      <c r="DO625" s="259"/>
      <c r="DP625" s="259"/>
      <c r="DQ625" s="259"/>
      <c r="DR625" s="259"/>
      <c r="DS625" s="259"/>
      <c r="DT625" s="259"/>
      <c r="DU625" s="259"/>
      <c r="DV625" s="259"/>
      <c r="DW625" s="259"/>
      <c r="DX625" s="259"/>
      <c r="DY625" s="259"/>
      <c r="DZ625" s="259"/>
      <c r="EA625" s="259"/>
      <c r="EB625" s="259"/>
      <c r="EC625" s="259"/>
      <c r="ED625" s="259"/>
      <c r="EE625" s="259"/>
      <c r="EF625" s="259"/>
      <c r="EG625" s="259"/>
      <c r="EH625" s="259"/>
      <c r="EI625" s="259"/>
      <c r="EJ625" s="259"/>
      <c r="EK625" s="259"/>
      <c r="EL625" s="259"/>
      <c r="EM625" s="259"/>
      <c r="EN625" s="259"/>
      <c r="EO625" s="259"/>
      <c r="EP625" s="259"/>
      <c r="EQ625" s="259"/>
      <c r="ER625" s="259"/>
      <c r="ES625" s="259"/>
      <c r="ET625" s="259"/>
      <c r="EU625" s="259"/>
      <c r="EV625" s="259"/>
      <c r="EW625" s="259"/>
      <c r="EX625" s="259"/>
      <c r="EY625" s="259"/>
      <c r="EZ625" s="259"/>
      <c r="FA625" s="259"/>
      <c r="FB625" s="259"/>
      <c r="FC625" s="259"/>
      <c r="FD625" s="259"/>
      <c r="FE625" s="259"/>
      <c r="FF625" s="259"/>
      <c r="FG625" s="259"/>
      <c r="FH625" s="259"/>
      <c r="FI625" s="259"/>
      <c r="FJ625" s="259"/>
      <c r="FK625" s="259"/>
      <c r="FL625" s="259"/>
      <c r="FM625" s="259"/>
      <c r="FN625" s="259"/>
      <c r="FO625" s="259"/>
      <c r="FP625" s="259"/>
      <c r="FQ625" s="259"/>
      <c r="FR625" s="259"/>
      <c r="FS625" s="259"/>
      <c r="FT625" s="259"/>
      <c r="FU625" s="259"/>
      <c r="FV625" s="259"/>
      <c r="FW625" s="259"/>
      <c r="FX625" s="259"/>
      <c r="FY625" s="259"/>
      <c r="FZ625" s="259"/>
      <c r="GA625" s="259"/>
      <c r="GB625" s="259"/>
      <c r="GC625" s="259"/>
      <c r="GD625" s="259"/>
      <c r="GE625" s="259"/>
      <c r="GF625" s="259"/>
      <c r="GG625" s="259"/>
      <c r="GH625" s="259"/>
      <c r="GI625" s="259"/>
      <c r="GJ625" s="259"/>
      <c r="GK625" s="259"/>
      <c r="GL625" s="259"/>
      <c r="GM625" s="259"/>
      <c r="GN625" s="259"/>
      <c r="GO625" s="259"/>
      <c r="GP625" s="259"/>
      <c r="GQ625" s="259"/>
      <c r="GR625" s="259"/>
      <c r="GS625" s="259"/>
      <c r="GT625" s="259"/>
      <c r="GU625" s="259"/>
      <c r="GV625" s="259"/>
      <c r="GW625" s="259"/>
      <c r="GX625" s="259"/>
      <c r="GY625" s="259"/>
      <c r="GZ625" s="259"/>
      <c r="HA625" s="259"/>
      <c r="HB625" s="259"/>
      <c r="HC625" s="259"/>
      <c r="HD625" s="259"/>
      <c r="HE625" s="259"/>
      <c r="HF625" s="259"/>
      <c r="HG625" s="259"/>
      <c r="HH625" s="259"/>
      <c r="HI625" s="259"/>
      <c r="HJ625" s="259"/>
      <c r="HK625" s="259"/>
      <c r="HL625" s="259"/>
      <c r="HM625" s="259"/>
      <c r="HN625" s="259"/>
      <c r="HO625" s="259"/>
      <c r="HP625" s="259"/>
      <c r="HQ625" s="259"/>
      <c r="HR625" s="259"/>
      <c r="HS625" s="259"/>
      <c r="HT625" s="259"/>
      <c r="HU625" s="259"/>
      <c r="HV625" s="259"/>
      <c r="HW625" s="259"/>
      <c r="HX625" s="259"/>
      <c r="HY625" s="259"/>
      <c r="HZ625" s="259"/>
      <c r="IA625" s="259"/>
      <c r="IB625" s="259"/>
      <c r="IC625" s="259"/>
      <c r="ID625" s="259"/>
      <c r="IE625" s="259"/>
      <c r="IF625" s="259"/>
      <c r="IG625" s="259"/>
      <c r="IH625" s="259"/>
      <c r="II625" s="259"/>
      <c r="IJ625" s="259"/>
      <c r="IK625" s="259"/>
      <c r="IL625" s="259"/>
      <c r="IM625" s="259"/>
      <c r="IN625" s="259"/>
      <c r="IO625" s="259"/>
      <c r="IP625" s="259"/>
      <c r="IQ625" s="259"/>
      <c r="IR625" s="259"/>
      <c r="IS625" s="259"/>
      <c r="IT625" s="259"/>
      <c r="IU625" s="259"/>
      <c r="IV625" s="259"/>
      <c r="IW625" s="259"/>
      <c r="IX625" s="259"/>
      <c r="IY625" s="259"/>
      <c r="IZ625" s="259"/>
      <c r="JA625" s="259"/>
      <c r="JB625" s="259"/>
      <c r="JC625" s="259"/>
      <c r="JD625" s="259"/>
      <c r="JE625" s="259"/>
      <c r="JF625" s="259"/>
      <c r="JG625" s="259"/>
      <c r="JH625" s="259"/>
      <c r="JI625" s="259"/>
      <c r="JJ625" s="259"/>
      <c r="JK625" s="259"/>
      <c r="JL625" s="259"/>
      <c r="JM625" s="259"/>
      <c r="JN625" s="259"/>
      <c r="JO625" s="259"/>
      <c r="JP625" s="259"/>
      <c r="JQ625" s="259"/>
      <c r="JR625" s="259"/>
      <c r="JS625" s="259"/>
      <c r="JT625" s="259"/>
      <c r="JU625" s="259"/>
      <c r="JV625" s="259"/>
      <c r="JW625" s="259"/>
      <c r="JX625" s="259"/>
      <c r="JY625" s="259"/>
      <c r="JZ625" s="259"/>
      <c r="KA625" s="259"/>
      <c r="KB625" s="259"/>
      <c r="KC625" s="259"/>
      <c r="KD625" s="259"/>
      <c r="KE625" s="259"/>
      <c r="KF625" s="259"/>
      <c r="KG625" s="259"/>
      <c r="KH625" s="259"/>
      <c r="KI625" s="259"/>
      <c r="KJ625" s="259"/>
      <c r="KK625" s="259"/>
      <c r="KL625" s="259"/>
      <c r="KM625" s="259"/>
      <c r="KN625" s="259"/>
      <c r="KO625" s="259"/>
      <c r="KP625" s="259"/>
      <c r="KQ625" s="259"/>
      <c r="KR625" s="259"/>
      <c r="KS625" s="259"/>
      <c r="KT625" s="259"/>
      <c r="KU625" s="259"/>
      <c r="KV625" s="259"/>
      <c r="KW625" s="259"/>
      <c r="KX625" s="259"/>
      <c r="KY625" s="259"/>
      <c r="KZ625" s="259"/>
      <c r="LA625" s="259"/>
      <c r="LB625" s="259"/>
      <c r="LC625" s="259"/>
      <c r="LD625" s="259"/>
      <c r="LE625" s="259"/>
      <c r="LF625" s="259"/>
      <c r="LG625" s="259"/>
      <c r="LH625" s="259"/>
      <c r="LI625" s="259"/>
      <c r="LJ625" s="259"/>
      <c r="LK625" s="259"/>
      <c r="LL625" s="259"/>
      <c r="LM625" s="259"/>
      <c r="LN625" s="259"/>
      <c r="LO625" s="259"/>
      <c r="LP625" s="259"/>
      <c r="LQ625" s="259"/>
      <c r="LR625" s="259"/>
      <c r="LS625" s="259"/>
      <c r="LT625" s="259"/>
      <c r="LU625" s="259"/>
      <c r="LV625" s="259"/>
      <c r="LW625" s="259"/>
      <c r="LX625" s="259"/>
      <c r="LY625" s="259"/>
      <c r="LZ625" s="259"/>
      <c r="MA625" s="259"/>
      <c r="MB625" s="259"/>
      <c r="MC625" s="259"/>
      <c r="MD625" s="259"/>
      <c r="ME625" s="259"/>
      <c r="MF625" s="259"/>
      <c r="MG625" s="259"/>
      <c r="MH625" s="259"/>
      <c r="MI625" s="259"/>
      <c r="MJ625" s="259"/>
      <c r="MK625" s="259"/>
      <c r="ML625" s="259"/>
      <c r="MM625" s="259"/>
      <c r="MN625" s="259"/>
      <c r="MO625" s="259"/>
      <c r="MP625" s="259"/>
      <c r="MQ625" s="259"/>
      <c r="MR625" s="259"/>
      <c r="MS625" s="259"/>
      <c r="MT625" s="259"/>
      <c r="MU625" s="259"/>
      <c r="MV625" s="259"/>
      <c r="MW625" s="259"/>
      <c r="MX625" s="259"/>
      <c r="MY625" s="259"/>
      <c r="MZ625" s="259"/>
      <c r="NA625" s="259"/>
      <c r="NB625" s="259"/>
      <c r="NC625" s="259"/>
      <c r="ND625" s="259"/>
      <c r="NE625" s="259"/>
      <c r="NF625" s="259"/>
      <c r="NG625" s="259"/>
      <c r="NH625" s="259"/>
      <c r="NI625" s="259"/>
      <c r="NJ625" s="259"/>
      <c r="NK625" s="259"/>
      <c r="NL625" s="259"/>
      <c r="NM625" s="259"/>
      <c r="NN625" s="259"/>
      <c r="NO625" s="259"/>
      <c r="NP625" s="259"/>
      <c r="NQ625" s="259"/>
      <c r="NR625" s="259"/>
      <c r="NS625" s="259"/>
      <c r="NT625" s="259"/>
      <c r="NU625" s="259"/>
      <c r="NV625" s="259"/>
      <c r="NW625" s="259"/>
      <c r="NX625" s="259"/>
      <c r="NY625" s="259"/>
      <c r="NZ625" s="259"/>
      <c r="OA625" s="259"/>
      <c r="OB625" s="259"/>
      <c r="OC625" s="259"/>
      <c r="OD625" s="259"/>
      <c r="OE625" s="259"/>
      <c r="OF625" s="259"/>
      <c r="OG625" s="259"/>
      <c r="OH625" s="259"/>
      <c r="OI625" s="259"/>
      <c r="OJ625" s="259"/>
      <c r="OK625" s="259"/>
      <c r="OL625" s="259"/>
      <c r="OM625" s="259"/>
      <c r="ON625" s="259"/>
      <c r="OO625" s="259"/>
      <c r="OP625" s="259"/>
      <c r="OQ625" s="259"/>
      <c r="OR625" s="259"/>
      <c r="OS625" s="259"/>
      <c r="OT625" s="259"/>
      <c r="OU625" s="259"/>
      <c r="OV625" s="259"/>
      <c r="OW625" s="259"/>
      <c r="OX625" s="259"/>
      <c r="OY625" s="259"/>
      <c r="OZ625" s="259"/>
      <c r="PA625" s="259"/>
      <c r="PB625" s="259"/>
      <c r="PC625" s="259"/>
      <c r="PD625" s="259"/>
      <c r="PE625" s="259"/>
      <c r="PF625" s="259"/>
      <c r="PG625" s="259"/>
      <c r="PH625" s="259"/>
      <c r="PI625" s="259"/>
      <c r="PJ625" s="259"/>
      <c r="PK625" s="259"/>
      <c r="PL625" s="259"/>
      <c r="PM625" s="259"/>
      <c r="PN625" s="259"/>
      <c r="PO625" s="259"/>
      <c r="PP625" s="259"/>
      <c r="PQ625" s="259"/>
      <c r="PR625" s="259"/>
      <c r="PS625" s="259"/>
      <c r="PT625" s="259"/>
      <c r="PU625" s="259"/>
      <c r="PV625" s="259"/>
      <c r="PW625" s="259"/>
      <c r="PX625" s="259"/>
      <c r="PY625" s="259"/>
      <c r="PZ625" s="259"/>
      <c r="QA625" s="259"/>
      <c r="QB625" s="259"/>
      <c r="QC625" s="259"/>
      <c r="QD625" s="259"/>
      <c r="QE625" s="259"/>
      <c r="QF625" s="259"/>
      <c r="QG625" s="259"/>
      <c r="QH625" s="259"/>
      <c r="QI625" s="259"/>
      <c r="QJ625" s="259"/>
      <c r="QK625" s="259"/>
      <c r="QL625" s="259"/>
      <c r="QM625" s="259"/>
      <c r="QN625" s="259"/>
      <c r="QO625" s="259"/>
      <c r="QP625" s="259"/>
      <c r="QQ625" s="259"/>
      <c r="QR625" s="259"/>
      <c r="QS625" s="259"/>
      <c r="QT625" s="259"/>
      <c r="QU625" s="259"/>
      <c r="QV625" s="259"/>
      <c r="QW625" s="259"/>
      <c r="QX625" s="259"/>
      <c r="QY625" s="259"/>
      <c r="QZ625" s="259"/>
      <c r="RA625" s="259"/>
      <c r="RB625" s="259"/>
      <c r="RC625" s="259"/>
      <c r="RD625" s="259"/>
      <c r="RE625" s="259"/>
      <c r="RF625" s="259"/>
      <c r="RG625" s="259"/>
      <c r="RH625" s="259"/>
      <c r="RI625" s="259"/>
      <c r="RJ625" s="259"/>
      <c r="RK625" s="259"/>
      <c r="RL625" s="259"/>
      <c r="RM625" s="259"/>
      <c r="RN625" s="259"/>
      <c r="RO625" s="259"/>
      <c r="RP625" s="259"/>
      <c r="RQ625" s="259"/>
      <c r="RR625" s="259"/>
      <c r="RS625" s="259"/>
      <c r="RT625" s="259"/>
      <c r="RU625" s="259"/>
      <c r="RV625" s="259"/>
      <c r="RW625" s="259"/>
      <c r="RX625" s="259"/>
      <c r="RY625" s="259"/>
      <c r="RZ625" s="259"/>
      <c r="SA625" s="259"/>
      <c r="SB625" s="259"/>
      <c r="SC625" s="259"/>
      <c r="SD625" s="259"/>
      <c r="SE625" s="259"/>
      <c r="SF625" s="259"/>
      <c r="SG625" s="259"/>
      <c r="SH625" s="259"/>
      <c r="SI625" s="259"/>
      <c r="SJ625" s="259"/>
      <c r="SK625" s="259"/>
      <c r="SL625" s="259"/>
      <c r="SM625" s="259"/>
      <c r="SN625" s="259"/>
      <c r="SO625" s="259"/>
      <c r="SP625" s="259"/>
      <c r="SQ625" s="259"/>
      <c r="SR625" s="259"/>
      <c r="SS625" s="259"/>
      <c r="ST625" s="259"/>
      <c r="SU625" s="259"/>
      <c r="SV625" s="259"/>
      <c r="SW625" s="259"/>
      <c r="SX625" s="259"/>
      <c r="SY625" s="259"/>
      <c r="SZ625" s="259"/>
      <c r="TA625" s="259"/>
      <c r="TB625" s="259"/>
      <c r="TC625" s="259"/>
      <c r="TD625" s="259"/>
      <c r="TE625" s="259"/>
      <c r="TF625" s="259"/>
      <c r="TG625" s="259"/>
      <c r="TH625" s="259"/>
      <c r="TI625" s="259"/>
      <c r="TJ625" s="259"/>
      <c r="TK625" s="259"/>
      <c r="TL625" s="259"/>
      <c r="TM625" s="259"/>
      <c r="TN625" s="259"/>
      <c r="TO625" s="259"/>
      <c r="TP625" s="259"/>
      <c r="TQ625" s="259"/>
      <c r="TR625" s="259"/>
      <c r="TS625" s="259"/>
      <c r="TT625" s="259"/>
      <c r="TU625" s="259"/>
      <c r="TV625" s="259"/>
      <c r="TW625" s="259"/>
      <c r="TX625" s="259"/>
      <c r="TY625" s="259"/>
      <c r="TZ625" s="259"/>
      <c r="UA625" s="259"/>
      <c r="UB625" s="259"/>
      <c r="UC625" s="259"/>
      <c r="UD625" s="259"/>
      <c r="UE625" s="259"/>
      <c r="UF625" s="259"/>
      <c r="UG625" s="259"/>
      <c r="UH625" s="259"/>
      <c r="UI625" s="259"/>
    </row>
    <row r="626" spans="1:555" ht="63.75" customHeight="1">
      <c r="A626" s="88">
        <v>401</v>
      </c>
      <c r="B626" s="75" t="s">
        <v>4243</v>
      </c>
      <c r="C626" s="76">
        <v>79697873</v>
      </c>
      <c r="D626" s="441" t="s">
        <v>3541</v>
      </c>
      <c r="E626" s="77">
        <v>42762</v>
      </c>
      <c r="F626" s="78">
        <v>42736</v>
      </c>
      <c r="G626" s="79" t="s">
        <v>4244</v>
      </c>
      <c r="H626" s="75" t="s">
        <v>63</v>
      </c>
      <c r="I626" s="75" t="s">
        <v>101</v>
      </c>
      <c r="J626" s="77">
        <v>43199</v>
      </c>
      <c r="K626" s="80">
        <v>43191</v>
      </c>
      <c r="L626" s="79" t="s">
        <v>3545</v>
      </c>
      <c r="M626" s="75" t="s">
        <v>63</v>
      </c>
      <c r="N626" s="75" t="s">
        <v>107</v>
      </c>
      <c r="O626" s="77">
        <v>43220</v>
      </c>
      <c r="P626" s="78">
        <v>43191</v>
      </c>
      <c r="Q626" s="79" t="s">
        <v>4245</v>
      </c>
      <c r="R626" s="75" t="s">
        <v>208</v>
      </c>
      <c r="S626" s="75" t="s">
        <v>107</v>
      </c>
      <c r="T626" s="77">
        <v>43670</v>
      </c>
      <c r="U626" s="78">
        <v>43670</v>
      </c>
      <c r="V626" s="79" t="s">
        <v>9001</v>
      </c>
      <c r="W626" s="75" t="s">
        <v>63</v>
      </c>
      <c r="X626" s="75" t="s">
        <v>1114</v>
      </c>
      <c r="Y626" s="77">
        <v>43755</v>
      </c>
      <c r="Z626" s="78">
        <v>43755</v>
      </c>
      <c r="AA626" s="79" t="s">
        <v>9194</v>
      </c>
      <c r="AB626" s="75" t="s">
        <v>208</v>
      </c>
      <c r="AC626" s="75" t="s">
        <v>8243</v>
      </c>
      <c r="AD626" s="77">
        <v>43907</v>
      </c>
      <c r="AE626" s="78">
        <v>43907</v>
      </c>
      <c r="AF626" s="79" t="s">
        <v>9498</v>
      </c>
      <c r="AG626" s="75" t="s">
        <v>208</v>
      </c>
      <c r="AH626" s="75" t="s">
        <v>8255</v>
      </c>
      <c r="AI626" s="77" t="s">
        <v>10425</v>
      </c>
      <c r="AJ626" s="78" t="s">
        <v>10426</v>
      </c>
      <c r="AK626" s="79" t="s">
        <v>10427</v>
      </c>
      <c r="AL626" s="75" t="s">
        <v>10428</v>
      </c>
      <c r="AM626" s="75" t="s">
        <v>10429</v>
      </c>
      <c r="AN626" s="75" t="s">
        <v>1359</v>
      </c>
      <c r="AO626" s="479">
        <v>42866</v>
      </c>
      <c r="AP626" s="75"/>
      <c r="AQ626" s="79" t="s">
        <v>4246</v>
      </c>
      <c r="AR626" s="75" t="s">
        <v>161</v>
      </c>
      <c r="AS626" s="77">
        <v>37818</v>
      </c>
      <c r="AT626" s="77">
        <v>39843</v>
      </c>
      <c r="AU626" s="75" t="s">
        <v>9002</v>
      </c>
      <c r="AV626" s="75"/>
      <c r="AW626" s="75" t="s">
        <v>92</v>
      </c>
      <c r="AX626" s="75" t="s">
        <v>4247</v>
      </c>
      <c r="AY626" s="77">
        <v>41817</v>
      </c>
      <c r="AZ626" s="75" t="s">
        <v>94</v>
      </c>
      <c r="BA626" s="77">
        <v>42621</v>
      </c>
      <c r="BB626" s="382" t="s">
        <v>7400</v>
      </c>
      <c r="BC626" s="75" t="s">
        <v>95</v>
      </c>
      <c r="BD626" s="75" t="s">
        <v>566</v>
      </c>
      <c r="BE626" s="75"/>
      <c r="BF626" s="79" t="s">
        <v>7303</v>
      </c>
      <c r="BG626" s="79"/>
      <c r="BH626" s="79"/>
      <c r="BI626" s="79"/>
      <c r="BJ626" s="74">
        <f>+[170]MATRIZ!$J$65</f>
        <v>0</v>
      </c>
      <c r="BK626" s="82"/>
      <c r="BL626" s="83"/>
      <c r="BM626" s="77"/>
      <c r="BN626" s="84"/>
      <c r="BO626" s="464"/>
      <c r="BP626" s="400"/>
      <c r="BQ626" s="75"/>
      <c r="BR626" s="85"/>
      <c r="BS626" s="79"/>
      <c r="BT626" s="79"/>
      <c r="BU626" s="79"/>
      <c r="BV626" s="79"/>
      <c r="BW626" s="86"/>
      <c r="BX626" s="81"/>
      <c r="BY626" s="77"/>
      <c r="BZ626" s="87"/>
    </row>
    <row r="627" spans="1:555" ht="59.25" customHeight="1">
      <c r="A627" s="502">
        <v>402</v>
      </c>
      <c r="B627" s="686" t="s">
        <v>4248</v>
      </c>
      <c r="C627" s="687">
        <v>19404837</v>
      </c>
      <c r="D627" s="688" t="s">
        <v>906</v>
      </c>
      <c r="E627" s="27">
        <v>42768</v>
      </c>
      <c r="F627" s="689">
        <v>42767</v>
      </c>
      <c r="G627" s="690" t="s">
        <v>4249</v>
      </c>
      <c r="H627" s="686" t="s">
        <v>171</v>
      </c>
      <c r="I627" s="686" t="s">
        <v>183</v>
      </c>
      <c r="J627" s="27">
        <v>43013</v>
      </c>
      <c r="K627" s="689">
        <v>43009</v>
      </c>
      <c r="L627" s="690" t="s">
        <v>4250</v>
      </c>
      <c r="M627" s="686" t="s">
        <v>5</v>
      </c>
      <c r="N627" s="686" t="s">
        <v>3375</v>
      </c>
      <c r="O627" s="27">
        <v>43084</v>
      </c>
      <c r="P627" s="691">
        <v>43070</v>
      </c>
      <c r="Q627" s="690" t="s">
        <v>4251</v>
      </c>
      <c r="R627" s="686" t="s">
        <v>1997</v>
      </c>
      <c r="S627" s="686" t="s">
        <v>1393</v>
      </c>
      <c r="T627" s="27">
        <v>42247</v>
      </c>
      <c r="U627" s="689">
        <v>42217</v>
      </c>
      <c r="V627" s="690" t="s">
        <v>4252</v>
      </c>
      <c r="W627" s="686" t="s">
        <v>171</v>
      </c>
      <c r="X627" s="686" t="s">
        <v>1495</v>
      </c>
      <c r="Y627" s="27"/>
      <c r="Z627" s="689"/>
      <c r="AA627" s="690"/>
      <c r="AB627" s="686"/>
      <c r="AC627" s="686"/>
      <c r="AD627" s="27"/>
      <c r="AE627" s="689"/>
      <c r="AF627" s="690"/>
      <c r="AG627" s="686"/>
      <c r="AH627" s="686"/>
      <c r="AI627" s="704"/>
      <c r="AJ627" s="689"/>
      <c r="AK627" s="690"/>
      <c r="AL627" s="686"/>
      <c r="AM627" s="686"/>
      <c r="AN627" s="686" t="s">
        <v>4255</v>
      </c>
      <c r="AO627" s="705"/>
      <c r="AP627" s="686"/>
      <c r="AQ627" s="690" t="s">
        <v>4256</v>
      </c>
      <c r="AR627" s="686" t="s">
        <v>161</v>
      </c>
      <c r="AS627" s="27" t="s">
        <v>67</v>
      </c>
      <c r="AT627" s="27" t="s">
        <v>67</v>
      </c>
      <c r="AU627" s="686" t="s">
        <v>4257</v>
      </c>
      <c r="AV627" s="686"/>
      <c r="AW627" s="686" t="s">
        <v>69</v>
      </c>
      <c r="AX627" s="686" t="s">
        <v>4258</v>
      </c>
      <c r="AY627" s="27">
        <v>42416</v>
      </c>
      <c r="AZ627" s="686" t="s">
        <v>94</v>
      </c>
      <c r="BA627" s="27">
        <v>42572</v>
      </c>
      <c r="BB627" s="27">
        <v>42690</v>
      </c>
      <c r="BC627" s="701" t="s">
        <v>912</v>
      </c>
      <c r="BD627" s="701" t="s">
        <v>566</v>
      </c>
      <c r="BE627" s="686"/>
      <c r="BF627" s="690"/>
      <c r="BG627" s="690"/>
      <c r="BH627" s="690"/>
      <c r="BI627" s="690"/>
      <c r="BJ627" s="696">
        <f>+[171]MATRIZ!$J$54</f>
        <v>0</v>
      </c>
      <c r="BK627" s="696"/>
      <c r="BL627" s="697"/>
      <c r="BM627" s="27"/>
      <c r="BN627" s="698"/>
      <c r="BO627" s="699"/>
      <c r="BP627" s="700"/>
      <c r="BQ627" s="686"/>
      <c r="BR627" s="701"/>
      <c r="BS627" s="690"/>
      <c r="BT627" s="690"/>
      <c r="BU627" s="690"/>
      <c r="BV627" s="690"/>
      <c r="BW627" s="702"/>
      <c r="BX627" s="693"/>
      <c r="BY627" s="27"/>
      <c r="BZ627" s="703"/>
      <c r="CA627" s="259"/>
      <c r="CB627" s="259"/>
      <c r="CC627" s="259"/>
      <c r="CD627" s="259"/>
      <c r="CE627" s="259"/>
      <c r="CF627" s="259"/>
      <c r="CG627" s="259"/>
      <c r="CH627" s="259"/>
      <c r="CI627" s="259"/>
      <c r="CJ627" s="259"/>
      <c r="CK627" s="259"/>
      <c r="CL627" s="259"/>
      <c r="CM627" s="259"/>
      <c r="CN627" s="259"/>
      <c r="CO627" s="259"/>
      <c r="CP627" s="259"/>
      <c r="CQ627" s="259"/>
      <c r="CR627" s="259"/>
      <c r="CS627" s="259"/>
      <c r="CT627" s="259"/>
      <c r="CU627" s="259"/>
      <c r="CV627" s="259"/>
      <c r="CW627" s="259"/>
      <c r="CX627" s="259"/>
      <c r="CY627" s="259"/>
      <c r="CZ627" s="259"/>
      <c r="DA627" s="259"/>
      <c r="DB627" s="259"/>
      <c r="DC627" s="259"/>
      <c r="DD627" s="259"/>
      <c r="DE627" s="259"/>
      <c r="DF627" s="259"/>
      <c r="DG627" s="259"/>
      <c r="DH627" s="259"/>
      <c r="DI627" s="259"/>
      <c r="DJ627" s="259"/>
      <c r="DK627" s="259"/>
      <c r="DL627" s="259"/>
      <c r="DM627" s="259"/>
      <c r="DN627" s="259"/>
      <c r="DO627" s="259"/>
      <c r="DP627" s="259"/>
      <c r="DQ627" s="259"/>
      <c r="DR627" s="259"/>
      <c r="DS627" s="259"/>
      <c r="DT627" s="259"/>
      <c r="DU627" s="259"/>
      <c r="DV627" s="259"/>
      <c r="DW627" s="259"/>
      <c r="DX627" s="259"/>
      <c r="DY627" s="259"/>
      <c r="DZ627" s="259"/>
      <c r="EA627" s="259"/>
      <c r="EB627" s="259"/>
      <c r="EC627" s="259"/>
      <c r="ED627" s="259"/>
      <c r="EE627" s="259"/>
      <c r="EF627" s="259"/>
      <c r="EG627" s="259"/>
      <c r="EH627" s="259"/>
      <c r="EI627" s="259"/>
      <c r="EJ627" s="259"/>
      <c r="EK627" s="259"/>
      <c r="EL627" s="259"/>
      <c r="EM627" s="259"/>
      <c r="EN627" s="259"/>
      <c r="EO627" s="259"/>
      <c r="EP627" s="259"/>
      <c r="EQ627" s="259"/>
      <c r="ER627" s="259"/>
      <c r="ES627" s="259"/>
      <c r="ET627" s="259"/>
      <c r="EU627" s="259"/>
      <c r="EV627" s="259"/>
      <c r="EW627" s="259"/>
      <c r="EX627" s="259"/>
      <c r="EY627" s="259"/>
      <c r="EZ627" s="259"/>
      <c r="FA627" s="259"/>
      <c r="FB627" s="259"/>
      <c r="FC627" s="259"/>
      <c r="FD627" s="259"/>
      <c r="FE627" s="259"/>
      <c r="FF627" s="259"/>
      <c r="FG627" s="259"/>
      <c r="FH627" s="259"/>
      <c r="FI627" s="259"/>
      <c r="FJ627" s="259"/>
      <c r="FK627" s="259"/>
      <c r="FL627" s="259"/>
      <c r="FM627" s="259"/>
      <c r="FN627" s="259"/>
      <c r="FO627" s="259"/>
      <c r="FP627" s="259"/>
      <c r="FQ627" s="259"/>
      <c r="FR627" s="259"/>
      <c r="FS627" s="259"/>
      <c r="FT627" s="259"/>
      <c r="FU627" s="259"/>
      <c r="FV627" s="259"/>
      <c r="FW627" s="259"/>
      <c r="FX627" s="259"/>
      <c r="FY627" s="259"/>
      <c r="FZ627" s="259"/>
      <c r="GA627" s="259"/>
      <c r="GB627" s="259"/>
      <c r="GC627" s="259"/>
      <c r="GD627" s="259"/>
      <c r="GE627" s="259"/>
      <c r="GF627" s="259"/>
      <c r="GG627" s="259"/>
      <c r="GH627" s="259"/>
      <c r="GI627" s="259"/>
      <c r="GJ627" s="259"/>
      <c r="GK627" s="259"/>
      <c r="GL627" s="259"/>
      <c r="GM627" s="259"/>
      <c r="GN627" s="259"/>
      <c r="GO627" s="259"/>
      <c r="GP627" s="259"/>
      <c r="GQ627" s="259"/>
      <c r="GR627" s="259"/>
      <c r="GS627" s="259"/>
      <c r="GT627" s="259"/>
      <c r="GU627" s="259"/>
      <c r="GV627" s="259"/>
      <c r="GW627" s="259"/>
      <c r="GX627" s="259"/>
      <c r="GY627" s="259"/>
      <c r="GZ627" s="259"/>
      <c r="HA627" s="259"/>
      <c r="HB627" s="259"/>
      <c r="HC627" s="259"/>
      <c r="HD627" s="259"/>
      <c r="HE627" s="259"/>
      <c r="HF627" s="259"/>
      <c r="HG627" s="259"/>
      <c r="HH627" s="259"/>
      <c r="HI627" s="259"/>
      <c r="HJ627" s="259"/>
      <c r="HK627" s="259"/>
      <c r="HL627" s="259"/>
      <c r="HM627" s="259"/>
      <c r="HN627" s="259"/>
      <c r="HO627" s="259"/>
      <c r="HP627" s="259"/>
      <c r="HQ627" s="259"/>
      <c r="HR627" s="259"/>
      <c r="HS627" s="259"/>
      <c r="HT627" s="259"/>
      <c r="HU627" s="259"/>
      <c r="HV627" s="259"/>
      <c r="HW627" s="259"/>
      <c r="HX627" s="259"/>
      <c r="HY627" s="259"/>
      <c r="HZ627" s="259"/>
      <c r="IA627" s="259"/>
      <c r="IB627" s="259"/>
      <c r="IC627" s="259"/>
      <c r="ID627" s="259"/>
      <c r="IE627" s="259"/>
      <c r="IF627" s="259"/>
      <c r="IG627" s="259"/>
      <c r="IH627" s="259"/>
      <c r="II627" s="259"/>
      <c r="IJ627" s="259"/>
      <c r="IK627" s="259"/>
      <c r="IL627" s="259"/>
      <c r="IM627" s="259"/>
      <c r="IN627" s="259"/>
      <c r="IO627" s="259"/>
      <c r="IP627" s="259"/>
      <c r="IQ627" s="259"/>
      <c r="IR627" s="259"/>
      <c r="IS627" s="259"/>
      <c r="IT627" s="259"/>
      <c r="IU627" s="259"/>
      <c r="IV627" s="259"/>
      <c r="IW627" s="259"/>
      <c r="IX627" s="259"/>
      <c r="IY627" s="259"/>
      <c r="IZ627" s="259"/>
      <c r="JA627" s="259"/>
      <c r="JB627" s="259"/>
      <c r="JC627" s="259"/>
      <c r="JD627" s="259"/>
      <c r="JE627" s="259"/>
      <c r="JF627" s="259"/>
      <c r="JG627" s="259"/>
      <c r="JH627" s="259"/>
      <c r="JI627" s="259"/>
      <c r="JJ627" s="259"/>
      <c r="JK627" s="259"/>
      <c r="JL627" s="259"/>
      <c r="JM627" s="259"/>
      <c r="JN627" s="259"/>
      <c r="JO627" s="259"/>
      <c r="JP627" s="259"/>
      <c r="JQ627" s="259"/>
      <c r="JR627" s="259"/>
      <c r="JS627" s="259"/>
      <c r="JT627" s="259"/>
      <c r="JU627" s="259"/>
      <c r="JV627" s="259"/>
      <c r="JW627" s="259"/>
      <c r="JX627" s="259"/>
      <c r="JY627" s="259"/>
      <c r="JZ627" s="259"/>
      <c r="KA627" s="259"/>
      <c r="KB627" s="259"/>
      <c r="KC627" s="259"/>
      <c r="KD627" s="259"/>
      <c r="KE627" s="259"/>
      <c r="KF627" s="259"/>
      <c r="KG627" s="259"/>
      <c r="KH627" s="259"/>
      <c r="KI627" s="259"/>
      <c r="KJ627" s="259"/>
      <c r="KK627" s="259"/>
      <c r="KL627" s="259"/>
      <c r="KM627" s="259"/>
      <c r="KN627" s="259"/>
      <c r="KO627" s="259"/>
      <c r="KP627" s="259"/>
      <c r="KQ627" s="259"/>
      <c r="KR627" s="259"/>
      <c r="KS627" s="259"/>
      <c r="KT627" s="259"/>
      <c r="KU627" s="259"/>
      <c r="KV627" s="259"/>
      <c r="KW627" s="259"/>
      <c r="KX627" s="259"/>
      <c r="KY627" s="259"/>
      <c r="KZ627" s="259"/>
      <c r="LA627" s="259"/>
      <c r="LB627" s="259"/>
      <c r="LC627" s="259"/>
      <c r="LD627" s="259"/>
      <c r="LE627" s="259"/>
      <c r="LF627" s="259"/>
      <c r="LG627" s="259"/>
      <c r="LH627" s="259"/>
      <c r="LI627" s="259"/>
      <c r="LJ627" s="259"/>
      <c r="LK627" s="259"/>
      <c r="LL627" s="259"/>
      <c r="LM627" s="259"/>
      <c r="LN627" s="259"/>
      <c r="LO627" s="259"/>
      <c r="LP627" s="259"/>
      <c r="LQ627" s="259"/>
      <c r="LR627" s="259"/>
      <c r="LS627" s="259"/>
      <c r="LT627" s="259"/>
      <c r="LU627" s="259"/>
      <c r="LV627" s="259"/>
      <c r="LW627" s="259"/>
      <c r="LX627" s="259"/>
      <c r="LY627" s="259"/>
      <c r="LZ627" s="259"/>
      <c r="MA627" s="259"/>
      <c r="MB627" s="259"/>
      <c r="MC627" s="259"/>
      <c r="MD627" s="259"/>
      <c r="ME627" s="259"/>
      <c r="MF627" s="259"/>
      <c r="MG627" s="259"/>
      <c r="MH627" s="259"/>
      <c r="MI627" s="259"/>
      <c r="MJ627" s="259"/>
      <c r="MK627" s="259"/>
      <c r="ML627" s="259"/>
      <c r="MM627" s="259"/>
      <c r="MN627" s="259"/>
      <c r="MO627" s="259"/>
      <c r="MP627" s="259"/>
      <c r="MQ627" s="259"/>
      <c r="MR627" s="259"/>
      <c r="MS627" s="259"/>
      <c r="MT627" s="259"/>
      <c r="MU627" s="259"/>
      <c r="MV627" s="259"/>
      <c r="MW627" s="259"/>
      <c r="MX627" s="259"/>
      <c r="MY627" s="259"/>
      <c r="MZ627" s="259"/>
      <c r="NA627" s="259"/>
      <c r="NB627" s="259"/>
      <c r="NC627" s="259"/>
      <c r="ND627" s="259"/>
      <c r="NE627" s="259"/>
      <c r="NF627" s="259"/>
      <c r="NG627" s="259"/>
      <c r="NH627" s="259"/>
      <c r="NI627" s="259"/>
      <c r="NJ627" s="259"/>
      <c r="NK627" s="259"/>
      <c r="NL627" s="259"/>
      <c r="NM627" s="259"/>
      <c r="NN627" s="259"/>
      <c r="NO627" s="259"/>
      <c r="NP627" s="259"/>
      <c r="NQ627" s="259"/>
      <c r="NR627" s="259"/>
      <c r="NS627" s="259"/>
      <c r="NT627" s="259"/>
      <c r="NU627" s="259"/>
      <c r="NV627" s="259"/>
      <c r="NW627" s="259"/>
      <c r="NX627" s="259"/>
      <c r="NY627" s="259"/>
      <c r="NZ627" s="259"/>
      <c r="OA627" s="259"/>
      <c r="OB627" s="259"/>
      <c r="OC627" s="259"/>
      <c r="OD627" s="259"/>
      <c r="OE627" s="259"/>
      <c r="OF627" s="259"/>
      <c r="OG627" s="259"/>
      <c r="OH627" s="259"/>
      <c r="OI627" s="259"/>
      <c r="OJ627" s="259"/>
      <c r="OK627" s="259"/>
      <c r="OL627" s="259"/>
      <c r="OM627" s="259"/>
      <c r="ON627" s="259"/>
      <c r="OO627" s="259"/>
      <c r="OP627" s="259"/>
      <c r="OQ627" s="259"/>
      <c r="OR627" s="259"/>
      <c r="OS627" s="259"/>
      <c r="OT627" s="259"/>
      <c r="OU627" s="259"/>
      <c r="OV627" s="259"/>
      <c r="OW627" s="259"/>
      <c r="OX627" s="259"/>
      <c r="OY627" s="259"/>
      <c r="OZ627" s="259"/>
      <c r="PA627" s="259"/>
      <c r="PB627" s="259"/>
      <c r="PC627" s="259"/>
      <c r="PD627" s="259"/>
      <c r="PE627" s="259"/>
      <c r="PF627" s="259"/>
      <c r="PG627" s="259"/>
      <c r="PH627" s="259"/>
      <c r="PI627" s="259"/>
      <c r="PJ627" s="259"/>
      <c r="PK627" s="259"/>
      <c r="PL627" s="259"/>
      <c r="PM627" s="259"/>
      <c r="PN627" s="259"/>
      <c r="PO627" s="259"/>
      <c r="PP627" s="259"/>
      <c r="PQ627" s="259"/>
      <c r="PR627" s="259"/>
      <c r="PS627" s="259"/>
      <c r="PT627" s="259"/>
      <c r="PU627" s="259"/>
      <c r="PV627" s="259"/>
      <c r="PW627" s="259"/>
      <c r="PX627" s="259"/>
      <c r="PY627" s="259"/>
      <c r="PZ627" s="259"/>
      <c r="QA627" s="259"/>
      <c r="QB627" s="259"/>
      <c r="QC627" s="259"/>
      <c r="QD627" s="259"/>
      <c r="QE627" s="259"/>
      <c r="QF627" s="259"/>
      <c r="QG627" s="259"/>
      <c r="QH627" s="259"/>
      <c r="QI627" s="259"/>
      <c r="QJ627" s="259"/>
      <c r="QK627" s="259"/>
      <c r="QL627" s="259"/>
      <c r="QM627" s="259"/>
      <c r="QN627" s="259"/>
      <c r="QO627" s="259"/>
      <c r="QP627" s="259"/>
      <c r="QQ627" s="259"/>
      <c r="QR627" s="259"/>
      <c r="QS627" s="259"/>
      <c r="QT627" s="259"/>
      <c r="QU627" s="259"/>
      <c r="QV627" s="259"/>
      <c r="QW627" s="259"/>
      <c r="QX627" s="259"/>
      <c r="QY627" s="259"/>
      <c r="QZ627" s="259"/>
      <c r="RA627" s="259"/>
      <c r="RB627" s="259"/>
      <c r="RC627" s="259"/>
      <c r="RD627" s="259"/>
      <c r="RE627" s="259"/>
      <c r="RF627" s="259"/>
      <c r="RG627" s="259"/>
      <c r="RH627" s="259"/>
      <c r="RI627" s="259"/>
      <c r="RJ627" s="259"/>
      <c r="RK627" s="259"/>
      <c r="RL627" s="259"/>
      <c r="RM627" s="259"/>
      <c r="RN627" s="259"/>
      <c r="RO627" s="259"/>
      <c r="RP627" s="259"/>
      <c r="RQ627" s="259"/>
      <c r="RR627" s="259"/>
      <c r="RS627" s="259"/>
      <c r="RT627" s="259"/>
      <c r="RU627" s="259"/>
      <c r="RV627" s="259"/>
      <c r="RW627" s="259"/>
      <c r="RX627" s="259"/>
      <c r="RY627" s="259"/>
      <c r="RZ627" s="259"/>
      <c r="SA627" s="259"/>
      <c r="SB627" s="259"/>
      <c r="SC627" s="259"/>
      <c r="SD627" s="259"/>
      <c r="SE627" s="259"/>
      <c r="SF627" s="259"/>
      <c r="SG627" s="259"/>
      <c r="SH627" s="259"/>
      <c r="SI627" s="259"/>
      <c r="SJ627" s="259"/>
      <c r="SK627" s="259"/>
      <c r="SL627" s="259"/>
      <c r="SM627" s="259"/>
      <c r="SN627" s="259"/>
      <c r="SO627" s="259"/>
      <c r="SP627" s="259"/>
      <c r="SQ627" s="259"/>
      <c r="SR627" s="259"/>
      <c r="SS627" s="259"/>
      <c r="ST627" s="259"/>
      <c r="SU627" s="259"/>
      <c r="SV627" s="259"/>
      <c r="SW627" s="259"/>
      <c r="SX627" s="259"/>
      <c r="SY627" s="259"/>
      <c r="SZ627" s="259"/>
      <c r="TA627" s="259"/>
      <c r="TB627" s="259"/>
      <c r="TC627" s="259"/>
      <c r="TD627" s="259"/>
      <c r="TE627" s="259"/>
      <c r="TF627" s="259"/>
      <c r="TG627" s="259"/>
      <c r="TH627" s="259"/>
      <c r="TI627" s="259"/>
      <c r="TJ627" s="259"/>
      <c r="TK627" s="259"/>
      <c r="TL627" s="259"/>
      <c r="TM627" s="259"/>
      <c r="TN627" s="259"/>
      <c r="TO627" s="259"/>
      <c r="TP627" s="259"/>
      <c r="TQ627" s="259"/>
      <c r="TR627" s="259"/>
      <c r="TS627" s="259"/>
      <c r="TT627" s="259"/>
      <c r="TU627" s="259"/>
      <c r="TV627" s="259"/>
      <c r="TW627" s="259"/>
      <c r="TX627" s="259"/>
      <c r="TY627" s="259"/>
      <c r="TZ627" s="259"/>
      <c r="UA627" s="259"/>
      <c r="UB627" s="259"/>
      <c r="UC627" s="259"/>
      <c r="UD627" s="259"/>
      <c r="UE627" s="259"/>
      <c r="UF627" s="259"/>
      <c r="UG627" s="259"/>
      <c r="UH627" s="259"/>
      <c r="UI627" s="259"/>
    </row>
    <row r="628" spans="1:555" ht="65.25" customHeight="1">
      <c r="A628" s="88">
        <v>403</v>
      </c>
      <c r="B628" s="75" t="s">
        <v>4259</v>
      </c>
      <c r="C628" s="76">
        <v>70256023</v>
      </c>
      <c r="D628" s="441" t="s">
        <v>4260</v>
      </c>
      <c r="E628" s="77">
        <v>42768</v>
      </c>
      <c r="F628" s="78">
        <v>42767</v>
      </c>
      <c r="G628" s="79" t="s">
        <v>4261</v>
      </c>
      <c r="H628" s="75" t="s">
        <v>5</v>
      </c>
      <c r="I628" s="75" t="s">
        <v>79</v>
      </c>
      <c r="J628" s="77"/>
      <c r="K628" s="78"/>
      <c r="L628" s="79"/>
      <c r="M628" s="75"/>
      <c r="N628" s="75"/>
      <c r="O628" s="77"/>
      <c r="P628" s="80"/>
      <c r="Q628" s="79"/>
      <c r="R628" s="75"/>
      <c r="S628" s="75"/>
      <c r="T628" s="77"/>
      <c r="U628" s="78"/>
      <c r="V628" s="79"/>
      <c r="W628" s="75"/>
      <c r="X628" s="75"/>
      <c r="Y628" s="77"/>
      <c r="Z628" s="78"/>
      <c r="AA628" s="79"/>
      <c r="AB628" s="75"/>
      <c r="AC628" s="75"/>
      <c r="AD628" s="77"/>
      <c r="AE628" s="78"/>
      <c r="AF628" s="79"/>
      <c r="AG628" s="75"/>
      <c r="AH628" s="75"/>
      <c r="AI628" s="102"/>
      <c r="AJ628" s="78"/>
      <c r="AK628" s="79"/>
      <c r="AL628" s="75"/>
      <c r="AM628" s="75"/>
      <c r="AN628" s="75" t="s">
        <v>4262</v>
      </c>
      <c r="AO628" s="479">
        <v>42768</v>
      </c>
      <c r="AP628" s="75"/>
      <c r="AQ628" s="79" t="s">
        <v>4263</v>
      </c>
      <c r="AR628" s="75" t="s">
        <v>161</v>
      </c>
      <c r="AS628" s="77" t="s">
        <v>579</v>
      </c>
      <c r="AT628" s="77" t="s">
        <v>579</v>
      </c>
      <c r="AU628" s="75" t="s">
        <v>4264</v>
      </c>
      <c r="AV628" s="75"/>
      <c r="AW628" s="75" t="s">
        <v>69</v>
      </c>
      <c r="AX628" s="75" t="s">
        <v>4265</v>
      </c>
      <c r="AY628" s="77">
        <v>41831</v>
      </c>
      <c r="AZ628" s="75" t="s">
        <v>409</v>
      </c>
      <c r="BA628" s="77">
        <v>42691</v>
      </c>
      <c r="BB628" s="382">
        <v>42706</v>
      </c>
      <c r="BC628" s="75" t="s">
        <v>95</v>
      </c>
      <c r="BD628" s="75" t="s">
        <v>566</v>
      </c>
      <c r="BE628" s="75"/>
      <c r="BF628" s="79"/>
      <c r="BG628" s="79"/>
      <c r="BH628" s="79"/>
      <c r="BI628" s="79"/>
      <c r="BJ628" s="74">
        <f>+[172]MATRIZ!$J$85</f>
        <v>0</v>
      </c>
      <c r="BK628" s="82"/>
      <c r="BL628" s="83"/>
      <c r="BM628" s="77"/>
      <c r="BN628" s="78"/>
      <c r="BO628" s="464"/>
      <c r="BP628" s="400"/>
      <c r="BQ628" s="75"/>
      <c r="BR628" s="85"/>
      <c r="BS628" s="79"/>
      <c r="BT628" s="79"/>
      <c r="BU628" s="79"/>
      <c r="BV628" s="79"/>
      <c r="BW628" s="86"/>
      <c r="BX628" s="81"/>
      <c r="BY628" s="77"/>
      <c r="BZ628" s="87"/>
    </row>
    <row r="629" spans="1:555" ht="73.5" customHeight="1">
      <c r="A629" s="33">
        <v>404</v>
      </c>
      <c r="B629" s="34" t="s">
        <v>4266</v>
      </c>
      <c r="C629" s="35">
        <v>3102638</v>
      </c>
      <c r="D629" s="440" t="s">
        <v>906</v>
      </c>
      <c r="E629" s="37">
        <v>42772</v>
      </c>
      <c r="F629" s="38">
        <v>42736</v>
      </c>
      <c r="G629" s="39" t="s">
        <v>4267</v>
      </c>
      <c r="H629" s="34" t="s">
        <v>171</v>
      </c>
      <c r="I629" s="34" t="s">
        <v>1544</v>
      </c>
      <c r="J629" s="37">
        <v>42768</v>
      </c>
      <c r="K629" s="38">
        <v>42767</v>
      </c>
      <c r="L629" s="39" t="s">
        <v>4268</v>
      </c>
      <c r="M629" s="34" t="s">
        <v>1493</v>
      </c>
      <c r="N629" s="34" t="s">
        <v>183</v>
      </c>
      <c r="O629" s="37">
        <v>43032</v>
      </c>
      <c r="P629" s="40">
        <v>43009</v>
      </c>
      <c r="Q629" s="39" t="s">
        <v>4269</v>
      </c>
      <c r="R629" s="34" t="s">
        <v>171</v>
      </c>
      <c r="S629" s="34" t="s">
        <v>777</v>
      </c>
      <c r="T629" s="37">
        <v>41891</v>
      </c>
      <c r="U629" s="38">
        <v>42979</v>
      </c>
      <c r="V629" s="39" t="s">
        <v>4270</v>
      </c>
      <c r="W629" s="34" t="s">
        <v>171</v>
      </c>
      <c r="X629" s="34" t="s">
        <v>4220</v>
      </c>
      <c r="Y629" s="37">
        <v>42569</v>
      </c>
      <c r="Z629" s="38">
        <v>42552</v>
      </c>
      <c r="AA629" s="39" t="s">
        <v>4271</v>
      </c>
      <c r="AB629" s="34" t="s">
        <v>171</v>
      </c>
      <c r="AC629" s="34" t="s">
        <v>3423</v>
      </c>
      <c r="AD629" s="37" t="s">
        <v>4272</v>
      </c>
      <c r="AE629" s="38" t="s">
        <v>4273</v>
      </c>
      <c r="AF629" s="39" t="s">
        <v>4274</v>
      </c>
      <c r="AG629" s="34" t="s">
        <v>4275</v>
      </c>
      <c r="AH629" s="34" t="s">
        <v>4276</v>
      </c>
      <c r="AI629" s="37">
        <v>44609</v>
      </c>
      <c r="AJ629" s="38">
        <v>44593</v>
      </c>
      <c r="AK629" s="959" t="s">
        <v>10755</v>
      </c>
      <c r="AL629" s="34" t="s">
        <v>5</v>
      </c>
      <c r="AM629" s="34" t="s">
        <v>10688</v>
      </c>
      <c r="AN629" s="34" t="s">
        <v>3671</v>
      </c>
      <c r="AO629" s="479"/>
      <c r="AP629" s="34"/>
      <c r="AQ629" s="39" t="s">
        <v>8146</v>
      </c>
      <c r="AR629" s="34" t="s">
        <v>161</v>
      </c>
      <c r="AS629" s="37" t="s">
        <v>67</v>
      </c>
      <c r="AT629" s="37" t="s">
        <v>67</v>
      </c>
      <c r="AU629" s="34" t="s">
        <v>8473</v>
      </c>
      <c r="AV629" s="34"/>
      <c r="AW629" s="34" t="s">
        <v>69</v>
      </c>
      <c r="AX629" s="34" t="s">
        <v>4277</v>
      </c>
      <c r="AY629" s="37">
        <v>42200</v>
      </c>
      <c r="AZ629" s="34" t="s">
        <v>94</v>
      </c>
      <c r="BA629" s="37">
        <v>42717</v>
      </c>
      <c r="BB629" s="382">
        <v>42754</v>
      </c>
      <c r="BC629" s="42" t="s">
        <v>912</v>
      </c>
      <c r="BD629" s="42"/>
      <c r="BE629" s="34"/>
      <c r="BF629" s="39" t="s">
        <v>4278</v>
      </c>
      <c r="BG629" s="39"/>
      <c r="BH629" s="39"/>
      <c r="BI629" s="39"/>
      <c r="BJ629" s="74">
        <f>+[173]MATRIZ!$J$74</f>
        <v>14656265.901186351</v>
      </c>
      <c r="BK629" s="74"/>
      <c r="BL629" s="44"/>
      <c r="BM629" s="37"/>
      <c r="BN629" s="38"/>
      <c r="BO629" s="462"/>
      <c r="BP629" s="391"/>
      <c r="BQ629" s="34"/>
      <c r="BR629" s="42"/>
      <c r="BS629" s="39"/>
      <c r="BT629" s="39"/>
      <c r="BU629" s="39"/>
      <c r="BV629" s="39"/>
      <c r="BW629" s="51"/>
      <c r="BX629" s="41"/>
      <c r="BY629" s="37"/>
      <c r="BZ629" s="52"/>
    </row>
    <row r="630" spans="1:555" ht="90.75" customHeight="1">
      <c r="A630" s="88">
        <v>405</v>
      </c>
      <c r="B630" s="75" t="s">
        <v>4279</v>
      </c>
      <c r="C630" s="76">
        <v>91878431</v>
      </c>
      <c r="D630" s="441" t="s">
        <v>167</v>
      </c>
      <c r="E630" s="77">
        <v>42772</v>
      </c>
      <c r="F630" s="78">
        <v>42767</v>
      </c>
      <c r="G630" s="79" t="s">
        <v>4280</v>
      </c>
      <c r="H630" s="75" t="s">
        <v>1974</v>
      </c>
      <c r="I630" s="75" t="s">
        <v>183</v>
      </c>
      <c r="J630" s="77">
        <v>42795</v>
      </c>
      <c r="K630" s="78">
        <v>42795</v>
      </c>
      <c r="L630" s="79" t="s">
        <v>4281</v>
      </c>
      <c r="M630" s="75" t="s">
        <v>1974</v>
      </c>
      <c r="N630" s="75" t="s">
        <v>183</v>
      </c>
      <c r="O630" s="77">
        <v>42831</v>
      </c>
      <c r="P630" s="80">
        <v>42826</v>
      </c>
      <c r="Q630" s="79" t="s">
        <v>4282</v>
      </c>
      <c r="R630" s="75" t="s">
        <v>5</v>
      </c>
      <c r="S630" s="75" t="s">
        <v>101</v>
      </c>
      <c r="T630" s="77">
        <v>43157</v>
      </c>
      <c r="U630" s="78">
        <v>43132</v>
      </c>
      <c r="V630" s="79" t="s">
        <v>4283</v>
      </c>
      <c r="W630" s="75" t="s">
        <v>208</v>
      </c>
      <c r="X630" s="75" t="s">
        <v>107</v>
      </c>
      <c r="Y630" s="77">
        <v>43630</v>
      </c>
      <c r="Z630" s="78">
        <v>43630</v>
      </c>
      <c r="AA630" s="79" t="s">
        <v>8871</v>
      </c>
      <c r="AB630" s="75" t="s">
        <v>208</v>
      </c>
      <c r="AC630" s="75" t="s">
        <v>8190</v>
      </c>
      <c r="AD630" s="77"/>
      <c r="AE630" s="78"/>
      <c r="AF630" s="79"/>
      <c r="AG630" s="75"/>
      <c r="AH630" s="75"/>
      <c r="AI630" s="102"/>
      <c r="AJ630" s="78"/>
      <c r="AK630" s="79"/>
      <c r="AL630" s="75"/>
      <c r="AM630" s="75"/>
      <c r="AN630" s="75" t="s">
        <v>4284</v>
      </c>
      <c r="AO630" s="479">
        <v>42831</v>
      </c>
      <c r="AP630" s="75"/>
      <c r="AQ630" s="79" t="s">
        <v>4285</v>
      </c>
      <c r="AR630" s="75" t="s">
        <v>161</v>
      </c>
      <c r="AS630" s="77">
        <v>39052</v>
      </c>
      <c r="AT630" s="77">
        <v>40633</v>
      </c>
      <c r="AU630" s="75" t="s">
        <v>8872</v>
      </c>
      <c r="AV630" s="75"/>
      <c r="AW630" s="75" t="s">
        <v>92</v>
      </c>
      <c r="AX630" s="75" t="s">
        <v>94</v>
      </c>
      <c r="AY630" s="77">
        <v>41600</v>
      </c>
      <c r="AZ630" s="75" t="s">
        <v>576</v>
      </c>
      <c r="BA630" s="77">
        <v>42691</v>
      </c>
      <c r="BB630" s="382">
        <v>42767</v>
      </c>
      <c r="BC630" s="75" t="s">
        <v>95</v>
      </c>
      <c r="BD630" s="75" t="s">
        <v>566</v>
      </c>
      <c r="BE630" s="75"/>
      <c r="BF630" s="79" t="s">
        <v>4286</v>
      </c>
      <c r="BG630" s="79"/>
      <c r="BH630" s="79"/>
      <c r="BI630" s="79"/>
      <c r="BJ630" s="74">
        <f>+[174]MATRIZ!$J$69</f>
        <v>0</v>
      </c>
      <c r="BK630" s="82"/>
      <c r="BL630" s="83"/>
      <c r="BM630" s="77"/>
      <c r="BN630" s="78"/>
      <c r="BO630" s="464"/>
      <c r="BP630" s="400"/>
      <c r="BQ630" s="75"/>
      <c r="BR630" s="85"/>
      <c r="BS630" s="79"/>
      <c r="BT630" s="79"/>
      <c r="BU630" s="79"/>
      <c r="BV630" s="79"/>
      <c r="BW630" s="86"/>
      <c r="BX630" s="81"/>
      <c r="BY630" s="77"/>
      <c r="BZ630" s="87"/>
    </row>
    <row r="631" spans="1:555" ht="121.5">
      <c r="A631" s="57">
        <v>406</v>
      </c>
      <c r="B631" s="58" t="s">
        <v>4287</v>
      </c>
      <c r="C631" s="59">
        <v>80470899</v>
      </c>
      <c r="D631" s="170" t="s">
        <v>906</v>
      </c>
      <c r="E631" s="60">
        <v>42772</v>
      </c>
      <c r="F631" s="61">
        <v>42767</v>
      </c>
      <c r="G631" s="62" t="s">
        <v>4288</v>
      </c>
      <c r="H631" s="58" t="s">
        <v>625</v>
      </c>
      <c r="I631" s="58" t="s">
        <v>183</v>
      </c>
      <c r="J631" s="60">
        <v>42776</v>
      </c>
      <c r="K631" s="61">
        <v>42767</v>
      </c>
      <c r="L631" s="62" t="s">
        <v>4289</v>
      </c>
      <c r="M631" s="58" t="s">
        <v>625</v>
      </c>
      <c r="N631" s="58" t="s">
        <v>3423</v>
      </c>
      <c r="O631" s="60">
        <v>42874</v>
      </c>
      <c r="P631" s="63">
        <v>42856</v>
      </c>
      <c r="Q631" s="62" t="s">
        <v>4290</v>
      </c>
      <c r="R631" s="58" t="s">
        <v>5</v>
      </c>
      <c r="S631" s="58" t="s">
        <v>79</v>
      </c>
      <c r="T631" s="60">
        <v>41984</v>
      </c>
      <c r="U631" s="61">
        <v>41974</v>
      </c>
      <c r="V631" s="62" t="s">
        <v>4291</v>
      </c>
      <c r="W631" s="58" t="s">
        <v>195</v>
      </c>
      <c r="X631" s="58" t="s">
        <v>4292</v>
      </c>
      <c r="Y631" s="60">
        <v>42060</v>
      </c>
      <c r="Z631" s="61">
        <v>42036</v>
      </c>
      <c r="AA631" s="62" t="s">
        <v>4293</v>
      </c>
      <c r="AB631" s="58" t="s">
        <v>195</v>
      </c>
      <c r="AC631" s="58" t="s">
        <v>4074</v>
      </c>
      <c r="AD631" s="60" t="s">
        <v>4294</v>
      </c>
      <c r="AE631" s="61" t="s">
        <v>4295</v>
      </c>
      <c r="AF631" s="62" t="s">
        <v>4296</v>
      </c>
      <c r="AG631" s="58" t="s">
        <v>364</v>
      </c>
      <c r="AH631" s="58" t="s">
        <v>4297</v>
      </c>
      <c r="AI631" s="117"/>
      <c r="AJ631" s="61"/>
      <c r="AK631" s="62"/>
      <c r="AL631" s="58"/>
      <c r="AM631" s="58"/>
      <c r="AN631" s="58" t="s">
        <v>4298</v>
      </c>
      <c r="AO631" s="478"/>
      <c r="AP631" s="58"/>
      <c r="AQ631" s="62" t="s">
        <v>8147</v>
      </c>
      <c r="AR631" s="58" t="s">
        <v>161</v>
      </c>
      <c r="AS631" s="60">
        <v>35575</v>
      </c>
      <c r="AT631" s="60">
        <v>40908</v>
      </c>
      <c r="AU631" s="58" t="s">
        <v>4299</v>
      </c>
      <c r="AV631" s="58"/>
      <c r="AW631" s="58" t="s">
        <v>69</v>
      </c>
      <c r="AX631" s="58" t="s">
        <v>3616</v>
      </c>
      <c r="AY631" s="60">
        <v>42391</v>
      </c>
      <c r="AZ631" s="58" t="s">
        <v>94</v>
      </c>
      <c r="BA631" s="60">
        <v>42697</v>
      </c>
      <c r="BB631" s="382">
        <v>42754</v>
      </c>
      <c r="BC631" s="70" t="s">
        <v>912</v>
      </c>
      <c r="BD631" s="70" t="s">
        <v>1792</v>
      </c>
      <c r="BE631" s="58"/>
      <c r="BF631" s="62" t="s">
        <v>4300</v>
      </c>
      <c r="BG631" s="62"/>
      <c r="BH631" s="62"/>
      <c r="BI631" s="62"/>
      <c r="BJ631" s="74">
        <f>+[175]MATRIZ!$J$55</f>
        <v>0</v>
      </c>
      <c r="BK631" s="67"/>
      <c r="BL631" s="68"/>
      <c r="BM631" s="60"/>
      <c r="BN631" s="61"/>
      <c r="BO631" s="463"/>
      <c r="BP631" s="122"/>
      <c r="BQ631" s="58"/>
      <c r="BR631" s="70"/>
      <c r="BS631" s="62"/>
      <c r="BT631" s="62"/>
      <c r="BU631" s="62"/>
      <c r="BV631" s="62"/>
      <c r="BW631" s="71"/>
      <c r="BX631" s="66"/>
      <c r="BY631" s="60"/>
      <c r="BZ631" s="72"/>
    </row>
    <row r="632" spans="1:555" ht="162">
      <c r="A632" s="88">
        <v>407</v>
      </c>
      <c r="B632" s="75" t="s">
        <v>4301</v>
      </c>
      <c r="C632" s="76">
        <v>79900517</v>
      </c>
      <c r="D632" s="441" t="s">
        <v>167</v>
      </c>
      <c r="E632" s="77">
        <v>42772</v>
      </c>
      <c r="F632" s="78">
        <v>42767</v>
      </c>
      <c r="G632" s="79" t="s">
        <v>4302</v>
      </c>
      <c r="H632" s="75" t="s">
        <v>625</v>
      </c>
      <c r="I632" s="75" t="s">
        <v>183</v>
      </c>
      <c r="J632" s="77">
        <v>42811</v>
      </c>
      <c r="K632" s="78">
        <v>42795</v>
      </c>
      <c r="L632" s="79" t="s">
        <v>4303</v>
      </c>
      <c r="M632" s="75" t="s">
        <v>625</v>
      </c>
      <c r="N632" s="75" t="s">
        <v>183</v>
      </c>
      <c r="O632" s="77">
        <v>42831</v>
      </c>
      <c r="P632" s="80">
        <v>42826</v>
      </c>
      <c r="Q632" s="79" t="s">
        <v>4304</v>
      </c>
      <c r="R632" s="75" t="s">
        <v>5</v>
      </c>
      <c r="S632" s="75" t="s">
        <v>101</v>
      </c>
      <c r="T632" s="77">
        <v>42412</v>
      </c>
      <c r="U632" s="78">
        <v>42412</v>
      </c>
      <c r="V632" s="79" t="s">
        <v>4305</v>
      </c>
      <c r="W632" s="75" t="s">
        <v>171</v>
      </c>
      <c r="X632" s="75" t="s">
        <v>777</v>
      </c>
      <c r="Y632" s="77">
        <v>42471</v>
      </c>
      <c r="Z632" s="78">
        <v>42471</v>
      </c>
      <c r="AA632" s="79" t="s">
        <v>4306</v>
      </c>
      <c r="AB632" s="75" t="s">
        <v>171</v>
      </c>
      <c r="AC632" s="75" t="s">
        <v>777</v>
      </c>
      <c r="AD632" s="77" t="s">
        <v>4307</v>
      </c>
      <c r="AE632" s="78" t="s">
        <v>4308</v>
      </c>
      <c r="AF632" s="79" t="s">
        <v>4309</v>
      </c>
      <c r="AG632" s="75" t="s">
        <v>4310</v>
      </c>
      <c r="AH632" s="75" t="s">
        <v>4311</v>
      </c>
      <c r="AI632" s="102"/>
      <c r="AJ632" s="78"/>
      <c r="AK632" s="79"/>
      <c r="AL632" s="75"/>
      <c r="AM632" s="75"/>
      <c r="AN632" s="75" t="s">
        <v>4312</v>
      </c>
      <c r="AO632" s="479">
        <v>42831</v>
      </c>
      <c r="AP632" s="75"/>
      <c r="AQ632" s="79" t="s">
        <v>4313</v>
      </c>
      <c r="AR632" s="75" t="s">
        <v>161</v>
      </c>
      <c r="AS632" s="77">
        <v>38545</v>
      </c>
      <c r="AT632" s="77">
        <v>40724</v>
      </c>
      <c r="AU632" s="75" t="s">
        <v>4314</v>
      </c>
      <c r="AV632" s="75"/>
      <c r="AW632" s="75" t="s">
        <v>69</v>
      </c>
      <c r="AX632" s="75" t="s">
        <v>4315</v>
      </c>
      <c r="AY632" s="77">
        <v>42411</v>
      </c>
      <c r="AZ632" s="75" t="s">
        <v>94</v>
      </c>
      <c r="BA632" s="77">
        <v>42677</v>
      </c>
      <c r="BB632" s="382">
        <v>42762</v>
      </c>
      <c r="BC632" s="75" t="s">
        <v>95</v>
      </c>
      <c r="BD632" s="75" t="s">
        <v>566</v>
      </c>
      <c r="BE632" s="75"/>
      <c r="BF632" s="79" t="s">
        <v>4316</v>
      </c>
      <c r="BG632" s="79"/>
      <c r="BH632" s="79"/>
      <c r="BI632" s="79"/>
      <c r="BJ632" s="74">
        <f>+[176]MATRIZ!$J$72</f>
        <v>0</v>
      </c>
      <c r="BK632" s="82"/>
      <c r="BL632" s="83"/>
      <c r="BM632" s="77"/>
      <c r="BN632" s="78"/>
      <c r="BO632" s="464"/>
      <c r="BP632" s="400"/>
      <c r="BQ632" s="75"/>
      <c r="BR632" s="85"/>
      <c r="BS632" s="79"/>
      <c r="BT632" s="79"/>
      <c r="BU632" s="79"/>
      <c r="BV632" s="79"/>
      <c r="BW632" s="86"/>
      <c r="BX632" s="81"/>
      <c r="BY632" s="77"/>
      <c r="BZ632" s="87"/>
    </row>
    <row r="633" spans="1:555" ht="270">
      <c r="A633" s="123">
        <v>409</v>
      </c>
      <c r="B633" s="105" t="s">
        <v>4321</v>
      </c>
      <c r="C633" s="124">
        <v>9431399</v>
      </c>
      <c r="D633" s="437" t="s">
        <v>4322</v>
      </c>
      <c r="E633" s="106">
        <v>42773</v>
      </c>
      <c r="F633" s="107">
        <v>42767</v>
      </c>
      <c r="G633" s="108" t="s">
        <v>4323</v>
      </c>
      <c r="H633" s="105" t="s">
        <v>1974</v>
      </c>
      <c r="I633" s="105" t="s">
        <v>183</v>
      </c>
      <c r="J633" s="106">
        <v>42808</v>
      </c>
      <c r="K633" s="107">
        <v>42795</v>
      </c>
      <c r="L633" s="108" t="s">
        <v>4324</v>
      </c>
      <c r="M633" s="105" t="s">
        <v>1974</v>
      </c>
      <c r="N633" s="105" t="s">
        <v>4325</v>
      </c>
      <c r="O633" s="106">
        <v>42809</v>
      </c>
      <c r="P633" s="109">
        <v>42795</v>
      </c>
      <c r="Q633" s="108" t="s">
        <v>4326</v>
      </c>
      <c r="R633" s="105" t="s">
        <v>5</v>
      </c>
      <c r="S633" s="105" t="s">
        <v>101</v>
      </c>
      <c r="T633" s="106">
        <v>42879</v>
      </c>
      <c r="U633" s="107">
        <v>42856</v>
      </c>
      <c r="V633" s="108" t="s">
        <v>4327</v>
      </c>
      <c r="W633" s="105" t="s">
        <v>625</v>
      </c>
      <c r="X633" s="105" t="s">
        <v>4328</v>
      </c>
      <c r="Y633" s="106">
        <v>42977</v>
      </c>
      <c r="Z633" s="107">
        <v>42948</v>
      </c>
      <c r="AA633" s="108" t="s">
        <v>4329</v>
      </c>
      <c r="AB633" s="105" t="s">
        <v>625</v>
      </c>
      <c r="AC633" s="105" t="s">
        <v>4330</v>
      </c>
      <c r="AD633" s="106" t="s">
        <v>9027</v>
      </c>
      <c r="AE633" s="107" t="s">
        <v>9028</v>
      </c>
      <c r="AF633" s="108" t="s">
        <v>9026</v>
      </c>
      <c r="AG633" s="105" t="s">
        <v>9029</v>
      </c>
      <c r="AH633" s="105" t="s">
        <v>9030</v>
      </c>
      <c r="AI633" s="106" t="s">
        <v>10638</v>
      </c>
      <c r="AJ633" s="107" t="s">
        <v>9042</v>
      </c>
      <c r="AK633" s="108" t="s">
        <v>10636</v>
      </c>
      <c r="AL633" s="105" t="s">
        <v>10637</v>
      </c>
      <c r="AM633" s="105" t="s">
        <v>8900</v>
      </c>
      <c r="AN633" s="105" t="s">
        <v>4331</v>
      </c>
      <c r="AO633" s="479">
        <v>42900</v>
      </c>
      <c r="AP633" s="105" t="s">
        <v>2558</v>
      </c>
      <c r="AQ633" s="108" t="s">
        <v>4332</v>
      </c>
      <c r="AR633" s="105" t="s">
        <v>161</v>
      </c>
      <c r="AS633" s="106">
        <v>39417</v>
      </c>
      <c r="AT633" s="106">
        <v>40534</v>
      </c>
      <c r="AU633" s="105" t="s">
        <v>7290</v>
      </c>
      <c r="AV633" s="105"/>
      <c r="AW633" s="105" t="s">
        <v>92</v>
      </c>
      <c r="AX633" s="105" t="s">
        <v>94</v>
      </c>
      <c r="AY633" s="106">
        <v>41774</v>
      </c>
      <c r="AZ633" s="105" t="s">
        <v>576</v>
      </c>
      <c r="BA633" s="106">
        <v>42754</v>
      </c>
      <c r="BB633" s="382">
        <v>42774</v>
      </c>
      <c r="BC633" s="105" t="s">
        <v>95</v>
      </c>
      <c r="BD633" s="105" t="s">
        <v>566</v>
      </c>
      <c r="BE633" s="105"/>
      <c r="BF633" s="108"/>
      <c r="BG633" s="108" t="s">
        <v>4333</v>
      </c>
      <c r="BH633" s="108"/>
      <c r="BI633" s="108"/>
      <c r="BJ633" s="74">
        <f>+[177]MATRIZ!$J$62</f>
        <v>0</v>
      </c>
      <c r="BK633" s="111"/>
      <c r="BL633" s="112"/>
      <c r="BM633" s="106"/>
      <c r="BN633" s="107"/>
      <c r="BO633" s="466"/>
      <c r="BP633" s="401"/>
      <c r="BQ633" s="105"/>
      <c r="BR633" s="113"/>
      <c r="BS633" s="108"/>
      <c r="BT633" s="108"/>
      <c r="BU633" s="108"/>
      <c r="BV633" s="108"/>
      <c r="BW633" s="114"/>
      <c r="BX633" s="115"/>
      <c r="BY633" s="106"/>
      <c r="BZ633" s="116"/>
    </row>
    <row r="634" spans="1:555" s="259" customFormat="1" ht="75.75" customHeight="1">
      <c r="A634" s="57">
        <v>431</v>
      </c>
      <c r="B634" s="58" t="s">
        <v>1744</v>
      </c>
      <c r="C634" s="59">
        <v>80398730</v>
      </c>
      <c r="D634" s="170" t="s">
        <v>667</v>
      </c>
      <c r="E634" s="60">
        <v>42774</v>
      </c>
      <c r="F634" s="61">
        <v>42767</v>
      </c>
      <c r="G634" s="62" t="s">
        <v>4387</v>
      </c>
      <c r="H634" s="58" t="s">
        <v>4388</v>
      </c>
      <c r="I634" s="58" t="s">
        <v>3423</v>
      </c>
      <c r="J634" s="60">
        <v>43089</v>
      </c>
      <c r="K634" s="61">
        <v>43070</v>
      </c>
      <c r="L634" s="62" t="s">
        <v>4389</v>
      </c>
      <c r="M634" s="58" t="s">
        <v>63</v>
      </c>
      <c r="N634" s="58" t="s">
        <v>3658</v>
      </c>
      <c r="O634" s="60">
        <v>43151</v>
      </c>
      <c r="P634" s="63">
        <v>43132</v>
      </c>
      <c r="Q634" s="62" t="s">
        <v>4390</v>
      </c>
      <c r="R634" s="58" t="s">
        <v>63</v>
      </c>
      <c r="S634" s="58" t="s">
        <v>107</v>
      </c>
      <c r="T634" s="60">
        <v>43150</v>
      </c>
      <c r="U634" s="61">
        <v>43132</v>
      </c>
      <c r="V634" s="62" t="s">
        <v>1142</v>
      </c>
      <c r="W634" s="58" t="s">
        <v>63</v>
      </c>
      <c r="X634" s="58" t="s">
        <v>107</v>
      </c>
      <c r="Y634" s="60">
        <v>43151</v>
      </c>
      <c r="Z634" s="61">
        <v>43132</v>
      </c>
      <c r="AA634" s="62" t="s">
        <v>4390</v>
      </c>
      <c r="AB634" s="58" t="s">
        <v>63</v>
      </c>
      <c r="AC634" s="58" t="s">
        <v>85</v>
      </c>
      <c r="AD634" s="60">
        <v>43222</v>
      </c>
      <c r="AE634" s="61">
        <v>43221</v>
      </c>
      <c r="AF634" s="62" t="s">
        <v>4391</v>
      </c>
      <c r="AG634" s="58" t="s">
        <v>63</v>
      </c>
      <c r="AH634" s="58" t="s">
        <v>2080</v>
      </c>
      <c r="AI634" s="60" t="s">
        <v>9747</v>
      </c>
      <c r="AJ634" s="61" t="s">
        <v>9748</v>
      </c>
      <c r="AK634" s="425" t="s">
        <v>9749</v>
      </c>
      <c r="AL634" s="58" t="s">
        <v>3943</v>
      </c>
      <c r="AM634" s="58" t="s">
        <v>9750</v>
      </c>
      <c r="AN634" s="58" t="s">
        <v>2099</v>
      </c>
      <c r="AO634" s="478"/>
      <c r="AP634" s="119" t="s">
        <v>2558</v>
      </c>
      <c r="AQ634" s="62" t="s">
        <v>4393</v>
      </c>
      <c r="AR634" s="58" t="s">
        <v>161</v>
      </c>
      <c r="AS634" s="60">
        <v>37366</v>
      </c>
      <c r="AT634" s="60">
        <v>39794</v>
      </c>
      <c r="AU634" s="58" t="s">
        <v>4394</v>
      </c>
      <c r="AV634" s="58"/>
      <c r="AW634" s="58" t="s">
        <v>92</v>
      </c>
      <c r="AX634" s="58" t="s">
        <v>3663</v>
      </c>
      <c r="AY634" s="60">
        <v>41355</v>
      </c>
      <c r="AZ634" s="58" t="s">
        <v>94</v>
      </c>
      <c r="BA634" s="60">
        <v>42699</v>
      </c>
      <c r="BB634" s="382">
        <v>42759</v>
      </c>
      <c r="BC634" s="58" t="s">
        <v>95</v>
      </c>
      <c r="BD634" s="58" t="s">
        <v>566</v>
      </c>
      <c r="BE634" s="58"/>
      <c r="BF634" s="62" t="s">
        <v>4395</v>
      </c>
      <c r="BG634" s="62"/>
      <c r="BH634" s="62"/>
      <c r="BI634" s="62"/>
      <c r="BJ634" s="138">
        <f>+[178]MATRIZ!$J$60</f>
        <v>0</v>
      </c>
      <c r="BK634" s="67"/>
      <c r="BL634" s="68"/>
      <c r="BM634" s="60"/>
      <c r="BN634" s="61"/>
      <c r="BO634" s="463"/>
      <c r="BP634" s="122"/>
      <c r="BQ634" s="58"/>
      <c r="BR634" s="70"/>
      <c r="BS634" s="62"/>
      <c r="BT634" s="62"/>
      <c r="BU634" s="62"/>
      <c r="BV634" s="62"/>
      <c r="BW634" s="71"/>
      <c r="BX634" s="66"/>
      <c r="BY634" s="60"/>
      <c r="BZ634" s="72"/>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c r="JW634" s="1"/>
      <c r="JX634" s="1"/>
      <c r="JY634" s="1"/>
      <c r="JZ634" s="1"/>
      <c r="KA634" s="1"/>
      <c r="KB634" s="1"/>
      <c r="KC634" s="1"/>
      <c r="KD634" s="1"/>
      <c r="KE634" s="1"/>
      <c r="KF634" s="1"/>
      <c r="KG634" s="1"/>
      <c r="KH634" s="1"/>
      <c r="KI634" s="1"/>
      <c r="KJ634" s="1"/>
      <c r="KK634" s="1"/>
      <c r="KL634" s="1"/>
      <c r="KM634" s="1"/>
      <c r="KN634" s="1"/>
      <c r="KO634" s="1"/>
      <c r="KP634" s="1"/>
      <c r="KQ634" s="1"/>
      <c r="KR634" s="1"/>
      <c r="KS634" s="1"/>
      <c r="KT634" s="1"/>
      <c r="KU634" s="1"/>
      <c r="KV634" s="1"/>
      <c r="KW634" s="1"/>
      <c r="KX634" s="1"/>
      <c r="KY634" s="1"/>
      <c r="KZ634" s="1"/>
      <c r="LA634" s="1"/>
      <c r="LB634" s="1"/>
      <c r="LC634" s="1"/>
      <c r="LD634" s="1"/>
      <c r="LE634" s="1"/>
      <c r="LF634" s="1"/>
      <c r="LG634" s="1"/>
      <c r="LH634" s="1"/>
      <c r="LI634" s="1"/>
      <c r="LJ634" s="1"/>
      <c r="LK634" s="1"/>
      <c r="LL634" s="1"/>
      <c r="LM634" s="1"/>
      <c r="LN634" s="1"/>
      <c r="LO634" s="1"/>
      <c r="LP634" s="1"/>
      <c r="LQ634" s="1"/>
      <c r="LR634" s="1"/>
      <c r="LS634" s="1"/>
      <c r="LT634" s="1"/>
      <c r="LU634" s="1"/>
      <c r="LV634" s="1"/>
      <c r="LW634" s="1"/>
      <c r="LX634" s="1"/>
      <c r="LY634" s="1"/>
      <c r="LZ634" s="1"/>
      <c r="MA634" s="1"/>
      <c r="MB634" s="1"/>
      <c r="MC634" s="1"/>
      <c r="MD634" s="1"/>
      <c r="ME634" s="1"/>
      <c r="MF634" s="1"/>
      <c r="MG634" s="1"/>
      <c r="MH634" s="1"/>
      <c r="MI634" s="1"/>
      <c r="MJ634" s="1"/>
      <c r="MK634" s="1"/>
      <c r="ML634" s="1"/>
      <c r="MM634" s="1"/>
      <c r="MN634" s="1"/>
      <c r="MO634" s="1"/>
      <c r="MP634" s="1"/>
      <c r="MQ634" s="1"/>
      <c r="MR634" s="1"/>
      <c r="MS634" s="1"/>
      <c r="MT634" s="1"/>
      <c r="MU634" s="1"/>
      <c r="MV634" s="1"/>
      <c r="MW634" s="1"/>
      <c r="MX634" s="1"/>
      <c r="MY634" s="1"/>
      <c r="MZ634" s="1"/>
      <c r="NA634" s="1"/>
      <c r="NB634" s="1"/>
      <c r="NC634" s="1"/>
      <c r="ND634" s="1"/>
      <c r="NE634" s="1"/>
      <c r="NF634" s="1"/>
      <c r="NG634" s="1"/>
      <c r="NH634" s="1"/>
      <c r="NI634" s="1"/>
      <c r="NJ634" s="1"/>
      <c r="NK634" s="1"/>
      <c r="NL634" s="1"/>
      <c r="NM634" s="1"/>
      <c r="NN634" s="1"/>
      <c r="NO634" s="1"/>
      <c r="NP634" s="1"/>
      <c r="NQ634" s="1"/>
      <c r="NR634" s="1"/>
      <c r="NS634" s="1"/>
      <c r="NT634" s="1"/>
      <c r="NU634" s="1"/>
      <c r="NV634" s="1"/>
      <c r="NW634" s="1"/>
      <c r="NX634" s="1"/>
      <c r="NY634" s="1"/>
      <c r="NZ634" s="1"/>
      <c r="OA634" s="1"/>
      <c r="OB634" s="1"/>
      <c r="OC634" s="1"/>
      <c r="OD634" s="1"/>
      <c r="OE634" s="1"/>
      <c r="OF634" s="1"/>
      <c r="OG634" s="1"/>
      <c r="OH634" s="1"/>
      <c r="OI634" s="1"/>
      <c r="OJ634" s="1"/>
      <c r="OK634" s="1"/>
      <c r="OL634" s="1"/>
      <c r="OM634" s="1"/>
      <c r="ON634" s="1"/>
      <c r="OO634" s="1"/>
      <c r="OP634" s="1"/>
      <c r="OQ634" s="1"/>
      <c r="OR634" s="1"/>
      <c r="OS634" s="1"/>
      <c r="OT634" s="1"/>
      <c r="OU634" s="1"/>
      <c r="OV634" s="1"/>
      <c r="OW634" s="1"/>
      <c r="OX634" s="1"/>
      <c r="OY634" s="1"/>
      <c r="OZ634" s="1"/>
      <c r="PA634" s="1"/>
      <c r="PB634" s="1"/>
      <c r="PC634" s="1"/>
      <c r="PD634" s="1"/>
      <c r="PE634" s="1"/>
      <c r="PF634" s="1"/>
      <c r="PG634" s="1"/>
      <c r="PH634" s="1"/>
      <c r="PI634" s="1"/>
      <c r="PJ634" s="1"/>
      <c r="PK634" s="1"/>
      <c r="PL634" s="1"/>
      <c r="PM634" s="1"/>
      <c r="PN634" s="1"/>
      <c r="PO634" s="1"/>
      <c r="PP634" s="1"/>
      <c r="PQ634" s="1"/>
      <c r="PR634" s="1"/>
      <c r="PS634" s="1"/>
      <c r="PT634" s="1"/>
      <c r="PU634" s="1"/>
      <c r="PV634" s="1"/>
      <c r="PW634" s="1"/>
      <c r="PX634" s="1"/>
      <c r="PY634" s="1"/>
      <c r="PZ634" s="1"/>
      <c r="QA634" s="1"/>
      <c r="QB634" s="1"/>
      <c r="QC634" s="1"/>
      <c r="QD634" s="1"/>
      <c r="QE634" s="1"/>
      <c r="QF634" s="1"/>
      <c r="QG634" s="1"/>
      <c r="QH634" s="1"/>
      <c r="QI634" s="1"/>
      <c r="QJ634" s="1"/>
      <c r="QK634" s="1"/>
      <c r="QL634" s="1"/>
      <c r="QM634" s="1"/>
      <c r="QN634" s="1"/>
      <c r="QO634" s="1"/>
      <c r="QP634" s="1"/>
      <c r="QQ634" s="1"/>
      <c r="QR634" s="1"/>
      <c r="QS634" s="1"/>
      <c r="QT634" s="1"/>
      <c r="QU634" s="1"/>
      <c r="QV634" s="1"/>
      <c r="QW634" s="1"/>
      <c r="QX634" s="1"/>
      <c r="QY634" s="1"/>
      <c r="QZ634" s="1"/>
      <c r="RA634" s="1"/>
      <c r="RB634" s="1"/>
      <c r="RC634" s="1"/>
      <c r="RD634" s="1"/>
      <c r="RE634" s="1"/>
      <c r="RF634" s="1"/>
      <c r="RG634" s="1"/>
      <c r="RH634" s="1"/>
      <c r="RI634" s="1"/>
      <c r="RJ634" s="1"/>
      <c r="RK634" s="1"/>
      <c r="RL634" s="1"/>
      <c r="RM634" s="1"/>
      <c r="RN634" s="1"/>
      <c r="RO634" s="1"/>
      <c r="RP634" s="1"/>
      <c r="RQ634" s="1"/>
      <c r="RR634" s="1"/>
      <c r="RS634" s="1"/>
      <c r="RT634" s="1"/>
      <c r="RU634" s="1"/>
      <c r="RV634" s="1"/>
      <c r="RW634" s="1"/>
      <c r="RX634" s="1"/>
      <c r="RY634" s="1"/>
      <c r="RZ634" s="1"/>
      <c r="SA634" s="1"/>
      <c r="SB634" s="1"/>
      <c r="SC634" s="1"/>
      <c r="SD634" s="1"/>
      <c r="SE634" s="1"/>
      <c r="SF634" s="1"/>
      <c r="SG634" s="1"/>
      <c r="SH634" s="1"/>
      <c r="SI634" s="1"/>
      <c r="SJ634" s="1"/>
      <c r="SK634" s="1"/>
      <c r="SL634" s="1"/>
      <c r="SM634" s="1"/>
      <c r="SN634" s="1"/>
      <c r="SO634" s="1"/>
      <c r="SP634" s="1"/>
      <c r="SQ634" s="1"/>
      <c r="SR634" s="1"/>
      <c r="SS634" s="1"/>
      <c r="ST634" s="1"/>
      <c r="SU634" s="1"/>
      <c r="SV634" s="1"/>
      <c r="SW634" s="1"/>
      <c r="SX634" s="1"/>
      <c r="SY634" s="1"/>
      <c r="SZ634" s="1"/>
      <c r="TA634" s="1"/>
      <c r="TB634" s="1"/>
      <c r="TC634" s="1"/>
      <c r="TD634" s="1"/>
      <c r="TE634" s="1"/>
      <c r="TF634" s="1"/>
      <c r="TG634" s="1"/>
      <c r="TH634" s="1"/>
      <c r="TI634" s="1"/>
      <c r="TJ634" s="1"/>
      <c r="TK634" s="1"/>
      <c r="TL634" s="1"/>
      <c r="TM634" s="1"/>
      <c r="TN634" s="1"/>
      <c r="TO634" s="1"/>
      <c r="TP634" s="1"/>
      <c r="TQ634" s="1"/>
      <c r="TR634" s="1"/>
      <c r="TS634" s="1"/>
      <c r="TT634" s="1"/>
      <c r="TU634" s="1"/>
      <c r="TV634" s="1"/>
      <c r="TW634" s="1"/>
      <c r="TX634" s="1"/>
      <c r="TY634" s="1"/>
      <c r="TZ634" s="1"/>
      <c r="UA634" s="1"/>
      <c r="UB634" s="1"/>
      <c r="UC634" s="1"/>
      <c r="UD634" s="1"/>
      <c r="UE634" s="1"/>
      <c r="UF634" s="1"/>
      <c r="UG634" s="1"/>
      <c r="UH634" s="1"/>
      <c r="UI634" s="1"/>
    </row>
    <row r="635" spans="1:555" ht="94.5">
      <c r="A635" s="57">
        <v>445</v>
      </c>
      <c r="B635" s="58" t="s">
        <v>4423</v>
      </c>
      <c r="C635" s="59">
        <v>79574885</v>
      </c>
      <c r="D635" s="170" t="s">
        <v>597</v>
      </c>
      <c r="E635" s="60">
        <v>42780</v>
      </c>
      <c r="F635" s="61">
        <v>42767</v>
      </c>
      <c r="G635" s="62" t="s">
        <v>4424</v>
      </c>
      <c r="H635" s="58" t="s">
        <v>625</v>
      </c>
      <c r="I635" s="58" t="s">
        <v>183</v>
      </c>
      <c r="J635" s="60">
        <v>42787</v>
      </c>
      <c r="K635" s="61">
        <v>42767</v>
      </c>
      <c r="L635" s="62" t="s">
        <v>4425</v>
      </c>
      <c r="M635" s="58" t="s">
        <v>625</v>
      </c>
      <c r="N635" s="58" t="s">
        <v>183</v>
      </c>
      <c r="O635" s="60">
        <v>42172</v>
      </c>
      <c r="P635" s="63">
        <v>42156</v>
      </c>
      <c r="Q635" s="62" t="s">
        <v>4426</v>
      </c>
      <c r="R635" s="58" t="s">
        <v>195</v>
      </c>
      <c r="S635" s="58" t="s">
        <v>1864</v>
      </c>
      <c r="T635" s="60">
        <v>42228</v>
      </c>
      <c r="U635" s="61">
        <v>42217</v>
      </c>
      <c r="V635" s="62" t="s">
        <v>4427</v>
      </c>
      <c r="W635" s="58" t="s">
        <v>171</v>
      </c>
      <c r="X635" s="58" t="s">
        <v>4428</v>
      </c>
      <c r="Y635" s="60">
        <v>42278</v>
      </c>
      <c r="Z635" s="61">
        <v>42278</v>
      </c>
      <c r="AA635" s="62" t="s">
        <v>4429</v>
      </c>
      <c r="AB635" s="58" t="s">
        <v>1997</v>
      </c>
      <c r="AC635" s="58" t="s">
        <v>4430</v>
      </c>
      <c r="AD635" s="60">
        <v>42871</v>
      </c>
      <c r="AE635" s="61">
        <v>42856</v>
      </c>
      <c r="AF635" s="62" t="s">
        <v>4431</v>
      </c>
      <c r="AG635" s="58" t="s">
        <v>63</v>
      </c>
      <c r="AH635" s="58" t="s">
        <v>79</v>
      </c>
      <c r="AI635" s="60">
        <v>42887</v>
      </c>
      <c r="AJ635" s="61">
        <v>42887</v>
      </c>
      <c r="AK635" s="62" t="s">
        <v>4432</v>
      </c>
      <c r="AL635" s="58" t="s">
        <v>63</v>
      </c>
      <c r="AM635" s="58" t="s">
        <v>79</v>
      </c>
      <c r="AN635" s="58" t="s">
        <v>3671</v>
      </c>
      <c r="AO635" s="478"/>
      <c r="AP635" s="58"/>
      <c r="AQ635" s="62" t="s">
        <v>4433</v>
      </c>
      <c r="AR635" s="58" t="s">
        <v>161</v>
      </c>
      <c r="AS635" s="60">
        <v>38323</v>
      </c>
      <c r="AT635" s="60">
        <v>39303</v>
      </c>
      <c r="AU635" s="58" t="s">
        <v>4434</v>
      </c>
      <c r="AV635" s="58"/>
      <c r="AW635" s="58" t="s">
        <v>69</v>
      </c>
      <c r="AX635" s="58" t="s">
        <v>4315</v>
      </c>
      <c r="AY635" s="60">
        <v>42416</v>
      </c>
      <c r="AZ635" s="58" t="s">
        <v>2657</v>
      </c>
      <c r="BA635" s="60">
        <v>42628</v>
      </c>
      <c r="BB635" s="382">
        <v>42782</v>
      </c>
      <c r="BC635" s="58" t="s">
        <v>95</v>
      </c>
      <c r="BD635" s="58" t="s">
        <v>1792</v>
      </c>
      <c r="BE635" s="58"/>
      <c r="BF635" s="62" t="s">
        <v>7307</v>
      </c>
      <c r="BG635" s="62" t="s">
        <v>4435</v>
      </c>
      <c r="BH635" s="62"/>
      <c r="BI635" s="62"/>
      <c r="BJ635" s="74">
        <f>+[179]MATRIZ!$J$81</f>
        <v>0</v>
      </c>
      <c r="BK635" s="67"/>
      <c r="BL635" s="68"/>
      <c r="BM635" s="60"/>
      <c r="BN635" s="61"/>
      <c r="BO635" s="463"/>
      <c r="BP635" s="122"/>
      <c r="BQ635" s="58"/>
      <c r="BR635" s="70"/>
      <c r="BS635" s="62"/>
      <c r="BT635" s="62"/>
      <c r="BU635" s="62"/>
      <c r="BV635" s="62"/>
      <c r="BW635" s="71"/>
      <c r="BX635" s="66"/>
      <c r="BY635" s="60"/>
      <c r="BZ635" s="72"/>
    </row>
    <row r="636" spans="1:555" ht="94.5">
      <c r="A636" s="57">
        <v>446</v>
      </c>
      <c r="B636" s="58" t="s">
        <v>4436</v>
      </c>
      <c r="C636" s="59">
        <v>91427848</v>
      </c>
      <c r="D636" s="170" t="s">
        <v>167</v>
      </c>
      <c r="E636" s="60">
        <v>42780</v>
      </c>
      <c r="F636" s="61">
        <v>42767</v>
      </c>
      <c r="G636" s="62" t="s">
        <v>4437</v>
      </c>
      <c r="H636" s="58" t="s">
        <v>4438</v>
      </c>
      <c r="I636" s="58" t="s">
        <v>183</v>
      </c>
      <c r="J636" s="60">
        <v>42794</v>
      </c>
      <c r="K636" s="61">
        <v>42767</v>
      </c>
      <c r="L636" s="62" t="s">
        <v>4439</v>
      </c>
      <c r="M636" s="58" t="s">
        <v>195</v>
      </c>
      <c r="N636" s="58" t="s">
        <v>336</v>
      </c>
      <c r="O636" s="60">
        <v>42795</v>
      </c>
      <c r="P636" s="63">
        <v>42795</v>
      </c>
      <c r="Q636" s="62" t="s">
        <v>4440</v>
      </c>
      <c r="R636" s="58" t="s">
        <v>1974</v>
      </c>
      <c r="S636" s="58" t="s">
        <v>183</v>
      </c>
      <c r="T636" s="60">
        <v>42066</v>
      </c>
      <c r="U636" s="61">
        <v>42064</v>
      </c>
      <c r="V636" s="62" t="s">
        <v>4441</v>
      </c>
      <c r="W636" s="58" t="s">
        <v>576</v>
      </c>
      <c r="X636" s="58" t="s">
        <v>1854</v>
      </c>
      <c r="Y636" s="60">
        <v>42118</v>
      </c>
      <c r="Z636" s="61">
        <v>42095</v>
      </c>
      <c r="AA636" s="62" t="s">
        <v>4442</v>
      </c>
      <c r="AB636" s="58" t="s">
        <v>576</v>
      </c>
      <c r="AC636" s="58" t="s">
        <v>582</v>
      </c>
      <c r="AD636" s="60" t="s">
        <v>4443</v>
      </c>
      <c r="AE636" s="61" t="s">
        <v>4444</v>
      </c>
      <c r="AF636" s="62" t="s">
        <v>4445</v>
      </c>
      <c r="AG636" s="58" t="s">
        <v>4446</v>
      </c>
      <c r="AH636" s="58" t="s">
        <v>4447</v>
      </c>
      <c r="AI636" s="60" t="s">
        <v>9570</v>
      </c>
      <c r="AJ636" s="61" t="s">
        <v>9571</v>
      </c>
      <c r="AK636" s="62" t="s">
        <v>9569</v>
      </c>
      <c r="AL636" s="58" t="s">
        <v>3574</v>
      </c>
      <c r="AM636" s="58" t="s">
        <v>9572</v>
      </c>
      <c r="AN636" s="58" t="s">
        <v>3671</v>
      </c>
      <c r="AO636" s="478"/>
      <c r="AP636" s="58"/>
      <c r="AQ636" s="62" t="s">
        <v>4448</v>
      </c>
      <c r="AR636" s="58" t="s">
        <v>161</v>
      </c>
      <c r="AS636" s="60">
        <v>37956</v>
      </c>
      <c r="AT636" s="60">
        <v>40713</v>
      </c>
      <c r="AU636" s="58" t="s">
        <v>4449</v>
      </c>
      <c r="AV636" s="58"/>
      <c r="AW636" s="58" t="s">
        <v>92</v>
      </c>
      <c r="AX636" s="58" t="s">
        <v>627</v>
      </c>
      <c r="AY636" s="60">
        <v>41570</v>
      </c>
      <c r="AZ636" s="58" t="s">
        <v>576</v>
      </c>
      <c r="BA636" s="60">
        <v>42762</v>
      </c>
      <c r="BB636" s="382">
        <v>42781</v>
      </c>
      <c r="BC636" s="58" t="s">
        <v>95</v>
      </c>
      <c r="BD636" s="58" t="s">
        <v>566</v>
      </c>
      <c r="BE636" s="58"/>
      <c r="BF636" s="62" t="s">
        <v>4450</v>
      </c>
      <c r="BG636" s="62"/>
      <c r="BH636" s="62"/>
      <c r="BI636" s="62"/>
      <c r="BJ636" s="74">
        <f>+[180]MATRIZ!$J$90</f>
        <v>0</v>
      </c>
      <c r="BK636" s="67"/>
      <c r="BL636" s="68"/>
      <c r="BM636" s="60"/>
      <c r="BN636" s="61"/>
      <c r="BO636" s="463"/>
      <c r="BP636" s="122"/>
      <c r="BQ636" s="58"/>
      <c r="BR636" s="70"/>
      <c r="BS636" s="62"/>
      <c r="BT636" s="62"/>
      <c r="BU636" s="62"/>
      <c r="BV636" s="62"/>
      <c r="BW636" s="71"/>
      <c r="BX636" s="66"/>
      <c r="BY636" s="60"/>
      <c r="BZ636" s="72"/>
    </row>
    <row r="637" spans="1:555" s="259" customFormat="1" ht="62.25" customHeight="1">
      <c r="A637" s="502">
        <v>447</v>
      </c>
      <c r="B637" s="686" t="s">
        <v>4383</v>
      </c>
      <c r="C637" s="687">
        <v>19485247</v>
      </c>
      <c r="D637" s="688" t="s">
        <v>906</v>
      </c>
      <c r="E637" s="27">
        <v>42780</v>
      </c>
      <c r="F637" s="689">
        <v>42767</v>
      </c>
      <c r="G637" s="690" t="s">
        <v>4451</v>
      </c>
      <c r="H637" s="686" t="s">
        <v>625</v>
      </c>
      <c r="I637" s="686" t="s">
        <v>183</v>
      </c>
      <c r="J637" s="27">
        <v>42793</v>
      </c>
      <c r="K637" s="689">
        <v>42767</v>
      </c>
      <c r="L637" s="690" t="s">
        <v>4452</v>
      </c>
      <c r="M637" s="686" t="s">
        <v>195</v>
      </c>
      <c r="N637" s="686" t="s">
        <v>183</v>
      </c>
      <c r="O637" s="27">
        <v>42853</v>
      </c>
      <c r="P637" s="691">
        <v>42826</v>
      </c>
      <c r="Q637" s="690" t="s">
        <v>4453</v>
      </c>
      <c r="R637" s="686" t="s">
        <v>1493</v>
      </c>
      <c r="S637" s="686" t="s">
        <v>183</v>
      </c>
      <c r="T637" s="27">
        <v>42965</v>
      </c>
      <c r="U637" s="689">
        <v>42948</v>
      </c>
      <c r="V637" s="690" t="s">
        <v>4454</v>
      </c>
      <c r="W637" s="686" t="s">
        <v>5</v>
      </c>
      <c r="X637" s="686" t="s">
        <v>3510</v>
      </c>
      <c r="Y637" s="27">
        <v>43885</v>
      </c>
      <c r="Z637" s="689">
        <v>43885</v>
      </c>
      <c r="AA637" s="690" t="s">
        <v>9475</v>
      </c>
      <c r="AB637" s="686" t="s">
        <v>208</v>
      </c>
      <c r="AC637" s="686" t="s">
        <v>8243</v>
      </c>
      <c r="AD637" s="27"/>
      <c r="AE637" s="689"/>
      <c r="AF637" s="690"/>
      <c r="AG637" s="686"/>
      <c r="AH637" s="686"/>
      <c r="AI637" s="704"/>
      <c r="AJ637" s="689"/>
      <c r="AK637" s="690"/>
      <c r="AL637" s="686"/>
      <c r="AM637" s="686"/>
      <c r="AN637" s="686" t="s">
        <v>3671</v>
      </c>
      <c r="AO637" s="705"/>
      <c r="AP637" s="686"/>
      <c r="AQ637" s="690" t="s">
        <v>4455</v>
      </c>
      <c r="AR637" s="686" t="s">
        <v>161</v>
      </c>
      <c r="AS637" s="27">
        <v>40488</v>
      </c>
      <c r="AT637" s="27">
        <v>40908</v>
      </c>
      <c r="AU637" s="686" t="s">
        <v>4456</v>
      </c>
      <c r="AV637" s="686"/>
      <c r="AW637" s="686" t="s">
        <v>69</v>
      </c>
      <c r="AX637" s="686" t="s">
        <v>4457</v>
      </c>
      <c r="AY637" s="27">
        <v>42177</v>
      </c>
      <c r="AZ637" s="686" t="s">
        <v>4458</v>
      </c>
      <c r="BA637" s="27">
        <v>42767</v>
      </c>
      <c r="BB637" s="27">
        <v>42781</v>
      </c>
      <c r="BC637" s="701" t="s">
        <v>912</v>
      </c>
      <c r="BD637" s="701" t="s">
        <v>4604</v>
      </c>
      <c r="BE637" s="686"/>
      <c r="BF637" s="690"/>
      <c r="BG637" s="690"/>
      <c r="BH637" s="690"/>
      <c r="BI637" s="690"/>
      <c r="BJ637" s="803">
        <f>+[181]MATRIZ!$J$53</f>
        <v>0</v>
      </c>
      <c r="BK637" s="696"/>
      <c r="BL637" s="697"/>
      <c r="BM637" s="27"/>
      <c r="BN637" s="689"/>
      <c r="BO637" s="699"/>
      <c r="BP637" s="700"/>
      <c r="BQ637" s="686"/>
      <c r="BR637" s="701"/>
      <c r="BS637" s="690"/>
      <c r="BT637" s="690"/>
      <c r="BU637" s="690"/>
      <c r="BV637" s="690"/>
      <c r="BW637" s="702"/>
      <c r="BX637" s="693"/>
      <c r="BY637" s="27"/>
      <c r="BZ637" s="703"/>
    </row>
    <row r="638" spans="1:555" ht="27">
      <c r="A638" s="729">
        <v>448</v>
      </c>
      <c r="B638" s="381" t="s">
        <v>4459</v>
      </c>
      <c r="C638" s="730"/>
      <c r="D638" s="746"/>
      <c r="E638" s="382"/>
      <c r="F638" s="379"/>
      <c r="G638" s="745"/>
      <c r="H638" s="745"/>
      <c r="I638" s="745"/>
      <c r="J638" s="382"/>
      <c r="K638" s="379"/>
      <c r="L638" s="745"/>
      <c r="M638" s="745"/>
      <c r="N638" s="745"/>
      <c r="O638" s="382"/>
      <c r="P638" s="379"/>
      <c r="Q638" s="745"/>
      <c r="R638" s="745"/>
      <c r="S638" s="381"/>
      <c r="T638" s="382"/>
      <c r="U638" s="379"/>
      <c r="V638" s="383"/>
      <c r="W638" s="381"/>
      <c r="X638" s="381"/>
      <c r="Y638" s="382"/>
      <c r="Z638" s="379"/>
      <c r="AA638" s="383"/>
      <c r="AB638" s="381"/>
      <c r="AC638" s="381"/>
      <c r="AD638" s="382"/>
      <c r="AE638" s="379"/>
      <c r="AF638" s="383"/>
      <c r="AG638" s="381"/>
      <c r="AH638" s="381"/>
      <c r="AI638" s="745"/>
      <c r="AJ638" s="379"/>
      <c r="AK638" s="383"/>
      <c r="AL638" s="381"/>
      <c r="AM638" s="381"/>
      <c r="AN638" s="736"/>
      <c r="AO638" s="736"/>
      <c r="AP638" s="745"/>
      <c r="AQ638" s="745"/>
      <c r="AR638" s="745"/>
      <c r="AS638" s="382"/>
      <c r="AT638" s="382"/>
      <c r="AU638" s="745"/>
      <c r="AV638" s="745"/>
      <c r="AW638" s="745"/>
      <c r="AX638" s="745"/>
      <c r="AY638" s="382"/>
      <c r="AZ638" s="745"/>
      <c r="BA638" s="382"/>
      <c r="BB638" s="382"/>
      <c r="BC638" s="745"/>
      <c r="BD638" s="381"/>
      <c r="BE638" s="381"/>
      <c r="BF638" s="383"/>
      <c r="BG638" s="383"/>
      <c r="BH638" s="383"/>
      <c r="BI638" s="383"/>
      <c r="BJ638" s="866"/>
      <c r="BK638" s="737"/>
      <c r="BL638" s="738"/>
      <c r="BM638" s="382"/>
      <c r="BN638" s="379"/>
      <c r="BO638" s="740"/>
      <c r="BP638" s="741"/>
      <c r="BQ638" s="381"/>
      <c r="BR638" s="742"/>
      <c r="BS638" s="383"/>
      <c r="BT638" s="383"/>
      <c r="BU638" s="383"/>
      <c r="BV638" s="383"/>
      <c r="BW638" s="743"/>
      <c r="BX638" s="733"/>
      <c r="BY638" s="382"/>
      <c r="BZ638" s="744"/>
      <c r="CA638" s="685"/>
      <c r="CB638" s="685"/>
      <c r="CC638" s="685"/>
      <c r="CD638" s="685"/>
      <c r="CE638" s="685"/>
      <c r="CF638" s="685"/>
      <c r="CG638" s="685"/>
      <c r="CH638" s="685"/>
      <c r="CI638" s="685"/>
      <c r="CJ638" s="685"/>
      <c r="CK638" s="685"/>
      <c r="CL638" s="685"/>
      <c r="CM638" s="685"/>
      <c r="CN638" s="685"/>
      <c r="CO638" s="685"/>
      <c r="CP638" s="685"/>
      <c r="CQ638" s="685"/>
      <c r="CR638" s="685"/>
      <c r="CS638" s="685"/>
      <c r="CT638" s="685"/>
      <c r="CU638" s="685"/>
      <c r="CV638" s="685"/>
      <c r="CW638" s="685"/>
      <c r="CX638" s="685"/>
      <c r="CY638" s="685"/>
      <c r="CZ638" s="685"/>
      <c r="DA638" s="685"/>
      <c r="DB638" s="685"/>
      <c r="DC638" s="685"/>
      <c r="DD638" s="685"/>
      <c r="DE638" s="685"/>
      <c r="DF638" s="685"/>
      <c r="DG638" s="685"/>
      <c r="DH638" s="685"/>
      <c r="DI638" s="685"/>
      <c r="DJ638" s="685"/>
      <c r="DK638" s="685"/>
      <c r="DL638" s="685"/>
      <c r="DM638" s="685"/>
      <c r="DN638" s="685"/>
      <c r="DO638" s="685"/>
      <c r="DP638" s="685"/>
      <c r="DQ638" s="685"/>
      <c r="DR638" s="685"/>
      <c r="DS638" s="685"/>
      <c r="DT638" s="685"/>
      <c r="DU638" s="685"/>
      <c r="DV638" s="685"/>
      <c r="DW638" s="685"/>
      <c r="DX638" s="685"/>
      <c r="DY638" s="685"/>
      <c r="DZ638" s="685"/>
      <c r="EA638" s="685"/>
      <c r="EB638" s="685"/>
      <c r="EC638" s="685"/>
      <c r="ED638" s="685"/>
      <c r="EE638" s="685"/>
      <c r="EF638" s="685"/>
      <c r="EG638" s="685"/>
      <c r="EH638" s="685"/>
      <c r="EI638" s="685"/>
      <c r="EJ638" s="685"/>
      <c r="EK638" s="685"/>
      <c r="EL638" s="685"/>
      <c r="EM638" s="685"/>
      <c r="EN638" s="685"/>
      <c r="EO638" s="685"/>
      <c r="EP638" s="685"/>
      <c r="EQ638" s="685"/>
      <c r="ER638" s="685"/>
      <c r="ES638" s="685"/>
      <c r="ET638" s="685"/>
      <c r="EU638" s="685"/>
      <c r="EV638" s="685"/>
      <c r="EW638" s="685"/>
      <c r="EX638" s="685"/>
      <c r="EY638" s="685"/>
      <c r="EZ638" s="685"/>
      <c r="FA638" s="685"/>
      <c r="FB638" s="685"/>
      <c r="FC638" s="685"/>
      <c r="FD638" s="685"/>
      <c r="FE638" s="685"/>
      <c r="FF638" s="685"/>
      <c r="FG638" s="685"/>
      <c r="FH638" s="685"/>
      <c r="FI638" s="685"/>
      <c r="FJ638" s="685"/>
      <c r="FK638" s="685"/>
      <c r="FL638" s="685"/>
      <c r="FM638" s="685"/>
      <c r="FN638" s="685"/>
      <c r="FO638" s="685"/>
      <c r="FP638" s="685"/>
      <c r="FQ638" s="685"/>
      <c r="FR638" s="685"/>
      <c r="FS638" s="685"/>
      <c r="FT638" s="685"/>
      <c r="FU638" s="685"/>
      <c r="FV638" s="685"/>
      <c r="FW638" s="685"/>
      <c r="FX638" s="685"/>
      <c r="FY638" s="685"/>
      <c r="FZ638" s="685"/>
      <c r="GA638" s="685"/>
      <c r="GB638" s="685"/>
      <c r="GC638" s="685"/>
      <c r="GD638" s="685"/>
      <c r="GE638" s="685"/>
      <c r="GF638" s="685"/>
      <c r="GG638" s="685"/>
      <c r="GH638" s="685"/>
      <c r="GI638" s="685"/>
      <c r="GJ638" s="685"/>
      <c r="GK638" s="685"/>
      <c r="GL638" s="685"/>
      <c r="GM638" s="685"/>
      <c r="GN638" s="685"/>
      <c r="GO638" s="685"/>
      <c r="GP638" s="685"/>
      <c r="GQ638" s="685"/>
      <c r="GR638" s="685"/>
      <c r="GS638" s="685"/>
      <c r="GT638" s="685"/>
      <c r="GU638" s="685"/>
      <c r="GV638" s="685"/>
      <c r="GW638" s="685"/>
      <c r="GX638" s="685"/>
      <c r="GY638" s="685"/>
      <c r="GZ638" s="685"/>
      <c r="HA638" s="685"/>
      <c r="HB638" s="685"/>
      <c r="HC638" s="685"/>
      <c r="HD638" s="685"/>
      <c r="HE638" s="685"/>
      <c r="HF638" s="685"/>
      <c r="HG638" s="685"/>
      <c r="HH638" s="685"/>
      <c r="HI638" s="685"/>
      <c r="HJ638" s="685"/>
      <c r="HK638" s="685"/>
      <c r="HL638" s="685"/>
      <c r="HM638" s="685"/>
      <c r="HN638" s="685"/>
      <c r="HO638" s="685"/>
      <c r="HP638" s="685"/>
      <c r="HQ638" s="685"/>
      <c r="HR638" s="685"/>
      <c r="HS638" s="685"/>
      <c r="HT638" s="685"/>
      <c r="HU638" s="685"/>
      <c r="HV638" s="685"/>
      <c r="HW638" s="685"/>
      <c r="HX638" s="685"/>
      <c r="HY638" s="685"/>
      <c r="HZ638" s="685"/>
      <c r="IA638" s="685"/>
      <c r="IB638" s="685"/>
      <c r="IC638" s="685"/>
      <c r="ID638" s="685"/>
      <c r="IE638" s="685"/>
      <c r="IF638" s="685"/>
      <c r="IG638" s="685"/>
      <c r="IH638" s="685"/>
      <c r="II638" s="685"/>
      <c r="IJ638" s="685"/>
      <c r="IK638" s="685"/>
      <c r="IL638" s="685"/>
      <c r="IM638" s="685"/>
      <c r="IN638" s="685"/>
      <c r="IO638" s="685"/>
      <c r="IP638" s="685"/>
      <c r="IQ638" s="685"/>
      <c r="IR638" s="685"/>
      <c r="IS638" s="685"/>
      <c r="IT638" s="685"/>
      <c r="IU638" s="685"/>
      <c r="IV638" s="685"/>
      <c r="IW638" s="685"/>
      <c r="IX638" s="685"/>
      <c r="IY638" s="685"/>
      <c r="IZ638" s="685"/>
      <c r="JA638" s="685"/>
      <c r="JB638" s="685"/>
      <c r="JC638" s="685"/>
      <c r="JD638" s="685"/>
      <c r="JE638" s="685"/>
      <c r="JF638" s="685"/>
      <c r="JG638" s="685"/>
      <c r="JH638" s="685"/>
      <c r="JI638" s="685"/>
      <c r="JJ638" s="685"/>
      <c r="JK638" s="685"/>
      <c r="JL638" s="685"/>
      <c r="JM638" s="685"/>
      <c r="JN638" s="685"/>
      <c r="JO638" s="685"/>
      <c r="JP638" s="685"/>
      <c r="JQ638" s="685"/>
      <c r="JR638" s="685"/>
      <c r="JS638" s="685"/>
      <c r="JT638" s="685"/>
      <c r="JU638" s="685"/>
      <c r="JV638" s="685"/>
      <c r="JW638" s="685"/>
      <c r="JX638" s="685"/>
      <c r="JY638" s="685"/>
      <c r="JZ638" s="685"/>
      <c r="KA638" s="685"/>
      <c r="KB638" s="685"/>
      <c r="KC638" s="685"/>
      <c r="KD638" s="685"/>
      <c r="KE638" s="685"/>
      <c r="KF638" s="685"/>
      <c r="KG638" s="685"/>
      <c r="KH638" s="685"/>
      <c r="KI638" s="685"/>
      <c r="KJ638" s="685"/>
      <c r="KK638" s="685"/>
      <c r="KL638" s="685"/>
      <c r="KM638" s="685"/>
      <c r="KN638" s="685"/>
      <c r="KO638" s="685"/>
      <c r="KP638" s="685"/>
      <c r="KQ638" s="685"/>
      <c r="KR638" s="685"/>
      <c r="KS638" s="685"/>
      <c r="KT638" s="685"/>
      <c r="KU638" s="685"/>
      <c r="KV638" s="685"/>
      <c r="KW638" s="685"/>
      <c r="KX638" s="685"/>
      <c r="KY638" s="685"/>
      <c r="KZ638" s="685"/>
      <c r="LA638" s="685"/>
      <c r="LB638" s="685"/>
      <c r="LC638" s="685"/>
      <c r="LD638" s="685"/>
      <c r="LE638" s="685"/>
      <c r="LF638" s="685"/>
      <c r="LG638" s="685"/>
      <c r="LH638" s="685"/>
      <c r="LI638" s="685"/>
      <c r="LJ638" s="685"/>
      <c r="LK638" s="685"/>
      <c r="LL638" s="685"/>
      <c r="LM638" s="685"/>
      <c r="LN638" s="685"/>
      <c r="LO638" s="685"/>
      <c r="LP638" s="685"/>
      <c r="LQ638" s="685"/>
      <c r="LR638" s="685"/>
      <c r="LS638" s="685"/>
      <c r="LT638" s="685"/>
      <c r="LU638" s="685"/>
      <c r="LV638" s="685"/>
      <c r="LW638" s="685"/>
      <c r="LX638" s="685"/>
      <c r="LY638" s="685"/>
      <c r="LZ638" s="685"/>
      <c r="MA638" s="685"/>
      <c r="MB638" s="685"/>
      <c r="MC638" s="685"/>
      <c r="MD638" s="685"/>
      <c r="ME638" s="685"/>
      <c r="MF638" s="685"/>
      <c r="MG638" s="685"/>
      <c r="MH638" s="685"/>
      <c r="MI638" s="685"/>
      <c r="MJ638" s="685"/>
      <c r="MK638" s="685"/>
      <c r="ML638" s="685"/>
      <c r="MM638" s="685"/>
      <c r="MN638" s="685"/>
      <c r="MO638" s="685"/>
      <c r="MP638" s="685"/>
      <c r="MQ638" s="685"/>
      <c r="MR638" s="685"/>
      <c r="MS638" s="685"/>
      <c r="MT638" s="685"/>
      <c r="MU638" s="685"/>
      <c r="MV638" s="685"/>
      <c r="MW638" s="685"/>
      <c r="MX638" s="685"/>
      <c r="MY638" s="685"/>
      <c r="MZ638" s="685"/>
      <c r="NA638" s="685"/>
      <c r="NB638" s="685"/>
      <c r="NC638" s="685"/>
      <c r="ND638" s="685"/>
      <c r="NE638" s="685"/>
      <c r="NF638" s="685"/>
      <c r="NG638" s="685"/>
      <c r="NH638" s="685"/>
      <c r="NI638" s="685"/>
      <c r="NJ638" s="685"/>
      <c r="NK638" s="685"/>
      <c r="NL638" s="685"/>
      <c r="NM638" s="685"/>
      <c r="NN638" s="685"/>
      <c r="NO638" s="685"/>
      <c r="NP638" s="685"/>
      <c r="NQ638" s="685"/>
      <c r="NR638" s="685"/>
      <c r="NS638" s="685"/>
      <c r="NT638" s="685"/>
      <c r="NU638" s="685"/>
      <c r="NV638" s="685"/>
      <c r="NW638" s="685"/>
      <c r="NX638" s="685"/>
      <c r="NY638" s="685"/>
      <c r="NZ638" s="685"/>
      <c r="OA638" s="685"/>
      <c r="OB638" s="685"/>
      <c r="OC638" s="685"/>
      <c r="OD638" s="685"/>
      <c r="OE638" s="685"/>
      <c r="OF638" s="685"/>
      <c r="OG638" s="685"/>
      <c r="OH638" s="685"/>
      <c r="OI638" s="685"/>
      <c r="OJ638" s="685"/>
      <c r="OK638" s="685"/>
      <c r="OL638" s="685"/>
      <c r="OM638" s="685"/>
      <c r="ON638" s="685"/>
      <c r="OO638" s="685"/>
      <c r="OP638" s="685"/>
      <c r="OQ638" s="685"/>
      <c r="OR638" s="685"/>
      <c r="OS638" s="685"/>
      <c r="OT638" s="685"/>
      <c r="OU638" s="685"/>
      <c r="OV638" s="685"/>
      <c r="OW638" s="685"/>
      <c r="OX638" s="685"/>
      <c r="OY638" s="685"/>
      <c r="OZ638" s="685"/>
      <c r="PA638" s="685"/>
      <c r="PB638" s="685"/>
      <c r="PC638" s="685"/>
      <c r="PD638" s="685"/>
      <c r="PE638" s="685"/>
      <c r="PF638" s="685"/>
      <c r="PG638" s="685"/>
      <c r="PH638" s="685"/>
      <c r="PI638" s="685"/>
      <c r="PJ638" s="685"/>
      <c r="PK638" s="685"/>
      <c r="PL638" s="685"/>
      <c r="PM638" s="685"/>
      <c r="PN638" s="685"/>
      <c r="PO638" s="685"/>
      <c r="PP638" s="685"/>
      <c r="PQ638" s="685"/>
      <c r="PR638" s="685"/>
      <c r="PS638" s="685"/>
      <c r="PT638" s="685"/>
      <c r="PU638" s="685"/>
      <c r="PV638" s="685"/>
      <c r="PW638" s="685"/>
      <c r="PX638" s="685"/>
      <c r="PY638" s="685"/>
      <c r="PZ638" s="685"/>
      <c r="QA638" s="685"/>
      <c r="QB638" s="685"/>
      <c r="QC638" s="685"/>
      <c r="QD638" s="685"/>
      <c r="QE638" s="685"/>
      <c r="QF638" s="685"/>
      <c r="QG638" s="685"/>
      <c r="QH638" s="685"/>
      <c r="QI638" s="685"/>
      <c r="QJ638" s="685"/>
      <c r="QK638" s="685"/>
      <c r="QL638" s="685"/>
      <c r="QM638" s="685"/>
      <c r="QN638" s="685"/>
      <c r="QO638" s="685"/>
      <c r="QP638" s="685"/>
      <c r="QQ638" s="685"/>
      <c r="QR638" s="685"/>
      <c r="QS638" s="685"/>
      <c r="QT638" s="685"/>
      <c r="QU638" s="685"/>
      <c r="QV638" s="685"/>
      <c r="QW638" s="685"/>
      <c r="QX638" s="685"/>
      <c r="QY638" s="685"/>
      <c r="QZ638" s="685"/>
      <c r="RA638" s="685"/>
      <c r="RB638" s="685"/>
      <c r="RC638" s="685"/>
      <c r="RD638" s="685"/>
      <c r="RE638" s="685"/>
      <c r="RF638" s="685"/>
      <c r="RG638" s="685"/>
      <c r="RH638" s="685"/>
      <c r="RI638" s="685"/>
      <c r="RJ638" s="685"/>
      <c r="RK638" s="685"/>
      <c r="RL638" s="685"/>
      <c r="RM638" s="685"/>
      <c r="RN638" s="685"/>
      <c r="RO638" s="685"/>
      <c r="RP638" s="685"/>
      <c r="RQ638" s="685"/>
      <c r="RR638" s="685"/>
      <c r="RS638" s="685"/>
      <c r="RT638" s="685"/>
      <c r="RU638" s="685"/>
      <c r="RV638" s="685"/>
      <c r="RW638" s="685"/>
      <c r="RX638" s="685"/>
      <c r="RY638" s="685"/>
      <c r="RZ638" s="685"/>
      <c r="SA638" s="685"/>
      <c r="SB638" s="685"/>
      <c r="SC638" s="685"/>
      <c r="SD638" s="685"/>
      <c r="SE638" s="685"/>
      <c r="SF638" s="685"/>
      <c r="SG638" s="685"/>
      <c r="SH638" s="685"/>
      <c r="SI638" s="685"/>
      <c r="SJ638" s="685"/>
      <c r="SK638" s="685"/>
      <c r="SL638" s="685"/>
      <c r="SM638" s="685"/>
      <c r="SN638" s="685"/>
      <c r="SO638" s="685"/>
      <c r="SP638" s="685"/>
      <c r="SQ638" s="685"/>
      <c r="SR638" s="685"/>
      <c r="SS638" s="685"/>
      <c r="ST638" s="685"/>
      <c r="SU638" s="685"/>
      <c r="SV638" s="685"/>
      <c r="SW638" s="685"/>
      <c r="SX638" s="685"/>
      <c r="SY638" s="685"/>
      <c r="SZ638" s="685"/>
      <c r="TA638" s="685"/>
      <c r="TB638" s="685"/>
      <c r="TC638" s="685"/>
      <c r="TD638" s="685"/>
      <c r="TE638" s="685"/>
      <c r="TF638" s="685"/>
      <c r="TG638" s="685"/>
      <c r="TH638" s="685"/>
      <c r="TI638" s="685"/>
      <c r="TJ638" s="685"/>
      <c r="TK638" s="685"/>
      <c r="TL638" s="685"/>
      <c r="TM638" s="685"/>
      <c r="TN638" s="685"/>
      <c r="TO638" s="685"/>
      <c r="TP638" s="685"/>
      <c r="TQ638" s="685"/>
      <c r="TR638" s="685"/>
      <c r="TS638" s="685"/>
      <c r="TT638" s="685"/>
      <c r="TU638" s="685"/>
      <c r="TV638" s="685"/>
      <c r="TW638" s="685"/>
      <c r="TX638" s="685"/>
      <c r="TY638" s="685"/>
      <c r="TZ638" s="685"/>
      <c r="UA638" s="685"/>
      <c r="UB638" s="685"/>
      <c r="UC638" s="685"/>
      <c r="UD638" s="685"/>
      <c r="UE638" s="685"/>
      <c r="UF638" s="685"/>
      <c r="UG638" s="685"/>
      <c r="UH638" s="685"/>
      <c r="UI638" s="685"/>
    </row>
    <row r="639" spans="1:555" s="259" customFormat="1" ht="81">
      <c r="A639" s="57">
        <v>449</v>
      </c>
      <c r="B639" s="58" t="s">
        <v>4460</v>
      </c>
      <c r="C639" s="59">
        <v>79117388</v>
      </c>
      <c r="D639" s="170" t="s">
        <v>167</v>
      </c>
      <c r="E639" s="60">
        <v>42774</v>
      </c>
      <c r="F639" s="61">
        <v>42767</v>
      </c>
      <c r="G639" s="62" t="s">
        <v>4461</v>
      </c>
      <c r="H639" s="58" t="s">
        <v>625</v>
      </c>
      <c r="I639" s="58" t="s">
        <v>183</v>
      </c>
      <c r="J639" s="60">
        <v>42831</v>
      </c>
      <c r="K639" s="61">
        <v>42826</v>
      </c>
      <c r="L639" s="62" t="s">
        <v>4462</v>
      </c>
      <c r="M639" s="58" t="s">
        <v>5</v>
      </c>
      <c r="N639" s="58" t="s">
        <v>79</v>
      </c>
      <c r="O639" s="60"/>
      <c r="P639" s="63"/>
      <c r="Q639" s="62"/>
      <c r="R639" s="58"/>
      <c r="S639" s="58"/>
      <c r="T639" s="60"/>
      <c r="U639" s="61"/>
      <c r="V639" s="62"/>
      <c r="W639" s="58"/>
      <c r="X639" s="58"/>
      <c r="Y639" s="60"/>
      <c r="Z639" s="61"/>
      <c r="AA639" s="62"/>
      <c r="AB639" s="58"/>
      <c r="AC639" s="58"/>
      <c r="AD639" s="60"/>
      <c r="AE639" s="61"/>
      <c r="AF639" s="62"/>
      <c r="AG639" s="58"/>
      <c r="AH639" s="58"/>
      <c r="AI639" s="117"/>
      <c r="AJ639" s="61"/>
      <c r="AK639" s="62"/>
      <c r="AL639" s="58"/>
      <c r="AM639" s="58"/>
      <c r="AN639" s="58" t="s">
        <v>2099</v>
      </c>
      <c r="AO639" s="479">
        <v>42831</v>
      </c>
      <c r="AP639" s="119" t="s">
        <v>2558</v>
      </c>
      <c r="AQ639" s="62" t="s">
        <v>4463</v>
      </c>
      <c r="AR639" s="58" t="s">
        <v>161</v>
      </c>
      <c r="AS639" s="60">
        <v>37251</v>
      </c>
      <c r="AT639" s="60">
        <v>40694</v>
      </c>
      <c r="AU639" s="58" t="s">
        <v>4464</v>
      </c>
      <c r="AV639" s="58"/>
      <c r="AW639" s="58" t="s">
        <v>92</v>
      </c>
      <c r="AX639" s="58" t="s">
        <v>2992</v>
      </c>
      <c r="AY639" s="60">
        <v>41578</v>
      </c>
      <c r="AZ639" s="58" t="s">
        <v>2657</v>
      </c>
      <c r="BA639" s="60">
        <v>42704</v>
      </c>
      <c r="BB639" s="382">
        <v>42759</v>
      </c>
      <c r="BC639" s="58" t="s">
        <v>95</v>
      </c>
      <c r="BD639" s="58" t="s">
        <v>566</v>
      </c>
      <c r="BE639" s="58"/>
      <c r="BF639" s="62" t="s">
        <v>4465</v>
      </c>
      <c r="BG639" s="62"/>
      <c r="BH639" s="62"/>
      <c r="BI639" s="62"/>
      <c r="BJ639" s="138">
        <f>+[182]MATRIZ!$J$86</f>
        <v>0</v>
      </c>
      <c r="BK639" s="67"/>
      <c r="BL639" s="68"/>
      <c r="BM639" s="60"/>
      <c r="BN639" s="61"/>
      <c r="BO639" s="463"/>
      <c r="BP639" s="122"/>
      <c r="BQ639" s="58"/>
      <c r="BR639" s="70"/>
      <c r="BS639" s="62"/>
      <c r="BT639" s="62"/>
      <c r="BU639" s="62"/>
      <c r="BV639" s="62"/>
      <c r="BW639" s="71"/>
      <c r="BX639" s="66"/>
      <c r="BY639" s="60"/>
      <c r="BZ639" s="72"/>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c r="JW639" s="1"/>
      <c r="JX639" s="1"/>
      <c r="JY639" s="1"/>
      <c r="JZ639" s="1"/>
      <c r="KA639" s="1"/>
      <c r="KB639" s="1"/>
      <c r="KC639" s="1"/>
      <c r="KD639" s="1"/>
      <c r="KE639" s="1"/>
      <c r="KF639" s="1"/>
      <c r="KG639" s="1"/>
      <c r="KH639" s="1"/>
      <c r="KI639" s="1"/>
      <c r="KJ639" s="1"/>
      <c r="KK639" s="1"/>
      <c r="KL639" s="1"/>
      <c r="KM639" s="1"/>
      <c r="KN639" s="1"/>
      <c r="KO639" s="1"/>
      <c r="KP639" s="1"/>
      <c r="KQ639" s="1"/>
      <c r="KR639" s="1"/>
      <c r="KS639" s="1"/>
      <c r="KT639" s="1"/>
      <c r="KU639" s="1"/>
      <c r="KV639" s="1"/>
      <c r="KW639" s="1"/>
      <c r="KX639" s="1"/>
      <c r="KY639" s="1"/>
      <c r="KZ639" s="1"/>
      <c r="LA639" s="1"/>
      <c r="LB639" s="1"/>
      <c r="LC639" s="1"/>
      <c r="LD639" s="1"/>
      <c r="LE639" s="1"/>
      <c r="LF639" s="1"/>
      <c r="LG639" s="1"/>
      <c r="LH639" s="1"/>
      <c r="LI639" s="1"/>
      <c r="LJ639" s="1"/>
      <c r="LK639" s="1"/>
      <c r="LL639" s="1"/>
      <c r="LM639" s="1"/>
      <c r="LN639" s="1"/>
      <c r="LO639" s="1"/>
      <c r="LP639" s="1"/>
      <c r="LQ639" s="1"/>
      <c r="LR639" s="1"/>
      <c r="LS639" s="1"/>
      <c r="LT639" s="1"/>
      <c r="LU639" s="1"/>
      <c r="LV639" s="1"/>
      <c r="LW639" s="1"/>
      <c r="LX639" s="1"/>
      <c r="LY639" s="1"/>
      <c r="LZ639" s="1"/>
      <c r="MA639" s="1"/>
      <c r="MB639" s="1"/>
      <c r="MC639" s="1"/>
      <c r="MD639" s="1"/>
      <c r="ME639" s="1"/>
      <c r="MF639" s="1"/>
      <c r="MG639" s="1"/>
      <c r="MH639" s="1"/>
      <c r="MI639" s="1"/>
      <c r="MJ639" s="1"/>
      <c r="MK639" s="1"/>
      <c r="ML639" s="1"/>
      <c r="MM639" s="1"/>
      <c r="MN639" s="1"/>
      <c r="MO639" s="1"/>
      <c r="MP639" s="1"/>
      <c r="MQ639" s="1"/>
      <c r="MR639" s="1"/>
      <c r="MS639" s="1"/>
      <c r="MT639" s="1"/>
      <c r="MU639" s="1"/>
      <c r="MV639" s="1"/>
      <c r="MW639" s="1"/>
      <c r="MX639" s="1"/>
      <c r="MY639" s="1"/>
      <c r="MZ639" s="1"/>
      <c r="NA639" s="1"/>
      <c r="NB639" s="1"/>
      <c r="NC639" s="1"/>
      <c r="ND639" s="1"/>
      <c r="NE639" s="1"/>
      <c r="NF639" s="1"/>
      <c r="NG639" s="1"/>
      <c r="NH639" s="1"/>
      <c r="NI639" s="1"/>
      <c r="NJ639" s="1"/>
      <c r="NK639" s="1"/>
      <c r="NL639" s="1"/>
      <c r="NM639" s="1"/>
      <c r="NN639" s="1"/>
      <c r="NO639" s="1"/>
      <c r="NP639" s="1"/>
      <c r="NQ639" s="1"/>
      <c r="NR639" s="1"/>
      <c r="NS639" s="1"/>
      <c r="NT639" s="1"/>
      <c r="NU639" s="1"/>
      <c r="NV639" s="1"/>
      <c r="NW639" s="1"/>
      <c r="NX639" s="1"/>
      <c r="NY639" s="1"/>
      <c r="NZ639" s="1"/>
      <c r="OA639" s="1"/>
      <c r="OB639" s="1"/>
      <c r="OC639" s="1"/>
      <c r="OD639" s="1"/>
      <c r="OE639" s="1"/>
      <c r="OF639" s="1"/>
      <c r="OG639" s="1"/>
      <c r="OH639" s="1"/>
      <c r="OI639" s="1"/>
      <c r="OJ639" s="1"/>
      <c r="OK639" s="1"/>
      <c r="OL639" s="1"/>
      <c r="OM639" s="1"/>
      <c r="ON639" s="1"/>
      <c r="OO639" s="1"/>
      <c r="OP639" s="1"/>
      <c r="OQ639" s="1"/>
      <c r="OR639" s="1"/>
      <c r="OS639" s="1"/>
      <c r="OT639" s="1"/>
      <c r="OU639" s="1"/>
      <c r="OV639" s="1"/>
      <c r="OW639" s="1"/>
      <c r="OX639" s="1"/>
      <c r="OY639" s="1"/>
      <c r="OZ639" s="1"/>
      <c r="PA639" s="1"/>
      <c r="PB639" s="1"/>
      <c r="PC639" s="1"/>
      <c r="PD639" s="1"/>
      <c r="PE639" s="1"/>
      <c r="PF639" s="1"/>
      <c r="PG639" s="1"/>
      <c r="PH639" s="1"/>
      <c r="PI639" s="1"/>
      <c r="PJ639" s="1"/>
      <c r="PK639" s="1"/>
      <c r="PL639" s="1"/>
      <c r="PM639" s="1"/>
      <c r="PN639" s="1"/>
      <c r="PO639" s="1"/>
      <c r="PP639" s="1"/>
      <c r="PQ639" s="1"/>
      <c r="PR639" s="1"/>
      <c r="PS639" s="1"/>
      <c r="PT639" s="1"/>
      <c r="PU639" s="1"/>
      <c r="PV639" s="1"/>
      <c r="PW639" s="1"/>
      <c r="PX639" s="1"/>
      <c r="PY639" s="1"/>
      <c r="PZ639" s="1"/>
      <c r="QA639" s="1"/>
      <c r="QB639" s="1"/>
      <c r="QC639" s="1"/>
      <c r="QD639" s="1"/>
      <c r="QE639" s="1"/>
      <c r="QF639" s="1"/>
      <c r="QG639" s="1"/>
      <c r="QH639" s="1"/>
      <c r="QI639" s="1"/>
      <c r="QJ639" s="1"/>
      <c r="QK639" s="1"/>
      <c r="QL639" s="1"/>
      <c r="QM639" s="1"/>
      <c r="QN639" s="1"/>
      <c r="QO639" s="1"/>
      <c r="QP639" s="1"/>
      <c r="QQ639" s="1"/>
      <c r="QR639" s="1"/>
      <c r="QS639" s="1"/>
      <c r="QT639" s="1"/>
      <c r="QU639" s="1"/>
      <c r="QV639" s="1"/>
      <c r="QW639" s="1"/>
      <c r="QX639" s="1"/>
      <c r="QY639" s="1"/>
      <c r="QZ639" s="1"/>
      <c r="RA639" s="1"/>
      <c r="RB639" s="1"/>
      <c r="RC639" s="1"/>
      <c r="RD639" s="1"/>
      <c r="RE639" s="1"/>
      <c r="RF639" s="1"/>
      <c r="RG639" s="1"/>
      <c r="RH639" s="1"/>
      <c r="RI639" s="1"/>
      <c r="RJ639" s="1"/>
      <c r="RK639" s="1"/>
      <c r="RL639" s="1"/>
      <c r="RM639" s="1"/>
      <c r="RN639" s="1"/>
      <c r="RO639" s="1"/>
      <c r="RP639" s="1"/>
      <c r="RQ639" s="1"/>
      <c r="RR639" s="1"/>
      <c r="RS639" s="1"/>
      <c r="RT639" s="1"/>
      <c r="RU639" s="1"/>
      <c r="RV639" s="1"/>
      <c r="RW639" s="1"/>
      <c r="RX639" s="1"/>
      <c r="RY639" s="1"/>
      <c r="RZ639" s="1"/>
      <c r="SA639" s="1"/>
      <c r="SB639" s="1"/>
      <c r="SC639" s="1"/>
      <c r="SD639" s="1"/>
      <c r="SE639" s="1"/>
      <c r="SF639" s="1"/>
      <c r="SG639" s="1"/>
      <c r="SH639" s="1"/>
      <c r="SI639" s="1"/>
      <c r="SJ639" s="1"/>
      <c r="SK639" s="1"/>
      <c r="SL639" s="1"/>
      <c r="SM639" s="1"/>
      <c r="SN639" s="1"/>
      <c r="SO639" s="1"/>
      <c r="SP639" s="1"/>
      <c r="SQ639" s="1"/>
      <c r="SR639" s="1"/>
      <c r="SS639" s="1"/>
      <c r="ST639" s="1"/>
      <c r="SU639" s="1"/>
      <c r="SV639" s="1"/>
      <c r="SW639" s="1"/>
      <c r="SX639" s="1"/>
      <c r="SY639" s="1"/>
      <c r="SZ639" s="1"/>
      <c r="TA639" s="1"/>
      <c r="TB639" s="1"/>
      <c r="TC639" s="1"/>
      <c r="TD639" s="1"/>
      <c r="TE639" s="1"/>
      <c r="TF639" s="1"/>
      <c r="TG639" s="1"/>
      <c r="TH639" s="1"/>
      <c r="TI639" s="1"/>
      <c r="TJ639" s="1"/>
      <c r="TK639" s="1"/>
      <c r="TL639" s="1"/>
      <c r="TM639" s="1"/>
      <c r="TN639" s="1"/>
      <c r="TO639" s="1"/>
      <c r="TP639" s="1"/>
      <c r="TQ639" s="1"/>
      <c r="TR639" s="1"/>
      <c r="TS639" s="1"/>
      <c r="TT639" s="1"/>
      <c r="TU639" s="1"/>
      <c r="TV639" s="1"/>
      <c r="TW639" s="1"/>
      <c r="TX639" s="1"/>
      <c r="TY639" s="1"/>
      <c r="TZ639" s="1"/>
      <c r="UA639" s="1"/>
      <c r="UB639" s="1"/>
      <c r="UC639" s="1"/>
      <c r="UD639" s="1"/>
      <c r="UE639" s="1"/>
      <c r="UF639" s="1"/>
      <c r="UG639" s="1"/>
      <c r="UH639" s="1"/>
      <c r="UI639" s="1"/>
    </row>
    <row r="640" spans="1:555" s="259" customFormat="1" ht="81">
      <c r="A640" s="57">
        <v>451</v>
      </c>
      <c r="B640" s="58" t="s">
        <v>4470</v>
      </c>
      <c r="C640" s="59">
        <v>4133203</v>
      </c>
      <c r="D640" s="170" t="s">
        <v>906</v>
      </c>
      <c r="E640" s="60">
        <v>42780</v>
      </c>
      <c r="F640" s="61">
        <v>42767</v>
      </c>
      <c r="G640" s="62" t="s">
        <v>4471</v>
      </c>
      <c r="H640" s="58" t="s">
        <v>625</v>
      </c>
      <c r="I640" s="58" t="s">
        <v>183</v>
      </c>
      <c r="J640" s="60">
        <v>42811</v>
      </c>
      <c r="K640" s="61">
        <v>42795</v>
      </c>
      <c r="L640" s="62" t="s">
        <v>4472</v>
      </c>
      <c r="M640" s="58" t="s">
        <v>171</v>
      </c>
      <c r="N640" s="58" t="s">
        <v>1544</v>
      </c>
      <c r="O640" s="60">
        <v>43019</v>
      </c>
      <c r="P640" s="63">
        <v>43009</v>
      </c>
      <c r="Q640" s="62" t="s">
        <v>4473</v>
      </c>
      <c r="R640" s="58" t="s">
        <v>171</v>
      </c>
      <c r="S640" s="58" t="s">
        <v>1544</v>
      </c>
      <c r="T640" s="60">
        <v>43362</v>
      </c>
      <c r="U640" s="61">
        <v>43362</v>
      </c>
      <c r="V640" s="62" t="s">
        <v>4474</v>
      </c>
      <c r="W640" s="58" t="s">
        <v>5</v>
      </c>
      <c r="X640" s="58" t="s">
        <v>79</v>
      </c>
      <c r="Y640" s="60"/>
      <c r="Z640" s="61"/>
      <c r="AA640" s="62"/>
      <c r="AB640" s="58"/>
      <c r="AC640" s="58"/>
      <c r="AD640" s="60"/>
      <c r="AE640" s="61"/>
      <c r="AF640" s="62"/>
      <c r="AG640" s="58"/>
      <c r="AH640" s="58"/>
      <c r="AI640" s="117"/>
      <c r="AJ640" s="61"/>
      <c r="AK640" s="62"/>
      <c r="AL640" s="58"/>
      <c r="AM640" s="58"/>
      <c r="AN640" s="58" t="s">
        <v>3671</v>
      </c>
      <c r="AO640" s="478"/>
      <c r="AP640" s="58"/>
      <c r="AQ640" s="62" t="s">
        <v>4475</v>
      </c>
      <c r="AR640" s="58" t="s">
        <v>161</v>
      </c>
      <c r="AS640" s="60" t="s">
        <v>67</v>
      </c>
      <c r="AT640" s="60" t="s">
        <v>67</v>
      </c>
      <c r="AU640" s="58" t="s">
        <v>4476</v>
      </c>
      <c r="AV640" s="58"/>
      <c r="AW640" s="58" t="s">
        <v>69</v>
      </c>
      <c r="AX640" s="58" t="s">
        <v>4477</v>
      </c>
      <c r="AY640" s="60">
        <v>42551</v>
      </c>
      <c r="AZ640" s="58" t="s">
        <v>94</v>
      </c>
      <c r="BA640" s="60">
        <v>42766</v>
      </c>
      <c r="BB640" s="382">
        <v>42783</v>
      </c>
      <c r="BC640" s="70" t="s">
        <v>912</v>
      </c>
      <c r="BD640" s="70" t="s">
        <v>4478</v>
      </c>
      <c r="BE640" s="58"/>
      <c r="BF640" s="62"/>
      <c r="BG640" s="62"/>
      <c r="BH640" s="62"/>
      <c r="BI640" s="62"/>
      <c r="BJ640" s="138">
        <f>+[183]MATRIZ!$J$62</f>
        <v>0</v>
      </c>
      <c r="BK640" s="67"/>
      <c r="BL640" s="68"/>
      <c r="BM640" s="60"/>
      <c r="BN640" s="61"/>
      <c r="BO640" s="463"/>
      <c r="BP640" s="122"/>
      <c r="BQ640" s="58"/>
      <c r="BR640" s="70"/>
      <c r="BS640" s="62"/>
      <c r="BT640" s="62"/>
      <c r="BU640" s="62"/>
      <c r="BV640" s="62"/>
      <c r="BW640" s="71"/>
      <c r="BX640" s="66"/>
      <c r="BY640" s="60"/>
      <c r="BZ640" s="72"/>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c r="JW640" s="1"/>
      <c r="JX640" s="1"/>
      <c r="JY640" s="1"/>
      <c r="JZ640" s="1"/>
      <c r="KA640" s="1"/>
      <c r="KB640" s="1"/>
      <c r="KC640" s="1"/>
      <c r="KD640" s="1"/>
      <c r="KE640" s="1"/>
      <c r="KF640" s="1"/>
      <c r="KG640" s="1"/>
      <c r="KH640" s="1"/>
      <c r="KI640" s="1"/>
      <c r="KJ640" s="1"/>
      <c r="KK640" s="1"/>
      <c r="KL640" s="1"/>
      <c r="KM640" s="1"/>
      <c r="KN640" s="1"/>
      <c r="KO640" s="1"/>
      <c r="KP640" s="1"/>
      <c r="KQ640" s="1"/>
      <c r="KR640" s="1"/>
      <c r="KS640" s="1"/>
      <c r="KT640" s="1"/>
      <c r="KU640" s="1"/>
      <c r="KV640" s="1"/>
      <c r="KW640" s="1"/>
      <c r="KX640" s="1"/>
      <c r="KY640" s="1"/>
      <c r="KZ640" s="1"/>
      <c r="LA640" s="1"/>
      <c r="LB640" s="1"/>
      <c r="LC640" s="1"/>
      <c r="LD640" s="1"/>
      <c r="LE640" s="1"/>
      <c r="LF640" s="1"/>
      <c r="LG640" s="1"/>
      <c r="LH640" s="1"/>
      <c r="LI640" s="1"/>
      <c r="LJ640" s="1"/>
      <c r="LK640" s="1"/>
      <c r="LL640" s="1"/>
      <c r="LM640" s="1"/>
      <c r="LN640" s="1"/>
      <c r="LO640" s="1"/>
      <c r="LP640" s="1"/>
      <c r="LQ640" s="1"/>
      <c r="LR640" s="1"/>
      <c r="LS640" s="1"/>
      <c r="LT640" s="1"/>
      <c r="LU640" s="1"/>
      <c r="LV640" s="1"/>
      <c r="LW640" s="1"/>
      <c r="LX640" s="1"/>
      <c r="LY640" s="1"/>
      <c r="LZ640" s="1"/>
      <c r="MA640" s="1"/>
      <c r="MB640" s="1"/>
      <c r="MC640" s="1"/>
      <c r="MD640" s="1"/>
      <c r="ME640" s="1"/>
      <c r="MF640" s="1"/>
      <c r="MG640" s="1"/>
      <c r="MH640" s="1"/>
      <c r="MI640" s="1"/>
      <c r="MJ640" s="1"/>
      <c r="MK640" s="1"/>
      <c r="ML640" s="1"/>
      <c r="MM640" s="1"/>
      <c r="MN640" s="1"/>
      <c r="MO640" s="1"/>
      <c r="MP640" s="1"/>
      <c r="MQ640" s="1"/>
      <c r="MR640" s="1"/>
      <c r="MS640" s="1"/>
      <c r="MT640" s="1"/>
      <c r="MU640" s="1"/>
      <c r="MV640" s="1"/>
      <c r="MW640" s="1"/>
      <c r="MX640" s="1"/>
      <c r="MY640" s="1"/>
      <c r="MZ640" s="1"/>
      <c r="NA640" s="1"/>
      <c r="NB640" s="1"/>
      <c r="NC640" s="1"/>
      <c r="ND640" s="1"/>
      <c r="NE640" s="1"/>
      <c r="NF640" s="1"/>
      <c r="NG640" s="1"/>
      <c r="NH640" s="1"/>
      <c r="NI640" s="1"/>
      <c r="NJ640" s="1"/>
      <c r="NK640" s="1"/>
      <c r="NL640" s="1"/>
      <c r="NM640" s="1"/>
      <c r="NN640" s="1"/>
      <c r="NO640" s="1"/>
      <c r="NP640" s="1"/>
      <c r="NQ640" s="1"/>
      <c r="NR640" s="1"/>
      <c r="NS640" s="1"/>
      <c r="NT640" s="1"/>
      <c r="NU640" s="1"/>
      <c r="NV640" s="1"/>
      <c r="NW640" s="1"/>
      <c r="NX640" s="1"/>
      <c r="NY640" s="1"/>
      <c r="NZ640" s="1"/>
      <c r="OA640" s="1"/>
      <c r="OB640" s="1"/>
      <c r="OC640" s="1"/>
      <c r="OD640" s="1"/>
      <c r="OE640" s="1"/>
      <c r="OF640" s="1"/>
      <c r="OG640" s="1"/>
      <c r="OH640" s="1"/>
      <c r="OI640" s="1"/>
      <c r="OJ640" s="1"/>
      <c r="OK640" s="1"/>
      <c r="OL640" s="1"/>
      <c r="OM640" s="1"/>
      <c r="ON640" s="1"/>
      <c r="OO640" s="1"/>
      <c r="OP640" s="1"/>
      <c r="OQ640" s="1"/>
      <c r="OR640" s="1"/>
      <c r="OS640" s="1"/>
      <c r="OT640" s="1"/>
      <c r="OU640" s="1"/>
      <c r="OV640" s="1"/>
      <c r="OW640" s="1"/>
      <c r="OX640" s="1"/>
      <c r="OY640" s="1"/>
      <c r="OZ640" s="1"/>
      <c r="PA640" s="1"/>
      <c r="PB640" s="1"/>
      <c r="PC640" s="1"/>
      <c r="PD640" s="1"/>
      <c r="PE640" s="1"/>
      <c r="PF640" s="1"/>
      <c r="PG640" s="1"/>
      <c r="PH640" s="1"/>
      <c r="PI640" s="1"/>
      <c r="PJ640" s="1"/>
      <c r="PK640" s="1"/>
      <c r="PL640" s="1"/>
      <c r="PM640" s="1"/>
      <c r="PN640" s="1"/>
      <c r="PO640" s="1"/>
      <c r="PP640" s="1"/>
      <c r="PQ640" s="1"/>
      <c r="PR640" s="1"/>
      <c r="PS640" s="1"/>
      <c r="PT640" s="1"/>
      <c r="PU640" s="1"/>
      <c r="PV640" s="1"/>
      <c r="PW640" s="1"/>
      <c r="PX640" s="1"/>
      <c r="PY640" s="1"/>
      <c r="PZ640" s="1"/>
      <c r="QA640" s="1"/>
      <c r="QB640" s="1"/>
      <c r="QC640" s="1"/>
      <c r="QD640" s="1"/>
      <c r="QE640" s="1"/>
      <c r="QF640" s="1"/>
      <c r="QG640" s="1"/>
      <c r="QH640" s="1"/>
      <c r="QI640" s="1"/>
      <c r="QJ640" s="1"/>
      <c r="QK640" s="1"/>
      <c r="QL640" s="1"/>
      <c r="QM640" s="1"/>
      <c r="QN640" s="1"/>
      <c r="QO640" s="1"/>
      <c r="QP640" s="1"/>
      <c r="QQ640" s="1"/>
      <c r="QR640" s="1"/>
      <c r="QS640" s="1"/>
      <c r="QT640" s="1"/>
      <c r="QU640" s="1"/>
      <c r="QV640" s="1"/>
      <c r="QW640" s="1"/>
      <c r="QX640" s="1"/>
      <c r="QY640" s="1"/>
      <c r="QZ640" s="1"/>
      <c r="RA640" s="1"/>
      <c r="RB640" s="1"/>
      <c r="RC640" s="1"/>
      <c r="RD640" s="1"/>
      <c r="RE640" s="1"/>
      <c r="RF640" s="1"/>
      <c r="RG640" s="1"/>
      <c r="RH640" s="1"/>
      <c r="RI640" s="1"/>
      <c r="RJ640" s="1"/>
      <c r="RK640" s="1"/>
      <c r="RL640" s="1"/>
      <c r="RM640" s="1"/>
      <c r="RN640" s="1"/>
      <c r="RO640" s="1"/>
      <c r="RP640" s="1"/>
      <c r="RQ640" s="1"/>
      <c r="RR640" s="1"/>
      <c r="RS640" s="1"/>
      <c r="RT640" s="1"/>
      <c r="RU640" s="1"/>
      <c r="RV640" s="1"/>
      <c r="RW640" s="1"/>
      <c r="RX640" s="1"/>
      <c r="RY640" s="1"/>
      <c r="RZ640" s="1"/>
      <c r="SA640" s="1"/>
      <c r="SB640" s="1"/>
      <c r="SC640" s="1"/>
      <c r="SD640" s="1"/>
      <c r="SE640" s="1"/>
      <c r="SF640" s="1"/>
      <c r="SG640" s="1"/>
      <c r="SH640" s="1"/>
      <c r="SI640" s="1"/>
      <c r="SJ640" s="1"/>
      <c r="SK640" s="1"/>
      <c r="SL640" s="1"/>
      <c r="SM640" s="1"/>
      <c r="SN640" s="1"/>
      <c r="SO640" s="1"/>
      <c r="SP640" s="1"/>
      <c r="SQ640" s="1"/>
      <c r="SR640" s="1"/>
      <c r="SS640" s="1"/>
      <c r="ST640" s="1"/>
      <c r="SU640" s="1"/>
      <c r="SV640" s="1"/>
      <c r="SW640" s="1"/>
      <c r="SX640" s="1"/>
      <c r="SY640" s="1"/>
      <c r="SZ640" s="1"/>
      <c r="TA640" s="1"/>
      <c r="TB640" s="1"/>
      <c r="TC640" s="1"/>
      <c r="TD640" s="1"/>
      <c r="TE640" s="1"/>
      <c r="TF640" s="1"/>
      <c r="TG640" s="1"/>
      <c r="TH640" s="1"/>
      <c r="TI640" s="1"/>
      <c r="TJ640" s="1"/>
      <c r="TK640" s="1"/>
      <c r="TL640" s="1"/>
      <c r="TM640" s="1"/>
      <c r="TN640" s="1"/>
      <c r="TO640" s="1"/>
      <c r="TP640" s="1"/>
      <c r="TQ640" s="1"/>
      <c r="TR640" s="1"/>
      <c r="TS640" s="1"/>
      <c r="TT640" s="1"/>
      <c r="TU640" s="1"/>
      <c r="TV640" s="1"/>
      <c r="TW640" s="1"/>
      <c r="TX640" s="1"/>
      <c r="TY640" s="1"/>
      <c r="TZ640" s="1"/>
      <c r="UA640" s="1"/>
      <c r="UB640" s="1"/>
      <c r="UC640" s="1"/>
      <c r="UD640" s="1"/>
      <c r="UE640" s="1"/>
      <c r="UF640" s="1"/>
      <c r="UG640" s="1"/>
      <c r="UH640" s="1"/>
      <c r="UI640" s="1"/>
    </row>
    <row r="641" spans="1:555" ht="54">
      <c r="A641" s="57">
        <v>452</v>
      </c>
      <c r="B641" s="58" t="s">
        <v>4376</v>
      </c>
      <c r="C641" s="59">
        <v>79736366</v>
      </c>
      <c r="D641" s="170" t="s">
        <v>906</v>
      </c>
      <c r="E641" s="60">
        <v>42853</v>
      </c>
      <c r="F641" s="61">
        <v>42853</v>
      </c>
      <c r="G641" s="62" t="s">
        <v>8126</v>
      </c>
      <c r="H641" s="58" t="s">
        <v>625</v>
      </c>
      <c r="I641" s="58" t="s">
        <v>183</v>
      </c>
      <c r="J641" s="60">
        <v>43553</v>
      </c>
      <c r="K641" s="61">
        <v>43553</v>
      </c>
      <c r="L641" s="62" t="s">
        <v>8482</v>
      </c>
      <c r="M641" s="58" t="s">
        <v>5</v>
      </c>
      <c r="N641" s="58" t="s">
        <v>79</v>
      </c>
      <c r="O641" s="60"/>
      <c r="P641" s="63"/>
      <c r="Q641" s="62"/>
      <c r="R641" s="58"/>
      <c r="S641" s="58"/>
      <c r="T641" s="60"/>
      <c r="U641" s="61"/>
      <c r="V641" s="62"/>
      <c r="W641" s="58"/>
      <c r="X641" s="58"/>
      <c r="Y641" s="60"/>
      <c r="Z641" s="61"/>
      <c r="AA641" s="62"/>
      <c r="AB641" s="58"/>
      <c r="AC641" s="58"/>
      <c r="AD641" s="60"/>
      <c r="AE641" s="61"/>
      <c r="AF641" s="62"/>
      <c r="AG641" s="58"/>
      <c r="AH641" s="58"/>
      <c r="AI641" s="117"/>
      <c r="AJ641" s="61"/>
      <c r="AK641" s="62"/>
      <c r="AL641" s="58"/>
      <c r="AM641" s="58"/>
      <c r="AN641" s="58" t="s">
        <v>3671</v>
      </c>
      <c r="AO641" s="478"/>
      <c r="AP641" s="58"/>
      <c r="AQ641" s="62" t="s">
        <v>4480</v>
      </c>
      <c r="AR641" s="58" t="s">
        <v>161</v>
      </c>
      <c r="AS641" s="60">
        <v>36238</v>
      </c>
      <c r="AT641" s="60">
        <v>40908</v>
      </c>
      <c r="AU641" s="58" t="s">
        <v>4481</v>
      </c>
      <c r="AV641" s="58"/>
      <c r="AW641" s="58" t="s">
        <v>69</v>
      </c>
      <c r="AX641" s="58" t="s">
        <v>4482</v>
      </c>
      <c r="AY641" s="60">
        <v>42244</v>
      </c>
      <c r="AZ641" s="58" t="s">
        <v>94</v>
      </c>
      <c r="BA641" s="60">
        <v>42767</v>
      </c>
      <c r="BB641" s="382">
        <v>42775</v>
      </c>
      <c r="BC641" s="70" t="s">
        <v>912</v>
      </c>
      <c r="BD641" s="70" t="s">
        <v>4604</v>
      </c>
      <c r="BE641" s="58"/>
      <c r="BF641" s="62"/>
      <c r="BG641" s="62"/>
      <c r="BH641" s="62"/>
      <c r="BI641" s="62"/>
      <c r="BJ641" s="138">
        <f>+[184]MATRIZ!$J$50</f>
        <v>0</v>
      </c>
      <c r="BK641" s="67"/>
      <c r="BL641" s="68"/>
      <c r="BM641" s="60"/>
      <c r="BN641" s="61"/>
      <c r="BO641" s="463"/>
      <c r="BP641" s="122"/>
      <c r="BQ641" s="58"/>
      <c r="BR641" s="70"/>
      <c r="BS641" s="62"/>
      <c r="BT641" s="62"/>
      <c r="BU641" s="62"/>
      <c r="BV641" s="62"/>
      <c r="BW641" s="71"/>
      <c r="BX641" s="66"/>
      <c r="BY641" s="60"/>
      <c r="BZ641" s="72"/>
    </row>
    <row r="642" spans="1:555" s="259" customFormat="1" ht="54">
      <c r="A642" s="57">
        <v>453</v>
      </c>
      <c r="B642" s="58" t="s">
        <v>4483</v>
      </c>
      <c r="C642" s="59">
        <v>19484800</v>
      </c>
      <c r="D642" s="170" t="s">
        <v>597</v>
      </c>
      <c r="E642" s="60">
        <v>42780</v>
      </c>
      <c r="F642" s="61">
        <v>42767</v>
      </c>
      <c r="G642" s="62" t="s">
        <v>4484</v>
      </c>
      <c r="H642" s="58" t="s">
        <v>625</v>
      </c>
      <c r="I642" s="58" t="s">
        <v>183</v>
      </c>
      <c r="J642" s="60">
        <v>42874</v>
      </c>
      <c r="K642" s="61">
        <v>42856</v>
      </c>
      <c r="L642" s="62" t="s">
        <v>4485</v>
      </c>
      <c r="M642" s="58" t="s">
        <v>63</v>
      </c>
      <c r="N642" s="58" t="s">
        <v>79</v>
      </c>
      <c r="O642" s="60"/>
      <c r="P642" s="63"/>
      <c r="Q642" s="62"/>
      <c r="R642" s="58"/>
      <c r="S642" s="58"/>
      <c r="T642" s="60"/>
      <c r="U642" s="61"/>
      <c r="V642" s="62"/>
      <c r="W642" s="58"/>
      <c r="X642" s="58"/>
      <c r="Y642" s="60"/>
      <c r="Z642" s="61"/>
      <c r="AA642" s="62"/>
      <c r="AB642" s="58"/>
      <c r="AC642" s="58"/>
      <c r="AD642" s="60"/>
      <c r="AE642" s="61"/>
      <c r="AF642" s="62"/>
      <c r="AG642" s="58"/>
      <c r="AH642" s="58"/>
      <c r="AI642" s="117"/>
      <c r="AJ642" s="61"/>
      <c r="AK642" s="62"/>
      <c r="AL642" s="58"/>
      <c r="AM642" s="58"/>
      <c r="AN642" s="58" t="s">
        <v>4486</v>
      </c>
      <c r="AO642" s="478"/>
      <c r="AP642" s="119" t="s">
        <v>2558</v>
      </c>
      <c r="AQ642" s="62" t="s">
        <v>4487</v>
      </c>
      <c r="AR642" s="58" t="s">
        <v>161</v>
      </c>
      <c r="AS642" s="60">
        <v>38601</v>
      </c>
      <c r="AT642" s="60">
        <v>40703</v>
      </c>
      <c r="AU642" s="58" t="s">
        <v>4488</v>
      </c>
      <c r="AV642" s="58"/>
      <c r="AW642" s="58" t="s">
        <v>69</v>
      </c>
      <c r="AX642" s="58" t="s">
        <v>4489</v>
      </c>
      <c r="AY642" s="60">
        <v>42445</v>
      </c>
      <c r="AZ642" s="58" t="s">
        <v>94</v>
      </c>
      <c r="BA642" s="60">
        <v>42768</v>
      </c>
      <c r="BB642" s="382">
        <v>42786</v>
      </c>
      <c r="BC642" s="58" t="s">
        <v>95</v>
      </c>
      <c r="BD642" s="58" t="s">
        <v>566</v>
      </c>
      <c r="BE642" s="58"/>
      <c r="BF642" s="62" t="s">
        <v>4490</v>
      </c>
      <c r="BG642" s="62"/>
      <c r="BH642" s="62"/>
      <c r="BI642" s="62"/>
      <c r="BJ642" s="138">
        <f>+[185]MATRIZ!$J$76</f>
        <v>0</v>
      </c>
      <c r="BK642" s="67"/>
      <c r="BL642" s="68"/>
      <c r="BM642" s="60"/>
      <c r="BN642" s="61"/>
      <c r="BO642" s="463"/>
      <c r="BP642" s="122"/>
      <c r="BQ642" s="58"/>
      <c r="BR642" s="70"/>
      <c r="BS642" s="62"/>
      <c r="BT642" s="62"/>
      <c r="BU642" s="62"/>
      <c r="BV642" s="62"/>
      <c r="BW642" s="71"/>
      <c r="BX642" s="66"/>
      <c r="BY642" s="60"/>
      <c r="BZ642" s="72"/>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c r="JW642" s="1"/>
      <c r="JX642" s="1"/>
      <c r="JY642" s="1"/>
      <c r="JZ642" s="1"/>
      <c r="KA642" s="1"/>
      <c r="KB642" s="1"/>
      <c r="KC642" s="1"/>
      <c r="KD642" s="1"/>
      <c r="KE642" s="1"/>
      <c r="KF642" s="1"/>
      <c r="KG642" s="1"/>
      <c r="KH642" s="1"/>
      <c r="KI642" s="1"/>
      <c r="KJ642" s="1"/>
      <c r="KK642" s="1"/>
      <c r="KL642" s="1"/>
      <c r="KM642" s="1"/>
      <c r="KN642" s="1"/>
      <c r="KO642" s="1"/>
      <c r="KP642" s="1"/>
      <c r="KQ642" s="1"/>
      <c r="KR642" s="1"/>
      <c r="KS642" s="1"/>
      <c r="KT642" s="1"/>
      <c r="KU642" s="1"/>
      <c r="KV642" s="1"/>
      <c r="KW642" s="1"/>
      <c r="KX642" s="1"/>
      <c r="KY642" s="1"/>
      <c r="KZ642" s="1"/>
      <c r="LA642" s="1"/>
      <c r="LB642" s="1"/>
      <c r="LC642" s="1"/>
      <c r="LD642" s="1"/>
      <c r="LE642" s="1"/>
      <c r="LF642" s="1"/>
      <c r="LG642" s="1"/>
      <c r="LH642" s="1"/>
      <c r="LI642" s="1"/>
      <c r="LJ642" s="1"/>
      <c r="LK642" s="1"/>
      <c r="LL642" s="1"/>
      <c r="LM642" s="1"/>
      <c r="LN642" s="1"/>
      <c r="LO642" s="1"/>
      <c r="LP642" s="1"/>
      <c r="LQ642" s="1"/>
      <c r="LR642" s="1"/>
      <c r="LS642" s="1"/>
      <c r="LT642" s="1"/>
      <c r="LU642" s="1"/>
      <c r="LV642" s="1"/>
      <c r="LW642" s="1"/>
      <c r="LX642" s="1"/>
      <c r="LY642" s="1"/>
      <c r="LZ642" s="1"/>
      <c r="MA642" s="1"/>
      <c r="MB642" s="1"/>
      <c r="MC642" s="1"/>
      <c r="MD642" s="1"/>
      <c r="ME642" s="1"/>
      <c r="MF642" s="1"/>
      <c r="MG642" s="1"/>
      <c r="MH642" s="1"/>
      <c r="MI642" s="1"/>
      <c r="MJ642" s="1"/>
      <c r="MK642" s="1"/>
      <c r="ML642" s="1"/>
      <c r="MM642" s="1"/>
      <c r="MN642" s="1"/>
      <c r="MO642" s="1"/>
      <c r="MP642" s="1"/>
      <c r="MQ642" s="1"/>
      <c r="MR642" s="1"/>
      <c r="MS642" s="1"/>
      <c r="MT642" s="1"/>
      <c r="MU642" s="1"/>
      <c r="MV642" s="1"/>
      <c r="MW642" s="1"/>
      <c r="MX642" s="1"/>
      <c r="MY642" s="1"/>
      <c r="MZ642" s="1"/>
      <c r="NA642" s="1"/>
      <c r="NB642" s="1"/>
      <c r="NC642" s="1"/>
      <c r="ND642" s="1"/>
      <c r="NE642" s="1"/>
      <c r="NF642" s="1"/>
      <c r="NG642" s="1"/>
      <c r="NH642" s="1"/>
      <c r="NI642" s="1"/>
      <c r="NJ642" s="1"/>
      <c r="NK642" s="1"/>
      <c r="NL642" s="1"/>
      <c r="NM642" s="1"/>
      <c r="NN642" s="1"/>
      <c r="NO642" s="1"/>
      <c r="NP642" s="1"/>
      <c r="NQ642" s="1"/>
      <c r="NR642" s="1"/>
      <c r="NS642" s="1"/>
      <c r="NT642" s="1"/>
      <c r="NU642" s="1"/>
      <c r="NV642" s="1"/>
      <c r="NW642" s="1"/>
      <c r="NX642" s="1"/>
      <c r="NY642" s="1"/>
      <c r="NZ642" s="1"/>
      <c r="OA642" s="1"/>
      <c r="OB642" s="1"/>
      <c r="OC642" s="1"/>
      <c r="OD642" s="1"/>
      <c r="OE642" s="1"/>
      <c r="OF642" s="1"/>
      <c r="OG642" s="1"/>
      <c r="OH642" s="1"/>
      <c r="OI642" s="1"/>
      <c r="OJ642" s="1"/>
      <c r="OK642" s="1"/>
      <c r="OL642" s="1"/>
      <c r="OM642" s="1"/>
      <c r="ON642" s="1"/>
      <c r="OO642" s="1"/>
      <c r="OP642" s="1"/>
      <c r="OQ642" s="1"/>
      <c r="OR642" s="1"/>
      <c r="OS642" s="1"/>
      <c r="OT642" s="1"/>
      <c r="OU642" s="1"/>
      <c r="OV642" s="1"/>
      <c r="OW642" s="1"/>
      <c r="OX642" s="1"/>
      <c r="OY642" s="1"/>
      <c r="OZ642" s="1"/>
      <c r="PA642" s="1"/>
      <c r="PB642" s="1"/>
      <c r="PC642" s="1"/>
      <c r="PD642" s="1"/>
      <c r="PE642" s="1"/>
      <c r="PF642" s="1"/>
      <c r="PG642" s="1"/>
      <c r="PH642" s="1"/>
      <c r="PI642" s="1"/>
      <c r="PJ642" s="1"/>
      <c r="PK642" s="1"/>
      <c r="PL642" s="1"/>
      <c r="PM642" s="1"/>
      <c r="PN642" s="1"/>
      <c r="PO642" s="1"/>
      <c r="PP642" s="1"/>
      <c r="PQ642" s="1"/>
      <c r="PR642" s="1"/>
      <c r="PS642" s="1"/>
      <c r="PT642" s="1"/>
      <c r="PU642" s="1"/>
      <c r="PV642" s="1"/>
      <c r="PW642" s="1"/>
      <c r="PX642" s="1"/>
      <c r="PY642" s="1"/>
      <c r="PZ642" s="1"/>
      <c r="QA642" s="1"/>
      <c r="QB642" s="1"/>
      <c r="QC642" s="1"/>
      <c r="QD642" s="1"/>
      <c r="QE642" s="1"/>
      <c r="QF642" s="1"/>
      <c r="QG642" s="1"/>
      <c r="QH642" s="1"/>
      <c r="QI642" s="1"/>
      <c r="QJ642" s="1"/>
      <c r="QK642" s="1"/>
      <c r="QL642" s="1"/>
      <c r="QM642" s="1"/>
      <c r="QN642" s="1"/>
      <c r="QO642" s="1"/>
      <c r="QP642" s="1"/>
      <c r="QQ642" s="1"/>
      <c r="QR642" s="1"/>
      <c r="QS642" s="1"/>
      <c r="QT642" s="1"/>
      <c r="QU642" s="1"/>
      <c r="QV642" s="1"/>
      <c r="QW642" s="1"/>
      <c r="QX642" s="1"/>
      <c r="QY642" s="1"/>
      <c r="QZ642" s="1"/>
      <c r="RA642" s="1"/>
      <c r="RB642" s="1"/>
      <c r="RC642" s="1"/>
      <c r="RD642" s="1"/>
      <c r="RE642" s="1"/>
      <c r="RF642" s="1"/>
      <c r="RG642" s="1"/>
      <c r="RH642" s="1"/>
      <c r="RI642" s="1"/>
      <c r="RJ642" s="1"/>
      <c r="RK642" s="1"/>
      <c r="RL642" s="1"/>
      <c r="RM642" s="1"/>
      <c r="RN642" s="1"/>
      <c r="RO642" s="1"/>
      <c r="RP642" s="1"/>
      <c r="RQ642" s="1"/>
      <c r="RR642" s="1"/>
      <c r="RS642" s="1"/>
      <c r="RT642" s="1"/>
      <c r="RU642" s="1"/>
      <c r="RV642" s="1"/>
      <c r="RW642" s="1"/>
      <c r="RX642" s="1"/>
      <c r="RY642" s="1"/>
      <c r="RZ642" s="1"/>
      <c r="SA642" s="1"/>
      <c r="SB642" s="1"/>
      <c r="SC642" s="1"/>
      <c r="SD642" s="1"/>
      <c r="SE642" s="1"/>
      <c r="SF642" s="1"/>
      <c r="SG642" s="1"/>
      <c r="SH642" s="1"/>
      <c r="SI642" s="1"/>
      <c r="SJ642" s="1"/>
      <c r="SK642" s="1"/>
      <c r="SL642" s="1"/>
      <c r="SM642" s="1"/>
      <c r="SN642" s="1"/>
      <c r="SO642" s="1"/>
      <c r="SP642" s="1"/>
      <c r="SQ642" s="1"/>
      <c r="SR642" s="1"/>
      <c r="SS642" s="1"/>
      <c r="ST642" s="1"/>
      <c r="SU642" s="1"/>
      <c r="SV642" s="1"/>
      <c r="SW642" s="1"/>
      <c r="SX642" s="1"/>
      <c r="SY642" s="1"/>
      <c r="SZ642" s="1"/>
      <c r="TA642" s="1"/>
      <c r="TB642" s="1"/>
      <c r="TC642" s="1"/>
      <c r="TD642" s="1"/>
      <c r="TE642" s="1"/>
      <c r="TF642" s="1"/>
      <c r="TG642" s="1"/>
      <c r="TH642" s="1"/>
      <c r="TI642" s="1"/>
      <c r="TJ642" s="1"/>
      <c r="TK642" s="1"/>
      <c r="TL642" s="1"/>
      <c r="TM642" s="1"/>
      <c r="TN642" s="1"/>
      <c r="TO642" s="1"/>
      <c r="TP642" s="1"/>
      <c r="TQ642" s="1"/>
      <c r="TR642" s="1"/>
      <c r="TS642" s="1"/>
      <c r="TT642" s="1"/>
      <c r="TU642" s="1"/>
      <c r="TV642" s="1"/>
      <c r="TW642" s="1"/>
      <c r="TX642" s="1"/>
      <c r="TY642" s="1"/>
      <c r="TZ642" s="1"/>
      <c r="UA642" s="1"/>
      <c r="UB642" s="1"/>
      <c r="UC642" s="1"/>
      <c r="UD642" s="1"/>
      <c r="UE642" s="1"/>
      <c r="UF642" s="1"/>
      <c r="UG642" s="1"/>
      <c r="UH642" s="1"/>
      <c r="UI642" s="1"/>
    </row>
    <row r="643" spans="1:555" s="259" customFormat="1" ht="94.5">
      <c r="A643" s="33">
        <v>454</v>
      </c>
      <c r="B643" s="34" t="s">
        <v>4491</v>
      </c>
      <c r="C643" s="35">
        <v>424085</v>
      </c>
      <c r="D643" s="440" t="s">
        <v>906</v>
      </c>
      <c r="E643" s="37">
        <v>42781</v>
      </c>
      <c r="F643" s="38">
        <v>42781</v>
      </c>
      <c r="G643" s="39" t="s">
        <v>4492</v>
      </c>
      <c r="H643" s="34" t="s">
        <v>94</v>
      </c>
      <c r="I643" s="34" t="s">
        <v>9329</v>
      </c>
      <c r="J643" s="37">
        <v>42793</v>
      </c>
      <c r="K643" s="38">
        <v>42767</v>
      </c>
      <c r="L643" s="39" t="s">
        <v>4494</v>
      </c>
      <c r="M643" s="34" t="s">
        <v>4495</v>
      </c>
      <c r="N643" s="34" t="s">
        <v>4496</v>
      </c>
      <c r="O643" s="37">
        <v>42828</v>
      </c>
      <c r="P643" s="40">
        <v>42826</v>
      </c>
      <c r="Q643" s="39" t="s">
        <v>1852</v>
      </c>
      <c r="R643" s="34" t="s">
        <v>171</v>
      </c>
      <c r="S643" s="34" t="s">
        <v>1544</v>
      </c>
      <c r="T643" s="37"/>
      <c r="U643" s="38"/>
      <c r="V643" s="39"/>
      <c r="W643" s="34"/>
      <c r="X643" s="34"/>
      <c r="Y643" s="37"/>
      <c r="Z643" s="38"/>
      <c r="AA643" s="39"/>
      <c r="AB643" s="34"/>
      <c r="AC643" s="34"/>
      <c r="AD643" s="37"/>
      <c r="AE643" s="38"/>
      <c r="AF643" s="39"/>
      <c r="AG643" s="34"/>
      <c r="AH643" s="34"/>
      <c r="AI643" s="73"/>
      <c r="AJ643" s="38"/>
      <c r="AK643" s="39"/>
      <c r="AL643" s="34"/>
      <c r="AM643" s="34"/>
      <c r="AN643" s="34" t="s">
        <v>4497</v>
      </c>
      <c r="AO643" s="478"/>
      <c r="AP643" s="34"/>
      <c r="AQ643" s="39" t="s">
        <v>4498</v>
      </c>
      <c r="AR643" s="34" t="s">
        <v>161</v>
      </c>
      <c r="AS643" s="37">
        <v>35269</v>
      </c>
      <c r="AT643" s="37">
        <v>40908</v>
      </c>
      <c r="AU643" s="34" t="s">
        <v>4499</v>
      </c>
      <c r="AV643" s="34"/>
      <c r="AW643" s="34" t="s">
        <v>69</v>
      </c>
      <c r="AX643" s="34" t="s">
        <v>4500</v>
      </c>
      <c r="AY643" s="37">
        <v>42487</v>
      </c>
      <c r="AZ643" s="34" t="s">
        <v>94</v>
      </c>
      <c r="BA643" s="37">
        <v>42766</v>
      </c>
      <c r="BB643" s="382">
        <v>42782</v>
      </c>
      <c r="BC643" s="42" t="s">
        <v>912</v>
      </c>
      <c r="BD643" s="42"/>
      <c r="BE643" s="34"/>
      <c r="BF643" s="39"/>
      <c r="BG643" s="39"/>
      <c r="BH643" s="39"/>
      <c r="BI643" s="39"/>
      <c r="BJ643" s="138">
        <v>9350000</v>
      </c>
      <c r="BK643" s="74"/>
      <c r="BL643" s="44"/>
      <c r="BM643" s="37"/>
      <c r="BN643" s="38"/>
      <c r="BO643" s="462"/>
      <c r="BP643" s="391"/>
      <c r="BQ643" s="34"/>
      <c r="BR643" s="42"/>
      <c r="BS643" s="39"/>
      <c r="BT643" s="39"/>
      <c r="BU643" s="39"/>
      <c r="BV643" s="39"/>
      <c r="BW643" s="51"/>
      <c r="BX643" s="41"/>
      <c r="BY643" s="37"/>
      <c r="BZ643" s="52"/>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c r="JW643" s="1"/>
      <c r="JX643" s="1"/>
      <c r="JY643" s="1"/>
      <c r="JZ643" s="1"/>
      <c r="KA643" s="1"/>
      <c r="KB643" s="1"/>
      <c r="KC643" s="1"/>
      <c r="KD643" s="1"/>
      <c r="KE643" s="1"/>
      <c r="KF643" s="1"/>
      <c r="KG643" s="1"/>
      <c r="KH643" s="1"/>
      <c r="KI643" s="1"/>
      <c r="KJ643" s="1"/>
      <c r="KK643" s="1"/>
      <c r="KL643" s="1"/>
      <c r="KM643" s="1"/>
      <c r="KN643" s="1"/>
      <c r="KO643" s="1"/>
      <c r="KP643" s="1"/>
      <c r="KQ643" s="1"/>
      <c r="KR643" s="1"/>
      <c r="KS643" s="1"/>
      <c r="KT643" s="1"/>
      <c r="KU643" s="1"/>
      <c r="KV643" s="1"/>
      <c r="KW643" s="1"/>
      <c r="KX643" s="1"/>
      <c r="KY643" s="1"/>
      <c r="KZ643" s="1"/>
      <c r="LA643" s="1"/>
      <c r="LB643" s="1"/>
      <c r="LC643" s="1"/>
      <c r="LD643" s="1"/>
      <c r="LE643" s="1"/>
      <c r="LF643" s="1"/>
      <c r="LG643" s="1"/>
      <c r="LH643" s="1"/>
      <c r="LI643" s="1"/>
      <c r="LJ643" s="1"/>
      <c r="LK643" s="1"/>
      <c r="LL643" s="1"/>
      <c r="LM643" s="1"/>
      <c r="LN643" s="1"/>
      <c r="LO643" s="1"/>
      <c r="LP643" s="1"/>
      <c r="LQ643" s="1"/>
      <c r="LR643" s="1"/>
      <c r="LS643" s="1"/>
      <c r="LT643" s="1"/>
      <c r="LU643" s="1"/>
      <c r="LV643" s="1"/>
      <c r="LW643" s="1"/>
      <c r="LX643" s="1"/>
      <c r="LY643" s="1"/>
      <c r="LZ643" s="1"/>
      <c r="MA643" s="1"/>
      <c r="MB643" s="1"/>
      <c r="MC643" s="1"/>
      <c r="MD643" s="1"/>
      <c r="ME643" s="1"/>
      <c r="MF643" s="1"/>
      <c r="MG643" s="1"/>
      <c r="MH643" s="1"/>
      <c r="MI643" s="1"/>
      <c r="MJ643" s="1"/>
      <c r="MK643" s="1"/>
      <c r="ML643" s="1"/>
      <c r="MM643" s="1"/>
      <c r="MN643" s="1"/>
      <c r="MO643" s="1"/>
      <c r="MP643" s="1"/>
      <c r="MQ643" s="1"/>
      <c r="MR643" s="1"/>
      <c r="MS643" s="1"/>
      <c r="MT643" s="1"/>
      <c r="MU643" s="1"/>
      <c r="MV643" s="1"/>
      <c r="MW643" s="1"/>
      <c r="MX643" s="1"/>
      <c r="MY643" s="1"/>
      <c r="MZ643" s="1"/>
      <c r="NA643" s="1"/>
      <c r="NB643" s="1"/>
      <c r="NC643" s="1"/>
      <c r="ND643" s="1"/>
      <c r="NE643" s="1"/>
      <c r="NF643" s="1"/>
      <c r="NG643" s="1"/>
      <c r="NH643" s="1"/>
      <c r="NI643" s="1"/>
      <c r="NJ643" s="1"/>
      <c r="NK643" s="1"/>
      <c r="NL643" s="1"/>
      <c r="NM643" s="1"/>
      <c r="NN643" s="1"/>
      <c r="NO643" s="1"/>
      <c r="NP643" s="1"/>
      <c r="NQ643" s="1"/>
      <c r="NR643" s="1"/>
      <c r="NS643" s="1"/>
      <c r="NT643" s="1"/>
      <c r="NU643" s="1"/>
      <c r="NV643" s="1"/>
      <c r="NW643" s="1"/>
      <c r="NX643" s="1"/>
      <c r="NY643" s="1"/>
      <c r="NZ643" s="1"/>
      <c r="OA643" s="1"/>
      <c r="OB643" s="1"/>
      <c r="OC643" s="1"/>
      <c r="OD643" s="1"/>
      <c r="OE643" s="1"/>
      <c r="OF643" s="1"/>
      <c r="OG643" s="1"/>
      <c r="OH643" s="1"/>
      <c r="OI643" s="1"/>
      <c r="OJ643" s="1"/>
      <c r="OK643" s="1"/>
      <c r="OL643" s="1"/>
      <c r="OM643" s="1"/>
      <c r="ON643" s="1"/>
      <c r="OO643" s="1"/>
      <c r="OP643" s="1"/>
      <c r="OQ643" s="1"/>
      <c r="OR643" s="1"/>
      <c r="OS643" s="1"/>
      <c r="OT643" s="1"/>
      <c r="OU643" s="1"/>
      <c r="OV643" s="1"/>
      <c r="OW643" s="1"/>
      <c r="OX643" s="1"/>
      <c r="OY643" s="1"/>
      <c r="OZ643" s="1"/>
      <c r="PA643" s="1"/>
      <c r="PB643" s="1"/>
      <c r="PC643" s="1"/>
      <c r="PD643" s="1"/>
      <c r="PE643" s="1"/>
      <c r="PF643" s="1"/>
      <c r="PG643" s="1"/>
      <c r="PH643" s="1"/>
      <c r="PI643" s="1"/>
      <c r="PJ643" s="1"/>
      <c r="PK643" s="1"/>
      <c r="PL643" s="1"/>
      <c r="PM643" s="1"/>
      <c r="PN643" s="1"/>
      <c r="PO643" s="1"/>
      <c r="PP643" s="1"/>
      <c r="PQ643" s="1"/>
      <c r="PR643" s="1"/>
      <c r="PS643" s="1"/>
      <c r="PT643" s="1"/>
      <c r="PU643" s="1"/>
      <c r="PV643" s="1"/>
      <c r="PW643" s="1"/>
      <c r="PX643" s="1"/>
      <c r="PY643" s="1"/>
      <c r="PZ643" s="1"/>
      <c r="QA643" s="1"/>
      <c r="QB643" s="1"/>
      <c r="QC643" s="1"/>
      <c r="QD643" s="1"/>
      <c r="QE643" s="1"/>
      <c r="QF643" s="1"/>
      <c r="QG643" s="1"/>
      <c r="QH643" s="1"/>
      <c r="QI643" s="1"/>
      <c r="QJ643" s="1"/>
      <c r="QK643" s="1"/>
      <c r="QL643" s="1"/>
      <c r="QM643" s="1"/>
      <c r="QN643" s="1"/>
      <c r="QO643" s="1"/>
      <c r="QP643" s="1"/>
      <c r="QQ643" s="1"/>
      <c r="QR643" s="1"/>
      <c r="QS643" s="1"/>
      <c r="QT643" s="1"/>
      <c r="QU643" s="1"/>
      <c r="QV643" s="1"/>
      <c r="QW643" s="1"/>
      <c r="QX643" s="1"/>
      <c r="QY643" s="1"/>
      <c r="QZ643" s="1"/>
      <c r="RA643" s="1"/>
      <c r="RB643" s="1"/>
      <c r="RC643" s="1"/>
      <c r="RD643" s="1"/>
      <c r="RE643" s="1"/>
      <c r="RF643" s="1"/>
      <c r="RG643" s="1"/>
      <c r="RH643" s="1"/>
      <c r="RI643" s="1"/>
      <c r="RJ643" s="1"/>
      <c r="RK643" s="1"/>
      <c r="RL643" s="1"/>
      <c r="RM643" s="1"/>
      <c r="RN643" s="1"/>
      <c r="RO643" s="1"/>
      <c r="RP643" s="1"/>
      <c r="RQ643" s="1"/>
      <c r="RR643" s="1"/>
      <c r="RS643" s="1"/>
      <c r="RT643" s="1"/>
      <c r="RU643" s="1"/>
      <c r="RV643" s="1"/>
      <c r="RW643" s="1"/>
      <c r="RX643" s="1"/>
      <c r="RY643" s="1"/>
      <c r="RZ643" s="1"/>
      <c r="SA643" s="1"/>
      <c r="SB643" s="1"/>
      <c r="SC643" s="1"/>
      <c r="SD643" s="1"/>
      <c r="SE643" s="1"/>
      <c r="SF643" s="1"/>
      <c r="SG643" s="1"/>
      <c r="SH643" s="1"/>
      <c r="SI643" s="1"/>
      <c r="SJ643" s="1"/>
      <c r="SK643" s="1"/>
      <c r="SL643" s="1"/>
      <c r="SM643" s="1"/>
      <c r="SN643" s="1"/>
      <c r="SO643" s="1"/>
      <c r="SP643" s="1"/>
      <c r="SQ643" s="1"/>
      <c r="SR643" s="1"/>
      <c r="SS643" s="1"/>
      <c r="ST643" s="1"/>
      <c r="SU643" s="1"/>
      <c r="SV643" s="1"/>
      <c r="SW643" s="1"/>
      <c r="SX643" s="1"/>
      <c r="SY643" s="1"/>
      <c r="SZ643" s="1"/>
      <c r="TA643" s="1"/>
      <c r="TB643" s="1"/>
      <c r="TC643" s="1"/>
      <c r="TD643" s="1"/>
      <c r="TE643" s="1"/>
      <c r="TF643" s="1"/>
      <c r="TG643" s="1"/>
      <c r="TH643" s="1"/>
      <c r="TI643" s="1"/>
      <c r="TJ643" s="1"/>
      <c r="TK643" s="1"/>
      <c r="TL643" s="1"/>
      <c r="TM643" s="1"/>
      <c r="TN643" s="1"/>
      <c r="TO643" s="1"/>
      <c r="TP643" s="1"/>
      <c r="TQ643" s="1"/>
      <c r="TR643" s="1"/>
      <c r="TS643" s="1"/>
      <c r="TT643" s="1"/>
      <c r="TU643" s="1"/>
      <c r="TV643" s="1"/>
      <c r="TW643" s="1"/>
      <c r="TX643" s="1"/>
      <c r="TY643" s="1"/>
      <c r="TZ643" s="1"/>
      <c r="UA643" s="1"/>
      <c r="UB643" s="1"/>
      <c r="UC643" s="1"/>
      <c r="UD643" s="1"/>
      <c r="UE643" s="1"/>
      <c r="UF643" s="1"/>
      <c r="UG643" s="1"/>
      <c r="UH643" s="1"/>
      <c r="UI643" s="1"/>
    </row>
    <row r="644" spans="1:555" ht="108">
      <c r="A644" s="502">
        <v>455</v>
      </c>
      <c r="B644" s="686" t="s">
        <v>4501</v>
      </c>
      <c r="C644" s="687">
        <v>7706766</v>
      </c>
      <c r="D644" s="688" t="s">
        <v>3677</v>
      </c>
      <c r="E644" s="27">
        <v>42781</v>
      </c>
      <c r="F644" s="689">
        <v>42767</v>
      </c>
      <c r="G644" s="690" t="s">
        <v>4502</v>
      </c>
      <c r="H644" s="686" t="s">
        <v>5</v>
      </c>
      <c r="I644" s="686" t="s">
        <v>79</v>
      </c>
      <c r="J644" s="27">
        <v>42815</v>
      </c>
      <c r="K644" s="689">
        <v>42795</v>
      </c>
      <c r="L644" s="781" t="s">
        <v>4503</v>
      </c>
      <c r="M644" s="686" t="s">
        <v>5</v>
      </c>
      <c r="N644" s="686" t="s">
        <v>8197</v>
      </c>
      <c r="O644" s="27">
        <v>42956</v>
      </c>
      <c r="P644" s="691">
        <v>42948</v>
      </c>
      <c r="Q644" s="690" t="s">
        <v>4505</v>
      </c>
      <c r="R644" s="686" t="s">
        <v>171</v>
      </c>
      <c r="S644" s="686" t="s">
        <v>4506</v>
      </c>
      <c r="T644" s="27">
        <v>43509</v>
      </c>
      <c r="U644" s="689">
        <v>43509</v>
      </c>
      <c r="V644" s="690" t="s">
        <v>8184</v>
      </c>
      <c r="W644" s="686" t="s">
        <v>208</v>
      </c>
      <c r="X644" s="686" t="s">
        <v>7998</v>
      </c>
      <c r="Y644" s="27"/>
      <c r="Z644" s="689"/>
      <c r="AA644" s="690"/>
      <c r="AB644" s="686"/>
      <c r="AC644" s="686"/>
      <c r="AD644" s="27"/>
      <c r="AE644" s="689"/>
      <c r="AF644" s="690"/>
      <c r="AG644" s="686"/>
      <c r="AH644" s="686"/>
      <c r="AI644" s="704"/>
      <c r="AJ644" s="689"/>
      <c r="AK644" s="690"/>
      <c r="AL644" s="686"/>
      <c r="AM644" s="686"/>
      <c r="AN644" s="686" t="s">
        <v>3671</v>
      </c>
      <c r="AO644" s="705"/>
      <c r="AP644" s="686"/>
      <c r="AQ644" s="690" t="s">
        <v>4507</v>
      </c>
      <c r="AR644" s="686" t="s">
        <v>161</v>
      </c>
      <c r="AS644" s="27">
        <v>38322</v>
      </c>
      <c r="AT644" s="27">
        <v>39804</v>
      </c>
      <c r="AU644" s="686" t="s">
        <v>8185</v>
      </c>
      <c r="AV644" s="686"/>
      <c r="AW644" s="686" t="s">
        <v>92</v>
      </c>
      <c r="AX644" s="686" t="s">
        <v>4508</v>
      </c>
      <c r="AY644" s="27">
        <v>42062</v>
      </c>
      <c r="AZ644" s="686" t="s">
        <v>2591</v>
      </c>
      <c r="BA644" s="27">
        <v>42558</v>
      </c>
      <c r="BB644" s="27">
        <v>42577</v>
      </c>
      <c r="BC644" s="686" t="s">
        <v>95</v>
      </c>
      <c r="BD644" s="686" t="s">
        <v>566</v>
      </c>
      <c r="BE644" s="686"/>
      <c r="BF644" s="690" t="s">
        <v>7330</v>
      </c>
      <c r="BG644" s="690"/>
      <c r="BH644" s="690"/>
      <c r="BI644" s="690"/>
      <c r="BJ644" s="803">
        <f>+[186]MATRIZ!$J$66</f>
        <v>0</v>
      </c>
      <c r="BK644" s="696"/>
      <c r="BL644" s="697"/>
      <c r="BM644" s="27"/>
      <c r="BN644" s="689"/>
      <c r="BO644" s="699"/>
      <c r="BP644" s="700"/>
      <c r="BQ644" s="686"/>
      <c r="BR644" s="701"/>
      <c r="BS644" s="690"/>
      <c r="BT644" s="690"/>
      <c r="BU644" s="690"/>
      <c r="BV644" s="690"/>
      <c r="BW644" s="702"/>
      <c r="BX644" s="693"/>
      <c r="BY644" s="27"/>
      <c r="BZ644" s="703"/>
      <c r="CA644" s="259"/>
      <c r="CB644" s="259"/>
      <c r="CC644" s="259"/>
      <c r="CD644" s="259"/>
      <c r="CE644" s="259"/>
      <c r="CF644" s="259"/>
      <c r="CG644" s="259"/>
      <c r="CH644" s="259"/>
      <c r="CI644" s="259"/>
      <c r="CJ644" s="259"/>
      <c r="CK644" s="259"/>
      <c r="CL644" s="259"/>
      <c r="CM644" s="259"/>
      <c r="CN644" s="259"/>
      <c r="CO644" s="259"/>
      <c r="CP644" s="259"/>
      <c r="CQ644" s="259"/>
      <c r="CR644" s="259"/>
      <c r="CS644" s="259"/>
      <c r="CT644" s="259"/>
      <c r="CU644" s="259"/>
      <c r="CV644" s="259"/>
      <c r="CW644" s="259"/>
      <c r="CX644" s="259"/>
      <c r="CY644" s="259"/>
      <c r="CZ644" s="259"/>
      <c r="DA644" s="259"/>
      <c r="DB644" s="259"/>
      <c r="DC644" s="259"/>
      <c r="DD644" s="259"/>
      <c r="DE644" s="259"/>
      <c r="DF644" s="259"/>
      <c r="DG644" s="259"/>
      <c r="DH644" s="259"/>
      <c r="DI644" s="259"/>
      <c r="DJ644" s="259"/>
      <c r="DK644" s="259"/>
      <c r="DL644" s="259"/>
      <c r="DM644" s="259"/>
      <c r="DN644" s="259"/>
      <c r="DO644" s="259"/>
      <c r="DP644" s="259"/>
      <c r="DQ644" s="259"/>
      <c r="DR644" s="259"/>
      <c r="DS644" s="259"/>
      <c r="DT644" s="259"/>
      <c r="DU644" s="259"/>
      <c r="DV644" s="259"/>
      <c r="DW644" s="259"/>
      <c r="DX644" s="259"/>
      <c r="DY644" s="259"/>
      <c r="DZ644" s="259"/>
      <c r="EA644" s="259"/>
      <c r="EB644" s="259"/>
      <c r="EC644" s="259"/>
      <c r="ED644" s="259"/>
      <c r="EE644" s="259"/>
      <c r="EF644" s="259"/>
      <c r="EG644" s="259"/>
      <c r="EH644" s="259"/>
      <c r="EI644" s="259"/>
      <c r="EJ644" s="259"/>
      <c r="EK644" s="259"/>
      <c r="EL644" s="259"/>
      <c r="EM644" s="259"/>
      <c r="EN644" s="259"/>
      <c r="EO644" s="259"/>
      <c r="EP644" s="259"/>
      <c r="EQ644" s="259"/>
      <c r="ER644" s="259"/>
      <c r="ES644" s="259"/>
      <c r="ET644" s="259"/>
      <c r="EU644" s="259"/>
      <c r="EV644" s="259"/>
      <c r="EW644" s="259"/>
      <c r="EX644" s="259"/>
      <c r="EY644" s="259"/>
      <c r="EZ644" s="259"/>
      <c r="FA644" s="259"/>
      <c r="FB644" s="259"/>
      <c r="FC644" s="259"/>
      <c r="FD644" s="259"/>
      <c r="FE644" s="259"/>
      <c r="FF644" s="259"/>
      <c r="FG644" s="259"/>
      <c r="FH644" s="259"/>
      <c r="FI644" s="259"/>
      <c r="FJ644" s="259"/>
      <c r="FK644" s="259"/>
      <c r="FL644" s="259"/>
      <c r="FM644" s="259"/>
      <c r="FN644" s="259"/>
      <c r="FO644" s="259"/>
      <c r="FP644" s="259"/>
      <c r="FQ644" s="259"/>
      <c r="FR644" s="259"/>
      <c r="FS644" s="259"/>
      <c r="FT644" s="259"/>
      <c r="FU644" s="259"/>
      <c r="FV644" s="259"/>
      <c r="FW644" s="259"/>
      <c r="FX644" s="259"/>
      <c r="FY644" s="259"/>
      <c r="FZ644" s="259"/>
      <c r="GA644" s="259"/>
      <c r="GB644" s="259"/>
      <c r="GC644" s="259"/>
      <c r="GD644" s="259"/>
      <c r="GE644" s="259"/>
      <c r="GF644" s="259"/>
      <c r="GG644" s="259"/>
      <c r="GH644" s="259"/>
      <c r="GI644" s="259"/>
      <c r="GJ644" s="259"/>
      <c r="GK644" s="259"/>
      <c r="GL644" s="259"/>
      <c r="GM644" s="259"/>
      <c r="GN644" s="259"/>
      <c r="GO644" s="259"/>
      <c r="GP644" s="259"/>
      <c r="GQ644" s="259"/>
      <c r="GR644" s="259"/>
      <c r="GS644" s="259"/>
      <c r="GT644" s="259"/>
      <c r="GU644" s="259"/>
      <c r="GV644" s="259"/>
      <c r="GW644" s="259"/>
      <c r="GX644" s="259"/>
      <c r="GY644" s="259"/>
      <c r="GZ644" s="259"/>
      <c r="HA644" s="259"/>
      <c r="HB644" s="259"/>
      <c r="HC644" s="259"/>
      <c r="HD644" s="259"/>
      <c r="HE644" s="259"/>
      <c r="HF644" s="259"/>
      <c r="HG644" s="259"/>
      <c r="HH644" s="259"/>
      <c r="HI644" s="259"/>
      <c r="HJ644" s="259"/>
      <c r="HK644" s="259"/>
      <c r="HL644" s="259"/>
      <c r="HM644" s="259"/>
      <c r="HN644" s="259"/>
      <c r="HO644" s="259"/>
      <c r="HP644" s="259"/>
      <c r="HQ644" s="259"/>
      <c r="HR644" s="259"/>
      <c r="HS644" s="259"/>
      <c r="HT644" s="259"/>
      <c r="HU644" s="259"/>
      <c r="HV644" s="259"/>
      <c r="HW644" s="259"/>
      <c r="HX644" s="259"/>
      <c r="HY644" s="259"/>
      <c r="HZ644" s="259"/>
      <c r="IA644" s="259"/>
      <c r="IB644" s="259"/>
      <c r="IC644" s="259"/>
      <c r="ID644" s="259"/>
      <c r="IE644" s="259"/>
      <c r="IF644" s="259"/>
      <c r="IG644" s="259"/>
      <c r="IH644" s="259"/>
      <c r="II644" s="259"/>
      <c r="IJ644" s="259"/>
      <c r="IK644" s="259"/>
      <c r="IL644" s="259"/>
      <c r="IM644" s="259"/>
      <c r="IN644" s="259"/>
      <c r="IO644" s="259"/>
      <c r="IP644" s="259"/>
      <c r="IQ644" s="259"/>
      <c r="IR644" s="259"/>
      <c r="IS644" s="259"/>
      <c r="IT644" s="259"/>
      <c r="IU644" s="259"/>
      <c r="IV644" s="259"/>
      <c r="IW644" s="259"/>
      <c r="IX644" s="259"/>
      <c r="IY644" s="259"/>
      <c r="IZ644" s="259"/>
      <c r="JA644" s="259"/>
      <c r="JB644" s="259"/>
      <c r="JC644" s="259"/>
      <c r="JD644" s="259"/>
      <c r="JE644" s="259"/>
      <c r="JF644" s="259"/>
      <c r="JG644" s="259"/>
      <c r="JH644" s="259"/>
      <c r="JI644" s="259"/>
      <c r="JJ644" s="259"/>
      <c r="JK644" s="259"/>
      <c r="JL644" s="259"/>
      <c r="JM644" s="259"/>
      <c r="JN644" s="259"/>
      <c r="JO644" s="259"/>
      <c r="JP644" s="259"/>
      <c r="JQ644" s="259"/>
      <c r="JR644" s="259"/>
      <c r="JS644" s="259"/>
      <c r="JT644" s="259"/>
      <c r="JU644" s="259"/>
      <c r="JV644" s="259"/>
      <c r="JW644" s="259"/>
      <c r="JX644" s="259"/>
      <c r="JY644" s="259"/>
      <c r="JZ644" s="259"/>
      <c r="KA644" s="259"/>
      <c r="KB644" s="259"/>
      <c r="KC644" s="259"/>
      <c r="KD644" s="259"/>
      <c r="KE644" s="259"/>
      <c r="KF644" s="259"/>
      <c r="KG644" s="259"/>
      <c r="KH644" s="259"/>
      <c r="KI644" s="259"/>
      <c r="KJ644" s="259"/>
      <c r="KK644" s="259"/>
      <c r="KL644" s="259"/>
      <c r="KM644" s="259"/>
      <c r="KN644" s="259"/>
      <c r="KO644" s="259"/>
      <c r="KP644" s="259"/>
      <c r="KQ644" s="259"/>
      <c r="KR644" s="259"/>
      <c r="KS644" s="259"/>
      <c r="KT644" s="259"/>
      <c r="KU644" s="259"/>
      <c r="KV644" s="259"/>
      <c r="KW644" s="259"/>
      <c r="KX644" s="259"/>
      <c r="KY644" s="259"/>
      <c r="KZ644" s="259"/>
      <c r="LA644" s="259"/>
      <c r="LB644" s="259"/>
      <c r="LC644" s="259"/>
      <c r="LD644" s="259"/>
      <c r="LE644" s="259"/>
      <c r="LF644" s="259"/>
      <c r="LG644" s="259"/>
      <c r="LH644" s="259"/>
      <c r="LI644" s="259"/>
      <c r="LJ644" s="259"/>
      <c r="LK644" s="259"/>
      <c r="LL644" s="259"/>
      <c r="LM644" s="259"/>
      <c r="LN644" s="259"/>
      <c r="LO644" s="259"/>
      <c r="LP644" s="259"/>
      <c r="LQ644" s="259"/>
      <c r="LR644" s="259"/>
      <c r="LS644" s="259"/>
      <c r="LT644" s="259"/>
      <c r="LU644" s="259"/>
      <c r="LV644" s="259"/>
      <c r="LW644" s="259"/>
      <c r="LX644" s="259"/>
      <c r="LY644" s="259"/>
      <c r="LZ644" s="259"/>
      <c r="MA644" s="259"/>
      <c r="MB644" s="259"/>
      <c r="MC644" s="259"/>
      <c r="MD644" s="259"/>
      <c r="ME644" s="259"/>
      <c r="MF644" s="259"/>
      <c r="MG644" s="259"/>
      <c r="MH644" s="259"/>
      <c r="MI644" s="259"/>
      <c r="MJ644" s="259"/>
      <c r="MK644" s="259"/>
      <c r="ML644" s="259"/>
      <c r="MM644" s="259"/>
      <c r="MN644" s="259"/>
      <c r="MO644" s="259"/>
      <c r="MP644" s="259"/>
      <c r="MQ644" s="259"/>
      <c r="MR644" s="259"/>
      <c r="MS644" s="259"/>
      <c r="MT644" s="259"/>
      <c r="MU644" s="259"/>
      <c r="MV644" s="259"/>
      <c r="MW644" s="259"/>
      <c r="MX644" s="259"/>
      <c r="MY644" s="259"/>
      <c r="MZ644" s="259"/>
      <c r="NA644" s="259"/>
      <c r="NB644" s="259"/>
      <c r="NC644" s="259"/>
      <c r="ND644" s="259"/>
      <c r="NE644" s="259"/>
      <c r="NF644" s="259"/>
      <c r="NG644" s="259"/>
      <c r="NH644" s="259"/>
      <c r="NI644" s="259"/>
      <c r="NJ644" s="259"/>
      <c r="NK644" s="259"/>
      <c r="NL644" s="259"/>
      <c r="NM644" s="259"/>
      <c r="NN644" s="259"/>
      <c r="NO644" s="259"/>
      <c r="NP644" s="259"/>
      <c r="NQ644" s="259"/>
      <c r="NR644" s="259"/>
      <c r="NS644" s="259"/>
      <c r="NT644" s="259"/>
      <c r="NU644" s="259"/>
      <c r="NV644" s="259"/>
      <c r="NW644" s="259"/>
      <c r="NX644" s="259"/>
      <c r="NY644" s="259"/>
      <c r="NZ644" s="259"/>
      <c r="OA644" s="259"/>
      <c r="OB644" s="259"/>
      <c r="OC644" s="259"/>
      <c r="OD644" s="259"/>
      <c r="OE644" s="259"/>
      <c r="OF644" s="259"/>
      <c r="OG644" s="259"/>
      <c r="OH644" s="259"/>
      <c r="OI644" s="259"/>
      <c r="OJ644" s="259"/>
      <c r="OK644" s="259"/>
      <c r="OL644" s="259"/>
      <c r="OM644" s="259"/>
      <c r="ON644" s="259"/>
      <c r="OO644" s="259"/>
      <c r="OP644" s="259"/>
      <c r="OQ644" s="259"/>
      <c r="OR644" s="259"/>
      <c r="OS644" s="259"/>
      <c r="OT644" s="259"/>
      <c r="OU644" s="259"/>
      <c r="OV644" s="259"/>
      <c r="OW644" s="259"/>
      <c r="OX644" s="259"/>
      <c r="OY644" s="259"/>
      <c r="OZ644" s="259"/>
      <c r="PA644" s="259"/>
      <c r="PB644" s="259"/>
      <c r="PC644" s="259"/>
      <c r="PD644" s="259"/>
      <c r="PE644" s="259"/>
      <c r="PF644" s="259"/>
      <c r="PG644" s="259"/>
      <c r="PH644" s="259"/>
      <c r="PI644" s="259"/>
      <c r="PJ644" s="259"/>
      <c r="PK644" s="259"/>
      <c r="PL644" s="259"/>
      <c r="PM644" s="259"/>
      <c r="PN644" s="259"/>
      <c r="PO644" s="259"/>
      <c r="PP644" s="259"/>
      <c r="PQ644" s="259"/>
      <c r="PR644" s="259"/>
      <c r="PS644" s="259"/>
      <c r="PT644" s="259"/>
      <c r="PU644" s="259"/>
      <c r="PV644" s="259"/>
      <c r="PW644" s="259"/>
      <c r="PX644" s="259"/>
      <c r="PY644" s="259"/>
      <c r="PZ644" s="259"/>
      <c r="QA644" s="259"/>
      <c r="QB644" s="259"/>
      <c r="QC644" s="259"/>
      <c r="QD644" s="259"/>
      <c r="QE644" s="259"/>
      <c r="QF644" s="259"/>
      <c r="QG644" s="259"/>
      <c r="QH644" s="259"/>
      <c r="QI644" s="259"/>
      <c r="QJ644" s="259"/>
      <c r="QK644" s="259"/>
      <c r="QL644" s="259"/>
      <c r="QM644" s="259"/>
      <c r="QN644" s="259"/>
      <c r="QO644" s="259"/>
      <c r="QP644" s="259"/>
      <c r="QQ644" s="259"/>
      <c r="QR644" s="259"/>
      <c r="QS644" s="259"/>
      <c r="QT644" s="259"/>
      <c r="QU644" s="259"/>
      <c r="QV644" s="259"/>
      <c r="QW644" s="259"/>
      <c r="QX644" s="259"/>
      <c r="QY644" s="259"/>
      <c r="QZ644" s="259"/>
      <c r="RA644" s="259"/>
      <c r="RB644" s="259"/>
      <c r="RC644" s="259"/>
      <c r="RD644" s="259"/>
      <c r="RE644" s="259"/>
      <c r="RF644" s="259"/>
      <c r="RG644" s="259"/>
      <c r="RH644" s="259"/>
      <c r="RI644" s="259"/>
      <c r="RJ644" s="259"/>
      <c r="RK644" s="259"/>
      <c r="RL644" s="259"/>
      <c r="RM644" s="259"/>
      <c r="RN644" s="259"/>
      <c r="RO644" s="259"/>
      <c r="RP644" s="259"/>
      <c r="RQ644" s="259"/>
      <c r="RR644" s="259"/>
      <c r="RS644" s="259"/>
      <c r="RT644" s="259"/>
      <c r="RU644" s="259"/>
      <c r="RV644" s="259"/>
      <c r="RW644" s="259"/>
      <c r="RX644" s="259"/>
      <c r="RY644" s="259"/>
      <c r="RZ644" s="259"/>
      <c r="SA644" s="259"/>
      <c r="SB644" s="259"/>
      <c r="SC644" s="259"/>
      <c r="SD644" s="259"/>
      <c r="SE644" s="259"/>
      <c r="SF644" s="259"/>
      <c r="SG644" s="259"/>
      <c r="SH644" s="259"/>
      <c r="SI644" s="259"/>
      <c r="SJ644" s="259"/>
      <c r="SK644" s="259"/>
      <c r="SL644" s="259"/>
      <c r="SM644" s="259"/>
      <c r="SN644" s="259"/>
      <c r="SO644" s="259"/>
      <c r="SP644" s="259"/>
      <c r="SQ644" s="259"/>
      <c r="SR644" s="259"/>
      <c r="SS644" s="259"/>
      <c r="ST644" s="259"/>
      <c r="SU644" s="259"/>
      <c r="SV644" s="259"/>
      <c r="SW644" s="259"/>
      <c r="SX644" s="259"/>
      <c r="SY644" s="259"/>
      <c r="SZ644" s="259"/>
      <c r="TA644" s="259"/>
      <c r="TB644" s="259"/>
      <c r="TC644" s="259"/>
      <c r="TD644" s="259"/>
      <c r="TE644" s="259"/>
      <c r="TF644" s="259"/>
      <c r="TG644" s="259"/>
      <c r="TH644" s="259"/>
      <c r="TI644" s="259"/>
      <c r="TJ644" s="259"/>
      <c r="TK644" s="259"/>
      <c r="TL644" s="259"/>
      <c r="TM644" s="259"/>
      <c r="TN644" s="259"/>
      <c r="TO644" s="259"/>
      <c r="TP644" s="259"/>
      <c r="TQ644" s="259"/>
      <c r="TR644" s="259"/>
      <c r="TS644" s="259"/>
      <c r="TT644" s="259"/>
      <c r="TU644" s="259"/>
      <c r="TV644" s="259"/>
      <c r="TW644" s="259"/>
      <c r="TX644" s="259"/>
      <c r="TY644" s="259"/>
      <c r="TZ644" s="259"/>
      <c r="UA644" s="259"/>
      <c r="UB644" s="259"/>
      <c r="UC644" s="259"/>
      <c r="UD644" s="259"/>
      <c r="UE644" s="259"/>
      <c r="UF644" s="259"/>
      <c r="UG644" s="259"/>
      <c r="UH644" s="259"/>
      <c r="UI644" s="259"/>
    </row>
    <row r="645" spans="1:555" s="685" customFormat="1" ht="135">
      <c r="A645" s="502">
        <v>467</v>
      </c>
      <c r="B645" s="686" t="s">
        <v>4543</v>
      </c>
      <c r="C645" s="687">
        <v>6208995</v>
      </c>
      <c r="D645" s="688" t="s">
        <v>906</v>
      </c>
      <c r="E645" s="27">
        <v>42786</v>
      </c>
      <c r="F645" s="689">
        <v>42767</v>
      </c>
      <c r="G645" s="690" t="s">
        <v>271</v>
      </c>
      <c r="H645" s="686" t="s">
        <v>625</v>
      </c>
      <c r="I645" s="686" t="s">
        <v>183</v>
      </c>
      <c r="J645" s="27">
        <v>42781</v>
      </c>
      <c r="K645" s="689">
        <v>42767</v>
      </c>
      <c r="L645" s="690" t="s">
        <v>4544</v>
      </c>
      <c r="M645" s="686" t="s">
        <v>625</v>
      </c>
      <c r="N645" s="686" t="s">
        <v>4496</v>
      </c>
      <c r="O645" s="27">
        <v>42858</v>
      </c>
      <c r="P645" s="691">
        <v>42856</v>
      </c>
      <c r="Q645" s="690" t="s">
        <v>4545</v>
      </c>
      <c r="R645" s="686" t="s">
        <v>1493</v>
      </c>
      <c r="S645" s="686" t="s">
        <v>4546</v>
      </c>
      <c r="T645" s="27">
        <v>42859</v>
      </c>
      <c r="U645" s="689">
        <v>42856</v>
      </c>
      <c r="V645" s="690" t="s">
        <v>4547</v>
      </c>
      <c r="W645" s="686" t="s">
        <v>625</v>
      </c>
      <c r="X645" s="686" t="s">
        <v>3423</v>
      </c>
      <c r="Y645" s="27">
        <v>42915</v>
      </c>
      <c r="Z645" s="689">
        <v>42887</v>
      </c>
      <c r="AA645" s="690" t="s">
        <v>4549</v>
      </c>
      <c r="AB645" s="686" t="s">
        <v>171</v>
      </c>
      <c r="AC645" s="686" t="s">
        <v>4550</v>
      </c>
      <c r="AD645" s="27">
        <v>43207</v>
      </c>
      <c r="AE645" s="689">
        <v>43191</v>
      </c>
      <c r="AF645" s="690" t="s">
        <v>4551</v>
      </c>
      <c r="AG645" s="686" t="s">
        <v>5</v>
      </c>
      <c r="AH645" s="686" t="s">
        <v>570</v>
      </c>
      <c r="AI645" s="704"/>
      <c r="AJ645" s="689"/>
      <c r="AK645" s="690"/>
      <c r="AL645" s="686"/>
      <c r="AM645" s="686"/>
      <c r="AN645" s="686" t="s">
        <v>4552</v>
      </c>
      <c r="AO645" s="705"/>
      <c r="AP645" s="686" t="s">
        <v>2558</v>
      </c>
      <c r="AQ645" s="690" t="s">
        <v>4553</v>
      </c>
      <c r="AR645" s="686" t="s">
        <v>161</v>
      </c>
      <c r="AS645" s="27">
        <v>34625</v>
      </c>
      <c r="AT645" s="27">
        <v>40846</v>
      </c>
      <c r="AU645" s="686" t="s">
        <v>4554</v>
      </c>
      <c r="AV645" s="686"/>
      <c r="AW645" s="686" t="s">
        <v>69</v>
      </c>
      <c r="AX645" s="686" t="s">
        <v>3492</v>
      </c>
      <c r="AY645" s="27">
        <v>42109</v>
      </c>
      <c r="AZ645" s="686" t="s">
        <v>94</v>
      </c>
      <c r="BA645" s="27">
        <v>42775</v>
      </c>
      <c r="BB645" s="27">
        <v>42780</v>
      </c>
      <c r="BC645" s="701" t="s">
        <v>912</v>
      </c>
      <c r="BD645" s="701" t="s">
        <v>566</v>
      </c>
      <c r="BE645" s="686"/>
      <c r="BF645" s="690"/>
      <c r="BG645" s="690"/>
      <c r="BH645" s="690"/>
      <c r="BI645" s="690"/>
      <c r="BJ645" s="803">
        <f>+[187]MATRIZ!$J$43</f>
        <v>0</v>
      </c>
      <c r="BK645" s="696"/>
      <c r="BL645" s="697"/>
      <c r="BM645" s="27"/>
      <c r="BN645" s="689"/>
      <c r="BO645" s="699"/>
      <c r="BP645" s="700"/>
      <c r="BQ645" s="686"/>
      <c r="BR645" s="701"/>
      <c r="BS645" s="690"/>
      <c r="BT645" s="690"/>
      <c r="BU645" s="690"/>
      <c r="BV645" s="690"/>
      <c r="BW645" s="702"/>
      <c r="BX645" s="693"/>
      <c r="BY645" s="27"/>
      <c r="BZ645" s="703"/>
      <c r="CA645" s="259"/>
      <c r="CB645" s="259"/>
      <c r="CC645" s="259"/>
      <c r="CD645" s="259"/>
      <c r="CE645" s="259"/>
      <c r="CF645" s="259"/>
      <c r="CG645" s="259"/>
      <c r="CH645" s="259"/>
      <c r="CI645" s="259"/>
      <c r="CJ645" s="259"/>
      <c r="CK645" s="259"/>
      <c r="CL645" s="259"/>
      <c r="CM645" s="259"/>
      <c r="CN645" s="259"/>
      <c r="CO645" s="259"/>
      <c r="CP645" s="259"/>
      <c r="CQ645" s="259"/>
      <c r="CR645" s="259"/>
      <c r="CS645" s="259"/>
      <c r="CT645" s="259"/>
      <c r="CU645" s="259"/>
      <c r="CV645" s="259"/>
      <c r="CW645" s="259"/>
      <c r="CX645" s="259"/>
      <c r="CY645" s="259"/>
      <c r="CZ645" s="259"/>
      <c r="DA645" s="259"/>
      <c r="DB645" s="259"/>
      <c r="DC645" s="259"/>
      <c r="DD645" s="259"/>
      <c r="DE645" s="259"/>
      <c r="DF645" s="259"/>
      <c r="DG645" s="259"/>
      <c r="DH645" s="259"/>
      <c r="DI645" s="259"/>
      <c r="DJ645" s="259"/>
      <c r="DK645" s="259"/>
      <c r="DL645" s="259"/>
      <c r="DM645" s="259"/>
      <c r="DN645" s="259"/>
      <c r="DO645" s="259"/>
      <c r="DP645" s="259"/>
      <c r="DQ645" s="259"/>
      <c r="DR645" s="259"/>
      <c r="DS645" s="259"/>
      <c r="DT645" s="259"/>
      <c r="DU645" s="259"/>
      <c r="DV645" s="259"/>
      <c r="DW645" s="259"/>
      <c r="DX645" s="259"/>
      <c r="DY645" s="259"/>
      <c r="DZ645" s="259"/>
      <c r="EA645" s="259"/>
      <c r="EB645" s="259"/>
      <c r="EC645" s="259"/>
      <c r="ED645" s="259"/>
      <c r="EE645" s="259"/>
      <c r="EF645" s="259"/>
      <c r="EG645" s="259"/>
      <c r="EH645" s="259"/>
      <c r="EI645" s="259"/>
      <c r="EJ645" s="259"/>
      <c r="EK645" s="259"/>
      <c r="EL645" s="259"/>
      <c r="EM645" s="259"/>
      <c r="EN645" s="259"/>
      <c r="EO645" s="259"/>
      <c r="EP645" s="259"/>
      <c r="EQ645" s="259"/>
      <c r="ER645" s="259"/>
      <c r="ES645" s="259"/>
      <c r="ET645" s="259"/>
      <c r="EU645" s="259"/>
      <c r="EV645" s="259"/>
      <c r="EW645" s="259"/>
      <c r="EX645" s="259"/>
      <c r="EY645" s="259"/>
      <c r="EZ645" s="259"/>
      <c r="FA645" s="259"/>
      <c r="FB645" s="259"/>
      <c r="FC645" s="259"/>
      <c r="FD645" s="259"/>
      <c r="FE645" s="259"/>
      <c r="FF645" s="259"/>
      <c r="FG645" s="259"/>
      <c r="FH645" s="259"/>
      <c r="FI645" s="259"/>
      <c r="FJ645" s="259"/>
      <c r="FK645" s="259"/>
      <c r="FL645" s="259"/>
      <c r="FM645" s="259"/>
      <c r="FN645" s="259"/>
      <c r="FO645" s="259"/>
      <c r="FP645" s="259"/>
      <c r="FQ645" s="259"/>
      <c r="FR645" s="259"/>
      <c r="FS645" s="259"/>
      <c r="FT645" s="259"/>
      <c r="FU645" s="259"/>
      <c r="FV645" s="259"/>
      <c r="FW645" s="259"/>
      <c r="FX645" s="259"/>
      <c r="FY645" s="259"/>
      <c r="FZ645" s="259"/>
      <c r="GA645" s="259"/>
      <c r="GB645" s="259"/>
      <c r="GC645" s="259"/>
      <c r="GD645" s="259"/>
      <c r="GE645" s="259"/>
      <c r="GF645" s="259"/>
      <c r="GG645" s="259"/>
      <c r="GH645" s="259"/>
      <c r="GI645" s="259"/>
      <c r="GJ645" s="259"/>
      <c r="GK645" s="259"/>
      <c r="GL645" s="259"/>
      <c r="GM645" s="259"/>
      <c r="GN645" s="259"/>
      <c r="GO645" s="259"/>
      <c r="GP645" s="259"/>
      <c r="GQ645" s="259"/>
      <c r="GR645" s="259"/>
      <c r="GS645" s="259"/>
      <c r="GT645" s="259"/>
      <c r="GU645" s="259"/>
      <c r="GV645" s="259"/>
      <c r="GW645" s="259"/>
      <c r="GX645" s="259"/>
      <c r="GY645" s="259"/>
      <c r="GZ645" s="259"/>
      <c r="HA645" s="259"/>
      <c r="HB645" s="259"/>
      <c r="HC645" s="259"/>
      <c r="HD645" s="259"/>
      <c r="HE645" s="259"/>
      <c r="HF645" s="259"/>
      <c r="HG645" s="259"/>
      <c r="HH645" s="259"/>
      <c r="HI645" s="259"/>
      <c r="HJ645" s="259"/>
      <c r="HK645" s="259"/>
      <c r="HL645" s="259"/>
      <c r="HM645" s="259"/>
      <c r="HN645" s="259"/>
      <c r="HO645" s="259"/>
      <c r="HP645" s="259"/>
      <c r="HQ645" s="259"/>
      <c r="HR645" s="259"/>
      <c r="HS645" s="259"/>
      <c r="HT645" s="259"/>
      <c r="HU645" s="259"/>
      <c r="HV645" s="259"/>
      <c r="HW645" s="259"/>
      <c r="HX645" s="259"/>
      <c r="HY645" s="259"/>
      <c r="HZ645" s="259"/>
      <c r="IA645" s="259"/>
      <c r="IB645" s="259"/>
      <c r="IC645" s="259"/>
      <c r="ID645" s="259"/>
      <c r="IE645" s="259"/>
      <c r="IF645" s="259"/>
      <c r="IG645" s="259"/>
      <c r="IH645" s="259"/>
      <c r="II645" s="259"/>
      <c r="IJ645" s="259"/>
      <c r="IK645" s="259"/>
      <c r="IL645" s="259"/>
      <c r="IM645" s="259"/>
      <c r="IN645" s="259"/>
      <c r="IO645" s="259"/>
      <c r="IP645" s="259"/>
      <c r="IQ645" s="259"/>
      <c r="IR645" s="259"/>
      <c r="IS645" s="259"/>
      <c r="IT645" s="259"/>
      <c r="IU645" s="259"/>
      <c r="IV645" s="259"/>
      <c r="IW645" s="259"/>
      <c r="IX645" s="259"/>
      <c r="IY645" s="259"/>
      <c r="IZ645" s="259"/>
      <c r="JA645" s="259"/>
      <c r="JB645" s="259"/>
      <c r="JC645" s="259"/>
      <c r="JD645" s="259"/>
      <c r="JE645" s="259"/>
      <c r="JF645" s="259"/>
      <c r="JG645" s="259"/>
      <c r="JH645" s="259"/>
      <c r="JI645" s="259"/>
      <c r="JJ645" s="259"/>
      <c r="JK645" s="259"/>
      <c r="JL645" s="259"/>
      <c r="JM645" s="259"/>
      <c r="JN645" s="259"/>
      <c r="JO645" s="259"/>
      <c r="JP645" s="259"/>
      <c r="JQ645" s="259"/>
      <c r="JR645" s="259"/>
      <c r="JS645" s="259"/>
      <c r="JT645" s="259"/>
      <c r="JU645" s="259"/>
      <c r="JV645" s="259"/>
      <c r="JW645" s="259"/>
      <c r="JX645" s="259"/>
      <c r="JY645" s="259"/>
      <c r="JZ645" s="259"/>
      <c r="KA645" s="259"/>
      <c r="KB645" s="259"/>
      <c r="KC645" s="259"/>
      <c r="KD645" s="259"/>
      <c r="KE645" s="259"/>
      <c r="KF645" s="259"/>
      <c r="KG645" s="259"/>
      <c r="KH645" s="259"/>
      <c r="KI645" s="259"/>
      <c r="KJ645" s="259"/>
      <c r="KK645" s="259"/>
      <c r="KL645" s="259"/>
      <c r="KM645" s="259"/>
      <c r="KN645" s="259"/>
      <c r="KO645" s="259"/>
      <c r="KP645" s="259"/>
      <c r="KQ645" s="259"/>
      <c r="KR645" s="259"/>
      <c r="KS645" s="259"/>
      <c r="KT645" s="259"/>
      <c r="KU645" s="259"/>
      <c r="KV645" s="259"/>
      <c r="KW645" s="259"/>
      <c r="KX645" s="259"/>
      <c r="KY645" s="259"/>
      <c r="KZ645" s="259"/>
      <c r="LA645" s="259"/>
      <c r="LB645" s="259"/>
      <c r="LC645" s="259"/>
      <c r="LD645" s="259"/>
      <c r="LE645" s="259"/>
      <c r="LF645" s="259"/>
      <c r="LG645" s="259"/>
      <c r="LH645" s="259"/>
      <c r="LI645" s="259"/>
      <c r="LJ645" s="259"/>
      <c r="LK645" s="259"/>
      <c r="LL645" s="259"/>
      <c r="LM645" s="259"/>
      <c r="LN645" s="259"/>
      <c r="LO645" s="259"/>
      <c r="LP645" s="259"/>
      <c r="LQ645" s="259"/>
      <c r="LR645" s="259"/>
      <c r="LS645" s="259"/>
      <c r="LT645" s="259"/>
      <c r="LU645" s="259"/>
      <c r="LV645" s="259"/>
      <c r="LW645" s="259"/>
      <c r="LX645" s="259"/>
      <c r="LY645" s="259"/>
      <c r="LZ645" s="259"/>
      <c r="MA645" s="259"/>
      <c r="MB645" s="259"/>
      <c r="MC645" s="259"/>
      <c r="MD645" s="259"/>
      <c r="ME645" s="259"/>
      <c r="MF645" s="259"/>
      <c r="MG645" s="259"/>
      <c r="MH645" s="259"/>
      <c r="MI645" s="259"/>
      <c r="MJ645" s="259"/>
      <c r="MK645" s="259"/>
      <c r="ML645" s="259"/>
      <c r="MM645" s="259"/>
      <c r="MN645" s="259"/>
      <c r="MO645" s="259"/>
      <c r="MP645" s="259"/>
      <c r="MQ645" s="259"/>
      <c r="MR645" s="259"/>
      <c r="MS645" s="259"/>
      <c r="MT645" s="259"/>
      <c r="MU645" s="259"/>
      <c r="MV645" s="259"/>
      <c r="MW645" s="259"/>
      <c r="MX645" s="259"/>
      <c r="MY645" s="259"/>
      <c r="MZ645" s="259"/>
      <c r="NA645" s="259"/>
      <c r="NB645" s="259"/>
      <c r="NC645" s="259"/>
      <c r="ND645" s="259"/>
      <c r="NE645" s="259"/>
      <c r="NF645" s="259"/>
      <c r="NG645" s="259"/>
      <c r="NH645" s="259"/>
      <c r="NI645" s="259"/>
      <c r="NJ645" s="259"/>
      <c r="NK645" s="259"/>
      <c r="NL645" s="259"/>
      <c r="NM645" s="259"/>
      <c r="NN645" s="259"/>
      <c r="NO645" s="259"/>
      <c r="NP645" s="259"/>
      <c r="NQ645" s="259"/>
      <c r="NR645" s="259"/>
      <c r="NS645" s="259"/>
      <c r="NT645" s="259"/>
      <c r="NU645" s="259"/>
      <c r="NV645" s="259"/>
      <c r="NW645" s="259"/>
      <c r="NX645" s="259"/>
      <c r="NY645" s="259"/>
      <c r="NZ645" s="259"/>
      <c r="OA645" s="259"/>
      <c r="OB645" s="259"/>
      <c r="OC645" s="259"/>
      <c r="OD645" s="259"/>
      <c r="OE645" s="259"/>
      <c r="OF645" s="259"/>
      <c r="OG645" s="259"/>
      <c r="OH645" s="259"/>
      <c r="OI645" s="259"/>
      <c r="OJ645" s="259"/>
      <c r="OK645" s="259"/>
      <c r="OL645" s="259"/>
      <c r="OM645" s="259"/>
      <c r="ON645" s="259"/>
      <c r="OO645" s="259"/>
      <c r="OP645" s="259"/>
      <c r="OQ645" s="259"/>
      <c r="OR645" s="259"/>
      <c r="OS645" s="259"/>
      <c r="OT645" s="259"/>
      <c r="OU645" s="259"/>
      <c r="OV645" s="259"/>
      <c r="OW645" s="259"/>
      <c r="OX645" s="259"/>
      <c r="OY645" s="259"/>
      <c r="OZ645" s="259"/>
      <c r="PA645" s="259"/>
      <c r="PB645" s="259"/>
      <c r="PC645" s="259"/>
      <c r="PD645" s="259"/>
      <c r="PE645" s="259"/>
      <c r="PF645" s="259"/>
      <c r="PG645" s="259"/>
      <c r="PH645" s="259"/>
      <c r="PI645" s="259"/>
      <c r="PJ645" s="259"/>
      <c r="PK645" s="259"/>
      <c r="PL645" s="259"/>
      <c r="PM645" s="259"/>
      <c r="PN645" s="259"/>
      <c r="PO645" s="259"/>
      <c r="PP645" s="259"/>
      <c r="PQ645" s="259"/>
      <c r="PR645" s="259"/>
      <c r="PS645" s="259"/>
      <c r="PT645" s="259"/>
      <c r="PU645" s="259"/>
      <c r="PV645" s="259"/>
      <c r="PW645" s="259"/>
      <c r="PX645" s="259"/>
      <c r="PY645" s="259"/>
      <c r="PZ645" s="259"/>
      <c r="QA645" s="259"/>
      <c r="QB645" s="259"/>
      <c r="QC645" s="259"/>
      <c r="QD645" s="259"/>
      <c r="QE645" s="259"/>
      <c r="QF645" s="259"/>
      <c r="QG645" s="259"/>
      <c r="QH645" s="259"/>
      <c r="QI645" s="259"/>
      <c r="QJ645" s="259"/>
      <c r="QK645" s="259"/>
      <c r="QL645" s="259"/>
      <c r="QM645" s="259"/>
      <c r="QN645" s="259"/>
      <c r="QO645" s="259"/>
      <c r="QP645" s="259"/>
      <c r="QQ645" s="259"/>
      <c r="QR645" s="259"/>
      <c r="QS645" s="259"/>
      <c r="QT645" s="259"/>
      <c r="QU645" s="259"/>
      <c r="QV645" s="259"/>
      <c r="QW645" s="259"/>
      <c r="QX645" s="259"/>
      <c r="QY645" s="259"/>
      <c r="QZ645" s="259"/>
      <c r="RA645" s="259"/>
      <c r="RB645" s="259"/>
      <c r="RC645" s="259"/>
      <c r="RD645" s="259"/>
      <c r="RE645" s="259"/>
      <c r="RF645" s="259"/>
      <c r="RG645" s="259"/>
      <c r="RH645" s="259"/>
      <c r="RI645" s="259"/>
      <c r="RJ645" s="259"/>
      <c r="RK645" s="259"/>
      <c r="RL645" s="259"/>
      <c r="RM645" s="259"/>
      <c r="RN645" s="259"/>
      <c r="RO645" s="259"/>
      <c r="RP645" s="259"/>
      <c r="RQ645" s="259"/>
      <c r="RR645" s="259"/>
      <c r="RS645" s="259"/>
      <c r="RT645" s="259"/>
      <c r="RU645" s="259"/>
      <c r="RV645" s="259"/>
      <c r="RW645" s="259"/>
      <c r="RX645" s="259"/>
      <c r="RY645" s="259"/>
      <c r="RZ645" s="259"/>
      <c r="SA645" s="259"/>
      <c r="SB645" s="259"/>
      <c r="SC645" s="259"/>
      <c r="SD645" s="259"/>
      <c r="SE645" s="259"/>
      <c r="SF645" s="259"/>
      <c r="SG645" s="259"/>
      <c r="SH645" s="259"/>
      <c r="SI645" s="259"/>
      <c r="SJ645" s="259"/>
      <c r="SK645" s="259"/>
      <c r="SL645" s="259"/>
      <c r="SM645" s="259"/>
      <c r="SN645" s="259"/>
      <c r="SO645" s="259"/>
      <c r="SP645" s="259"/>
      <c r="SQ645" s="259"/>
      <c r="SR645" s="259"/>
      <c r="SS645" s="259"/>
      <c r="ST645" s="259"/>
      <c r="SU645" s="259"/>
      <c r="SV645" s="259"/>
      <c r="SW645" s="259"/>
      <c r="SX645" s="259"/>
      <c r="SY645" s="259"/>
      <c r="SZ645" s="259"/>
      <c r="TA645" s="259"/>
      <c r="TB645" s="259"/>
      <c r="TC645" s="259"/>
      <c r="TD645" s="259"/>
      <c r="TE645" s="259"/>
      <c r="TF645" s="259"/>
      <c r="TG645" s="259"/>
      <c r="TH645" s="259"/>
      <c r="TI645" s="259"/>
      <c r="TJ645" s="259"/>
      <c r="TK645" s="259"/>
      <c r="TL645" s="259"/>
      <c r="TM645" s="259"/>
      <c r="TN645" s="259"/>
      <c r="TO645" s="259"/>
      <c r="TP645" s="259"/>
      <c r="TQ645" s="259"/>
      <c r="TR645" s="259"/>
      <c r="TS645" s="259"/>
      <c r="TT645" s="259"/>
      <c r="TU645" s="259"/>
      <c r="TV645" s="259"/>
      <c r="TW645" s="259"/>
      <c r="TX645" s="259"/>
      <c r="TY645" s="259"/>
      <c r="TZ645" s="259"/>
      <c r="UA645" s="259"/>
      <c r="UB645" s="259"/>
      <c r="UC645" s="259"/>
      <c r="UD645" s="259"/>
      <c r="UE645" s="259"/>
      <c r="UF645" s="259"/>
      <c r="UG645" s="259"/>
      <c r="UH645" s="259"/>
      <c r="UI645" s="259"/>
    </row>
    <row r="646" spans="1:555" s="259" customFormat="1" ht="90.75" customHeight="1">
      <c r="A646" s="502">
        <v>468</v>
      </c>
      <c r="B646" s="686" t="s">
        <v>4555</v>
      </c>
      <c r="C646" s="687">
        <v>192077117</v>
      </c>
      <c r="D646" s="688" t="s">
        <v>906</v>
      </c>
      <c r="E646" s="27">
        <v>42786</v>
      </c>
      <c r="F646" s="689">
        <v>42767</v>
      </c>
      <c r="G646" s="690" t="s">
        <v>271</v>
      </c>
      <c r="H646" s="686" t="s">
        <v>625</v>
      </c>
      <c r="I646" s="686" t="s">
        <v>183</v>
      </c>
      <c r="J646" s="27">
        <v>42793</v>
      </c>
      <c r="K646" s="689">
        <v>42767</v>
      </c>
      <c r="L646" s="690" t="s">
        <v>4556</v>
      </c>
      <c r="M646" s="686" t="s">
        <v>4495</v>
      </c>
      <c r="N646" s="686" t="s">
        <v>3423</v>
      </c>
      <c r="O646" s="27">
        <v>42809</v>
      </c>
      <c r="P646" s="691">
        <v>42795</v>
      </c>
      <c r="Q646" s="690" t="s">
        <v>4557</v>
      </c>
      <c r="R646" s="686" t="s">
        <v>4558</v>
      </c>
      <c r="S646" s="686"/>
      <c r="T646" s="27">
        <v>36206</v>
      </c>
      <c r="U646" s="689">
        <v>40908</v>
      </c>
      <c r="V646" s="690" t="s">
        <v>4559</v>
      </c>
      <c r="W646" s="686" t="s">
        <v>625</v>
      </c>
      <c r="X646" s="686" t="s">
        <v>4496</v>
      </c>
      <c r="Y646" s="27">
        <v>44077</v>
      </c>
      <c r="Z646" s="689">
        <v>44077</v>
      </c>
      <c r="AA646" s="690" t="s">
        <v>9619</v>
      </c>
      <c r="AB646" s="686" t="s">
        <v>9612</v>
      </c>
      <c r="AC646" s="686" t="s">
        <v>9620</v>
      </c>
      <c r="AD646" s="27">
        <v>44258</v>
      </c>
      <c r="AE646" s="689">
        <v>44258</v>
      </c>
      <c r="AF646" s="690" t="s">
        <v>10395</v>
      </c>
      <c r="AG646" s="686" t="s">
        <v>5</v>
      </c>
      <c r="AH646" s="686" t="s">
        <v>85</v>
      </c>
      <c r="AI646" s="704"/>
      <c r="AJ646" s="689"/>
      <c r="AK646" s="690"/>
      <c r="AL646" s="686"/>
      <c r="AM646" s="686"/>
      <c r="AN646" s="686" t="s">
        <v>3671</v>
      </c>
      <c r="AO646" s="705"/>
      <c r="AP646" s="686"/>
      <c r="AQ646" s="690" t="s">
        <v>4560</v>
      </c>
      <c r="AR646" s="686" t="s">
        <v>161</v>
      </c>
      <c r="AS646" s="27">
        <v>36383</v>
      </c>
      <c r="AT646" s="27">
        <v>40908</v>
      </c>
      <c r="AU646" s="686" t="s">
        <v>4561</v>
      </c>
      <c r="AV646" s="686"/>
      <c r="AW646" s="686" t="s">
        <v>69</v>
      </c>
      <c r="AX646" s="686" t="s">
        <v>4562</v>
      </c>
      <c r="AY646" s="27">
        <v>42521</v>
      </c>
      <c r="AZ646" s="686" t="s">
        <v>94</v>
      </c>
      <c r="BA646" s="27">
        <v>42766</v>
      </c>
      <c r="BB646" s="27">
        <v>42779</v>
      </c>
      <c r="BC646" s="701" t="s">
        <v>912</v>
      </c>
      <c r="BD646" s="701" t="s">
        <v>566</v>
      </c>
      <c r="BE646" s="686"/>
      <c r="BF646" s="690"/>
      <c r="BG646" s="690"/>
      <c r="BH646" s="690"/>
      <c r="BI646" s="690"/>
      <c r="BJ646" s="803">
        <f>+[188]MATRIZ!$J$61</f>
        <v>0</v>
      </c>
      <c r="BK646" s="696"/>
      <c r="BL646" s="697"/>
      <c r="BM646" s="27"/>
      <c r="BN646" s="689"/>
      <c r="BO646" s="699"/>
      <c r="BP646" s="700"/>
      <c r="BQ646" s="686"/>
      <c r="BR646" s="701"/>
      <c r="BS646" s="690"/>
      <c r="BT646" s="690"/>
      <c r="BU646" s="690"/>
      <c r="BV646" s="690"/>
      <c r="BW646" s="702"/>
      <c r="BX646" s="693"/>
      <c r="BY646" s="27"/>
      <c r="BZ646" s="703"/>
    </row>
    <row r="647" spans="1:555" s="259" customFormat="1" ht="54">
      <c r="A647" s="502">
        <v>469</v>
      </c>
      <c r="B647" s="686" t="s">
        <v>4563</v>
      </c>
      <c r="C647" s="687">
        <v>83090752</v>
      </c>
      <c r="D647" s="688" t="s">
        <v>3645</v>
      </c>
      <c r="E647" s="27">
        <v>42786</v>
      </c>
      <c r="F647" s="689">
        <v>42767</v>
      </c>
      <c r="G647" s="690" t="s">
        <v>4564</v>
      </c>
      <c r="H647" s="686" t="s">
        <v>171</v>
      </c>
      <c r="I647" s="686" t="s">
        <v>1544</v>
      </c>
      <c r="J647" s="27">
        <v>43173</v>
      </c>
      <c r="K647" s="689">
        <v>43160</v>
      </c>
      <c r="L647" s="690" t="s">
        <v>4565</v>
      </c>
      <c r="M647" s="686" t="s">
        <v>63</v>
      </c>
      <c r="N647" s="686" t="s">
        <v>79</v>
      </c>
      <c r="O647" s="27">
        <v>43896</v>
      </c>
      <c r="P647" s="691">
        <v>43896</v>
      </c>
      <c r="Q647" s="690" t="s">
        <v>9493</v>
      </c>
      <c r="R647" s="686" t="s">
        <v>63</v>
      </c>
      <c r="S647" s="686" t="s">
        <v>8255</v>
      </c>
      <c r="T647" s="27"/>
      <c r="U647" s="689"/>
      <c r="V647" s="690"/>
      <c r="W647" s="686"/>
      <c r="X647" s="686"/>
      <c r="Y647" s="27"/>
      <c r="Z647" s="689"/>
      <c r="AA647" s="690"/>
      <c r="AB647" s="686"/>
      <c r="AC647" s="686"/>
      <c r="AD647" s="27"/>
      <c r="AE647" s="689"/>
      <c r="AF647" s="690"/>
      <c r="AG647" s="686"/>
      <c r="AH647" s="686"/>
      <c r="AI647" s="704"/>
      <c r="AJ647" s="689"/>
      <c r="AK647" s="690"/>
      <c r="AL647" s="686"/>
      <c r="AM647" s="686"/>
      <c r="AN647" s="686" t="s">
        <v>3671</v>
      </c>
      <c r="AO647" s="705"/>
      <c r="AP647" s="686"/>
      <c r="AQ647" s="690" t="s">
        <v>4566</v>
      </c>
      <c r="AR647" s="686" t="s">
        <v>161</v>
      </c>
      <c r="AS647" s="27">
        <v>38785</v>
      </c>
      <c r="AT647" s="27">
        <v>39813</v>
      </c>
      <c r="AU647" s="686" t="s">
        <v>4567</v>
      </c>
      <c r="AV647" s="686"/>
      <c r="AW647" s="686" t="s">
        <v>92</v>
      </c>
      <c r="AX647" s="686" t="s">
        <v>4568</v>
      </c>
      <c r="AY647" s="27">
        <v>41817</v>
      </c>
      <c r="AZ647" s="686" t="s">
        <v>2591</v>
      </c>
      <c r="BA647" s="27">
        <v>42421</v>
      </c>
      <c r="BB647" s="27">
        <v>42671</v>
      </c>
      <c r="BC647" s="686" t="s">
        <v>95</v>
      </c>
      <c r="BD647" s="686" t="s">
        <v>566</v>
      </c>
      <c r="BE647" s="686"/>
      <c r="BF647" s="690" t="s">
        <v>7329</v>
      </c>
      <c r="BG647" s="690"/>
      <c r="BH647" s="690"/>
      <c r="BI647" s="690"/>
      <c r="BJ647" s="803">
        <f>+[189]MATRIZ!$J$52</f>
        <v>0</v>
      </c>
      <c r="BK647" s="696"/>
      <c r="BL647" s="697"/>
      <c r="BM647" s="27"/>
      <c r="BN647" s="689"/>
      <c r="BO647" s="699"/>
      <c r="BP647" s="700"/>
      <c r="BQ647" s="686"/>
      <c r="BR647" s="701"/>
      <c r="BS647" s="690"/>
      <c r="BT647" s="690"/>
      <c r="BU647" s="690"/>
      <c r="BV647" s="690"/>
      <c r="BW647" s="702"/>
      <c r="BX647" s="693"/>
      <c r="BY647" s="27"/>
      <c r="BZ647" s="703"/>
    </row>
    <row r="648" spans="1:555" s="259" customFormat="1" ht="67.5">
      <c r="A648" s="57">
        <v>472</v>
      </c>
      <c r="B648" s="58" t="s">
        <v>4574</v>
      </c>
      <c r="C648" s="59">
        <v>80812226</v>
      </c>
      <c r="D648" s="170" t="s">
        <v>597</v>
      </c>
      <c r="E648" s="60">
        <v>42793</v>
      </c>
      <c r="F648" s="61">
        <v>42767</v>
      </c>
      <c r="G648" s="62" t="s">
        <v>4575</v>
      </c>
      <c r="H648" s="58" t="s">
        <v>94</v>
      </c>
      <c r="I648" s="58" t="s">
        <v>3423</v>
      </c>
      <c r="J648" s="60">
        <v>42940</v>
      </c>
      <c r="K648" s="61">
        <v>42917</v>
      </c>
      <c r="L648" s="62" t="s">
        <v>4576</v>
      </c>
      <c r="M648" s="58" t="s">
        <v>63</v>
      </c>
      <c r="N648" s="58" t="s">
        <v>101</v>
      </c>
      <c r="O648" s="60">
        <v>43032</v>
      </c>
      <c r="P648" s="63">
        <v>43009</v>
      </c>
      <c r="Q648" s="62" t="s">
        <v>4577</v>
      </c>
      <c r="R648" s="58" t="s">
        <v>63</v>
      </c>
      <c r="S648" s="58" t="s">
        <v>4578</v>
      </c>
      <c r="T648" s="60">
        <v>43564</v>
      </c>
      <c r="U648" s="61">
        <v>43564</v>
      </c>
      <c r="V648" s="62" t="s">
        <v>8665</v>
      </c>
      <c r="W648" s="58" t="s">
        <v>208</v>
      </c>
      <c r="X648" s="58" t="s">
        <v>8243</v>
      </c>
      <c r="Y648" s="60"/>
      <c r="Z648" s="61"/>
      <c r="AA648" s="62"/>
      <c r="AB648" s="58"/>
      <c r="AC648" s="58"/>
      <c r="AD648" s="60"/>
      <c r="AE648" s="61"/>
      <c r="AF648" s="62"/>
      <c r="AG648" s="58"/>
      <c r="AH648" s="58"/>
      <c r="AI648" s="117"/>
      <c r="AJ648" s="61"/>
      <c r="AK648" s="62"/>
      <c r="AL648" s="58"/>
      <c r="AM648" s="58"/>
      <c r="AN648" s="58" t="s">
        <v>3671</v>
      </c>
      <c r="AO648" s="478"/>
      <c r="AP648" s="58"/>
      <c r="AQ648" s="62" t="s">
        <v>4579</v>
      </c>
      <c r="AR648" s="58" t="s">
        <v>161</v>
      </c>
      <c r="AS648" s="60">
        <v>38515</v>
      </c>
      <c r="AT648" s="60">
        <v>39814</v>
      </c>
      <c r="AU648" s="58" t="s">
        <v>4580</v>
      </c>
      <c r="AV648" s="58"/>
      <c r="AW648" s="58" t="s">
        <v>92</v>
      </c>
      <c r="AX648" s="58" t="s">
        <v>219</v>
      </c>
      <c r="AY648" s="60">
        <v>41486</v>
      </c>
      <c r="AZ648" s="58" t="s">
        <v>4581</v>
      </c>
      <c r="BA648" s="60">
        <v>42720</v>
      </c>
      <c r="BB648" s="382">
        <v>42768</v>
      </c>
      <c r="BC648" s="58" t="s">
        <v>95</v>
      </c>
      <c r="BD648" s="58" t="s">
        <v>566</v>
      </c>
      <c r="BE648" s="58"/>
      <c r="BF648" s="62" t="s">
        <v>4582</v>
      </c>
      <c r="BG648" s="62"/>
      <c r="BH648" s="62"/>
      <c r="BI648" s="62"/>
      <c r="BJ648" s="74">
        <f>+[190]MATRIZ!$J$64</f>
        <v>0</v>
      </c>
      <c r="BK648" s="67"/>
      <c r="BL648" s="68"/>
      <c r="BM648" s="60"/>
      <c r="BN648" s="61"/>
      <c r="BO648" s="463"/>
      <c r="BP648" s="122"/>
      <c r="BQ648" s="58"/>
      <c r="BR648" s="70"/>
      <c r="BS648" s="62"/>
      <c r="BT648" s="62"/>
      <c r="BU648" s="62"/>
      <c r="BV648" s="62"/>
      <c r="BW648" s="71"/>
      <c r="BX648" s="66"/>
      <c r="BY648" s="60"/>
      <c r="BZ648" s="72"/>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c r="JW648" s="1"/>
      <c r="JX648" s="1"/>
      <c r="JY648" s="1"/>
      <c r="JZ648" s="1"/>
      <c r="KA648" s="1"/>
      <c r="KB648" s="1"/>
      <c r="KC648" s="1"/>
      <c r="KD648" s="1"/>
      <c r="KE648" s="1"/>
      <c r="KF648" s="1"/>
      <c r="KG648" s="1"/>
      <c r="KH648" s="1"/>
      <c r="KI648" s="1"/>
      <c r="KJ648" s="1"/>
      <c r="KK648" s="1"/>
      <c r="KL648" s="1"/>
      <c r="KM648" s="1"/>
      <c r="KN648" s="1"/>
      <c r="KO648" s="1"/>
      <c r="KP648" s="1"/>
      <c r="KQ648" s="1"/>
      <c r="KR648" s="1"/>
      <c r="KS648" s="1"/>
      <c r="KT648" s="1"/>
      <c r="KU648" s="1"/>
      <c r="KV648" s="1"/>
      <c r="KW648" s="1"/>
      <c r="KX648" s="1"/>
      <c r="KY648" s="1"/>
      <c r="KZ648" s="1"/>
      <c r="LA648" s="1"/>
      <c r="LB648" s="1"/>
      <c r="LC648" s="1"/>
      <c r="LD648" s="1"/>
      <c r="LE648" s="1"/>
      <c r="LF648" s="1"/>
      <c r="LG648" s="1"/>
      <c r="LH648" s="1"/>
      <c r="LI648" s="1"/>
      <c r="LJ648" s="1"/>
      <c r="LK648" s="1"/>
      <c r="LL648" s="1"/>
      <c r="LM648" s="1"/>
      <c r="LN648" s="1"/>
      <c r="LO648" s="1"/>
      <c r="LP648" s="1"/>
      <c r="LQ648" s="1"/>
      <c r="LR648" s="1"/>
      <c r="LS648" s="1"/>
      <c r="LT648" s="1"/>
      <c r="LU648" s="1"/>
      <c r="LV648" s="1"/>
      <c r="LW648" s="1"/>
      <c r="LX648" s="1"/>
      <c r="LY648" s="1"/>
      <c r="LZ648" s="1"/>
      <c r="MA648" s="1"/>
      <c r="MB648" s="1"/>
      <c r="MC648" s="1"/>
      <c r="MD648" s="1"/>
      <c r="ME648" s="1"/>
      <c r="MF648" s="1"/>
      <c r="MG648" s="1"/>
      <c r="MH648" s="1"/>
      <c r="MI648" s="1"/>
      <c r="MJ648" s="1"/>
      <c r="MK648" s="1"/>
      <c r="ML648" s="1"/>
      <c r="MM648" s="1"/>
      <c r="MN648" s="1"/>
      <c r="MO648" s="1"/>
      <c r="MP648" s="1"/>
      <c r="MQ648" s="1"/>
      <c r="MR648" s="1"/>
      <c r="MS648" s="1"/>
      <c r="MT648" s="1"/>
      <c r="MU648" s="1"/>
      <c r="MV648" s="1"/>
      <c r="MW648" s="1"/>
      <c r="MX648" s="1"/>
      <c r="MY648" s="1"/>
      <c r="MZ648" s="1"/>
      <c r="NA648" s="1"/>
      <c r="NB648" s="1"/>
      <c r="NC648" s="1"/>
      <c r="ND648" s="1"/>
      <c r="NE648" s="1"/>
      <c r="NF648" s="1"/>
      <c r="NG648" s="1"/>
      <c r="NH648" s="1"/>
      <c r="NI648" s="1"/>
      <c r="NJ648" s="1"/>
      <c r="NK648" s="1"/>
      <c r="NL648" s="1"/>
      <c r="NM648" s="1"/>
      <c r="NN648" s="1"/>
      <c r="NO648" s="1"/>
      <c r="NP648" s="1"/>
      <c r="NQ648" s="1"/>
      <c r="NR648" s="1"/>
      <c r="NS648" s="1"/>
      <c r="NT648" s="1"/>
      <c r="NU648" s="1"/>
      <c r="NV648" s="1"/>
      <c r="NW648" s="1"/>
      <c r="NX648" s="1"/>
      <c r="NY648" s="1"/>
      <c r="NZ648" s="1"/>
      <c r="OA648" s="1"/>
      <c r="OB648" s="1"/>
      <c r="OC648" s="1"/>
      <c r="OD648" s="1"/>
      <c r="OE648" s="1"/>
      <c r="OF648" s="1"/>
      <c r="OG648" s="1"/>
      <c r="OH648" s="1"/>
      <c r="OI648" s="1"/>
      <c r="OJ648" s="1"/>
      <c r="OK648" s="1"/>
      <c r="OL648" s="1"/>
      <c r="OM648" s="1"/>
      <c r="ON648" s="1"/>
      <c r="OO648" s="1"/>
      <c r="OP648" s="1"/>
      <c r="OQ648" s="1"/>
      <c r="OR648" s="1"/>
      <c r="OS648" s="1"/>
      <c r="OT648" s="1"/>
      <c r="OU648" s="1"/>
      <c r="OV648" s="1"/>
      <c r="OW648" s="1"/>
      <c r="OX648" s="1"/>
      <c r="OY648" s="1"/>
      <c r="OZ648" s="1"/>
      <c r="PA648" s="1"/>
      <c r="PB648" s="1"/>
      <c r="PC648" s="1"/>
      <c r="PD648" s="1"/>
      <c r="PE648" s="1"/>
      <c r="PF648" s="1"/>
      <c r="PG648" s="1"/>
      <c r="PH648" s="1"/>
      <c r="PI648" s="1"/>
      <c r="PJ648" s="1"/>
      <c r="PK648" s="1"/>
      <c r="PL648" s="1"/>
      <c r="PM648" s="1"/>
      <c r="PN648" s="1"/>
      <c r="PO648" s="1"/>
      <c r="PP648" s="1"/>
      <c r="PQ648" s="1"/>
      <c r="PR648" s="1"/>
      <c r="PS648" s="1"/>
      <c r="PT648" s="1"/>
      <c r="PU648" s="1"/>
      <c r="PV648" s="1"/>
      <c r="PW648" s="1"/>
      <c r="PX648" s="1"/>
      <c r="PY648" s="1"/>
      <c r="PZ648" s="1"/>
      <c r="QA648" s="1"/>
      <c r="QB648" s="1"/>
      <c r="QC648" s="1"/>
      <c r="QD648" s="1"/>
      <c r="QE648" s="1"/>
      <c r="QF648" s="1"/>
      <c r="QG648" s="1"/>
      <c r="QH648" s="1"/>
      <c r="QI648" s="1"/>
      <c r="QJ648" s="1"/>
      <c r="QK648" s="1"/>
      <c r="QL648" s="1"/>
      <c r="QM648" s="1"/>
      <c r="QN648" s="1"/>
      <c r="QO648" s="1"/>
      <c r="QP648" s="1"/>
      <c r="QQ648" s="1"/>
      <c r="QR648" s="1"/>
      <c r="QS648" s="1"/>
      <c r="QT648" s="1"/>
      <c r="QU648" s="1"/>
      <c r="QV648" s="1"/>
      <c r="QW648" s="1"/>
      <c r="QX648" s="1"/>
      <c r="QY648" s="1"/>
      <c r="QZ648" s="1"/>
      <c r="RA648" s="1"/>
      <c r="RB648" s="1"/>
      <c r="RC648" s="1"/>
      <c r="RD648" s="1"/>
      <c r="RE648" s="1"/>
      <c r="RF648" s="1"/>
      <c r="RG648" s="1"/>
      <c r="RH648" s="1"/>
      <c r="RI648" s="1"/>
      <c r="RJ648" s="1"/>
      <c r="RK648" s="1"/>
      <c r="RL648" s="1"/>
      <c r="RM648" s="1"/>
      <c r="RN648" s="1"/>
      <c r="RO648" s="1"/>
      <c r="RP648" s="1"/>
      <c r="RQ648" s="1"/>
      <c r="RR648" s="1"/>
      <c r="RS648" s="1"/>
      <c r="RT648" s="1"/>
      <c r="RU648" s="1"/>
      <c r="RV648" s="1"/>
      <c r="RW648" s="1"/>
      <c r="RX648" s="1"/>
      <c r="RY648" s="1"/>
      <c r="RZ648" s="1"/>
      <c r="SA648" s="1"/>
      <c r="SB648" s="1"/>
      <c r="SC648" s="1"/>
      <c r="SD648" s="1"/>
      <c r="SE648" s="1"/>
      <c r="SF648" s="1"/>
      <c r="SG648" s="1"/>
      <c r="SH648" s="1"/>
      <c r="SI648" s="1"/>
      <c r="SJ648" s="1"/>
      <c r="SK648" s="1"/>
      <c r="SL648" s="1"/>
      <c r="SM648" s="1"/>
      <c r="SN648" s="1"/>
      <c r="SO648" s="1"/>
      <c r="SP648" s="1"/>
      <c r="SQ648" s="1"/>
      <c r="SR648" s="1"/>
      <c r="SS648" s="1"/>
      <c r="ST648" s="1"/>
      <c r="SU648" s="1"/>
      <c r="SV648" s="1"/>
      <c r="SW648" s="1"/>
      <c r="SX648" s="1"/>
      <c r="SY648" s="1"/>
      <c r="SZ648" s="1"/>
      <c r="TA648" s="1"/>
      <c r="TB648" s="1"/>
      <c r="TC648" s="1"/>
      <c r="TD648" s="1"/>
      <c r="TE648" s="1"/>
      <c r="TF648" s="1"/>
      <c r="TG648" s="1"/>
      <c r="TH648" s="1"/>
      <c r="TI648" s="1"/>
      <c r="TJ648" s="1"/>
      <c r="TK648" s="1"/>
      <c r="TL648" s="1"/>
      <c r="TM648" s="1"/>
      <c r="TN648" s="1"/>
      <c r="TO648" s="1"/>
      <c r="TP648" s="1"/>
      <c r="TQ648" s="1"/>
      <c r="TR648" s="1"/>
      <c r="TS648" s="1"/>
      <c r="TT648" s="1"/>
      <c r="TU648" s="1"/>
      <c r="TV648" s="1"/>
      <c r="TW648" s="1"/>
      <c r="TX648" s="1"/>
      <c r="TY648" s="1"/>
      <c r="TZ648" s="1"/>
      <c r="UA648" s="1"/>
      <c r="UB648" s="1"/>
      <c r="UC648" s="1"/>
      <c r="UD648" s="1"/>
      <c r="UE648" s="1"/>
      <c r="UF648" s="1"/>
      <c r="UG648" s="1"/>
      <c r="UH648" s="1"/>
      <c r="UI648" s="1"/>
    </row>
    <row r="649" spans="1:555" s="259" customFormat="1" ht="81">
      <c r="A649" s="33">
        <v>473</v>
      </c>
      <c r="B649" s="34" t="s">
        <v>4583</v>
      </c>
      <c r="C649" s="35">
        <v>41649598</v>
      </c>
      <c r="D649" s="440" t="s">
        <v>906</v>
      </c>
      <c r="E649" s="37">
        <v>42793</v>
      </c>
      <c r="F649" s="38">
        <v>42767</v>
      </c>
      <c r="G649" s="39" t="s">
        <v>4584</v>
      </c>
      <c r="H649" s="34" t="s">
        <v>94</v>
      </c>
      <c r="I649" s="34" t="s">
        <v>3423</v>
      </c>
      <c r="J649" s="37"/>
      <c r="K649" s="38"/>
      <c r="L649" s="39"/>
      <c r="M649" s="34"/>
      <c r="N649" s="34"/>
      <c r="O649" s="37"/>
      <c r="P649" s="40"/>
      <c r="Q649" s="39"/>
      <c r="R649" s="34"/>
      <c r="S649" s="34"/>
      <c r="T649" s="37"/>
      <c r="U649" s="38"/>
      <c r="V649" s="39"/>
      <c r="W649" s="34"/>
      <c r="X649" s="34"/>
      <c r="Y649" s="37"/>
      <c r="Z649" s="38"/>
      <c r="AA649" s="39"/>
      <c r="AB649" s="34"/>
      <c r="AC649" s="34"/>
      <c r="AD649" s="37"/>
      <c r="AE649" s="38"/>
      <c r="AF649" s="39"/>
      <c r="AG649" s="34"/>
      <c r="AH649" s="34"/>
      <c r="AI649" s="73"/>
      <c r="AJ649" s="38"/>
      <c r="AK649" s="39"/>
      <c r="AL649" s="34"/>
      <c r="AM649" s="34"/>
      <c r="AN649" s="34" t="s">
        <v>4585</v>
      </c>
      <c r="AO649" s="473"/>
      <c r="AP649" s="34"/>
      <c r="AQ649" s="39" t="s">
        <v>4586</v>
      </c>
      <c r="AR649" s="34" t="s">
        <v>161</v>
      </c>
      <c r="AS649" s="37" t="s">
        <v>579</v>
      </c>
      <c r="AT649" s="37" t="s">
        <v>579</v>
      </c>
      <c r="AU649" s="34" t="s">
        <v>4587</v>
      </c>
      <c r="AV649" s="34"/>
      <c r="AW649" s="34" t="s">
        <v>69</v>
      </c>
      <c r="AX649" s="34" t="s">
        <v>3116</v>
      </c>
      <c r="AY649" s="37">
        <v>42535</v>
      </c>
      <c r="AZ649" s="34" t="s">
        <v>94</v>
      </c>
      <c r="BA649" s="37">
        <v>42766</v>
      </c>
      <c r="BB649" s="382">
        <v>42782</v>
      </c>
      <c r="BC649" s="42" t="s">
        <v>912</v>
      </c>
      <c r="BD649" s="42"/>
      <c r="BE649" s="34"/>
      <c r="BF649" s="39"/>
      <c r="BG649" s="39"/>
      <c r="BH649" s="39"/>
      <c r="BI649" s="39"/>
      <c r="BJ649" s="138">
        <v>9350000</v>
      </c>
      <c r="BK649" s="74"/>
      <c r="BL649" s="44"/>
      <c r="BM649" s="37"/>
      <c r="BN649" s="38"/>
      <c r="BO649" s="462"/>
      <c r="BP649" s="391"/>
      <c r="BQ649" s="34"/>
      <c r="BR649" s="42"/>
      <c r="BS649" s="39"/>
      <c r="BT649" s="39"/>
      <c r="BU649" s="39"/>
      <c r="BV649" s="39"/>
      <c r="BW649" s="51"/>
      <c r="BX649" s="41"/>
      <c r="BY649" s="37"/>
      <c r="BZ649" s="52"/>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c r="JW649" s="1"/>
      <c r="JX649" s="1"/>
      <c r="JY649" s="1"/>
      <c r="JZ649" s="1"/>
      <c r="KA649" s="1"/>
      <c r="KB649" s="1"/>
      <c r="KC649" s="1"/>
      <c r="KD649" s="1"/>
      <c r="KE649" s="1"/>
      <c r="KF649" s="1"/>
      <c r="KG649" s="1"/>
      <c r="KH649" s="1"/>
      <c r="KI649" s="1"/>
      <c r="KJ649" s="1"/>
      <c r="KK649" s="1"/>
      <c r="KL649" s="1"/>
      <c r="KM649" s="1"/>
      <c r="KN649" s="1"/>
      <c r="KO649" s="1"/>
      <c r="KP649" s="1"/>
      <c r="KQ649" s="1"/>
      <c r="KR649" s="1"/>
      <c r="KS649" s="1"/>
      <c r="KT649" s="1"/>
      <c r="KU649" s="1"/>
      <c r="KV649" s="1"/>
      <c r="KW649" s="1"/>
      <c r="KX649" s="1"/>
      <c r="KY649" s="1"/>
      <c r="KZ649" s="1"/>
      <c r="LA649" s="1"/>
      <c r="LB649" s="1"/>
      <c r="LC649" s="1"/>
      <c r="LD649" s="1"/>
      <c r="LE649" s="1"/>
      <c r="LF649" s="1"/>
      <c r="LG649" s="1"/>
      <c r="LH649" s="1"/>
      <c r="LI649" s="1"/>
      <c r="LJ649" s="1"/>
      <c r="LK649" s="1"/>
      <c r="LL649" s="1"/>
      <c r="LM649" s="1"/>
      <c r="LN649" s="1"/>
      <c r="LO649" s="1"/>
      <c r="LP649" s="1"/>
      <c r="LQ649" s="1"/>
      <c r="LR649" s="1"/>
      <c r="LS649" s="1"/>
      <c r="LT649" s="1"/>
      <c r="LU649" s="1"/>
      <c r="LV649" s="1"/>
      <c r="LW649" s="1"/>
      <c r="LX649" s="1"/>
      <c r="LY649" s="1"/>
      <c r="LZ649" s="1"/>
      <c r="MA649" s="1"/>
      <c r="MB649" s="1"/>
      <c r="MC649" s="1"/>
      <c r="MD649" s="1"/>
      <c r="ME649" s="1"/>
      <c r="MF649" s="1"/>
      <c r="MG649" s="1"/>
      <c r="MH649" s="1"/>
      <c r="MI649" s="1"/>
      <c r="MJ649" s="1"/>
      <c r="MK649" s="1"/>
      <c r="ML649" s="1"/>
      <c r="MM649" s="1"/>
      <c r="MN649" s="1"/>
      <c r="MO649" s="1"/>
      <c r="MP649" s="1"/>
      <c r="MQ649" s="1"/>
      <c r="MR649" s="1"/>
      <c r="MS649" s="1"/>
      <c r="MT649" s="1"/>
      <c r="MU649" s="1"/>
      <c r="MV649" s="1"/>
      <c r="MW649" s="1"/>
      <c r="MX649" s="1"/>
      <c r="MY649" s="1"/>
      <c r="MZ649" s="1"/>
      <c r="NA649" s="1"/>
      <c r="NB649" s="1"/>
      <c r="NC649" s="1"/>
      <c r="ND649" s="1"/>
      <c r="NE649" s="1"/>
      <c r="NF649" s="1"/>
      <c r="NG649" s="1"/>
      <c r="NH649" s="1"/>
      <c r="NI649" s="1"/>
      <c r="NJ649" s="1"/>
      <c r="NK649" s="1"/>
      <c r="NL649" s="1"/>
      <c r="NM649" s="1"/>
      <c r="NN649" s="1"/>
      <c r="NO649" s="1"/>
      <c r="NP649" s="1"/>
      <c r="NQ649" s="1"/>
      <c r="NR649" s="1"/>
      <c r="NS649" s="1"/>
      <c r="NT649" s="1"/>
      <c r="NU649" s="1"/>
      <c r="NV649" s="1"/>
      <c r="NW649" s="1"/>
      <c r="NX649" s="1"/>
      <c r="NY649" s="1"/>
      <c r="NZ649" s="1"/>
      <c r="OA649" s="1"/>
      <c r="OB649" s="1"/>
      <c r="OC649" s="1"/>
      <c r="OD649" s="1"/>
      <c r="OE649" s="1"/>
      <c r="OF649" s="1"/>
      <c r="OG649" s="1"/>
      <c r="OH649" s="1"/>
      <c r="OI649" s="1"/>
      <c r="OJ649" s="1"/>
      <c r="OK649" s="1"/>
      <c r="OL649" s="1"/>
      <c r="OM649" s="1"/>
      <c r="ON649" s="1"/>
      <c r="OO649" s="1"/>
      <c r="OP649" s="1"/>
      <c r="OQ649" s="1"/>
      <c r="OR649" s="1"/>
      <c r="OS649" s="1"/>
      <c r="OT649" s="1"/>
      <c r="OU649" s="1"/>
      <c r="OV649" s="1"/>
      <c r="OW649" s="1"/>
      <c r="OX649" s="1"/>
      <c r="OY649" s="1"/>
      <c r="OZ649" s="1"/>
      <c r="PA649" s="1"/>
      <c r="PB649" s="1"/>
      <c r="PC649" s="1"/>
      <c r="PD649" s="1"/>
      <c r="PE649" s="1"/>
      <c r="PF649" s="1"/>
      <c r="PG649" s="1"/>
      <c r="PH649" s="1"/>
      <c r="PI649" s="1"/>
      <c r="PJ649" s="1"/>
      <c r="PK649" s="1"/>
      <c r="PL649" s="1"/>
      <c r="PM649" s="1"/>
      <c r="PN649" s="1"/>
      <c r="PO649" s="1"/>
      <c r="PP649" s="1"/>
      <c r="PQ649" s="1"/>
      <c r="PR649" s="1"/>
      <c r="PS649" s="1"/>
      <c r="PT649" s="1"/>
      <c r="PU649" s="1"/>
      <c r="PV649" s="1"/>
      <c r="PW649" s="1"/>
      <c r="PX649" s="1"/>
      <c r="PY649" s="1"/>
      <c r="PZ649" s="1"/>
      <c r="QA649" s="1"/>
      <c r="QB649" s="1"/>
      <c r="QC649" s="1"/>
      <c r="QD649" s="1"/>
      <c r="QE649" s="1"/>
      <c r="QF649" s="1"/>
      <c r="QG649" s="1"/>
      <c r="QH649" s="1"/>
      <c r="QI649" s="1"/>
      <c r="QJ649" s="1"/>
      <c r="QK649" s="1"/>
      <c r="QL649" s="1"/>
      <c r="QM649" s="1"/>
      <c r="QN649" s="1"/>
      <c r="QO649" s="1"/>
      <c r="QP649" s="1"/>
      <c r="QQ649" s="1"/>
      <c r="QR649" s="1"/>
      <c r="QS649" s="1"/>
      <c r="QT649" s="1"/>
      <c r="QU649" s="1"/>
      <c r="QV649" s="1"/>
      <c r="QW649" s="1"/>
      <c r="QX649" s="1"/>
      <c r="QY649" s="1"/>
      <c r="QZ649" s="1"/>
      <c r="RA649" s="1"/>
      <c r="RB649" s="1"/>
      <c r="RC649" s="1"/>
      <c r="RD649" s="1"/>
      <c r="RE649" s="1"/>
      <c r="RF649" s="1"/>
      <c r="RG649" s="1"/>
      <c r="RH649" s="1"/>
      <c r="RI649" s="1"/>
      <c r="RJ649" s="1"/>
      <c r="RK649" s="1"/>
      <c r="RL649" s="1"/>
      <c r="RM649" s="1"/>
      <c r="RN649" s="1"/>
      <c r="RO649" s="1"/>
      <c r="RP649" s="1"/>
      <c r="RQ649" s="1"/>
      <c r="RR649" s="1"/>
      <c r="RS649" s="1"/>
      <c r="RT649" s="1"/>
      <c r="RU649" s="1"/>
      <c r="RV649" s="1"/>
      <c r="RW649" s="1"/>
      <c r="RX649" s="1"/>
      <c r="RY649" s="1"/>
      <c r="RZ649" s="1"/>
      <c r="SA649" s="1"/>
      <c r="SB649" s="1"/>
      <c r="SC649" s="1"/>
      <c r="SD649" s="1"/>
      <c r="SE649" s="1"/>
      <c r="SF649" s="1"/>
      <c r="SG649" s="1"/>
      <c r="SH649" s="1"/>
      <c r="SI649" s="1"/>
      <c r="SJ649" s="1"/>
      <c r="SK649" s="1"/>
      <c r="SL649" s="1"/>
      <c r="SM649" s="1"/>
      <c r="SN649" s="1"/>
      <c r="SO649" s="1"/>
      <c r="SP649" s="1"/>
      <c r="SQ649" s="1"/>
      <c r="SR649" s="1"/>
      <c r="SS649" s="1"/>
      <c r="ST649" s="1"/>
      <c r="SU649" s="1"/>
      <c r="SV649" s="1"/>
      <c r="SW649" s="1"/>
      <c r="SX649" s="1"/>
      <c r="SY649" s="1"/>
      <c r="SZ649" s="1"/>
      <c r="TA649" s="1"/>
      <c r="TB649" s="1"/>
      <c r="TC649" s="1"/>
      <c r="TD649" s="1"/>
      <c r="TE649" s="1"/>
      <c r="TF649" s="1"/>
      <c r="TG649" s="1"/>
      <c r="TH649" s="1"/>
      <c r="TI649" s="1"/>
      <c r="TJ649" s="1"/>
      <c r="TK649" s="1"/>
      <c r="TL649" s="1"/>
      <c r="TM649" s="1"/>
      <c r="TN649" s="1"/>
      <c r="TO649" s="1"/>
      <c r="TP649" s="1"/>
      <c r="TQ649" s="1"/>
      <c r="TR649" s="1"/>
      <c r="TS649" s="1"/>
      <c r="TT649" s="1"/>
      <c r="TU649" s="1"/>
      <c r="TV649" s="1"/>
      <c r="TW649" s="1"/>
      <c r="TX649" s="1"/>
      <c r="TY649" s="1"/>
      <c r="TZ649" s="1"/>
      <c r="UA649" s="1"/>
      <c r="UB649" s="1"/>
      <c r="UC649" s="1"/>
      <c r="UD649" s="1"/>
      <c r="UE649" s="1"/>
      <c r="UF649" s="1"/>
      <c r="UG649" s="1"/>
      <c r="UH649" s="1"/>
      <c r="UI649" s="1"/>
    </row>
    <row r="650" spans="1:555" s="259" customFormat="1" ht="52.5" customHeight="1">
      <c r="A650" s="57">
        <v>474</v>
      </c>
      <c r="B650" s="58" t="s">
        <v>4588</v>
      </c>
      <c r="C650" s="59">
        <v>79840142</v>
      </c>
      <c r="D650" s="170" t="s">
        <v>597</v>
      </c>
      <c r="E650" s="60">
        <v>42793</v>
      </c>
      <c r="F650" s="61">
        <v>42767</v>
      </c>
      <c r="G650" s="62" t="s">
        <v>4589</v>
      </c>
      <c r="H650" s="58" t="s">
        <v>94</v>
      </c>
      <c r="I650" s="58" t="s">
        <v>4590</v>
      </c>
      <c r="J650" s="60">
        <v>42836</v>
      </c>
      <c r="K650" s="61">
        <v>42826</v>
      </c>
      <c r="L650" s="62" t="s">
        <v>4591</v>
      </c>
      <c r="M650" s="58" t="s">
        <v>63</v>
      </c>
      <c r="N650" s="58" t="s">
        <v>4592</v>
      </c>
      <c r="O650" s="60">
        <v>42949</v>
      </c>
      <c r="P650" s="63">
        <v>42948</v>
      </c>
      <c r="Q650" s="62" t="s">
        <v>4593</v>
      </c>
      <c r="R650" s="58" t="s">
        <v>63</v>
      </c>
      <c r="S650" s="58" t="s">
        <v>79</v>
      </c>
      <c r="T650" s="60">
        <v>43097</v>
      </c>
      <c r="U650" s="61">
        <v>43070</v>
      </c>
      <c r="V650" s="62" t="s">
        <v>4594</v>
      </c>
      <c r="W650" s="58" t="s">
        <v>63</v>
      </c>
      <c r="X650" s="58" t="s">
        <v>79</v>
      </c>
      <c r="Y650" s="60"/>
      <c r="Z650" s="61"/>
      <c r="AA650" s="62"/>
      <c r="AB650" s="58"/>
      <c r="AC650" s="58"/>
      <c r="AD650" s="60"/>
      <c r="AE650" s="61"/>
      <c r="AF650" s="62"/>
      <c r="AG650" s="58"/>
      <c r="AH650" s="58"/>
      <c r="AI650" s="117"/>
      <c r="AJ650" s="61"/>
      <c r="AK650" s="62"/>
      <c r="AL650" s="58"/>
      <c r="AM650" s="58"/>
      <c r="AN650" s="58" t="s">
        <v>3671</v>
      </c>
      <c r="AO650" s="478"/>
      <c r="AP650" s="58"/>
      <c r="AQ650" s="62" t="s">
        <v>4595</v>
      </c>
      <c r="AR650" s="58" t="s">
        <v>161</v>
      </c>
      <c r="AS650" s="60">
        <v>38412</v>
      </c>
      <c r="AT650" s="60">
        <v>39822</v>
      </c>
      <c r="AU650" s="58" t="s">
        <v>4596</v>
      </c>
      <c r="AV650" s="58"/>
      <c r="AW650" s="58" t="s">
        <v>92</v>
      </c>
      <c r="AX650" s="58" t="s">
        <v>4106</v>
      </c>
      <c r="AY650" s="60">
        <v>41516</v>
      </c>
      <c r="AZ650" s="58" t="s">
        <v>94</v>
      </c>
      <c r="BA650" s="60">
        <v>42720</v>
      </c>
      <c r="BB650" s="382">
        <v>42775</v>
      </c>
      <c r="BC650" s="58" t="s">
        <v>95</v>
      </c>
      <c r="BD650" s="58" t="s">
        <v>566</v>
      </c>
      <c r="BE650" s="58"/>
      <c r="BF650" s="62" t="s">
        <v>4597</v>
      </c>
      <c r="BG650" s="62"/>
      <c r="BH650" s="62"/>
      <c r="BI650" s="62"/>
      <c r="BJ650" s="138">
        <f>+[191]MATRIZ!$J$61</f>
        <v>0</v>
      </c>
      <c r="BK650" s="67"/>
      <c r="BL650" s="68"/>
      <c r="BM650" s="60"/>
      <c r="BN650" s="61"/>
      <c r="BO650" s="463"/>
      <c r="BP650" s="122"/>
      <c r="BQ650" s="58"/>
      <c r="BR650" s="70"/>
      <c r="BS650" s="62"/>
      <c r="BT650" s="62"/>
      <c r="BU650" s="62"/>
      <c r="BV650" s="62"/>
      <c r="BW650" s="71"/>
      <c r="BX650" s="66"/>
      <c r="BY650" s="60"/>
      <c r="BZ650" s="72"/>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c r="JW650" s="1"/>
      <c r="JX650" s="1"/>
      <c r="JY650" s="1"/>
      <c r="JZ650" s="1"/>
      <c r="KA650" s="1"/>
      <c r="KB650" s="1"/>
      <c r="KC650" s="1"/>
      <c r="KD650" s="1"/>
      <c r="KE650" s="1"/>
      <c r="KF650" s="1"/>
      <c r="KG650" s="1"/>
      <c r="KH650" s="1"/>
      <c r="KI650" s="1"/>
      <c r="KJ650" s="1"/>
      <c r="KK650" s="1"/>
      <c r="KL650" s="1"/>
      <c r="KM650" s="1"/>
      <c r="KN650" s="1"/>
      <c r="KO650" s="1"/>
      <c r="KP650" s="1"/>
      <c r="KQ650" s="1"/>
      <c r="KR650" s="1"/>
      <c r="KS650" s="1"/>
      <c r="KT650" s="1"/>
      <c r="KU650" s="1"/>
      <c r="KV650" s="1"/>
      <c r="KW650" s="1"/>
      <c r="KX650" s="1"/>
      <c r="KY650" s="1"/>
      <c r="KZ650" s="1"/>
      <c r="LA650" s="1"/>
      <c r="LB650" s="1"/>
      <c r="LC650" s="1"/>
      <c r="LD650" s="1"/>
      <c r="LE650" s="1"/>
      <c r="LF650" s="1"/>
      <c r="LG650" s="1"/>
      <c r="LH650" s="1"/>
      <c r="LI650" s="1"/>
      <c r="LJ650" s="1"/>
      <c r="LK650" s="1"/>
      <c r="LL650" s="1"/>
      <c r="LM650" s="1"/>
      <c r="LN650" s="1"/>
      <c r="LO650" s="1"/>
      <c r="LP650" s="1"/>
      <c r="LQ650" s="1"/>
      <c r="LR650" s="1"/>
      <c r="LS650" s="1"/>
      <c r="LT650" s="1"/>
      <c r="LU650" s="1"/>
      <c r="LV650" s="1"/>
      <c r="LW650" s="1"/>
      <c r="LX650" s="1"/>
      <c r="LY650" s="1"/>
      <c r="LZ650" s="1"/>
      <c r="MA650" s="1"/>
      <c r="MB650" s="1"/>
      <c r="MC650" s="1"/>
      <c r="MD650" s="1"/>
      <c r="ME650" s="1"/>
      <c r="MF650" s="1"/>
      <c r="MG650" s="1"/>
      <c r="MH650" s="1"/>
      <c r="MI650" s="1"/>
      <c r="MJ650" s="1"/>
      <c r="MK650" s="1"/>
      <c r="ML650" s="1"/>
      <c r="MM650" s="1"/>
      <c r="MN650" s="1"/>
      <c r="MO650" s="1"/>
      <c r="MP650" s="1"/>
      <c r="MQ650" s="1"/>
      <c r="MR650" s="1"/>
      <c r="MS650" s="1"/>
      <c r="MT650" s="1"/>
      <c r="MU650" s="1"/>
      <c r="MV650" s="1"/>
      <c r="MW650" s="1"/>
      <c r="MX650" s="1"/>
      <c r="MY650" s="1"/>
      <c r="MZ650" s="1"/>
      <c r="NA650" s="1"/>
      <c r="NB650" s="1"/>
      <c r="NC650" s="1"/>
      <c r="ND650" s="1"/>
      <c r="NE650" s="1"/>
      <c r="NF650" s="1"/>
      <c r="NG650" s="1"/>
      <c r="NH650" s="1"/>
      <c r="NI650" s="1"/>
      <c r="NJ650" s="1"/>
      <c r="NK650" s="1"/>
      <c r="NL650" s="1"/>
      <c r="NM650" s="1"/>
      <c r="NN650" s="1"/>
      <c r="NO650" s="1"/>
      <c r="NP650" s="1"/>
      <c r="NQ650" s="1"/>
      <c r="NR650" s="1"/>
      <c r="NS650" s="1"/>
      <c r="NT650" s="1"/>
      <c r="NU650" s="1"/>
      <c r="NV650" s="1"/>
      <c r="NW650" s="1"/>
      <c r="NX650" s="1"/>
      <c r="NY650" s="1"/>
      <c r="NZ650" s="1"/>
      <c r="OA650" s="1"/>
      <c r="OB650" s="1"/>
      <c r="OC650" s="1"/>
      <c r="OD650" s="1"/>
      <c r="OE650" s="1"/>
      <c r="OF650" s="1"/>
      <c r="OG650" s="1"/>
      <c r="OH650" s="1"/>
      <c r="OI650" s="1"/>
      <c r="OJ650" s="1"/>
      <c r="OK650" s="1"/>
      <c r="OL650" s="1"/>
      <c r="OM650" s="1"/>
      <c r="ON650" s="1"/>
      <c r="OO650" s="1"/>
      <c r="OP650" s="1"/>
      <c r="OQ650" s="1"/>
      <c r="OR650" s="1"/>
      <c r="OS650" s="1"/>
      <c r="OT650" s="1"/>
      <c r="OU650" s="1"/>
      <c r="OV650" s="1"/>
      <c r="OW650" s="1"/>
      <c r="OX650" s="1"/>
      <c r="OY650" s="1"/>
      <c r="OZ650" s="1"/>
      <c r="PA650" s="1"/>
      <c r="PB650" s="1"/>
      <c r="PC650" s="1"/>
      <c r="PD650" s="1"/>
      <c r="PE650" s="1"/>
      <c r="PF650" s="1"/>
      <c r="PG650" s="1"/>
      <c r="PH650" s="1"/>
      <c r="PI650" s="1"/>
      <c r="PJ650" s="1"/>
      <c r="PK650" s="1"/>
      <c r="PL650" s="1"/>
      <c r="PM650" s="1"/>
      <c r="PN650" s="1"/>
      <c r="PO650" s="1"/>
      <c r="PP650" s="1"/>
      <c r="PQ650" s="1"/>
      <c r="PR650" s="1"/>
      <c r="PS650" s="1"/>
      <c r="PT650" s="1"/>
      <c r="PU650" s="1"/>
      <c r="PV650" s="1"/>
      <c r="PW650" s="1"/>
      <c r="PX650" s="1"/>
      <c r="PY650" s="1"/>
      <c r="PZ650" s="1"/>
      <c r="QA650" s="1"/>
      <c r="QB650" s="1"/>
      <c r="QC650" s="1"/>
      <c r="QD650" s="1"/>
      <c r="QE650" s="1"/>
      <c r="QF650" s="1"/>
      <c r="QG650" s="1"/>
      <c r="QH650" s="1"/>
      <c r="QI650" s="1"/>
      <c r="QJ650" s="1"/>
      <c r="QK650" s="1"/>
      <c r="QL650" s="1"/>
      <c r="QM650" s="1"/>
      <c r="QN650" s="1"/>
      <c r="QO650" s="1"/>
      <c r="QP650" s="1"/>
      <c r="QQ650" s="1"/>
      <c r="QR650" s="1"/>
      <c r="QS650" s="1"/>
      <c r="QT650" s="1"/>
      <c r="QU650" s="1"/>
      <c r="QV650" s="1"/>
      <c r="QW650" s="1"/>
      <c r="QX650" s="1"/>
      <c r="QY650" s="1"/>
      <c r="QZ650" s="1"/>
      <c r="RA650" s="1"/>
      <c r="RB650" s="1"/>
      <c r="RC650" s="1"/>
      <c r="RD650" s="1"/>
      <c r="RE650" s="1"/>
      <c r="RF650" s="1"/>
      <c r="RG650" s="1"/>
      <c r="RH650" s="1"/>
      <c r="RI650" s="1"/>
      <c r="RJ650" s="1"/>
      <c r="RK650" s="1"/>
      <c r="RL650" s="1"/>
      <c r="RM650" s="1"/>
      <c r="RN650" s="1"/>
      <c r="RO650" s="1"/>
      <c r="RP650" s="1"/>
      <c r="RQ650" s="1"/>
      <c r="RR650" s="1"/>
      <c r="RS650" s="1"/>
      <c r="RT650" s="1"/>
      <c r="RU650" s="1"/>
      <c r="RV650" s="1"/>
      <c r="RW650" s="1"/>
      <c r="RX650" s="1"/>
      <c r="RY650" s="1"/>
      <c r="RZ650" s="1"/>
      <c r="SA650" s="1"/>
      <c r="SB650" s="1"/>
      <c r="SC650" s="1"/>
      <c r="SD650" s="1"/>
      <c r="SE650" s="1"/>
      <c r="SF650" s="1"/>
      <c r="SG650" s="1"/>
      <c r="SH650" s="1"/>
      <c r="SI650" s="1"/>
      <c r="SJ650" s="1"/>
      <c r="SK650" s="1"/>
      <c r="SL650" s="1"/>
      <c r="SM650" s="1"/>
      <c r="SN650" s="1"/>
      <c r="SO650" s="1"/>
      <c r="SP650" s="1"/>
      <c r="SQ650" s="1"/>
      <c r="SR650" s="1"/>
      <c r="SS650" s="1"/>
      <c r="ST650" s="1"/>
      <c r="SU650" s="1"/>
      <c r="SV650" s="1"/>
      <c r="SW650" s="1"/>
      <c r="SX650" s="1"/>
      <c r="SY650" s="1"/>
      <c r="SZ650" s="1"/>
      <c r="TA650" s="1"/>
      <c r="TB650" s="1"/>
      <c r="TC650" s="1"/>
      <c r="TD650" s="1"/>
      <c r="TE650" s="1"/>
      <c r="TF650" s="1"/>
      <c r="TG650" s="1"/>
      <c r="TH650" s="1"/>
      <c r="TI650" s="1"/>
      <c r="TJ650" s="1"/>
      <c r="TK650" s="1"/>
      <c r="TL650" s="1"/>
      <c r="TM650" s="1"/>
      <c r="TN650" s="1"/>
      <c r="TO650" s="1"/>
      <c r="TP650" s="1"/>
      <c r="TQ650" s="1"/>
      <c r="TR650" s="1"/>
      <c r="TS650" s="1"/>
      <c r="TT650" s="1"/>
      <c r="TU650" s="1"/>
      <c r="TV650" s="1"/>
      <c r="TW650" s="1"/>
      <c r="TX650" s="1"/>
      <c r="TY650" s="1"/>
      <c r="TZ650" s="1"/>
      <c r="UA650" s="1"/>
      <c r="UB650" s="1"/>
      <c r="UC650" s="1"/>
      <c r="UD650" s="1"/>
      <c r="UE650" s="1"/>
      <c r="UF650" s="1"/>
      <c r="UG650" s="1"/>
      <c r="UH650" s="1"/>
      <c r="UI650" s="1"/>
    </row>
    <row r="651" spans="1:555" ht="108">
      <c r="A651" s="57">
        <v>475</v>
      </c>
      <c r="B651" s="58" t="s">
        <v>4101</v>
      </c>
      <c r="C651" s="59">
        <v>79132771</v>
      </c>
      <c r="D651" s="170" t="s">
        <v>906</v>
      </c>
      <c r="E651" s="60">
        <v>42794</v>
      </c>
      <c r="F651" s="61">
        <v>42767</v>
      </c>
      <c r="G651" s="62" t="s">
        <v>4598</v>
      </c>
      <c r="H651" s="58" t="s">
        <v>171</v>
      </c>
      <c r="I651" s="58" t="s">
        <v>183</v>
      </c>
      <c r="J651" s="64">
        <v>43325</v>
      </c>
      <c r="K651" s="61">
        <v>43325</v>
      </c>
      <c r="L651" s="425" t="s">
        <v>4599</v>
      </c>
      <c r="M651" s="58" t="s">
        <v>5</v>
      </c>
      <c r="N651" s="125" t="s">
        <v>570</v>
      </c>
      <c r="O651" s="60">
        <v>43566</v>
      </c>
      <c r="P651" s="63">
        <v>43566</v>
      </c>
      <c r="Q651" s="62" t="s">
        <v>8499</v>
      </c>
      <c r="R651" s="58" t="s">
        <v>208</v>
      </c>
      <c r="S651" s="58" t="s">
        <v>8447</v>
      </c>
      <c r="T651" s="60"/>
      <c r="U651" s="61"/>
      <c r="V651" s="62"/>
      <c r="W651" s="58"/>
      <c r="X651" s="58"/>
      <c r="Y651" s="60"/>
      <c r="Z651" s="61"/>
      <c r="AA651" s="62"/>
      <c r="AB651" s="58"/>
      <c r="AC651" s="58"/>
      <c r="AD651" s="60"/>
      <c r="AE651" s="61"/>
      <c r="AF651" s="62"/>
      <c r="AG651" s="58"/>
      <c r="AH651" s="58"/>
      <c r="AI651" s="117"/>
      <c r="AJ651" s="61"/>
      <c r="AK651" s="62"/>
      <c r="AL651" s="58"/>
      <c r="AM651" s="58"/>
      <c r="AN651" s="58" t="s">
        <v>4600</v>
      </c>
      <c r="AO651" s="478"/>
      <c r="AP651" s="58"/>
      <c r="AQ651" s="425" t="s">
        <v>4601</v>
      </c>
      <c r="AR651" s="58" t="s">
        <v>161</v>
      </c>
      <c r="AS651" s="60">
        <v>36305</v>
      </c>
      <c r="AT651" s="60">
        <v>40908</v>
      </c>
      <c r="AU651" s="58" t="s">
        <v>4602</v>
      </c>
      <c r="AV651" s="58"/>
      <c r="AW651" s="58" t="s">
        <v>69</v>
      </c>
      <c r="AX651" s="58" t="s">
        <v>4603</v>
      </c>
      <c r="AY651" s="60">
        <v>42529</v>
      </c>
      <c r="AZ651" s="58" t="s">
        <v>94</v>
      </c>
      <c r="BA651" s="60">
        <v>42782</v>
      </c>
      <c r="BB651" s="382">
        <v>42807</v>
      </c>
      <c r="BC651" s="70" t="s">
        <v>912</v>
      </c>
      <c r="BD651" s="70" t="s">
        <v>4604</v>
      </c>
      <c r="BE651" s="58"/>
      <c r="BF651" s="62"/>
      <c r="BG651" s="62"/>
      <c r="BH651" s="62"/>
      <c r="BI651" s="62"/>
      <c r="BJ651" s="74">
        <v>9552900</v>
      </c>
      <c r="BK651" s="67"/>
      <c r="BL651" s="68"/>
      <c r="BM651" s="60"/>
      <c r="BN651" s="61"/>
      <c r="BO651" s="463"/>
      <c r="BP651" s="122"/>
      <c r="BQ651" s="58"/>
      <c r="BR651" s="70"/>
      <c r="BS651" s="62"/>
      <c r="BT651" s="62"/>
      <c r="BU651" s="62"/>
      <c r="BV651" s="62"/>
      <c r="BW651" s="71"/>
      <c r="BX651" s="66"/>
      <c r="BY651" s="60"/>
      <c r="BZ651" s="72"/>
    </row>
    <row r="652" spans="1:555" ht="108">
      <c r="A652" s="502">
        <v>476</v>
      </c>
      <c r="B652" s="686" t="s">
        <v>4605</v>
      </c>
      <c r="C652" s="687">
        <v>80740384</v>
      </c>
      <c r="D652" s="688" t="s">
        <v>8138</v>
      </c>
      <c r="E652" s="27">
        <v>42794</v>
      </c>
      <c r="F652" s="689">
        <v>42767</v>
      </c>
      <c r="G652" s="690" t="s">
        <v>4606</v>
      </c>
      <c r="H652" s="686" t="s">
        <v>94</v>
      </c>
      <c r="I652" s="686" t="s">
        <v>3423</v>
      </c>
      <c r="J652" s="27">
        <v>43011</v>
      </c>
      <c r="K652" s="689">
        <v>43011</v>
      </c>
      <c r="L652" s="690" t="s">
        <v>7530</v>
      </c>
      <c r="M652" s="686" t="s">
        <v>63</v>
      </c>
      <c r="N652" s="686" t="s">
        <v>79</v>
      </c>
      <c r="O652" s="27">
        <v>43145</v>
      </c>
      <c r="P652" s="689">
        <v>43132</v>
      </c>
      <c r="Q652" s="690" t="s">
        <v>4607</v>
      </c>
      <c r="R652" s="686" t="s">
        <v>63</v>
      </c>
      <c r="S652" s="686" t="s">
        <v>79</v>
      </c>
      <c r="T652" s="27">
        <v>43601</v>
      </c>
      <c r="U652" s="689">
        <v>43601</v>
      </c>
      <c r="V652" s="690" t="s">
        <v>8782</v>
      </c>
      <c r="W652" s="686" t="s">
        <v>5</v>
      </c>
      <c r="X652" s="686" t="s">
        <v>8243</v>
      </c>
      <c r="Y652" s="27">
        <v>44035</v>
      </c>
      <c r="Z652" s="689">
        <v>44035</v>
      </c>
      <c r="AA652" s="690" t="s">
        <v>9557</v>
      </c>
      <c r="AB652" s="686" t="s">
        <v>63</v>
      </c>
      <c r="AC652" s="686" t="s">
        <v>9543</v>
      </c>
      <c r="AD652" s="27">
        <v>44473</v>
      </c>
      <c r="AE652" s="689">
        <v>44470</v>
      </c>
      <c r="AF652" s="960" t="s">
        <v>10642</v>
      </c>
      <c r="AG652" s="686" t="s">
        <v>10610</v>
      </c>
      <c r="AH652" s="686" t="s">
        <v>10643</v>
      </c>
      <c r="AI652" s="963">
        <v>44474</v>
      </c>
      <c r="AJ652" s="689">
        <v>44470</v>
      </c>
      <c r="AK652" s="959" t="s">
        <v>10664</v>
      </c>
      <c r="AL652" s="965" t="s">
        <v>10665</v>
      </c>
      <c r="AM652" s="686"/>
      <c r="AN652" s="686" t="s">
        <v>2099</v>
      </c>
      <c r="AO652" s="705"/>
      <c r="AP652" s="692" t="s">
        <v>2558</v>
      </c>
      <c r="AQ652" s="690" t="s">
        <v>4608</v>
      </c>
      <c r="AR652" s="686" t="s">
        <v>161</v>
      </c>
      <c r="AS652" s="27">
        <v>37617</v>
      </c>
      <c r="AT652" s="27">
        <v>40861</v>
      </c>
      <c r="AU652" s="686" t="s">
        <v>8783</v>
      </c>
      <c r="AV652" s="686"/>
      <c r="AW652" s="686" t="s">
        <v>69</v>
      </c>
      <c r="AX652" s="686" t="s">
        <v>3300</v>
      </c>
      <c r="AY652" s="27">
        <v>42293</v>
      </c>
      <c r="AZ652" s="686" t="s">
        <v>94</v>
      </c>
      <c r="BA652" s="27">
        <v>42628</v>
      </c>
      <c r="BB652" s="27">
        <v>42796</v>
      </c>
      <c r="BC652" s="686" t="s">
        <v>95</v>
      </c>
      <c r="BD652" s="686" t="s">
        <v>566</v>
      </c>
      <c r="BE652" s="686"/>
      <c r="BF652" s="690" t="s">
        <v>7305</v>
      </c>
      <c r="BG652" s="690"/>
      <c r="BH652" s="690"/>
      <c r="BI652" s="690"/>
      <c r="BJ652" s="696">
        <f>+[192]MATRIZ!$J$98</f>
        <v>0</v>
      </c>
      <c r="BK652" s="696"/>
      <c r="BL652" s="697"/>
      <c r="BM652" s="27"/>
      <c r="BN652" s="689"/>
      <c r="BO652" s="699"/>
      <c r="BP652" s="700"/>
      <c r="BQ652" s="686"/>
      <c r="BR652" s="701"/>
      <c r="BS652" s="690"/>
      <c r="BT652" s="690"/>
      <c r="BU652" s="690"/>
      <c r="BV652" s="690"/>
      <c r="BW652" s="702"/>
      <c r="BX652" s="693"/>
      <c r="BY652" s="27"/>
      <c r="BZ652" s="703"/>
      <c r="CA652" s="259"/>
      <c r="CB652" s="259"/>
      <c r="CC652" s="259"/>
      <c r="CD652" s="259"/>
      <c r="CE652" s="259"/>
      <c r="CF652" s="259"/>
      <c r="CG652" s="259"/>
      <c r="CH652" s="259"/>
      <c r="CI652" s="259"/>
      <c r="CJ652" s="259"/>
      <c r="CK652" s="259"/>
      <c r="CL652" s="259"/>
      <c r="CM652" s="259"/>
      <c r="CN652" s="259"/>
      <c r="CO652" s="259"/>
      <c r="CP652" s="259"/>
      <c r="CQ652" s="259"/>
      <c r="CR652" s="259"/>
      <c r="CS652" s="259"/>
      <c r="CT652" s="259"/>
      <c r="CU652" s="259"/>
      <c r="CV652" s="259"/>
      <c r="CW652" s="259"/>
      <c r="CX652" s="259"/>
      <c r="CY652" s="259"/>
      <c r="CZ652" s="259"/>
      <c r="DA652" s="259"/>
      <c r="DB652" s="259"/>
      <c r="DC652" s="259"/>
      <c r="DD652" s="259"/>
      <c r="DE652" s="259"/>
      <c r="DF652" s="259"/>
      <c r="DG652" s="259"/>
      <c r="DH652" s="259"/>
      <c r="DI652" s="259"/>
      <c r="DJ652" s="259"/>
      <c r="DK652" s="259"/>
      <c r="DL652" s="259"/>
      <c r="DM652" s="259"/>
      <c r="DN652" s="259"/>
      <c r="DO652" s="259"/>
      <c r="DP652" s="259"/>
      <c r="DQ652" s="259"/>
      <c r="DR652" s="259"/>
      <c r="DS652" s="259"/>
      <c r="DT652" s="259"/>
      <c r="DU652" s="259"/>
      <c r="DV652" s="259"/>
      <c r="DW652" s="259"/>
      <c r="DX652" s="259"/>
      <c r="DY652" s="259"/>
      <c r="DZ652" s="259"/>
      <c r="EA652" s="259"/>
      <c r="EB652" s="259"/>
      <c r="EC652" s="259"/>
      <c r="ED652" s="259"/>
      <c r="EE652" s="259"/>
      <c r="EF652" s="259"/>
      <c r="EG652" s="259"/>
      <c r="EH652" s="259"/>
      <c r="EI652" s="259"/>
      <c r="EJ652" s="259"/>
      <c r="EK652" s="259"/>
      <c r="EL652" s="259"/>
      <c r="EM652" s="259"/>
      <c r="EN652" s="259"/>
      <c r="EO652" s="259"/>
      <c r="EP652" s="259"/>
      <c r="EQ652" s="259"/>
      <c r="ER652" s="259"/>
      <c r="ES652" s="259"/>
      <c r="ET652" s="259"/>
      <c r="EU652" s="259"/>
      <c r="EV652" s="259"/>
      <c r="EW652" s="259"/>
      <c r="EX652" s="259"/>
      <c r="EY652" s="259"/>
      <c r="EZ652" s="259"/>
      <c r="FA652" s="259"/>
      <c r="FB652" s="259"/>
      <c r="FC652" s="259"/>
      <c r="FD652" s="259"/>
      <c r="FE652" s="259"/>
      <c r="FF652" s="259"/>
      <c r="FG652" s="259"/>
      <c r="FH652" s="259"/>
      <c r="FI652" s="259"/>
      <c r="FJ652" s="259"/>
      <c r="FK652" s="259"/>
      <c r="FL652" s="259"/>
      <c r="FM652" s="259"/>
      <c r="FN652" s="259"/>
      <c r="FO652" s="259"/>
      <c r="FP652" s="259"/>
      <c r="FQ652" s="259"/>
      <c r="FR652" s="259"/>
      <c r="FS652" s="259"/>
      <c r="FT652" s="259"/>
      <c r="FU652" s="259"/>
      <c r="FV652" s="259"/>
      <c r="FW652" s="259"/>
      <c r="FX652" s="259"/>
      <c r="FY652" s="259"/>
      <c r="FZ652" s="259"/>
      <c r="GA652" s="259"/>
      <c r="GB652" s="259"/>
      <c r="GC652" s="259"/>
      <c r="GD652" s="259"/>
      <c r="GE652" s="259"/>
      <c r="GF652" s="259"/>
      <c r="GG652" s="259"/>
      <c r="GH652" s="259"/>
      <c r="GI652" s="259"/>
      <c r="GJ652" s="259"/>
      <c r="GK652" s="259"/>
      <c r="GL652" s="259"/>
      <c r="GM652" s="259"/>
      <c r="GN652" s="259"/>
      <c r="GO652" s="259"/>
      <c r="GP652" s="259"/>
      <c r="GQ652" s="259"/>
      <c r="GR652" s="259"/>
      <c r="GS652" s="259"/>
      <c r="GT652" s="259"/>
      <c r="GU652" s="259"/>
      <c r="GV652" s="259"/>
      <c r="GW652" s="259"/>
      <c r="GX652" s="259"/>
      <c r="GY652" s="259"/>
      <c r="GZ652" s="259"/>
      <c r="HA652" s="259"/>
      <c r="HB652" s="259"/>
      <c r="HC652" s="259"/>
      <c r="HD652" s="259"/>
      <c r="HE652" s="259"/>
      <c r="HF652" s="259"/>
      <c r="HG652" s="259"/>
      <c r="HH652" s="259"/>
      <c r="HI652" s="259"/>
      <c r="HJ652" s="259"/>
      <c r="HK652" s="259"/>
      <c r="HL652" s="259"/>
      <c r="HM652" s="259"/>
      <c r="HN652" s="259"/>
      <c r="HO652" s="259"/>
      <c r="HP652" s="259"/>
      <c r="HQ652" s="259"/>
      <c r="HR652" s="259"/>
      <c r="HS652" s="259"/>
      <c r="HT652" s="259"/>
      <c r="HU652" s="259"/>
      <c r="HV652" s="259"/>
      <c r="HW652" s="259"/>
      <c r="HX652" s="259"/>
      <c r="HY652" s="259"/>
      <c r="HZ652" s="259"/>
      <c r="IA652" s="259"/>
      <c r="IB652" s="259"/>
      <c r="IC652" s="259"/>
      <c r="ID652" s="259"/>
      <c r="IE652" s="259"/>
      <c r="IF652" s="259"/>
      <c r="IG652" s="259"/>
      <c r="IH652" s="259"/>
      <c r="II652" s="259"/>
      <c r="IJ652" s="259"/>
      <c r="IK652" s="259"/>
      <c r="IL652" s="259"/>
      <c r="IM652" s="259"/>
      <c r="IN652" s="259"/>
      <c r="IO652" s="259"/>
      <c r="IP652" s="259"/>
      <c r="IQ652" s="259"/>
      <c r="IR652" s="259"/>
      <c r="IS652" s="259"/>
      <c r="IT652" s="259"/>
      <c r="IU652" s="259"/>
      <c r="IV652" s="259"/>
      <c r="IW652" s="259"/>
      <c r="IX652" s="259"/>
      <c r="IY652" s="259"/>
      <c r="IZ652" s="259"/>
      <c r="JA652" s="259"/>
      <c r="JB652" s="259"/>
      <c r="JC652" s="259"/>
      <c r="JD652" s="259"/>
      <c r="JE652" s="259"/>
      <c r="JF652" s="259"/>
      <c r="JG652" s="259"/>
      <c r="JH652" s="259"/>
      <c r="JI652" s="259"/>
      <c r="JJ652" s="259"/>
      <c r="JK652" s="259"/>
      <c r="JL652" s="259"/>
      <c r="JM652" s="259"/>
      <c r="JN652" s="259"/>
      <c r="JO652" s="259"/>
      <c r="JP652" s="259"/>
      <c r="JQ652" s="259"/>
      <c r="JR652" s="259"/>
      <c r="JS652" s="259"/>
      <c r="JT652" s="259"/>
      <c r="JU652" s="259"/>
      <c r="JV652" s="259"/>
      <c r="JW652" s="259"/>
      <c r="JX652" s="259"/>
      <c r="JY652" s="259"/>
      <c r="JZ652" s="259"/>
      <c r="KA652" s="259"/>
      <c r="KB652" s="259"/>
      <c r="KC652" s="259"/>
      <c r="KD652" s="259"/>
      <c r="KE652" s="259"/>
      <c r="KF652" s="259"/>
      <c r="KG652" s="259"/>
      <c r="KH652" s="259"/>
      <c r="KI652" s="259"/>
      <c r="KJ652" s="259"/>
      <c r="KK652" s="259"/>
      <c r="KL652" s="259"/>
      <c r="KM652" s="259"/>
      <c r="KN652" s="259"/>
      <c r="KO652" s="259"/>
      <c r="KP652" s="259"/>
      <c r="KQ652" s="259"/>
      <c r="KR652" s="259"/>
      <c r="KS652" s="259"/>
      <c r="KT652" s="259"/>
      <c r="KU652" s="259"/>
      <c r="KV652" s="259"/>
      <c r="KW652" s="259"/>
      <c r="KX652" s="259"/>
      <c r="KY652" s="259"/>
      <c r="KZ652" s="259"/>
      <c r="LA652" s="259"/>
      <c r="LB652" s="259"/>
      <c r="LC652" s="259"/>
      <c r="LD652" s="259"/>
      <c r="LE652" s="259"/>
      <c r="LF652" s="259"/>
      <c r="LG652" s="259"/>
      <c r="LH652" s="259"/>
      <c r="LI652" s="259"/>
      <c r="LJ652" s="259"/>
      <c r="LK652" s="259"/>
      <c r="LL652" s="259"/>
      <c r="LM652" s="259"/>
      <c r="LN652" s="259"/>
      <c r="LO652" s="259"/>
      <c r="LP652" s="259"/>
      <c r="LQ652" s="259"/>
      <c r="LR652" s="259"/>
      <c r="LS652" s="259"/>
      <c r="LT652" s="259"/>
      <c r="LU652" s="259"/>
      <c r="LV652" s="259"/>
      <c r="LW652" s="259"/>
      <c r="LX652" s="259"/>
      <c r="LY652" s="259"/>
      <c r="LZ652" s="259"/>
      <c r="MA652" s="259"/>
      <c r="MB652" s="259"/>
      <c r="MC652" s="259"/>
      <c r="MD652" s="259"/>
      <c r="ME652" s="259"/>
      <c r="MF652" s="259"/>
      <c r="MG652" s="259"/>
      <c r="MH652" s="259"/>
      <c r="MI652" s="259"/>
      <c r="MJ652" s="259"/>
      <c r="MK652" s="259"/>
      <c r="ML652" s="259"/>
      <c r="MM652" s="259"/>
      <c r="MN652" s="259"/>
      <c r="MO652" s="259"/>
      <c r="MP652" s="259"/>
      <c r="MQ652" s="259"/>
      <c r="MR652" s="259"/>
      <c r="MS652" s="259"/>
      <c r="MT652" s="259"/>
      <c r="MU652" s="259"/>
      <c r="MV652" s="259"/>
      <c r="MW652" s="259"/>
      <c r="MX652" s="259"/>
      <c r="MY652" s="259"/>
      <c r="MZ652" s="259"/>
      <c r="NA652" s="259"/>
      <c r="NB652" s="259"/>
      <c r="NC652" s="259"/>
      <c r="ND652" s="259"/>
      <c r="NE652" s="259"/>
      <c r="NF652" s="259"/>
      <c r="NG652" s="259"/>
      <c r="NH652" s="259"/>
      <c r="NI652" s="259"/>
      <c r="NJ652" s="259"/>
      <c r="NK652" s="259"/>
      <c r="NL652" s="259"/>
      <c r="NM652" s="259"/>
      <c r="NN652" s="259"/>
      <c r="NO652" s="259"/>
      <c r="NP652" s="259"/>
      <c r="NQ652" s="259"/>
      <c r="NR652" s="259"/>
      <c r="NS652" s="259"/>
      <c r="NT652" s="259"/>
      <c r="NU652" s="259"/>
      <c r="NV652" s="259"/>
      <c r="NW652" s="259"/>
      <c r="NX652" s="259"/>
      <c r="NY652" s="259"/>
      <c r="NZ652" s="259"/>
      <c r="OA652" s="259"/>
      <c r="OB652" s="259"/>
      <c r="OC652" s="259"/>
      <c r="OD652" s="259"/>
      <c r="OE652" s="259"/>
      <c r="OF652" s="259"/>
      <c r="OG652" s="259"/>
      <c r="OH652" s="259"/>
      <c r="OI652" s="259"/>
      <c r="OJ652" s="259"/>
      <c r="OK652" s="259"/>
      <c r="OL652" s="259"/>
      <c r="OM652" s="259"/>
      <c r="ON652" s="259"/>
      <c r="OO652" s="259"/>
      <c r="OP652" s="259"/>
      <c r="OQ652" s="259"/>
      <c r="OR652" s="259"/>
      <c r="OS652" s="259"/>
      <c r="OT652" s="259"/>
      <c r="OU652" s="259"/>
      <c r="OV652" s="259"/>
      <c r="OW652" s="259"/>
      <c r="OX652" s="259"/>
      <c r="OY652" s="259"/>
      <c r="OZ652" s="259"/>
      <c r="PA652" s="259"/>
      <c r="PB652" s="259"/>
      <c r="PC652" s="259"/>
      <c r="PD652" s="259"/>
      <c r="PE652" s="259"/>
      <c r="PF652" s="259"/>
      <c r="PG652" s="259"/>
      <c r="PH652" s="259"/>
      <c r="PI652" s="259"/>
      <c r="PJ652" s="259"/>
      <c r="PK652" s="259"/>
      <c r="PL652" s="259"/>
      <c r="PM652" s="259"/>
      <c r="PN652" s="259"/>
      <c r="PO652" s="259"/>
      <c r="PP652" s="259"/>
      <c r="PQ652" s="259"/>
      <c r="PR652" s="259"/>
      <c r="PS652" s="259"/>
      <c r="PT652" s="259"/>
      <c r="PU652" s="259"/>
      <c r="PV652" s="259"/>
      <c r="PW652" s="259"/>
      <c r="PX652" s="259"/>
      <c r="PY652" s="259"/>
      <c r="PZ652" s="259"/>
      <c r="QA652" s="259"/>
      <c r="QB652" s="259"/>
      <c r="QC652" s="259"/>
      <c r="QD652" s="259"/>
      <c r="QE652" s="259"/>
      <c r="QF652" s="259"/>
      <c r="QG652" s="259"/>
      <c r="QH652" s="259"/>
      <c r="QI652" s="259"/>
      <c r="QJ652" s="259"/>
      <c r="QK652" s="259"/>
      <c r="QL652" s="259"/>
      <c r="QM652" s="259"/>
      <c r="QN652" s="259"/>
      <c r="QO652" s="259"/>
      <c r="QP652" s="259"/>
      <c r="QQ652" s="259"/>
      <c r="QR652" s="259"/>
      <c r="QS652" s="259"/>
      <c r="QT652" s="259"/>
      <c r="QU652" s="259"/>
      <c r="QV652" s="259"/>
      <c r="QW652" s="259"/>
      <c r="QX652" s="259"/>
      <c r="QY652" s="259"/>
      <c r="QZ652" s="259"/>
      <c r="RA652" s="259"/>
      <c r="RB652" s="259"/>
      <c r="RC652" s="259"/>
      <c r="RD652" s="259"/>
      <c r="RE652" s="259"/>
      <c r="RF652" s="259"/>
      <c r="RG652" s="259"/>
      <c r="RH652" s="259"/>
      <c r="RI652" s="259"/>
      <c r="RJ652" s="259"/>
      <c r="RK652" s="259"/>
      <c r="RL652" s="259"/>
      <c r="RM652" s="259"/>
      <c r="RN652" s="259"/>
      <c r="RO652" s="259"/>
      <c r="RP652" s="259"/>
      <c r="RQ652" s="259"/>
      <c r="RR652" s="259"/>
      <c r="RS652" s="259"/>
      <c r="RT652" s="259"/>
      <c r="RU652" s="259"/>
      <c r="RV652" s="259"/>
      <c r="RW652" s="259"/>
      <c r="RX652" s="259"/>
      <c r="RY652" s="259"/>
      <c r="RZ652" s="259"/>
      <c r="SA652" s="259"/>
      <c r="SB652" s="259"/>
      <c r="SC652" s="259"/>
      <c r="SD652" s="259"/>
      <c r="SE652" s="259"/>
      <c r="SF652" s="259"/>
      <c r="SG652" s="259"/>
      <c r="SH652" s="259"/>
      <c r="SI652" s="259"/>
      <c r="SJ652" s="259"/>
      <c r="SK652" s="259"/>
      <c r="SL652" s="259"/>
      <c r="SM652" s="259"/>
      <c r="SN652" s="259"/>
      <c r="SO652" s="259"/>
      <c r="SP652" s="259"/>
      <c r="SQ652" s="259"/>
      <c r="SR652" s="259"/>
      <c r="SS652" s="259"/>
      <c r="ST652" s="259"/>
      <c r="SU652" s="259"/>
      <c r="SV652" s="259"/>
      <c r="SW652" s="259"/>
      <c r="SX652" s="259"/>
      <c r="SY652" s="259"/>
      <c r="SZ652" s="259"/>
      <c r="TA652" s="259"/>
      <c r="TB652" s="259"/>
      <c r="TC652" s="259"/>
      <c r="TD652" s="259"/>
      <c r="TE652" s="259"/>
      <c r="TF652" s="259"/>
      <c r="TG652" s="259"/>
      <c r="TH652" s="259"/>
      <c r="TI652" s="259"/>
      <c r="TJ652" s="259"/>
      <c r="TK652" s="259"/>
      <c r="TL652" s="259"/>
      <c r="TM652" s="259"/>
      <c r="TN652" s="259"/>
      <c r="TO652" s="259"/>
      <c r="TP652" s="259"/>
      <c r="TQ652" s="259"/>
      <c r="TR652" s="259"/>
      <c r="TS652" s="259"/>
      <c r="TT652" s="259"/>
      <c r="TU652" s="259"/>
      <c r="TV652" s="259"/>
      <c r="TW652" s="259"/>
      <c r="TX652" s="259"/>
      <c r="TY652" s="259"/>
      <c r="TZ652" s="259"/>
      <c r="UA652" s="259"/>
      <c r="UB652" s="259"/>
      <c r="UC652" s="259"/>
      <c r="UD652" s="259"/>
      <c r="UE652" s="259"/>
      <c r="UF652" s="259"/>
      <c r="UG652" s="259"/>
      <c r="UH652" s="259"/>
      <c r="UI652" s="259"/>
    </row>
    <row r="653" spans="1:555" ht="67.5">
      <c r="A653" s="57">
        <v>480</v>
      </c>
      <c r="B653" s="58" t="s">
        <v>4620</v>
      </c>
      <c r="C653" s="59">
        <v>3096795</v>
      </c>
      <c r="D653" s="170" t="s">
        <v>597</v>
      </c>
      <c r="E653" s="60">
        <v>42800</v>
      </c>
      <c r="F653" s="61">
        <v>42795</v>
      </c>
      <c r="G653" s="62" t="s">
        <v>4621</v>
      </c>
      <c r="H653" s="58" t="s">
        <v>625</v>
      </c>
      <c r="I653" s="58" t="s">
        <v>183</v>
      </c>
      <c r="J653" s="60">
        <v>42940</v>
      </c>
      <c r="K653" s="61">
        <v>42917</v>
      </c>
      <c r="L653" s="62" t="s">
        <v>4622</v>
      </c>
      <c r="M653" s="58" t="s">
        <v>63</v>
      </c>
      <c r="N653" s="58" t="s">
        <v>79</v>
      </c>
      <c r="O653" s="60">
        <v>43032</v>
      </c>
      <c r="P653" s="63">
        <v>43009</v>
      </c>
      <c r="Q653" s="62" t="s">
        <v>4623</v>
      </c>
      <c r="R653" s="58" t="s">
        <v>63</v>
      </c>
      <c r="S653" s="58" t="s">
        <v>4624</v>
      </c>
      <c r="T653" s="60"/>
      <c r="U653" s="61"/>
      <c r="V653" s="62"/>
      <c r="W653" s="58"/>
      <c r="X653" s="58"/>
      <c r="Y653" s="60"/>
      <c r="Z653" s="61"/>
      <c r="AA653" s="62"/>
      <c r="AB653" s="58"/>
      <c r="AC653" s="58"/>
      <c r="AD653" s="60"/>
      <c r="AE653" s="61"/>
      <c r="AF653" s="62"/>
      <c r="AG653" s="58"/>
      <c r="AH653" s="58"/>
      <c r="AI653" s="117"/>
      <c r="AJ653" s="61"/>
      <c r="AK653" s="62"/>
      <c r="AL653" s="58"/>
      <c r="AM653" s="58"/>
      <c r="AN653" s="58" t="s">
        <v>3671</v>
      </c>
      <c r="AO653" s="478"/>
      <c r="AP653" s="58"/>
      <c r="AQ653" s="62" t="s">
        <v>4625</v>
      </c>
      <c r="AR653" s="58" t="s">
        <v>161</v>
      </c>
      <c r="AS653" s="60">
        <v>38275</v>
      </c>
      <c r="AT653" s="60">
        <v>39856</v>
      </c>
      <c r="AU653" s="58" t="s">
        <v>4626</v>
      </c>
      <c r="AV653" s="58"/>
      <c r="AW653" s="58" t="s">
        <v>92</v>
      </c>
      <c r="AX653" s="58" t="s">
        <v>4627</v>
      </c>
      <c r="AY653" s="60">
        <v>41992</v>
      </c>
      <c r="AZ653" s="58" t="s">
        <v>94</v>
      </c>
      <c r="BA653" s="60">
        <v>42717</v>
      </c>
      <c r="BB653" s="382">
        <v>42773</v>
      </c>
      <c r="BC653" s="58" t="s">
        <v>95</v>
      </c>
      <c r="BD653" s="58" t="s">
        <v>566</v>
      </c>
      <c r="BE653" s="58"/>
      <c r="BF653" s="62" t="s">
        <v>4628</v>
      </c>
      <c r="BG653" s="62"/>
      <c r="BH653" s="62"/>
      <c r="BI653" s="62"/>
      <c r="BJ653" s="138">
        <f>+[193]MATRIZ!$J$65</f>
        <v>0</v>
      </c>
      <c r="BK653" s="67"/>
      <c r="BL653" s="68"/>
      <c r="BM653" s="60"/>
      <c r="BN653" s="61"/>
      <c r="BO653" s="463"/>
      <c r="BP653" s="122"/>
      <c r="BQ653" s="58"/>
      <c r="BR653" s="70"/>
      <c r="BS653" s="62"/>
      <c r="BT653" s="62"/>
      <c r="BU653" s="62"/>
      <c r="BV653" s="62"/>
      <c r="BW653" s="71"/>
      <c r="BX653" s="66"/>
      <c r="BY653" s="60"/>
      <c r="BZ653" s="72"/>
    </row>
    <row r="654" spans="1:555" ht="135">
      <c r="A654" s="57">
        <v>481</v>
      </c>
      <c r="B654" s="58" t="s">
        <v>4629</v>
      </c>
      <c r="C654" s="59">
        <v>7730551</v>
      </c>
      <c r="D654" s="170" t="s">
        <v>3645</v>
      </c>
      <c r="E654" s="60">
        <v>42800</v>
      </c>
      <c r="F654" s="61">
        <v>42795</v>
      </c>
      <c r="G654" s="62" t="s">
        <v>4630</v>
      </c>
      <c r="H654" s="58" t="s">
        <v>171</v>
      </c>
      <c r="I654" s="58" t="s">
        <v>3423</v>
      </c>
      <c r="J654" s="60">
        <v>43208</v>
      </c>
      <c r="K654" s="61">
        <v>43191</v>
      </c>
      <c r="L654" s="62" t="s">
        <v>4631</v>
      </c>
      <c r="M654" s="58" t="s">
        <v>63</v>
      </c>
      <c r="N654" s="58" t="s">
        <v>79</v>
      </c>
      <c r="O654" s="64">
        <v>43263</v>
      </c>
      <c r="P654" s="63">
        <v>43263</v>
      </c>
      <c r="Q654" s="425" t="s">
        <v>4632</v>
      </c>
      <c r="R654" s="58" t="s">
        <v>2637</v>
      </c>
      <c r="S654" s="58" t="s">
        <v>85</v>
      </c>
      <c r="T654" s="60">
        <v>43896</v>
      </c>
      <c r="U654" s="61">
        <v>43896</v>
      </c>
      <c r="V654" s="62" t="s">
        <v>9493</v>
      </c>
      <c r="W654" s="58" t="s">
        <v>63</v>
      </c>
      <c r="X654" s="58" t="s">
        <v>8243</v>
      </c>
      <c r="Y654" s="60"/>
      <c r="Z654" s="61"/>
      <c r="AA654" s="62"/>
      <c r="AB654" s="58"/>
      <c r="AC654" s="58"/>
      <c r="AD654" s="60"/>
      <c r="AE654" s="61"/>
      <c r="AF654" s="62"/>
      <c r="AG654" s="58"/>
      <c r="AH654" s="58"/>
      <c r="AI654" s="117"/>
      <c r="AJ654" s="61"/>
      <c r="AK654" s="62"/>
      <c r="AL654" s="58"/>
      <c r="AM654" s="58"/>
      <c r="AN654" s="58" t="s">
        <v>3671</v>
      </c>
      <c r="AO654" s="478"/>
      <c r="AP654" s="58"/>
      <c r="AQ654" s="62" t="s">
        <v>4633</v>
      </c>
      <c r="AR654" s="58" t="s">
        <v>161</v>
      </c>
      <c r="AS654" s="60">
        <v>39448</v>
      </c>
      <c r="AT654" s="60">
        <v>39813</v>
      </c>
      <c r="AU654" s="58" t="s">
        <v>4634</v>
      </c>
      <c r="AV654" s="58"/>
      <c r="AW654" s="58" t="s">
        <v>92</v>
      </c>
      <c r="AX654" s="58" t="s">
        <v>3653</v>
      </c>
      <c r="AY654" s="60">
        <v>41578</v>
      </c>
      <c r="AZ654" s="58" t="s">
        <v>2591</v>
      </c>
      <c r="BA654" s="60">
        <v>42704</v>
      </c>
      <c r="BB654" s="382">
        <v>42773</v>
      </c>
      <c r="BC654" s="58" t="s">
        <v>95</v>
      </c>
      <c r="BD654" s="58" t="s">
        <v>566</v>
      </c>
      <c r="BE654" s="58"/>
      <c r="BF654" s="62"/>
      <c r="BG654" s="62"/>
      <c r="BH654" s="62"/>
      <c r="BI654" s="62"/>
      <c r="BJ654" s="138">
        <f>+[194]MATRIZ!$J$52</f>
        <v>0</v>
      </c>
      <c r="BK654" s="67"/>
      <c r="BL654" s="68"/>
      <c r="BM654" s="60"/>
      <c r="BN654" s="61"/>
      <c r="BO654" s="463"/>
      <c r="BP654" s="122"/>
      <c r="BQ654" s="58"/>
      <c r="BR654" s="70"/>
      <c r="BS654" s="62"/>
      <c r="BT654" s="62"/>
      <c r="BU654" s="62"/>
      <c r="BV654" s="62"/>
      <c r="BW654" s="71"/>
      <c r="BX654" s="66"/>
      <c r="BY654" s="60"/>
      <c r="BZ654" s="72"/>
    </row>
    <row r="655" spans="1:555" s="259" customFormat="1" ht="108">
      <c r="A655" s="57">
        <v>482</v>
      </c>
      <c r="B655" s="58" t="s">
        <v>4635</v>
      </c>
      <c r="C655" s="59">
        <v>80407481</v>
      </c>
      <c r="D655" s="170" t="s">
        <v>906</v>
      </c>
      <c r="E655" s="60">
        <v>42801</v>
      </c>
      <c r="F655" s="61">
        <v>42795</v>
      </c>
      <c r="G655" s="62" t="s">
        <v>271</v>
      </c>
      <c r="H655" s="58" t="s">
        <v>625</v>
      </c>
      <c r="I655" s="58" t="s">
        <v>183</v>
      </c>
      <c r="J655" s="60">
        <v>42853</v>
      </c>
      <c r="K655" s="61">
        <v>42826</v>
      </c>
      <c r="L655" s="62" t="s">
        <v>4636</v>
      </c>
      <c r="M655" s="58" t="s">
        <v>1493</v>
      </c>
      <c r="N655" s="58" t="s">
        <v>183</v>
      </c>
      <c r="O655" s="60">
        <v>43398</v>
      </c>
      <c r="P655" s="63">
        <v>43398</v>
      </c>
      <c r="Q655" s="62" t="s">
        <v>7440</v>
      </c>
      <c r="R655" s="58" t="s">
        <v>5</v>
      </c>
      <c r="S655" s="58" t="s">
        <v>570</v>
      </c>
      <c r="T655" s="60"/>
      <c r="U655" s="61"/>
      <c r="V655" s="62"/>
      <c r="W655" s="58"/>
      <c r="X655" s="58"/>
      <c r="Y655" s="60"/>
      <c r="Z655" s="61"/>
      <c r="AA655" s="62"/>
      <c r="AB655" s="58"/>
      <c r="AC655" s="58"/>
      <c r="AD655" s="60"/>
      <c r="AE655" s="61"/>
      <c r="AF655" s="62"/>
      <c r="AG655" s="58"/>
      <c r="AH655" s="58"/>
      <c r="AI655" s="117"/>
      <c r="AJ655" s="61"/>
      <c r="AK655" s="62"/>
      <c r="AL655" s="58"/>
      <c r="AM655" s="58"/>
      <c r="AN655" s="58" t="s">
        <v>3671</v>
      </c>
      <c r="AO655" s="478"/>
      <c r="AP655" s="58"/>
      <c r="AQ655" s="62" t="s">
        <v>4637</v>
      </c>
      <c r="AR655" s="58" t="s">
        <v>161</v>
      </c>
      <c r="AS655" s="60">
        <v>38104</v>
      </c>
      <c r="AT655" s="60">
        <v>40908</v>
      </c>
      <c r="AU655" s="58" t="s">
        <v>7526</v>
      </c>
      <c r="AV655" s="58"/>
      <c r="AW655" s="58" t="s">
        <v>69</v>
      </c>
      <c r="AX655" s="58" t="s">
        <v>4258</v>
      </c>
      <c r="AY655" s="60">
        <v>42411</v>
      </c>
      <c r="AZ655" s="58" t="s">
        <v>94</v>
      </c>
      <c r="BA655" s="60">
        <v>42781</v>
      </c>
      <c r="BB655" s="382">
        <v>42802</v>
      </c>
      <c r="BC655" s="70" t="s">
        <v>912</v>
      </c>
      <c r="BD655" s="70" t="s">
        <v>566</v>
      </c>
      <c r="BE655" s="58"/>
      <c r="BF655" s="62"/>
      <c r="BG655" s="62"/>
      <c r="BH655" s="62"/>
      <c r="BI655" s="62"/>
      <c r="BJ655" s="138">
        <f>+[195]MATRIZ!$J$55</f>
        <v>22837013.803050119</v>
      </c>
      <c r="BK655" s="67"/>
      <c r="BL655" s="68"/>
      <c r="BM655" s="60"/>
      <c r="BN655" s="61"/>
      <c r="BO655" s="463"/>
      <c r="BP655" s="122"/>
      <c r="BQ655" s="58"/>
      <c r="BR655" s="70"/>
      <c r="BS655" s="62"/>
      <c r="BT655" s="62"/>
      <c r="BU655" s="62"/>
      <c r="BV655" s="62"/>
      <c r="BW655" s="71"/>
      <c r="BX655" s="66"/>
      <c r="BY655" s="60"/>
      <c r="BZ655" s="72"/>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c r="JW655" s="1"/>
      <c r="JX655" s="1"/>
      <c r="JY655" s="1"/>
      <c r="JZ655" s="1"/>
      <c r="KA655" s="1"/>
      <c r="KB655" s="1"/>
      <c r="KC655" s="1"/>
      <c r="KD655" s="1"/>
      <c r="KE655" s="1"/>
      <c r="KF655" s="1"/>
      <c r="KG655" s="1"/>
      <c r="KH655" s="1"/>
      <c r="KI655" s="1"/>
      <c r="KJ655" s="1"/>
      <c r="KK655" s="1"/>
      <c r="KL655" s="1"/>
      <c r="KM655" s="1"/>
      <c r="KN655" s="1"/>
      <c r="KO655" s="1"/>
      <c r="KP655" s="1"/>
      <c r="KQ655" s="1"/>
      <c r="KR655" s="1"/>
      <c r="KS655" s="1"/>
      <c r="KT655" s="1"/>
      <c r="KU655" s="1"/>
      <c r="KV655" s="1"/>
      <c r="KW655" s="1"/>
      <c r="KX655" s="1"/>
      <c r="KY655" s="1"/>
      <c r="KZ655" s="1"/>
      <c r="LA655" s="1"/>
      <c r="LB655" s="1"/>
      <c r="LC655" s="1"/>
      <c r="LD655" s="1"/>
      <c r="LE655" s="1"/>
      <c r="LF655" s="1"/>
      <c r="LG655" s="1"/>
      <c r="LH655" s="1"/>
      <c r="LI655" s="1"/>
      <c r="LJ655" s="1"/>
      <c r="LK655" s="1"/>
      <c r="LL655" s="1"/>
      <c r="LM655" s="1"/>
      <c r="LN655" s="1"/>
      <c r="LO655" s="1"/>
      <c r="LP655" s="1"/>
      <c r="LQ655" s="1"/>
      <c r="LR655" s="1"/>
      <c r="LS655" s="1"/>
      <c r="LT655" s="1"/>
      <c r="LU655" s="1"/>
      <c r="LV655" s="1"/>
      <c r="LW655" s="1"/>
      <c r="LX655" s="1"/>
      <c r="LY655" s="1"/>
      <c r="LZ655" s="1"/>
      <c r="MA655" s="1"/>
      <c r="MB655" s="1"/>
      <c r="MC655" s="1"/>
      <c r="MD655" s="1"/>
      <c r="ME655" s="1"/>
      <c r="MF655" s="1"/>
      <c r="MG655" s="1"/>
      <c r="MH655" s="1"/>
      <c r="MI655" s="1"/>
      <c r="MJ655" s="1"/>
      <c r="MK655" s="1"/>
      <c r="ML655" s="1"/>
      <c r="MM655" s="1"/>
      <c r="MN655" s="1"/>
      <c r="MO655" s="1"/>
      <c r="MP655" s="1"/>
      <c r="MQ655" s="1"/>
      <c r="MR655" s="1"/>
      <c r="MS655" s="1"/>
      <c r="MT655" s="1"/>
      <c r="MU655" s="1"/>
      <c r="MV655" s="1"/>
      <c r="MW655" s="1"/>
      <c r="MX655" s="1"/>
      <c r="MY655" s="1"/>
      <c r="MZ655" s="1"/>
      <c r="NA655" s="1"/>
      <c r="NB655" s="1"/>
      <c r="NC655" s="1"/>
      <c r="ND655" s="1"/>
      <c r="NE655" s="1"/>
      <c r="NF655" s="1"/>
      <c r="NG655" s="1"/>
      <c r="NH655" s="1"/>
      <c r="NI655" s="1"/>
      <c r="NJ655" s="1"/>
      <c r="NK655" s="1"/>
      <c r="NL655" s="1"/>
      <c r="NM655" s="1"/>
      <c r="NN655" s="1"/>
      <c r="NO655" s="1"/>
      <c r="NP655" s="1"/>
      <c r="NQ655" s="1"/>
      <c r="NR655" s="1"/>
      <c r="NS655" s="1"/>
      <c r="NT655" s="1"/>
      <c r="NU655" s="1"/>
      <c r="NV655" s="1"/>
      <c r="NW655" s="1"/>
      <c r="NX655" s="1"/>
      <c r="NY655" s="1"/>
      <c r="NZ655" s="1"/>
      <c r="OA655" s="1"/>
      <c r="OB655" s="1"/>
      <c r="OC655" s="1"/>
      <c r="OD655" s="1"/>
      <c r="OE655" s="1"/>
      <c r="OF655" s="1"/>
      <c r="OG655" s="1"/>
      <c r="OH655" s="1"/>
      <c r="OI655" s="1"/>
      <c r="OJ655" s="1"/>
      <c r="OK655" s="1"/>
      <c r="OL655" s="1"/>
      <c r="OM655" s="1"/>
      <c r="ON655" s="1"/>
      <c r="OO655" s="1"/>
      <c r="OP655" s="1"/>
      <c r="OQ655" s="1"/>
      <c r="OR655" s="1"/>
      <c r="OS655" s="1"/>
      <c r="OT655" s="1"/>
      <c r="OU655" s="1"/>
      <c r="OV655" s="1"/>
      <c r="OW655" s="1"/>
      <c r="OX655" s="1"/>
      <c r="OY655" s="1"/>
      <c r="OZ655" s="1"/>
      <c r="PA655" s="1"/>
      <c r="PB655" s="1"/>
      <c r="PC655" s="1"/>
      <c r="PD655" s="1"/>
      <c r="PE655" s="1"/>
      <c r="PF655" s="1"/>
      <c r="PG655" s="1"/>
      <c r="PH655" s="1"/>
      <c r="PI655" s="1"/>
      <c r="PJ655" s="1"/>
      <c r="PK655" s="1"/>
      <c r="PL655" s="1"/>
      <c r="PM655" s="1"/>
      <c r="PN655" s="1"/>
      <c r="PO655" s="1"/>
      <c r="PP655" s="1"/>
      <c r="PQ655" s="1"/>
      <c r="PR655" s="1"/>
      <c r="PS655" s="1"/>
      <c r="PT655" s="1"/>
      <c r="PU655" s="1"/>
      <c r="PV655" s="1"/>
      <c r="PW655" s="1"/>
      <c r="PX655" s="1"/>
      <c r="PY655" s="1"/>
      <c r="PZ655" s="1"/>
      <c r="QA655" s="1"/>
      <c r="QB655" s="1"/>
      <c r="QC655" s="1"/>
      <c r="QD655" s="1"/>
      <c r="QE655" s="1"/>
      <c r="QF655" s="1"/>
      <c r="QG655" s="1"/>
      <c r="QH655" s="1"/>
      <c r="QI655" s="1"/>
      <c r="QJ655" s="1"/>
      <c r="QK655" s="1"/>
      <c r="QL655" s="1"/>
      <c r="QM655" s="1"/>
      <c r="QN655" s="1"/>
      <c r="QO655" s="1"/>
      <c r="QP655" s="1"/>
      <c r="QQ655" s="1"/>
      <c r="QR655" s="1"/>
      <c r="QS655" s="1"/>
      <c r="QT655" s="1"/>
      <c r="QU655" s="1"/>
      <c r="QV655" s="1"/>
      <c r="QW655" s="1"/>
      <c r="QX655" s="1"/>
      <c r="QY655" s="1"/>
      <c r="QZ655" s="1"/>
      <c r="RA655" s="1"/>
      <c r="RB655" s="1"/>
      <c r="RC655" s="1"/>
      <c r="RD655" s="1"/>
      <c r="RE655" s="1"/>
      <c r="RF655" s="1"/>
      <c r="RG655" s="1"/>
      <c r="RH655" s="1"/>
      <c r="RI655" s="1"/>
      <c r="RJ655" s="1"/>
      <c r="RK655" s="1"/>
      <c r="RL655" s="1"/>
      <c r="RM655" s="1"/>
      <c r="RN655" s="1"/>
      <c r="RO655" s="1"/>
      <c r="RP655" s="1"/>
      <c r="RQ655" s="1"/>
      <c r="RR655" s="1"/>
      <c r="RS655" s="1"/>
      <c r="RT655" s="1"/>
      <c r="RU655" s="1"/>
      <c r="RV655" s="1"/>
      <c r="RW655" s="1"/>
      <c r="RX655" s="1"/>
      <c r="RY655" s="1"/>
      <c r="RZ655" s="1"/>
      <c r="SA655" s="1"/>
      <c r="SB655" s="1"/>
      <c r="SC655" s="1"/>
      <c r="SD655" s="1"/>
      <c r="SE655" s="1"/>
      <c r="SF655" s="1"/>
      <c r="SG655" s="1"/>
      <c r="SH655" s="1"/>
      <c r="SI655" s="1"/>
      <c r="SJ655" s="1"/>
      <c r="SK655" s="1"/>
      <c r="SL655" s="1"/>
      <c r="SM655" s="1"/>
      <c r="SN655" s="1"/>
      <c r="SO655" s="1"/>
      <c r="SP655" s="1"/>
      <c r="SQ655" s="1"/>
      <c r="SR655" s="1"/>
      <c r="SS655" s="1"/>
      <c r="ST655" s="1"/>
      <c r="SU655" s="1"/>
      <c r="SV655" s="1"/>
      <c r="SW655" s="1"/>
      <c r="SX655" s="1"/>
      <c r="SY655" s="1"/>
      <c r="SZ655" s="1"/>
      <c r="TA655" s="1"/>
      <c r="TB655" s="1"/>
      <c r="TC655" s="1"/>
      <c r="TD655" s="1"/>
      <c r="TE655" s="1"/>
      <c r="TF655" s="1"/>
      <c r="TG655" s="1"/>
      <c r="TH655" s="1"/>
      <c r="TI655" s="1"/>
      <c r="TJ655" s="1"/>
      <c r="TK655" s="1"/>
      <c r="TL655" s="1"/>
      <c r="TM655" s="1"/>
      <c r="TN655" s="1"/>
      <c r="TO655" s="1"/>
      <c r="TP655" s="1"/>
      <c r="TQ655" s="1"/>
      <c r="TR655" s="1"/>
      <c r="TS655" s="1"/>
      <c r="TT655" s="1"/>
      <c r="TU655" s="1"/>
      <c r="TV655" s="1"/>
      <c r="TW655" s="1"/>
      <c r="TX655" s="1"/>
      <c r="TY655" s="1"/>
      <c r="TZ655" s="1"/>
      <c r="UA655" s="1"/>
      <c r="UB655" s="1"/>
      <c r="UC655" s="1"/>
      <c r="UD655" s="1"/>
      <c r="UE655" s="1"/>
      <c r="UF655" s="1"/>
      <c r="UG655" s="1"/>
      <c r="UH655" s="1"/>
      <c r="UI655" s="1"/>
    </row>
    <row r="656" spans="1:555" ht="67.5">
      <c r="A656" s="502">
        <v>483</v>
      </c>
      <c r="B656" s="686" t="s">
        <v>4638</v>
      </c>
      <c r="C656" s="687">
        <v>80116944</v>
      </c>
      <c r="D656" s="688" t="s">
        <v>2446</v>
      </c>
      <c r="E656" s="27">
        <v>42801</v>
      </c>
      <c r="F656" s="689">
        <v>42795</v>
      </c>
      <c r="G656" s="690" t="s">
        <v>271</v>
      </c>
      <c r="H656" s="686" t="s">
        <v>171</v>
      </c>
      <c r="I656" s="686" t="s">
        <v>1544</v>
      </c>
      <c r="J656" s="27">
        <v>42782</v>
      </c>
      <c r="K656" s="689">
        <v>42767</v>
      </c>
      <c r="L656" s="690" t="s">
        <v>4639</v>
      </c>
      <c r="M656" s="686" t="s">
        <v>171</v>
      </c>
      <c r="N656" s="686" t="s">
        <v>4496</v>
      </c>
      <c r="O656" s="27">
        <v>42759</v>
      </c>
      <c r="P656" s="691">
        <v>42736</v>
      </c>
      <c r="Q656" s="690" t="s">
        <v>4640</v>
      </c>
      <c r="R656" s="686" t="s">
        <v>5</v>
      </c>
      <c r="S656" s="686" t="s">
        <v>101</v>
      </c>
      <c r="T656" s="27"/>
      <c r="U656" s="689"/>
      <c r="V656" s="690"/>
      <c r="W656" s="686"/>
      <c r="X656" s="686"/>
      <c r="Y656" s="27"/>
      <c r="Z656" s="689"/>
      <c r="AA656" s="690"/>
      <c r="AB656" s="686"/>
      <c r="AC656" s="686"/>
      <c r="AD656" s="27"/>
      <c r="AE656" s="689"/>
      <c r="AF656" s="690"/>
      <c r="AG656" s="686"/>
      <c r="AH656" s="686"/>
      <c r="AI656" s="704"/>
      <c r="AJ656" s="689"/>
      <c r="AK656" s="690"/>
      <c r="AL656" s="686"/>
      <c r="AM656" s="686"/>
      <c r="AN656" s="686" t="s">
        <v>3671</v>
      </c>
      <c r="AO656" s="705"/>
      <c r="AP656" s="686"/>
      <c r="AQ656" s="690" t="s">
        <v>4641</v>
      </c>
      <c r="AR656" s="686" t="s">
        <v>161</v>
      </c>
      <c r="AS656" s="27">
        <v>38621</v>
      </c>
      <c r="AT656" s="27">
        <v>40801</v>
      </c>
      <c r="AU656" s="686" t="s">
        <v>4642</v>
      </c>
      <c r="AV656" s="686"/>
      <c r="AW656" s="686" t="s">
        <v>92</v>
      </c>
      <c r="AX656" s="686" t="s">
        <v>4643</v>
      </c>
      <c r="AY656" s="27">
        <v>42160</v>
      </c>
      <c r="AZ656" s="686" t="s">
        <v>4644</v>
      </c>
      <c r="BA656" s="27">
        <v>42684</v>
      </c>
      <c r="BB656" s="27">
        <v>42717</v>
      </c>
      <c r="BC656" s="686" t="s">
        <v>95</v>
      </c>
      <c r="BD656" s="686" t="s">
        <v>566</v>
      </c>
      <c r="BE656" s="686"/>
      <c r="BF656" s="690" t="s">
        <v>4645</v>
      </c>
      <c r="BG656" s="690"/>
      <c r="BH656" s="690"/>
      <c r="BI656" s="690"/>
      <c r="BJ656" s="803">
        <f>+[196]MATRIZ!$J$76</f>
        <v>0</v>
      </c>
      <c r="BK656" s="696"/>
      <c r="BL656" s="697"/>
      <c r="BM656" s="27"/>
      <c r="BN656" s="689"/>
      <c r="BO656" s="699"/>
      <c r="BP656" s="700"/>
      <c r="BQ656" s="686"/>
      <c r="BR656" s="701"/>
      <c r="BS656" s="690"/>
      <c r="BT656" s="690"/>
      <c r="BU656" s="690"/>
      <c r="BV656" s="690"/>
      <c r="BW656" s="702"/>
      <c r="BX656" s="693"/>
      <c r="BY656" s="27"/>
      <c r="BZ656" s="703"/>
      <c r="CA656" s="259"/>
      <c r="CB656" s="259"/>
      <c r="CC656" s="259"/>
      <c r="CD656" s="259"/>
      <c r="CE656" s="259"/>
      <c r="CF656" s="259"/>
      <c r="CG656" s="259"/>
      <c r="CH656" s="259"/>
      <c r="CI656" s="259"/>
      <c r="CJ656" s="259"/>
      <c r="CK656" s="259"/>
      <c r="CL656" s="259"/>
      <c r="CM656" s="259"/>
      <c r="CN656" s="259"/>
      <c r="CO656" s="259"/>
      <c r="CP656" s="259"/>
      <c r="CQ656" s="259"/>
      <c r="CR656" s="259"/>
      <c r="CS656" s="259"/>
      <c r="CT656" s="259"/>
      <c r="CU656" s="259"/>
      <c r="CV656" s="259"/>
      <c r="CW656" s="259"/>
      <c r="CX656" s="259"/>
      <c r="CY656" s="259"/>
      <c r="CZ656" s="259"/>
      <c r="DA656" s="259"/>
      <c r="DB656" s="259"/>
      <c r="DC656" s="259"/>
      <c r="DD656" s="259"/>
      <c r="DE656" s="259"/>
      <c r="DF656" s="259"/>
      <c r="DG656" s="259"/>
      <c r="DH656" s="259"/>
      <c r="DI656" s="259"/>
      <c r="DJ656" s="259"/>
      <c r="DK656" s="259"/>
      <c r="DL656" s="259"/>
      <c r="DM656" s="259"/>
      <c r="DN656" s="259"/>
      <c r="DO656" s="259"/>
      <c r="DP656" s="259"/>
      <c r="DQ656" s="259"/>
      <c r="DR656" s="259"/>
      <c r="DS656" s="259"/>
      <c r="DT656" s="259"/>
      <c r="DU656" s="259"/>
      <c r="DV656" s="259"/>
      <c r="DW656" s="259"/>
      <c r="DX656" s="259"/>
      <c r="DY656" s="259"/>
      <c r="DZ656" s="259"/>
      <c r="EA656" s="259"/>
      <c r="EB656" s="259"/>
      <c r="EC656" s="259"/>
      <c r="ED656" s="259"/>
      <c r="EE656" s="259"/>
      <c r="EF656" s="259"/>
      <c r="EG656" s="259"/>
      <c r="EH656" s="259"/>
      <c r="EI656" s="259"/>
      <c r="EJ656" s="259"/>
      <c r="EK656" s="259"/>
      <c r="EL656" s="259"/>
      <c r="EM656" s="259"/>
      <c r="EN656" s="259"/>
      <c r="EO656" s="259"/>
      <c r="EP656" s="259"/>
      <c r="EQ656" s="259"/>
      <c r="ER656" s="259"/>
      <c r="ES656" s="259"/>
      <c r="ET656" s="259"/>
      <c r="EU656" s="259"/>
      <c r="EV656" s="259"/>
      <c r="EW656" s="259"/>
      <c r="EX656" s="259"/>
      <c r="EY656" s="259"/>
      <c r="EZ656" s="259"/>
      <c r="FA656" s="259"/>
      <c r="FB656" s="259"/>
      <c r="FC656" s="259"/>
      <c r="FD656" s="259"/>
      <c r="FE656" s="259"/>
      <c r="FF656" s="259"/>
      <c r="FG656" s="259"/>
      <c r="FH656" s="259"/>
      <c r="FI656" s="259"/>
      <c r="FJ656" s="259"/>
      <c r="FK656" s="259"/>
      <c r="FL656" s="259"/>
      <c r="FM656" s="259"/>
      <c r="FN656" s="259"/>
      <c r="FO656" s="259"/>
      <c r="FP656" s="259"/>
      <c r="FQ656" s="259"/>
      <c r="FR656" s="259"/>
      <c r="FS656" s="259"/>
      <c r="FT656" s="259"/>
      <c r="FU656" s="259"/>
      <c r="FV656" s="259"/>
      <c r="FW656" s="259"/>
      <c r="FX656" s="259"/>
      <c r="FY656" s="259"/>
      <c r="FZ656" s="259"/>
      <c r="GA656" s="259"/>
      <c r="GB656" s="259"/>
      <c r="GC656" s="259"/>
      <c r="GD656" s="259"/>
      <c r="GE656" s="259"/>
      <c r="GF656" s="259"/>
      <c r="GG656" s="259"/>
      <c r="GH656" s="259"/>
      <c r="GI656" s="259"/>
      <c r="GJ656" s="259"/>
      <c r="GK656" s="259"/>
      <c r="GL656" s="259"/>
      <c r="GM656" s="259"/>
      <c r="GN656" s="259"/>
      <c r="GO656" s="259"/>
      <c r="GP656" s="259"/>
      <c r="GQ656" s="259"/>
      <c r="GR656" s="259"/>
      <c r="GS656" s="259"/>
      <c r="GT656" s="259"/>
      <c r="GU656" s="259"/>
      <c r="GV656" s="259"/>
      <c r="GW656" s="259"/>
      <c r="GX656" s="259"/>
      <c r="GY656" s="259"/>
      <c r="GZ656" s="259"/>
      <c r="HA656" s="259"/>
      <c r="HB656" s="259"/>
      <c r="HC656" s="259"/>
      <c r="HD656" s="259"/>
      <c r="HE656" s="259"/>
      <c r="HF656" s="259"/>
      <c r="HG656" s="259"/>
      <c r="HH656" s="259"/>
      <c r="HI656" s="259"/>
      <c r="HJ656" s="259"/>
      <c r="HK656" s="259"/>
      <c r="HL656" s="259"/>
      <c r="HM656" s="259"/>
      <c r="HN656" s="259"/>
      <c r="HO656" s="259"/>
      <c r="HP656" s="259"/>
      <c r="HQ656" s="259"/>
      <c r="HR656" s="259"/>
      <c r="HS656" s="259"/>
      <c r="HT656" s="259"/>
      <c r="HU656" s="259"/>
      <c r="HV656" s="259"/>
      <c r="HW656" s="259"/>
      <c r="HX656" s="259"/>
      <c r="HY656" s="259"/>
      <c r="HZ656" s="259"/>
      <c r="IA656" s="259"/>
      <c r="IB656" s="259"/>
      <c r="IC656" s="259"/>
      <c r="ID656" s="259"/>
      <c r="IE656" s="259"/>
      <c r="IF656" s="259"/>
      <c r="IG656" s="259"/>
      <c r="IH656" s="259"/>
      <c r="II656" s="259"/>
      <c r="IJ656" s="259"/>
      <c r="IK656" s="259"/>
      <c r="IL656" s="259"/>
      <c r="IM656" s="259"/>
      <c r="IN656" s="259"/>
      <c r="IO656" s="259"/>
      <c r="IP656" s="259"/>
      <c r="IQ656" s="259"/>
      <c r="IR656" s="259"/>
      <c r="IS656" s="259"/>
      <c r="IT656" s="259"/>
      <c r="IU656" s="259"/>
      <c r="IV656" s="259"/>
      <c r="IW656" s="259"/>
      <c r="IX656" s="259"/>
      <c r="IY656" s="259"/>
      <c r="IZ656" s="259"/>
      <c r="JA656" s="259"/>
      <c r="JB656" s="259"/>
      <c r="JC656" s="259"/>
      <c r="JD656" s="259"/>
      <c r="JE656" s="259"/>
      <c r="JF656" s="259"/>
      <c r="JG656" s="259"/>
      <c r="JH656" s="259"/>
      <c r="JI656" s="259"/>
      <c r="JJ656" s="259"/>
      <c r="JK656" s="259"/>
      <c r="JL656" s="259"/>
      <c r="JM656" s="259"/>
      <c r="JN656" s="259"/>
      <c r="JO656" s="259"/>
      <c r="JP656" s="259"/>
      <c r="JQ656" s="259"/>
      <c r="JR656" s="259"/>
      <c r="JS656" s="259"/>
      <c r="JT656" s="259"/>
      <c r="JU656" s="259"/>
      <c r="JV656" s="259"/>
      <c r="JW656" s="259"/>
      <c r="JX656" s="259"/>
      <c r="JY656" s="259"/>
      <c r="JZ656" s="259"/>
      <c r="KA656" s="259"/>
      <c r="KB656" s="259"/>
      <c r="KC656" s="259"/>
      <c r="KD656" s="259"/>
      <c r="KE656" s="259"/>
      <c r="KF656" s="259"/>
      <c r="KG656" s="259"/>
      <c r="KH656" s="259"/>
      <c r="KI656" s="259"/>
      <c r="KJ656" s="259"/>
      <c r="KK656" s="259"/>
      <c r="KL656" s="259"/>
      <c r="KM656" s="259"/>
      <c r="KN656" s="259"/>
      <c r="KO656" s="259"/>
      <c r="KP656" s="259"/>
      <c r="KQ656" s="259"/>
      <c r="KR656" s="259"/>
      <c r="KS656" s="259"/>
      <c r="KT656" s="259"/>
      <c r="KU656" s="259"/>
      <c r="KV656" s="259"/>
      <c r="KW656" s="259"/>
      <c r="KX656" s="259"/>
      <c r="KY656" s="259"/>
      <c r="KZ656" s="259"/>
      <c r="LA656" s="259"/>
      <c r="LB656" s="259"/>
      <c r="LC656" s="259"/>
      <c r="LD656" s="259"/>
      <c r="LE656" s="259"/>
      <c r="LF656" s="259"/>
      <c r="LG656" s="259"/>
      <c r="LH656" s="259"/>
      <c r="LI656" s="259"/>
      <c r="LJ656" s="259"/>
      <c r="LK656" s="259"/>
      <c r="LL656" s="259"/>
      <c r="LM656" s="259"/>
      <c r="LN656" s="259"/>
      <c r="LO656" s="259"/>
      <c r="LP656" s="259"/>
      <c r="LQ656" s="259"/>
      <c r="LR656" s="259"/>
      <c r="LS656" s="259"/>
      <c r="LT656" s="259"/>
      <c r="LU656" s="259"/>
      <c r="LV656" s="259"/>
      <c r="LW656" s="259"/>
      <c r="LX656" s="259"/>
      <c r="LY656" s="259"/>
      <c r="LZ656" s="259"/>
      <c r="MA656" s="259"/>
      <c r="MB656" s="259"/>
      <c r="MC656" s="259"/>
      <c r="MD656" s="259"/>
      <c r="ME656" s="259"/>
      <c r="MF656" s="259"/>
      <c r="MG656" s="259"/>
      <c r="MH656" s="259"/>
      <c r="MI656" s="259"/>
      <c r="MJ656" s="259"/>
      <c r="MK656" s="259"/>
      <c r="ML656" s="259"/>
      <c r="MM656" s="259"/>
      <c r="MN656" s="259"/>
      <c r="MO656" s="259"/>
      <c r="MP656" s="259"/>
      <c r="MQ656" s="259"/>
      <c r="MR656" s="259"/>
      <c r="MS656" s="259"/>
      <c r="MT656" s="259"/>
      <c r="MU656" s="259"/>
      <c r="MV656" s="259"/>
      <c r="MW656" s="259"/>
      <c r="MX656" s="259"/>
      <c r="MY656" s="259"/>
      <c r="MZ656" s="259"/>
      <c r="NA656" s="259"/>
      <c r="NB656" s="259"/>
      <c r="NC656" s="259"/>
      <c r="ND656" s="259"/>
      <c r="NE656" s="259"/>
      <c r="NF656" s="259"/>
      <c r="NG656" s="259"/>
      <c r="NH656" s="259"/>
      <c r="NI656" s="259"/>
      <c r="NJ656" s="259"/>
      <c r="NK656" s="259"/>
      <c r="NL656" s="259"/>
      <c r="NM656" s="259"/>
      <c r="NN656" s="259"/>
      <c r="NO656" s="259"/>
      <c r="NP656" s="259"/>
      <c r="NQ656" s="259"/>
      <c r="NR656" s="259"/>
      <c r="NS656" s="259"/>
      <c r="NT656" s="259"/>
      <c r="NU656" s="259"/>
      <c r="NV656" s="259"/>
      <c r="NW656" s="259"/>
      <c r="NX656" s="259"/>
      <c r="NY656" s="259"/>
      <c r="NZ656" s="259"/>
      <c r="OA656" s="259"/>
      <c r="OB656" s="259"/>
      <c r="OC656" s="259"/>
      <c r="OD656" s="259"/>
      <c r="OE656" s="259"/>
      <c r="OF656" s="259"/>
      <c r="OG656" s="259"/>
      <c r="OH656" s="259"/>
      <c r="OI656" s="259"/>
      <c r="OJ656" s="259"/>
      <c r="OK656" s="259"/>
      <c r="OL656" s="259"/>
      <c r="OM656" s="259"/>
      <c r="ON656" s="259"/>
      <c r="OO656" s="259"/>
      <c r="OP656" s="259"/>
      <c r="OQ656" s="259"/>
      <c r="OR656" s="259"/>
      <c r="OS656" s="259"/>
      <c r="OT656" s="259"/>
      <c r="OU656" s="259"/>
      <c r="OV656" s="259"/>
      <c r="OW656" s="259"/>
      <c r="OX656" s="259"/>
      <c r="OY656" s="259"/>
      <c r="OZ656" s="259"/>
      <c r="PA656" s="259"/>
      <c r="PB656" s="259"/>
      <c r="PC656" s="259"/>
      <c r="PD656" s="259"/>
      <c r="PE656" s="259"/>
      <c r="PF656" s="259"/>
      <c r="PG656" s="259"/>
      <c r="PH656" s="259"/>
      <c r="PI656" s="259"/>
      <c r="PJ656" s="259"/>
      <c r="PK656" s="259"/>
      <c r="PL656" s="259"/>
      <c r="PM656" s="259"/>
      <c r="PN656" s="259"/>
      <c r="PO656" s="259"/>
      <c r="PP656" s="259"/>
      <c r="PQ656" s="259"/>
      <c r="PR656" s="259"/>
      <c r="PS656" s="259"/>
      <c r="PT656" s="259"/>
      <c r="PU656" s="259"/>
      <c r="PV656" s="259"/>
      <c r="PW656" s="259"/>
      <c r="PX656" s="259"/>
      <c r="PY656" s="259"/>
      <c r="PZ656" s="259"/>
      <c r="QA656" s="259"/>
      <c r="QB656" s="259"/>
      <c r="QC656" s="259"/>
      <c r="QD656" s="259"/>
      <c r="QE656" s="259"/>
      <c r="QF656" s="259"/>
      <c r="QG656" s="259"/>
      <c r="QH656" s="259"/>
      <c r="QI656" s="259"/>
      <c r="QJ656" s="259"/>
      <c r="QK656" s="259"/>
      <c r="QL656" s="259"/>
      <c r="QM656" s="259"/>
      <c r="QN656" s="259"/>
      <c r="QO656" s="259"/>
      <c r="QP656" s="259"/>
      <c r="QQ656" s="259"/>
      <c r="QR656" s="259"/>
      <c r="QS656" s="259"/>
      <c r="QT656" s="259"/>
      <c r="QU656" s="259"/>
      <c r="QV656" s="259"/>
      <c r="QW656" s="259"/>
      <c r="QX656" s="259"/>
      <c r="QY656" s="259"/>
      <c r="QZ656" s="259"/>
      <c r="RA656" s="259"/>
      <c r="RB656" s="259"/>
      <c r="RC656" s="259"/>
      <c r="RD656" s="259"/>
      <c r="RE656" s="259"/>
      <c r="RF656" s="259"/>
      <c r="RG656" s="259"/>
      <c r="RH656" s="259"/>
      <c r="RI656" s="259"/>
      <c r="RJ656" s="259"/>
      <c r="RK656" s="259"/>
      <c r="RL656" s="259"/>
      <c r="RM656" s="259"/>
      <c r="RN656" s="259"/>
      <c r="RO656" s="259"/>
      <c r="RP656" s="259"/>
      <c r="RQ656" s="259"/>
      <c r="RR656" s="259"/>
      <c r="RS656" s="259"/>
      <c r="RT656" s="259"/>
      <c r="RU656" s="259"/>
      <c r="RV656" s="259"/>
      <c r="RW656" s="259"/>
      <c r="RX656" s="259"/>
      <c r="RY656" s="259"/>
      <c r="RZ656" s="259"/>
      <c r="SA656" s="259"/>
      <c r="SB656" s="259"/>
      <c r="SC656" s="259"/>
      <c r="SD656" s="259"/>
      <c r="SE656" s="259"/>
      <c r="SF656" s="259"/>
      <c r="SG656" s="259"/>
      <c r="SH656" s="259"/>
      <c r="SI656" s="259"/>
      <c r="SJ656" s="259"/>
      <c r="SK656" s="259"/>
      <c r="SL656" s="259"/>
      <c r="SM656" s="259"/>
      <c r="SN656" s="259"/>
      <c r="SO656" s="259"/>
      <c r="SP656" s="259"/>
      <c r="SQ656" s="259"/>
      <c r="SR656" s="259"/>
      <c r="SS656" s="259"/>
      <c r="ST656" s="259"/>
      <c r="SU656" s="259"/>
      <c r="SV656" s="259"/>
      <c r="SW656" s="259"/>
      <c r="SX656" s="259"/>
      <c r="SY656" s="259"/>
      <c r="SZ656" s="259"/>
      <c r="TA656" s="259"/>
      <c r="TB656" s="259"/>
      <c r="TC656" s="259"/>
      <c r="TD656" s="259"/>
      <c r="TE656" s="259"/>
      <c r="TF656" s="259"/>
      <c r="TG656" s="259"/>
      <c r="TH656" s="259"/>
      <c r="TI656" s="259"/>
      <c r="TJ656" s="259"/>
      <c r="TK656" s="259"/>
      <c r="TL656" s="259"/>
      <c r="TM656" s="259"/>
      <c r="TN656" s="259"/>
      <c r="TO656" s="259"/>
      <c r="TP656" s="259"/>
      <c r="TQ656" s="259"/>
      <c r="TR656" s="259"/>
      <c r="TS656" s="259"/>
      <c r="TT656" s="259"/>
      <c r="TU656" s="259"/>
      <c r="TV656" s="259"/>
      <c r="TW656" s="259"/>
      <c r="TX656" s="259"/>
      <c r="TY656" s="259"/>
      <c r="TZ656" s="259"/>
      <c r="UA656" s="259"/>
      <c r="UB656" s="259"/>
      <c r="UC656" s="259"/>
      <c r="UD656" s="259"/>
      <c r="UE656" s="259"/>
      <c r="UF656" s="259"/>
      <c r="UG656" s="259"/>
      <c r="UH656" s="259"/>
      <c r="UI656" s="259"/>
    </row>
    <row r="657" spans="1:555" ht="81.75" customHeight="1">
      <c r="A657" s="57">
        <v>484</v>
      </c>
      <c r="B657" s="58" t="s">
        <v>4646</v>
      </c>
      <c r="C657" s="59">
        <v>7551250</v>
      </c>
      <c r="D657" s="170" t="s">
        <v>4647</v>
      </c>
      <c r="E657" s="60">
        <v>42801</v>
      </c>
      <c r="F657" s="61">
        <v>42795</v>
      </c>
      <c r="G657" s="62" t="s">
        <v>271</v>
      </c>
      <c r="H657" s="58" t="s">
        <v>1974</v>
      </c>
      <c r="I657" s="58" t="s">
        <v>183</v>
      </c>
      <c r="J657" s="60">
        <v>42843</v>
      </c>
      <c r="K657" s="61">
        <v>42826</v>
      </c>
      <c r="L657" s="62" t="s">
        <v>4648</v>
      </c>
      <c r="M657" s="58" t="s">
        <v>63</v>
      </c>
      <c r="N657" s="58" t="s">
        <v>79</v>
      </c>
      <c r="O657" s="60">
        <v>42872</v>
      </c>
      <c r="P657" s="63">
        <v>42856</v>
      </c>
      <c r="Q657" s="62" t="s">
        <v>4649</v>
      </c>
      <c r="R657" s="58" t="s">
        <v>63</v>
      </c>
      <c r="S657" s="58" t="s">
        <v>85</v>
      </c>
      <c r="T657" s="60">
        <v>44063</v>
      </c>
      <c r="U657" s="61">
        <v>44063</v>
      </c>
      <c r="V657" s="62" t="s">
        <v>9598</v>
      </c>
      <c r="W657" s="58" t="s">
        <v>286</v>
      </c>
      <c r="X657" s="58" t="s">
        <v>9599</v>
      </c>
      <c r="Y657" s="60">
        <v>44106</v>
      </c>
      <c r="Z657" s="61">
        <v>44106</v>
      </c>
      <c r="AA657" s="62" t="s">
        <v>9725</v>
      </c>
      <c r="AB657" s="58" t="s">
        <v>63</v>
      </c>
      <c r="AC657" s="58" t="s">
        <v>85</v>
      </c>
      <c r="AD657" s="60">
        <v>44126</v>
      </c>
      <c r="AE657" s="61">
        <v>44126</v>
      </c>
      <c r="AF657" s="62" t="s">
        <v>9737</v>
      </c>
      <c r="AG657" s="58" t="s">
        <v>63</v>
      </c>
      <c r="AH657" s="58" t="s">
        <v>85</v>
      </c>
      <c r="AI657" s="117"/>
      <c r="AJ657" s="61"/>
      <c r="AK657" s="62"/>
      <c r="AL657" s="58"/>
      <c r="AM657" s="58"/>
      <c r="AN657" s="58" t="s">
        <v>4650</v>
      </c>
      <c r="AO657" s="478"/>
      <c r="AP657" s="58"/>
      <c r="AQ657" s="62" t="s">
        <v>4651</v>
      </c>
      <c r="AR657" s="58" t="s">
        <v>161</v>
      </c>
      <c r="AS657" s="60">
        <v>38419</v>
      </c>
      <c r="AT657" s="60">
        <v>40623</v>
      </c>
      <c r="AU657" s="58" t="s">
        <v>4652</v>
      </c>
      <c r="AV657" s="58"/>
      <c r="AW657" s="58" t="s">
        <v>92</v>
      </c>
      <c r="AX657" s="58" t="s">
        <v>4653</v>
      </c>
      <c r="AY657" s="60">
        <v>41544</v>
      </c>
      <c r="AZ657" s="58" t="s">
        <v>576</v>
      </c>
      <c r="BA657" s="60">
        <v>42705</v>
      </c>
      <c r="BB657" s="382">
        <v>42760</v>
      </c>
      <c r="BC657" s="58" t="s">
        <v>95</v>
      </c>
      <c r="BD657" s="58" t="s">
        <v>566</v>
      </c>
      <c r="BE657" s="58"/>
      <c r="BF657" s="62"/>
      <c r="BG657" s="62"/>
      <c r="BH657" s="62"/>
      <c r="BI657" s="62"/>
      <c r="BJ657" s="138">
        <f>+[197]MATRIZ!$J$72</f>
        <v>0</v>
      </c>
      <c r="BK657" s="67"/>
      <c r="BL657" s="68"/>
      <c r="BM657" s="60"/>
      <c r="BN657" s="61"/>
      <c r="BO657" s="463"/>
      <c r="BP657" s="122"/>
      <c r="BQ657" s="58"/>
      <c r="BR657" s="70"/>
      <c r="BS657" s="62"/>
      <c r="BT657" s="62"/>
      <c r="BU657" s="62"/>
      <c r="BV657" s="62"/>
      <c r="BW657" s="71"/>
      <c r="BX657" s="66"/>
      <c r="BY657" s="60"/>
      <c r="BZ657" s="72"/>
    </row>
    <row r="658" spans="1:555" s="259" customFormat="1" ht="81" customHeight="1">
      <c r="A658" s="729">
        <v>490</v>
      </c>
      <c r="B658" s="381" t="s">
        <v>4683</v>
      </c>
      <c r="C658" s="730"/>
      <c r="D658" s="731"/>
      <c r="E658" s="382"/>
      <c r="F658" s="379"/>
      <c r="G658" s="383"/>
      <c r="H658" s="381"/>
      <c r="I658" s="381"/>
      <c r="J658" s="382"/>
      <c r="K658" s="379"/>
      <c r="L658" s="383"/>
      <c r="M658" s="381"/>
      <c r="N658" s="381"/>
      <c r="O658" s="382"/>
      <c r="P658" s="732"/>
      <c r="Q658" s="383"/>
      <c r="R658" s="381"/>
      <c r="S658" s="381"/>
      <c r="T658" s="382"/>
      <c r="U658" s="379"/>
      <c r="V658" s="383"/>
      <c r="W658" s="381"/>
      <c r="X658" s="381"/>
      <c r="Y658" s="382"/>
      <c r="Z658" s="379"/>
      <c r="AA658" s="383"/>
      <c r="AB658" s="381"/>
      <c r="AC658" s="381"/>
      <c r="AD658" s="382"/>
      <c r="AE658" s="379"/>
      <c r="AF658" s="383"/>
      <c r="AG658" s="381"/>
      <c r="AH658" s="381"/>
      <c r="AI658" s="745"/>
      <c r="AJ658" s="379"/>
      <c r="AK658" s="383"/>
      <c r="AL658" s="381"/>
      <c r="AM658" s="381"/>
      <c r="AN658" s="381"/>
      <c r="AO658" s="381"/>
      <c r="AP658" s="381"/>
      <c r="AQ658" s="383"/>
      <c r="AR658" s="381"/>
      <c r="AS658" s="382"/>
      <c r="AT658" s="382"/>
      <c r="AU658" s="381"/>
      <c r="AV658" s="381"/>
      <c r="AW658" s="381"/>
      <c r="AX658" s="381"/>
      <c r="AY658" s="382"/>
      <c r="AZ658" s="381"/>
      <c r="BA658" s="382"/>
      <c r="BB658" s="382"/>
      <c r="BC658" s="381"/>
      <c r="BD658" s="381"/>
      <c r="BE658" s="381"/>
      <c r="BF658" s="383"/>
      <c r="BG658" s="383"/>
      <c r="BH658" s="383"/>
      <c r="BI658" s="383"/>
      <c r="BJ658" s="866"/>
      <c r="BK658" s="737"/>
      <c r="BL658" s="738"/>
      <c r="BM658" s="382"/>
      <c r="BN658" s="379"/>
      <c r="BO658" s="740"/>
      <c r="BP658" s="741"/>
      <c r="BQ658" s="381"/>
      <c r="BR658" s="742"/>
      <c r="BS658" s="383"/>
      <c r="BT658" s="383"/>
      <c r="BU658" s="383"/>
      <c r="BV658" s="383"/>
      <c r="BW658" s="743"/>
      <c r="BX658" s="733"/>
      <c r="BY658" s="382"/>
      <c r="BZ658" s="744"/>
      <c r="CA658" s="685"/>
      <c r="CB658" s="685"/>
      <c r="CC658" s="685"/>
      <c r="CD658" s="685"/>
      <c r="CE658" s="685"/>
      <c r="CF658" s="685"/>
      <c r="CG658" s="685"/>
      <c r="CH658" s="685"/>
      <c r="CI658" s="685"/>
      <c r="CJ658" s="685"/>
      <c r="CK658" s="685"/>
      <c r="CL658" s="685"/>
      <c r="CM658" s="685"/>
      <c r="CN658" s="685"/>
      <c r="CO658" s="685"/>
      <c r="CP658" s="685"/>
      <c r="CQ658" s="685"/>
      <c r="CR658" s="685"/>
      <c r="CS658" s="685"/>
      <c r="CT658" s="685"/>
      <c r="CU658" s="685"/>
      <c r="CV658" s="685"/>
      <c r="CW658" s="685"/>
      <c r="CX658" s="685"/>
      <c r="CY658" s="685"/>
      <c r="CZ658" s="685"/>
      <c r="DA658" s="685"/>
      <c r="DB658" s="685"/>
      <c r="DC658" s="685"/>
      <c r="DD658" s="685"/>
      <c r="DE658" s="685"/>
      <c r="DF658" s="685"/>
      <c r="DG658" s="685"/>
      <c r="DH658" s="685"/>
      <c r="DI658" s="685"/>
      <c r="DJ658" s="685"/>
      <c r="DK658" s="685"/>
      <c r="DL658" s="685"/>
      <c r="DM658" s="685"/>
      <c r="DN658" s="685"/>
      <c r="DO658" s="685"/>
      <c r="DP658" s="685"/>
      <c r="DQ658" s="685"/>
      <c r="DR658" s="685"/>
      <c r="DS658" s="685"/>
      <c r="DT658" s="685"/>
      <c r="DU658" s="685"/>
      <c r="DV658" s="685"/>
      <c r="DW658" s="685"/>
      <c r="DX658" s="685"/>
      <c r="DY658" s="685"/>
      <c r="DZ658" s="685"/>
      <c r="EA658" s="685"/>
      <c r="EB658" s="685"/>
      <c r="EC658" s="685"/>
      <c r="ED658" s="685"/>
      <c r="EE658" s="685"/>
      <c r="EF658" s="685"/>
      <c r="EG658" s="685"/>
      <c r="EH658" s="685"/>
      <c r="EI658" s="685"/>
      <c r="EJ658" s="685"/>
      <c r="EK658" s="685"/>
      <c r="EL658" s="685"/>
      <c r="EM658" s="685"/>
      <c r="EN658" s="685"/>
      <c r="EO658" s="685"/>
      <c r="EP658" s="685"/>
      <c r="EQ658" s="685"/>
      <c r="ER658" s="685"/>
      <c r="ES658" s="685"/>
      <c r="ET658" s="685"/>
      <c r="EU658" s="685"/>
      <c r="EV658" s="685"/>
      <c r="EW658" s="685"/>
      <c r="EX658" s="685"/>
      <c r="EY658" s="685"/>
      <c r="EZ658" s="685"/>
      <c r="FA658" s="685"/>
      <c r="FB658" s="685"/>
      <c r="FC658" s="685"/>
      <c r="FD658" s="685"/>
      <c r="FE658" s="685"/>
      <c r="FF658" s="685"/>
      <c r="FG658" s="685"/>
      <c r="FH658" s="685"/>
      <c r="FI658" s="685"/>
      <c r="FJ658" s="685"/>
      <c r="FK658" s="685"/>
      <c r="FL658" s="685"/>
      <c r="FM658" s="685"/>
      <c r="FN658" s="685"/>
      <c r="FO658" s="685"/>
      <c r="FP658" s="685"/>
      <c r="FQ658" s="685"/>
      <c r="FR658" s="685"/>
      <c r="FS658" s="685"/>
      <c r="FT658" s="685"/>
      <c r="FU658" s="685"/>
      <c r="FV658" s="685"/>
      <c r="FW658" s="685"/>
      <c r="FX658" s="685"/>
      <c r="FY658" s="685"/>
      <c r="FZ658" s="685"/>
      <c r="GA658" s="685"/>
      <c r="GB658" s="685"/>
      <c r="GC658" s="685"/>
      <c r="GD658" s="685"/>
      <c r="GE658" s="685"/>
      <c r="GF658" s="685"/>
      <c r="GG658" s="685"/>
      <c r="GH658" s="685"/>
      <c r="GI658" s="685"/>
      <c r="GJ658" s="685"/>
      <c r="GK658" s="685"/>
      <c r="GL658" s="685"/>
      <c r="GM658" s="685"/>
      <c r="GN658" s="685"/>
      <c r="GO658" s="685"/>
      <c r="GP658" s="685"/>
      <c r="GQ658" s="685"/>
      <c r="GR658" s="685"/>
      <c r="GS658" s="685"/>
      <c r="GT658" s="685"/>
      <c r="GU658" s="685"/>
      <c r="GV658" s="685"/>
      <c r="GW658" s="685"/>
      <c r="GX658" s="685"/>
      <c r="GY658" s="685"/>
      <c r="GZ658" s="685"/>
      <c r="HA658" s="685"/>
      <c r="HB658" s="685"/>
      <c r="HC658" s="685"/>
      <c r="HD658" s="685"/>
      <c r="HE658" s="685"/>
      <c r="HF658" s="685"/>
      <c r="HG658" s="685"/>
      <c r="HH658" s="685"/>
      <c r="HI658" s="685"/>
      <c r="HJ658" s="685"/>
      <c r="HK658" s="685"/>
      <c r="HL658" s="685"/>
      <c r="HM658" s="685"/>
      <c r="HN658" s="685"/>
      <c r="HO658" s="685"/>
      <c r="HP658" s="685"/>
      <c r="HQ658" s="685"/>
      <c r="HR658" s="685"/>
      <c r="HS658" s="685"/>
      <c r="HT658" s="685"/>
      <c r="HU658" s="685"/>
      <c r="HV658" s="685"/>
      <c r="HW658" s="685"/>
      <c r="HX658" s="685"/>
      <c r="HY658" s="685"/>
      <c r="HZ658" s="685"/>
      <c r="IA658" s="685"/>
      <c r="IB658" s="685"/>
      <c r="IC658" s="685"/>
      <c r="ID658" s="685"/>
      <c r="IE658" s="685"/>
      <c r="IF658" s="685"/>
      <c r="IG658" s="685"/>
      <c r="IH658" s="685"/>
      <c r="II658" s="685"/>
      <c r="IJ658" s="685"/>
      <c r="IK658" s="685"/>
      <c r="IL658" s="685"/>
      <c r="IM658" s="685"/>
      <c r="IN658" s="685"/>
      <c r="IO658" s="685"/>
      <c r="IP658" s="685"/>
      <c r="IQ658" s="685"/>
      <c r="IR658" s="685"/>
      <c r="IS658" s="685"/>
      <c r="IT658" s="685"/>
      <c r="IU658" s="685"/>
      <c r="IV658" s="685"/>
      <c r="IW658" s="685"/>
      <c r="IX658" s="685"/>
      <c r="IY658" s="685"/>
      <c r="IZ658" s="685"/>
      <c r="JA658" s="685"/>
      <c r="JB658" s="685"/>
      <c r="JC658" s="685"/>
      <c r="JD658" s="685"/>
      <c r="JE658" s="685"/>
      <c r="JF658" s="685"/>
      <c r="JG658" s="685"/>
      <c r="JH658" s="685"/>
      <c r="JI658" s="685"/>
      <c r="JJ658" s="685"/>
      <c r="JK658" s="685"/>
      <c r="JL658" s="685"/>
      <c r="JM658" s="685"/>
      <c r="JN658" s="685"/>
      <c r="JO658" s="685"/>
      <c r="JP658" s="685"/>
      <c r="JQ658" s="685"/>
      <c r="JR658" s="685"/>
      <c r="JS658" s="685"/>
      <c r="JT658" s="685"/>
      <c r="JU658" s="685"/>
      <c r="JV658" s="685"/>
      <c r="JW658" s="685"/>
      <c r="JX658" s="685"/>
      <c r="JY658" s="685"/>
      <c r="JZ658" s="685"/>
      <c r="KA658" s="685"/>
      <c r="KB658" s="685"/>
      <c r="KC658" s="685"/>
      <c r="KD658" s="685"/>
      <c r="KE658" s="685"/>
      <c r="KF658" s="685"/>
      <c r="KG658" s="685"/>
      <c r="KH658" s="685"/>
      <c r="KI658" s="685"/>
      <c r="KJ658" s="685"/>
      <c r="KK658" s="685"/>
      <c r="KL658" s="685"/>
      <c r="KM658" s="685"/>
      <c r="KN658" s="685"/>
      <c r="KO658" s="685"/>
      <c r="KP658" s="685"/>
      <c r="KQ658" s="685"/>
      <c r="KR658" s="685"/>
      <c r="KS658" s="685"/>
      <c r="KT658" s="685"/>
      <c r="KU658" s="685"/>
      <c r="KV658" s="685"/>
      <c r="KW658" s="685"/>
      <c r="KX658" s="685"/>
      <c r="KY658" s="685"/>
      <c r="KZ658" s="685"/>
      <c r="LA658" s="685"/>
      <c r="LB658" s="685"/>
      <c r="LC658" s="685"/>
      <c r="LD658" s="685"/>
      <c r="LE658" s="685"/>
      <c r="LF658" s="685"/>
      <c r="LG658" s="685"/>
      <c r="LH658" s="685"/>
      <c r="LI658" s="685"/>
      <c r="LJ658" s="685"/>
      <c r="LK658" s="685"/>
      <c r="LL658" s="685"/>
      <c r="LM658" s="685"/>
      <c r="LN658" s="685"/>
      <c r="LO658" s="685"/>
      <c r="LP658" s="685"/>
      <c r="LQ658" s="685"/>
      <c r="LR658" s="685"/>
      <c r="LS658" s="685"/>
      <c r="LT658" s="685"/>
      <c r="LU658" s="685"/>
      <c r="LV658" s="685"/>
      <c r="LW658" s="685"/>
      <c r="LX658" s="685"/>
      <c r="LY658" s="685"/>
      <c r="LZ658" s="685"/>
      <c r="MA658" s="685"/>
      <c r="MB658" s="685"/>
      <c r="MC658" s="685"/>
      <c r="MD658" s="685"/>
      <c r="ME658" s="685"/>
      <c r="MF658" s="685"/>
      <c r="MG658" s="685"/>
      <c r="MH658" s="685"/>
      <c r="MI658" s="685"/>
      <c r="MJ658" s="685"/>
      <c r="MK658" s="685"/>
      <c r="ML658" s="685"/>
      <c r="MM658" s="685"/>
      <c r="MN658" s="685"/>
      <c r="MO658" s="685"/>
      <c r="MP658" s="685"/>
      <c r="MQ658" s="685"/>
      <c r="MR658" s="685"/>
      <c r="MS658" s="685"/>
      <c r="MT658" s="685"/>
      <c r="MU658" s="685"/>
      <c r="MV658" s="685"/>
      <c r="MW658" s="685"/>
      <c r="MX658" s="685"/>
      <c r="MY658" s="685"/>
      <c r="MZ658" s="685"/>
      <c r="NA658" s="685"/>
      <c r="NB658" s="685"/>
      <c r="NC658" s="685"/>
      <c r="ND658" s="685"/>
      <c r="NE658" s="685"/>
      <c r="NF658" s="685"/>
      <c r="NG658" s="685"/>
      <c r="NH658" s="685"/>
      <c r="NI658" s="685"/>
      <c r="NJ658" s="685"/>
      <c r="NK658" s="685"/>
      <c r="NL658" s="685"/>
      <c r="NM658" s="685"/>
      <c r="NN658" s="685"/>
      <c r="NO658" s="685"/>
      <c r="NP658" s="685"/>
      <c r="NQ658" s="685"/>
      <c r="NR658" s="685"/>
      <c r="NS658" s="685"/>
      <c r="NT658" s="685"/>
      <c r="NU658" s="685"/>
      <c r="NV658" s="685"/>
      <c r="NW658" s="685"/>
      <c r="NX658" s="685"/>
      <c r="NY658" s="685"/>
      <c r="NZ658" s="685"/>
      <c r="OA658" s="685"/>
      <c r="OB658" s="685"/>
      <c r="OC658" s="685"/>
      <c r="OD658" s="685"/>
      <c r="OE658" s="685"/>
      <c r="OF658" s="685"/>
      <c r="OG658" s="685"/>
      <c r="OH658" s="685"/>
      <c r="OI658" s="685"/>
      <c r="OJ658" s="685"/>
      <c r="OK658" s="685"/>
      <c r="OL658" s="685"/>
      <c r="OM658" s="685"/>
      <c r="ON658" s="685"/>
      <c r="OO658" s="685"/>
      <c r="OP658" s="685"/>
      <c r="OQ658" s="685"/>
      <c r="OR658" s="685"/>
      <c r="OS658" s="685"/>
      <c r="OT658" s="685"/>
      <c r="OU658" s="685"/>
      <c r="OV658" s="685"/>
      <c r="OW658" s="685"/>
      <c r="OX658" s="685"/>
      <c r="OY658" s="685"/>
      <c r="OZ658" s="685"/>
      <c r="PA658" s="685"/>
      <c r="PB658" s="685"/>
      <c r="PC658" s="685"/>
      <c r="PD658" s="685"/>
      <c r="PE658" s="685"/>
      <c r="PF658" s="685"/>
      <c r="PG658" s="685"/>
      <c r="PH658" s="685"/>
      <c r="PI658" s="685"/>
      <c r="PJ658" s="685"/>
      <c r="PK658" s="685"/>
      <c r="PL658" s="685"/>
      <c r="PM658" s="685"/>
      <c r="PN658" s="685"/>
      <c r="PO658" s="685"/>
      <c r="PP658" s="685"/>
      <c r="PQ658" s="685"/>
      <c r="PR658" s="685"/>
      <c r="PS658" s="685"/>
      <c r="PT658" s="685"/>
      <c r="PU658" s="685"/>
      <c r="PV658" s="685"/>
      <c r="PW658" s="685"/>
      <c r="PX658" s="685"/>
      <c r="PY658" s="685"/>
      <c r="PZ658" s="685"/>
      <c r="QA658" s="685"/>
      <c r="QB658" s="685"/>
      <c r="QC658" s="685"/>
      <c r="QD658" s="685"/>
      <c r="QE658" s="685"/>
      <c r="QF658" s="685"/>
      <c r="QG658" s="685"/>
      <c r="QH658" s="685"/>
      <c r="QI658" s="685"/>
      <c r="QJ658" s="685"/>
      <c r="QK658" s="685"/>
      <c r="QL658" s="685"/>
      <c r="QM658" s="685"/>
      <c r="QN658" s="685"/>
      <c r="QO658" s="685"/>
      <c r="QP658" s="685"/>
      <c r="QQ658" s="685"/>
      <c r="QR658" s="685"/>
      <c r="QS658" s="685"/>
      <c r="QT658" s="685"/>
      <c r="QU658" s="685"/>
      <c r="QV658" s="685"/>
      <c r="QW658" s="685"/>
      <c r="QX658" s="685"/>
      <c r="QY658" s="685"/>
      <c r="QZ658" s="685"/>
      <c r="RA658" s="685"/>
      <c r="RB658" s="685"/>
      <c r="RC658" s="685"/>
      <c r="RD658" s="685"/>
      <c r="RE658" s="685"/>
      <c r="RF658" s="685"/>
      <c r="RG658" s="685"/>
      <c r="RH658" s="685"/>
      <c r="RI658" s="685"/>
      <c r="RJ658" s="685"/>
      <c r="RK658" s="685"/>
      <c r="RL658" s="685"/>
      <c r="RM658" s="685"/>
      <c r="RN658" s="685"/>
      <c r="RO658" s="685"/>
      <c r="RP658" s="685"/>
      <c r="RQ658" s="685"/>
      <c r="RR658" s="685"/>
      <c r="RS658" s="685"/>
      <c r="RT658" s="685"/>
      <c r="RU658" s="685"/>
      <c r="RV658" s="685"/>
      <c r="RW658" s="685"/>
      <c r="RX658" s="685"/>
      <c r="RY658" s="685"/>
      <c r="RZ658" s="685"/>
      <c r="SA658" s="685"/>
      <c r="SB658" s="685"/>
      <c r="SC658" s="685"/>
      <c r="SD658" s="685"/>
      <c r="SE658" s="685"/>
      <c r="SF658" s="685"/>
      <c r="SG658" s="685"/>
      <c r="SH658" s="685"/>
      <c r="SI658" s="685"/>
      <c r="SJ658" s="685"/>
      <c r="SK658" s="685"/>
      <c r="SL658" s="685"/>
      <c r="SM658" s="685"/>
      <c r="SN658" s="685"/>
      <c r="SO658" s="685"/>
      <c r="SP658" s="685"/>
      <c r="SQ658" s="685"/>
      <c r="SR658" s="685"/>
      <c r="SS658" s="685"/>
      <c r="ST658" s="685"/>
      <c r="SU658" s="685"/>
      <c r="SV658" s="685"/>
      <c r="SW658" s="685"/>
      <c r="SX658" s="685"/>
      <c r="SY658" s="685"/>
      <c r="SZ658" s="685"/>
      <c r="TA658" s="685"/>
      <c r="TB658" s="685"/>
      <c r="TC658" s="685"/>
      <c r="TD658" s="685"/>
      <c r="TE658" s="685"/>
      <c r="TF658" s="685"/>
      <c r="TG658" s="685"/>
      <c r="TH658" s="685"/>
      <c r="TI658" s="685"/>
      <c r="TJ658" s="685"/>
      <c r="TK658" s="685"/>
      <c r="TL658" s="685"/>
      <c r="TM658" s="685"/>
      <c r="TN658" s="685"/>
      <c r="TO658" s="685"/>
      <c r="TP658" s="685"/>
      <c r="TQ658" s="685"/>
      <c r="TR658" s="685"/>
      <c r="TS658" s="685"/>
      <c r="TT658" s="685"/>
      <c r="TU658" s="685"/>
      <c r="TV658" s="685"/>
      <c r="TW658" s="685"/>
      <c r="TX658" s="685"/>
      <c r="TY658" s="685"/>
      <c r="TZ658" s="685"/>
      <c r="UA658" s="685"/>
      <c r="UB658" s="685"/>
      <c r="UC658" s="685"/>
      <c r="UD658" s="685"/>
      <c r="UE658" s="685"/>
      <c r="UF658" s="685"/>
      <c r="UG658" s="685"/>
      <c r="UH658" s="685"/>
      <c r="UI658" s="685"/>
    </row>
    <row r="659" spans="1:555" ht="76.5" customHeight="1">
      <c r="A659" s="96">
        <v>491</v>
      </c>
      <c r="B659" s="126" t="s">
        <v>4684</v>
      </c>
      <c r="C659" s="127">
        <v>17594290</v>
      </c>
      <c r="D659" s="442" t="s">
        <v>4322</v>
      </c>
      <c r="E659" s="128">
        <v>42809</v>
      </c>
      <c r="F659" s="129">
        <v>42795</v>
      </c>
      <c r="G659" s="130" t="s">
        <v>4685</v>
      </c>
      <c r="H659" s="130" t="s">
        <v>5</v>
      </c>
      <c r="I659" s="130" t="s">
        <v>79</v>
      </c>
      <c r="J659" s="128">
        <v>42822</v>
      </c>
      <c r="K659" s="129">
        <v>42795</v>
      </c>
      <c r="L659" s="130" t="s">
        <v>4686</v>
      </c>
      <c r="M659" s="130" t="s">
        <v>5</v>
      </c>
      <c r="N659" s="130" t="s">
        <v>4687</v>
      </c>
      <c r="O659" s="128">
        <v>42881</v>
      </c>
      <c r="P659" s="129">
        <v>42856</v>
      </c>
      <c r="Q659" s="130" t="s">
        <v>4688</v>
      </c>
      <c r="R659" s="130" t="s">
        <v>5</v>
      </c>
      <c r="S659" s="130" t="s">
        <v>85</v>
      </c>
      <c r="T659" s="128">
        <v>42900</v>
      </c>
      <c r="U659" s="129">
        <v>42887</v>
      </c>
      <c r="V659" s="130" t="s">
        <v>4689</v>
      </c>
      <c r="W659" s="130" t="s">
        <v>5</v>
      </c>
      <c r="X659" s="130" t="s">
        <v>3510</v>
      </c>
      <c r="Y659" s="128">
        <v>43389</v>
      </c>
      <c r="Z659" s="128">
        <v>43389</v>
      </c>
      <c r="AA659" s="424" t="s">
        <v>7255</v>
      </c>
      <c r="AB659" s="130" t="s">
        <v>5</v>
      </c>
      <c r="AC659" s="424" t="s">
        <v>7252</v>
      </c>
      <c r="AD659" s="128">
        <v>44600</v>
      </c>
      <c r="AE659" s="129">
        <v>44593</v>
      </c>
      <c r="AF659" s="959" t="s">
        <v>10750</v>
      </c>
      <c r="AG659" s="130" t="s">
        <v>5</v>
      </c>
      <c r="AH659" s="130" t="s">
        <v>10688</v>
      </c>
      <c r="AI659" s="131"/>
      <c r="AJ659" s="130"/>
      <c r="AK659" s="130"/>
      <c r="AL659" s="128"/>
      <c r="AM659" s="128"/>
      <c r="AN659" s="130" t="s">
        <v>4690</v>
      </c>
      <c r="AO659" s="482"/>
      <c r="AP659" s="130"/>
      <c r="AQ659" s="130" t="s">
        <v>4691</v>
      </c>
      <c r="AR659" s="130" t="s">
        <v>161</v>
      </c>
      <c r="AS659" s="128">
        <v>39055</v>
      </c>
      <c r="AT659" s="128">
        <v>40629</v>
      </c>
      <c r="AU659" s="130" t="s">
        <v>7256</v>
      </c>
      <c r="AV659" s="130"/>
      <c r="AW659" s="130" t="s">
        <v>69</v>
      </c>
      <c r="AX659" s="130" t="s">
        <v>4692</v>
      </c>
      <c r="AY659" s="128">
        <v>42674</v>
      </c>
      <c r="AZ659" s="130" t="s">
        <v>67</v>
      </c>
      <c r="BA659" s="128" t="s">
        <v>67</v>
      </c>
      <c r="BB659" s="382">
        <v>42807</v>
      </c>
      <c r="BC659" s="130" t="s">
        <v>95</v>
      </c>
      <c r="BD659" s="130" t="s">
        <v>566</v>
      </c>
      <c r="BE659" s="130"/>
      <c r="BF659" s="130"/>
      <c r="BG659" s="130"/>
      <c r="BH659" s="55"/>
      <c r="BI659" s="131"/>
      <c r="BJ659" s="138">
        <f>+[198]MATRIZ!$J$66</f>
        <v>0</v>
      </c>
      <c r="BK659" s="130"/>
      <c r="BL659" s="130"/>
      <c r="BM659" s="132"/>
      <c r="BN659" s="133"/>
      <c r="BO659" s="468"/>
      <c r="BP659" s="132"/>
      <c r="BQ659" s="130"/>
      <c r="BR659" s="130"/>
      <c r="BS659" s="32"/>
      <c r="BT659" s="32"/>
      <c r="BU659" s="32"/>
      <c r="BV659" s="32"/>
      <c r="BW659" s="32"/>
      <c r="BX659" s="457"/>
      <c r="BY659" s="32"/>
      <c r="BZ659" s="887"/>
    </row>
    <row r="660" spans="1:555" s="259" customFormat="1" ht="135">
      <c r="A660" s="502">
        <v>494</v>
      </c>
      <c r="B660" s="686" t="s">
        <v>4699</v>
      </c>
      <c r="C660" s="687">
        <v>79974263</v>
      </c>
      <c r="D660" s="688" t="s">
        <v>1153</v>
      </c>
      <c r="E660" s="27">
        <v>42810</v>
      </c>
      <c r="F660" s="689">
        <v>42795</v>
      </c>
      <c r="G660" s="690" t="s">
        <v>4700</v>
      </c>
      <c r="H660" s="686" t="s">
        <v>5</v>
      </c>
      <c r="I660" s="686" t="s">
        <v>79</v>
      </c>
      <c r="J660" s="27">
        <v>42810</v>
      </c>
      <c r="K660" s="689">
        <v>42795</v>
      </c>
      <c r="L660" s="690" t="s">
        <v>4701</v>
      </c>
      <c r="M660" s="686" t="s">
        <v>5</v>
      </c>
      <c r="N660" s="686" t="s">
        <v>79</v>
      </c>
      <c r="O660" s="16">
        <v>43564</v>
      </c>
      <c r="P660" s="689">
        <v>43564</v>
      </c>
      <c r="Q660" s="690" t="s">
        <v>8586</v>
      </c>
      <c r="R660" s="686" t="s">
        <v>5</v>
      </c>
      <c r="S660" s="686" t="s">
        <v>85</v>
      </c>
      <c r="T660" s="27">
        <v>43595</v>
      </c>
      <c r="U660" s="689">
        <v>43595</v>
      </c>
      <c r="V660" s="690" t="s">
        <v>8609</v>
      </c>
      <c r="W660" s="686" t="s">
        <v>286</v>
      </c>
      <c r="X660" s="686" t="s">
        <v>85</v>
      </c>
      <c r="Y660" s="27"/>
      <c r="Z660" s="689"/>
      <c r="AA660" s="690"/>
      <c r="AB660" s="686"/>
      <c r="AC660" s="686"/>
      <c r="AD660" s="27"/>
      <c r="AE660" s="689"/>
      <c r="AF660" s="690"/>
      <c r="AG660" s="686"/>
      <c r="AH660" s="686"/>
      <c r="AI660" s="704"/>
      <c r="AJ660" s="689"/>
      <c r="AK660" s="690"/>
      <c r="AL660" s="686"/>
      <c r="AM660" s="686"/>
      <c r="AN660" s="686" t="s">
        <v>4702</v>
      </c>
      <c r="AO660" s="694">
        <v>42808</v>
      </c>
      <c r="AP660" s="686"/>
      <c r="AQ660" s="690" t="s">
        <v>4703</v>
      </c>
      <c r="AR660" s="686" t="s">
        <v>161</v>
      </c>
      <c r="AS660" s="27">
        <v>39714</v>
      </c>
      <c r="AT660" s="27">
        <v>40663</v>
      </c>
      <c r="AU660" s="686" t="s">
        <v>4704</v>
      </c>
      <c r="AV660" s="686"/>
      <c r="AW660" s="686" t="s">
        <v>69</v>
      </c>
      <c r="AX660" s="686" t="s">
        <v>4705</v>
      </c>
      <c r="AY660" s="27">
        <v>42304</v>
      </c>
      <c r="AZ660" s="686" t="s">
        <v>94</v>
      </c>
      <c r="BA660" s="27">
        <v>42781</v>
      </c>
      <c r="BB660" s="27">
        <v>42794</v>
      </c>
      <c r="BC660" s="686" t="s">
        <v>95</v>
      </c>
      <c r="BD660" s="686" t="s">
        <v>566</v>
      </c>
      <c r="BE660" s="686"/>
      <c r="BF660" s="690"/>
      <c r="BG660" s="690" t="s">
        <v>4706</v>
      </c>
      <c r="BH660" s="690"/>
      <c r="BI660" s="690"/>
      <c r="BJ660" s="696">
        <f>+[199]MATRIZ!$N$56</f>
        <v>76667030.871091738</v>
      </c>
      <c r="BK660" s="696"/>
      <c r="BL660" s="697"/>
      <c r="BM660" s="27"/>
      <c r="BN660" s="689"/>
      <c r="BO660" s="699" t="s">
        <v>4707</v>
      </c>
      <c r="BP660" s="700"/>
      <c r="BQ660" s="686"/>
      <c r="BR660" s="701"/>
      <c r="BS660" s="690"/>
      <c r="BT660" s="690"/>
      <c r="BU660" s="690"/>
      <c r="BV660" s="690"/>
      <c r="BW660" s="702"/>
      <c r="BX660" s="693"/>
      <c r="BY660" s="27"/>
      <c r="BZ660" s="703"/>
    </row>
    <row r="661" spans="1:555" s="685" customFormat="1" ht="98.25" customHeight="1">
      <c r="A661" s="502">
        <v>495</v>
      </c>
      <c r="B661" s="686" t="s">
        <v>4708</v>
      </c>
      <c r="C661" s="687">
        <v>4182997</v>
      </c>
      <c r="D661" s="688" t="s">
        <v>906</v>
      </c>
      <c r="E661" s="27">
        <v>42810</v>
      </c>
      <c r="F661" s="689">
        <v>42795</v>
      </c>
      <c r="G661" s="690" t="s">
        <v>271</v>
      </c>
      <c r="H661" s="686" t="s">
        <v>1997</v>
      </c>
      <c r="I661" s="686" t="s">
        <v>183</v>
      </c>
      <c r="J661" s="27">
        <v>42786</v>
      </c>
      <c r="K661" s="689">
        <v>42767</v>
      </c>
      <c r="L661" s="690" t="s">
        <v>4709</v>
      </c>
      <c r="M661" s="686" t="s">
        <v>5</v>
      </c>
      <c r="N661" s="686" t="s">
        <v>79</v>
      </c>
      <c r="O661" s="27"/>
      <c r="P661" s="691"/>
      <c r="Q661" s="690"/>
      <c r="R661" s="686"/>
      <c r="S661" s="686"/>
      <c r="T661" s="27"/>
      <c r="U661" s="689"/>
      <c r="V661" s="690"/>
      <c r="W661" s="686"/>
      <c r="X661" s="686"/>
      <c r="Y661" s="27"/>
      <c r="Z661" s="689"/>
      <c r="AA661" s="690"/>
      <c r="AB661" s="686"/>
      <c r="AC661" s="686"/>
      <c r="AD661" s="27"/>
      <c r="AE661" s="689"/>
      <c r="AF661" s="690"/>
      <c r="AG661" s="686"/>
      <c r="AH661" s="686"/>
      <c r="AI661" s="704"/>
      <c r="AJ661" s="689"/>
      <c r="AK661" s="690"/>
      <c r="AL661" s="686"/>
      <c r="AM661" s="686"/>
      <c r="AN661" s="686" t="s">
        <v>3671</v>
      </c>
      <c r="AO661" s="694">
        <v>42786</v>
      </c>
      <c r="AP661" s="686"/>
      <c r="AQ661" s="690" t="s">
        <v>4710</v>
      </c>
      <c r="AR661" s="686" t="s">
        <v>161</v>
      </c>
      <c r="AS661" s="27">
        <v>40496</v>
      </c>
      <c r="AT661" s="27">
        <v>40908</v>
      </c>
      <c r="AU661" s="686" t="s">
        <v>4711</v>
      </c>
      <c r="AV661" s="686"/>
      <c r="AW661" s="686" t="s">
        <v>69</v>
      </c>
      <c r="AX661" s="686" t="s">
        <v>4705</v>
      </c>
      <c r="AY661" s="27">
        <v>42237</v>
      </c>
      <c r="AZ661" s="686" t="s">
        <v>94</v>
      </c>
      <c r="BA661" s="27">
        <v>42566</v>
      </c>
      <c r="BB661" s="27">
        <v>42577</v>
      </c>
      <c r="BC661" s="701" t="s">
        <v>912</v>
      </c>
      <c r="BD661" s="701" t="s">
        <v>566</v>
      </c>
      <c r="BE661" s="686"/>
      <c r="BF661" s="690"/>
      <c r="BG661" s="690"/>
      <c r="BH661" s="690"/>
      <c r="BI661" s="690"/>
      <c r="BJ661" s="696">
        <f>+[200]MATRIZ!$J$53</f>
        <v>0</v>
      </c>
      <c r="BK661" s="696"/>
      <c r="BL661" s="697"/>
      <c r="BM661" s="27"/>
      <c r="BN661" s="689"/>
      <c r="BO661" s="699"/>
      <c r="BP661" s="700"/>
      <c r="BQ661" s="686"/>
      <c r="BR661" s="701"/>
      <c r="BS661" s="690"/>
      <c r="BT661" s="690"/>
      <c r="BU661" s="690"/>
      <c r="BV661" s="690"/>
      <c r="BW661" s="702"/>
      <c r="BX661" s="693"/>
      <c r="BY661" s="27"/>
      <c r="BZ661" s="703"/>
      <c r="CA661" s="259"/>
      <c r="CB661" s="259"/>
      <c r="CC661" s="259"/>
      <c r="CD661" s="259"/>
      <c r="CE661" s="259"/>
      <c r="CF661" s="259"/>
      <c r="CG661" s="259"/>
      <c r="CH661" s="259"/>
      <c r="CI661" s="259"/>
      <c r="CJ661" s="259"/>
      <c r="CK661" s="259"/>
      <c r="CL661" s="259"/>
      <c r="CM661" s="259"/>
      <c r="CN661" s="259"/>
      <c r="CO661" s="259"/>
      <c r="CP661" s="259"/>
      <c r="CQ661" s="259"/>
      <c r="CR661" s="259"/>
      <c r="CS661" s="259"/>
      <c r="CT661" s="259"/>
      <c r="CU661" s="259"/>
      <c r="CV661" s="259"/>
      <c r="CW661" s="259"/>
      <c r="CX661" s="259"/>
      <c r="CY661" s="259"/>
      <c r="CZ661" s="259"/>
      <c r="DA661" s="259"/>
      <c r="DB661" s="259"/>
      <c r="DC661" s="259"/>
      <c r="DD661" s="259"/>
      <c r="DE661" s="259"/>
      <c r="DF661" s="259"/>
      <c r="DG661" s="259"/>
      <c r="DH661" s="259"/>
      <c r="DI661" s="259"/>
      <c r="DJ661" s="259"/>
      <c r="DK661" s="259"/>
      <c r="DL661" s="259"/>
      <c r="DM661" s="259"/>
      <c r="DN661" s="259"/>
      <c r="DO661" s="259"/>
      <c r="DP661" s="259"/>
      <c r="DQ661" s="259"/>
      <c r="DR661" s="259"/>
      <c r="DS661" s="259"/>
      <c r="DT661" s="259"/>
      <c r="DU661" s="259"/>
      <c r="DV661" s="259"/>
      <c r="DW661" s="259"/>
      <c r="DX661" s="259"/>
      <c r="DY661" s="259"/>
      <c r="DZ661" s="259"/>
      <c r="EA661" s="259"/>
      <c r="EB661" s="259"/>
      <c r="EC661" s="259"/>
      <c r="ED661" s="259"/>
      <c r="EE661" s="259"/>
      <c r="EF661" s="259"/>
      <c r="EG661" s="259"/>
      <c r="EH661" s="259"/>
      <c r="EI661" s="259"/>
      <c r="EJ661" s="259"/>
      <c r="EK661" s="259"/>
      <c r="EL661" s="259"/>
      <c r="EM661" s="259"/>
      <c r="EN661" s="259"/>
      <c r="EO661" s="259"/>
      <c r="EP661" s="259"/>
      <c r="EQ661" s="259"/>
      <c r="ER661" s="259"/>
      <c r="ES661" s="259"/>
      <c r="ET661" s="259"/>
      <c r="EU661" s="259"/>
      <c r="EV661" s="259"/>
      <c r="EW661" s="259"/>
      <c r="EX661" s="259"/>
      <c r="EY661" s="259"/>
      <c r="EZ661" s="259"/>
      <c r="FA661" s="259"/>
      <c r="FB661" s="259"/>
      <c r="FC661" s="259"/>
      <c r="FD661" s="259"/>
      <c r="FE661" s="259"/>
      <c r="FF661" s="259"/>
      <c r="FG661" s="259"/>
      <c r="FH661" s="259"/>
      <c r="FI661" s="259"/>
      <c r="FJ661" s="259"/>
      <c r="FK661" s="259"/>
      <c r="FL661" s="259"/>
      <c r="FM661" s="259"/>
      <c r="FN661" s="259"/>
      <c r="FO661" s="259"/>
      <c r="FP661" s="259"/>
      <c r="FQ661" s="259"/>
      <c r="FR661" s="259"/>
      <c r="FS661" s="259"/>
      <c r="FT661" s="259"/>
      <c r="FU661" s="259"/>
      <c r="FV661" s="259"/>
      <c r="FW661" s="259"/>
      <c r="FX661" s="259"/>
      <c r="FY661" s="259"/>
      <c r="FZ661" s="259"/>
      <c r="GA661" s="259"/>
      <c r="GB661" s="259"/>
      <c r="GC661" s="259"/>
      <c r="GD661" s="259"/>
      <c r="GE661" s="259"/>
      <c r="GF661" s="259"/>
      <c r="GG661" s="259"/>
      <c r="GH661" s="259"/>
      <c r="GI661" s="259"/>
      <c r="GJ661" s="259"/>
      <c r="GK661" s="259"/>
      <c r="GL661" s="259"/>
      <c r="GM661" s="259"/>
      <c r="GN661" s="259"/>
      <c r="GO661" s="259"/>
      <c r="GP661" s="259"/>
      <c r="GQ661" s="259"/>
      <c r="GR661" s="259"/>
      <c r="GS661" s="259"/>
      <c r="GT661" s="259"/>
      <c r="GU661" s="259"/>
      <c r="GV661" s="259"/>
      <c r="GW661" s="259"/>
      <c r="GX661" s="259"/>
      <c r="GY661" s="259"/>
      <c r="GZ661" s="259"/>
      <c r="HA661" s="259"/>
      <c r="HB661" s="259"/>
      <c r="HC661" s="259"/>
      <c r="HD661" s="259"/>
      <c r="HE661" s="259"/>
      <c r="HF661" s="259"/>
      <c r="HG661" s="259"/>
      <c r="HH661" s="259"/>
      <c r="HI661" s="259"/>
      <c r="HJ661" s="259"/>
      <c r="HK661" s="259"/>
      <c r="HL661" s="259"/>
      <c r="HM661" s="259"/>
      <c r="HN661" s="259"/>
      <c r="HO661" s="259"/>
      <c r="HP661" s="259"/>
      <c r="HQ661" s="259"/>
      <c r="HR661" s="259"/>
      <c r="HS661" s="259"/>
      <c r="HT661" s="259"/>
      <c r="HU661" s="259"/>
      <c r="HV661" s="259"/>
      <c r="HW661" s="259"/>
      <c r="HX661" s="259"/>
      <c r="HY661" s="259"/>
      <c r="HZ661" s="259"/>
      <c r="IA661" s="259"/>
      <c r="IB661" s="259"/>
      <c r="IC661" s="259"/>
      <c r="ID661" s="259"/>
      <c r="IE661" s="259"/>
      <c r="IF661" s="259"/>
      <c r="IG661" s="259"/>
      <c r="IH661" s="259"/>
      <c r="II661" s="259"/>
      <c r="IJ661" s="259"/>
      <c r="IK661" s="259"/>
      <c r="IL661" s="259"/>
      <c r="IM661" s="259"/>
      <c r="IN661" s="259"/>
      <c r="IO661" s="259"/>
      <c r="IP661" s="259"/>
      <c r="IQ661" s="259"/>
      <c r="IR661" s="259"/>
      <c r="IS661" s="259"/>
      <c r="IT661" s="259"/>
      <c r="IU661" s="259"/>
      <c r="IV661" s="259"/>
      <c r="IW661" s="259"/>
      <c r="IX661" s="259"/>
      <c r="IY661" s="259"/>
      <c r="IZ661" s="259"/>
      <c r="JA661" s="259"/>
      <c r="JB661" s="259"/>
      <c r="JC661" s="259"/>
      <c r="JD661" s="259"/>
      <c r="JE661" s="259"/>
      <c r="JF661" s="259"/>
      <c r="JG661" s="259"/>
      <c r="JH661" s="259"/>
      <c r="JI661" s="259"/>
      <c r="JJ661" s="259"/>
      <c r="JK661" s="259"/>
      <c r="JL661" s="259"/>
      <c r="JM661" s="259"/>
      <c r="JN661" s="259"/>
      <c r="JO661" s="259"/>
      <c r="JP661" s="259"/>
      <c r="JQ661" s="259"/>
      <c r="JR661" s="259"/>
      <c r="JS661" s="259"/>
      <c r="JT661" s="259"/>
      <c r="JU661" s="259"/>
      <c r="JV661" s="259"/>
      <c r="JW661" s="259"/>
      <c r="JX661" s="259"/>
      <c r="JY661" s="259"/>
      <c r="JZ661" s="259"/>
      <c r="KA661" s="259"/>
      <c r="KB661" s="259"/>
      <c r="KC661" s="259"/>
      <c r="KD661" s="259"/>
      <c r="KE661" s="259"/>
      <c r="KF661" s="259"/>
      <c r="KG661" s="259"/>
      <c r="KH661" s="259"/>
      <c r="KI661" s="259"/>
      <c r="KJ661" s="259"/>
      <c r="KK661" s="259"/>
      <c r="KL661" s="259"/>
      <c r="KM661" s="259"/>
      <c r="KN661" s="259"/>
      <c r="KO661" s="259"/>
      <c r="KP661" s="259"/>
      <c r="KQ661" s="259"/>
      <c r="KR661" s="259"/>
      <c r="KS661" s="259"/>
      <c r="KT661" s="259"/>
      <c r="KU661" s="259"/>
      <c r="KV661" s="259"/>
      <c r="KW661" s="259"/>
      <c r="KX661" s="259"/>
      <c r="KY661" s="259"/>
      <c r="KZ661" s="259"/>
      <c r="LA661" s="259"/>
      <c r="LB661" s="259"/>
      <c r="LC661" s="259"/>
      <c r="LD661" s="259"/>
      <c r="LE661" s="259"/>
      <c r="LF661" s="259"/>
      <c r="LG661" s="259"/>
      <c r="LH661" s="259"/>
      <c r="LI661" s="259"/>
      <c r="LJ661" s="259"/>
      <c r="LK661" s="259"/>
      <c r="LL661" s="259"/>
      <c r="LM661" s="259"/>
      <c r="LN661" s="259"/>
      <c r="LO661" s="259"/>
      <c r="LP661" s="259"/>
      <c r="LQ661" s="259"/>
      <c r="LR661" s="259"/>
      <c r="LS661" s="259"/>
      <c r="LT661" s="259"/>
      <c r="LU661" s="259"/>
      <c r="LV661" s="259"/>
      <c r="LW661" s="259"/>
      <c r="LX661" s="259"/>
      <c r="LY661" s="259"/>
      <c r="LZ661" s="259"/>
      <c r="MA661" s="259"/>
      <c r="MB661" s="259"/>
      <c r="MC661" s="259"/>
      <c r="MD661" s="259"/>
      <c r="ME661" s="259"/>
      <c r="MF661" s="259"/>
      <c r="MG661" s="259"/>
      <c r="MH661" s="259"/>
      <c r="MI661" s="259"/>
      <c r="MJ661" s="259"/>
      <c r="MK661" s="259"/>
      <c r="ML661" s="259"/>
      <c r="MM661" s="259"/>
      <c r="MN661" s="259"/>
      <c r="MO661" s="259"/>
      <c r="MP661" s="259"/>
      <c r="MQ661" s="259"/>
      <c r="MR661" s="259"/>
      <c r="MS661" s="259"/>
      <c r="MT661" s="259"/>
      <c r="MU661" s="259"/>
      <c r="MV661" s="259"/>
      <c r="MW661" s="259"/>
      <c r="MX661" s="259"/>
      <c r="MY661" s="259"/>
      <c r="MZ661" s="259"/>
      <c r="NA661" s="259"/>
      <c r="NB661" s="259"/>
      <c r="NC661" s="259"/>
      <c r="ND661" s="259"/>
      <c r="NE661" s="259"/>
      <c r="NF661" s="259"/>
      <c r="NG661" s="259"/>
      <c r="NH661" s="259"/>
      <c r="NI661" s="259"/>
      <c r="NJ661" s="259"/>
      <c r="NK661" s="259"/>
      <c r="NL661" s="259"/>
      <c r="NM661" s="259"/>
      <c r="NN661" s="259"/>
      <c r="NO661" s="259"/>
      <c r="NP661" s="259"/>
      <c r="NQ661" s="259"/>
      <c r="NR661" s="259"/>
      <c r="NS661" s="259"/>
      <c r="NT661" s="259"/>
      <c r="NU661" s="259"/>
      <c r="NV661" s="259"/>
      <c r="NW661" s="259"/>
      <c r="NX661" s="259"/>
      <c r="NY661" s="259"/>
      <c r="NZ661" s="259"/>
      <c r="OA661" s="259"/>
      <c r="OB661" s="259"/>
      <c r="OC661" s="259"/>
      <c r="OD661" s="259"/>
      <c r="OE661" s="259"/>
      <c r="OF661" s="259"/>
      <c r="OG661" s="259"/>
      <c r="OH661" s="259"/>
      <c r="OI661" s="259"/>
      <c r="OJ661" s="259"/>
      <c r="OK661" s="259"/>
      <c r="OL661" s="259"/>
      <c r="OM661" s="259"/>
      <c r="ON661" s="259"/>
      <c r="OO661" s="259"/>
      <c r="OP661" s="259"/>
      <c r="OQ661" s="259"/>
      <c r="OR661" s="259"/>
      <c r="OS661" s="259"/>
      <c r="OT661" s="259"/>
      <c r="OU661" s="259"/>
      <c r="OV661" s="259"/>
      <c r="OW661" s="259"/>
      <c r="OX661" s="259"/>
      <c r="OY661" s="259"/>
      <c r="OZ661" s="259"/>
      <c r="PA661" s="259"/>
      <c r="PB661" s="259"/>
      <c r="PC661" s="259"/>
      <c r="PD661" s="259"/>
      <c r="PE661" s="259"/>
      <c r="PF661" s="259"/>
      <c r="PG661" s="259"/>
      <c r="PH661" s="259"/>
      <c r="PI661" s="259"/>
      <c r="PJ661" s="259"/>
      <c r="PK661" s="259"/>
      <c r="PL661" s="259"/>
      <c r="PM661" s="259"/>
      <c r="PN661" s="259"/>
      <c r="PO661" s="259"/>
      <c r="PP661" s="259"/>
      <c r="PQ661" s="259"/>
      <c r="PR661" s="259"/>
      <c r="PS661" s="259"/>
      <c r="PT661" s="259"/>
      <c r="PU661" s="259"/>
      <c r="PV661" s="259"/>
      <c r="PW661" s="259"/>
      <c r="PX661" s="259"/>
      <c r="PY661" s="259"/>
      <c r="PZ661" s="259"/>
      <c r="QA661" s="259"/>
      <c r="QB661" s="259"/>
      <c r="QC661" s="259"/>
      <c r="QD661" s="259"/>
      <c r="QE661" s="259"/>
      <c r="QF661" s="259"/>
      <c r="QG661" s="259"/>
      <c r="QH661" s="259"/>
      <c r="QI661" s="259"/>
      <c r="QJ661" s="259"/>
      <c r="QK661" s="259"/>
      <c r="QL661" s="259"/>
      <c r="QM661" s="259"/>
      <c r="QN661" s="259"/>
      <c r="QO661" s="259"/>
      <c r="QP661" s="259"/>
      <c r="QQ661" s="259"/>
      <c r="QR661" s="259"/>
      <c r="QS661" s="259"/>
      <c r="QT661" s="259"/>
      <c r="QU661" s="259"/>
      <c r="QV661" s="259"/>
      <c r="QW661" s="259"/>
      <c r="QX661" s="259"/>
      <c r="QY661" s="259"/>
      <c r="QZ661" s="259"/>
      <c r="RA661" s="259"/>
      <c r="RB661" s="259"/>
      <c r="RC661" s="259"/>
      <c r="RD661" s="259"/>
      <c r="RE661" s="259"/>
      <c r="RF661" s="259"/>
      <c r="RG661" s="259"/>
      <c r="RH661" s="259"/>
      <c r="RI661" s="259"/>
      <c r="RJ661" s="259"/>
      <c r="RK661" s="259"/>
      <c r="RL661" s="259"/>
      <c r="RM661" s="259"/>
      <c r="RN661" s="259"/>
      <c r="RO661" s="259"/>
      <c r="RP661" s="259"/>
      <c r="RQ661" s="259"/>
      <c r="RR661" s="259"/>
      <c r="RS661" s="259"/>
      <c r="RT661" s="259"/>
      <c r="RU661" s="259"/>
      <c r="RV661" s="259"/>
      <c r="RW661" s="259"/>
      <c r="RX661" s="259"/>
      <c r="RY661" s="259"/>
      <c r="RZ661" s="259"/>
      <c r="SA661" s="259"/>
      <c r="SB661" s="259"/>
      <c r="SC661" s="259"/>
      <c r="SD661" s="259"/>
      <c r="SE661" s="259"/>
      <c r="SF661" s="259"/>
      <c r="SG661" s="259"/>
      <c r="SH661" s="259"/>
      <c r="SI661" s="259"/>
      <c r="SJ661" s="259"/>
      <c r="SK661" s="259"/>
      <c r="SL661" s="259"/>
      <c r="SM661" s="259"/>
      <c r="SN661" s="259"/>
      <c r="SO661" s="259"/>
      <c r="SP661" s="259"/>
      <c r="SQ661" s="259"/>
      <c r="SR661" s="259"/>
      <c r="SS661" s="259"/>
      <c r="ST661" s="259"/>
      <c r="SU661" s="259"/>
      <c r="SV661" s="259"/>
      <c r="SW661" s="259"/>
      <c r="SX661" s="259"/>
      <c r="SY661" s="259"/>
      <c r="SZ661" s="259"/>
      <c r="TA661" s="259"/>
      <c r="TB661" s="259"/>
      <c r="TC661" s="259"/>
      <c r="TD661" s="259"/>
      <c r="TE661" s="259"/>
      <c r="TF661" s="259"/>
      <c r="TG661" s="259"/>
      <c r="TH661" s="259"/>
      <c r="TI661" s="259"/>
      <c r="TJ661" s="259"/>
      <c r="TK661" s="259"/>
      <c r="TL661" s="259"/>
      <c r="TM661" s="259"/>
      <c r="TN661" s="259"/>
      <c r="TO661" s="259"/>
      <c r="TP661" s="259"/>
      <c r="TQ661" s="259"/>
      <c r="TR661" s="259"/>
      <c r="TS661" s="259"/>
      <c r="TT661" s="259"/>
      <c r="TU661" s="259"/>
      <c r="TV661" s="259"/>
      <c r="TW661" s="259"/>
      <c r="TX661" s="259"/>
      <c r="TY661" s="259"/>
      <c r="TZ661" s="259"/>
      <c r="UA661" s="259"/>
      <c r="UB661" s="259"/>
      <c r="UC661" s="259"/>
      <c r="UD661" s="259"/>
      <c r="UE661" s="259"/>
      <c r="UF661" s="259"/>
      <c r="UG661" s="259"/>
      <c r="UH661" s="259"/>
      <c r="UI661" s="259"/>
    </row>
    <row r="662" spans="1:555" ht="84" customHeight="1">
      <c r="A662" s="57">
        <v>498</v>
      </c>
      <c r="B662" s="58" t="s">
        <v>4719</v>
      </c>
      <c r="C662" s="59">
        <v>17587079</v>
      </c>
      <c r="D662" s="170" t="s">
        <v>4322</v>
      </c>
      <c r="E662" s="60">
        <v>42822</v>
      </c>
      <c r="F662" s="61">
        <v>42795</v>
      </c>
      <c r="G662" s="62" t="s">
        <v>271</v>
      </c>
      <c r="H662" s="58" t="s">
        <v>1974</v>
      </c>
      <c r="I662" s="58" t="s">
        <v>183</v>
      </c>
      <c r="J662" s="60">
        <v>42997</v>
      </c>
      <c r="K662" s="61">
        <v>42979</v>
      </c>
      <c r="L662" s="62" t="s">
        <v>4720</v>
      </c>
      <c r="M662" s="58" t="s">
        <v>625</v>
      </c>
      <c r="N662" s="58" t="s">
        <v>4721</v>
      </c>
      <c r="O662" s="60">
        <v>42900</v>
      </c>
      <c r="P662" s="63">
        <v>42887</v>
      </c>
      <c r="Q662" s="62" t="s">
        <v>4722</v>
      </c>
      <c r="R662" s="58" t="s">
        <v>5</v>
      </c>
      <c r="S662" s="58" t="s">
        <v>79</v>
      </c>
      <c r="T662" s="60">
        <v>43003</v>
      </c>
      <c r="U662" s="61">
        <v>43003</v>
      </c>
      <c r="V662" s="62" t="s">
        <v>9457</v>
      </c>
      <c r="W662" s="58" t="s">
        <v>79</v>
      </c>
      <c r="X662" s="58" t="s">
        <v>5</v>
      </c>
      <c r="Y662" s="60">
        <v>42921</v>
      </c>
      <c r="Z662" s="61">
        <v>42917</v>
      </c>
      <c r="AA662" s="62" t="s">
        <v>4723</v>
      </c>
      <c r="AB662" s="58" t="s">
        <v>625</v>
      </c>
      <c r="AC662" s="58" t="s">
        <v>4550</v>
      </c>
      <c r="AD662" s="64">
        <v>43389</v>
      </c>
      <c r="AE662" s="61">
        <v>43389</v>
      </c>
      <c r="AF662" s="425" t="s">
        <v>7251</v>
      </c>
      <c r="AG662" s="58" t="s">
        <v>5</v>
      </c>
      <c r="AH662" s="58" t="s">
        <v>8243</v>
      </c>
      <c r="AI662" s="60">
        <v>44600</v>
      </c>
      <c r="AJ662" s="61">
        <v>44593</v>
      </c>
      <c r="AK662" s="62" t="s">
        <v>10751</v>
      </c>
      <c r="AL662" s="58" t="s">
        <v>5</v>
      </c>
      <c r="AM662" s="58"/>
      <c r="AN662" s="58" t="s">
        <v>3671</v>
      </c>
      <c r="AO662" s="478"/>
      <c r="AP662" s="58"/>
      <c r="AQ662" s="62" t="s">
        <v>8150</v>
      </c>
      <c r="AR662" s="58" t="s">
        <v>161</v>
      </c>
      <c r="AS662" s="60">
        <v>39265</v>
      </c>
      <c r="AT662" s="60">
        <v>40862</v>
      </c>
      <c r="AU662" s="58" t="s">
        <v>7253</v>
      </c>
      <c r="AV662" s="58"/>
      <c r="AW662" s="58" t="s">
        <v>92</v>
      </c>
      <c r="AX662" s="58" t="s">
        <v>837</v>
      </c>
      <c r="AY662" s="60">
        <v>41781</v>
      </c>
      <c r="AZ662" s="58" t="s">
        <v>576</v>
      </c>
      <c r="BA662" s="60">
        <v>42810</v>
      </c>
      <c r="BB662" s="382">
        <v>42825</v>
      </c>
      <c r="BC662" s="58" t="s">
        <v>95</v>
      </c>
      <c r="BD662" s="58" t="s">
        <v>566</v>
      </c>
      <c r="BE662" s="58"/>
      <c r="BF662" s="62"/>
      <c r="BG662" s="62"/>
      <c r="BH662" s="62"/>
      <c r="BI662" s="62"/>
      <c r="BJ662" s="74">
        <f>+[201]MATRIZ!$J$60</f>
        <v>0</v>
      </c>
      <c r="BK662" s="67"/>
      <c r="BL662" s="68"/>
      <c r="BM662" s="60"/>
      <c r="BN662" s="61"/>
      <c r="BO662" s="463"/>
      <c r="BP662" s="122"/>
      <c r="BQ662" s="58"/>
      <c r="BR662" s="70"/>
      <c r="BS662" s="62"/>
      <c r="BT662" s="62"/>
      <c r="BU662" s="62"/>
      <c r="BV662" s="62"/>
      <c r="BW662" s="71"/>
      <c r="BX662" s="66"/>
      <c r="BY662" s="60"/>
      <c r="BZ662" s="72"/>
    </row>
    <row r="663" spans="1:555" s="259" customFormat="1" ht="58.5" customHeight="1">
      <c r="A663" s="33">
        <v>499</v>
      </c>
      <c r="B663" s="34" t="s">
        <v>4724</v>
      </c>
      <c r="C663" s="35">
        <v>79462983</v>
      </c>
      <c r="D663" s="440" t="s">
        <v>906</v>
      </c>
      <c r="E663" s="37">
        <v>42594</v>
      </c>
      <c r="F663" s="38">
        <v>42583</v>
      </c>
      <c r="G663" s="39" t="s">
        <v>4725</v>
      </c>
      <c r="H663" s="34" t="s">
        <v>625</v>
      </c>
      <c r="I663" s="34" t="s">
        <v>1167</v>
      </c>
      <c r="J663" s="37">
        <v>42822</v>
      </c>
      <c r="K663" s="38">
        <v>42795</v>
      </c>
      <c r="L663" s="39" t="s">
        <v>4726</v>
      </c>
      <c r="M663" s="34" t="s">
        <v>171</v>
      </c>
      <c r="N663" s="34" t="s">
        <v>1544</v>
      </c>
      <c r="O663" s="37"/>
      <c r="P663" s="40"/>
      <c r="Q663" s="39"/>
      <c r="R663" s="34"/>
      <c r="S663" s="34"/>
      <c r="T663" s="37"/>
      <c r="U663" s="38"/>
      <c r="V663" s="39"/>
      <c r="W663" s="34"/>
      <c r="X663" s="34"/>
      <c r="Y663" s="37"/>
      <c r="Z663" s="38"/>
      <c r="AA663" s="39"/>
      <c r="AB663" s="34"/>
      <c r="AC663" s="34"/>
      <c r="AD663" s="37"/>
      <c r="AE663" s="38"/>
      <c r="AF663" s="39"/>
      <c r="AG663" s="34"/>
      <c r="AH663" s="34"/>
      <c r="AI663" s="73"/>
      <c r="AJ663" s="38"/>
      <c r="AK663" s="39"/>
      <c r="AL663" s="34"/>
      <c r="AM663" s="34"/>
      <c r="AN663" s="34" t="s">
        <v>4727</v>
      </c>
      <c r="AO663" s="473"/>
      <c r="AP663" s="34"/>
      <c r="AQ663" s="39" t="s">
        <v>4728</v>
      </c>
      <c r="AR663" s="34" t="s">
        <v>579</v>
      </c>
      <c r="AS663" s="37" t="s">
        <v>579</v>
      </c>
      <c r="AT663" s="37" t="s">
        <v>579</v>
      </c>
      <c r="AU663" s="34" t="s">
        <v>4729</v>
      </c>
      <c r="AV663" s="34"/>
      <c r="AW663" s="34" t="s">
        <v>69</v>
      </c>
      <c r="AX663" s="34" t="s">
        <v>4730</v>
      </c>
      <c r="AY663" s="37" t="s">
        <v>579</v>
      </c>
      <c r="AZ663" s="34" t="s">
        <v>4731</v>
      </c>
      <c r="BA663" s="37">
        <v>42579</v>
      </c>
      <c r="BB663" s="382"/>
      <c r="BC663" s="34" t="s">
        <v>4732</v>
      </c>
      <c r="BD663" s="34"/>
      <c r="BE663" s="34"/>
      <c r="BF663" s="39"/>
      <c r="BG663" s="39"/>
      <c r="BH663" s="39"/>
      <c r="BI663" s="39"/>
      <c r="BJ663" s="74"/>
      <c r="BK663" s="74"/>
      <c r="BL663" s="44"/>
      <c r="BM663" s="37"/>
      <c r="BN663" s="38"/>
      <c r="BO663" s="462"/>
      <c r="BP663" s="391"/>
      <c r="BQ663" s="34"/>
      <c r="BR663" s="42"/>
      <c r="BS663" s="39"/>
      <c r="BT663" s="39"/>
      <c r="BU663" s="39"/>
      <c r="BV663" s="39"/>
      <c r="BW663" s="51"/>
      <c r="BX663" s="41"/>
      <c r="BY663" s="37"/>
      <c r="BZ663" s="52"/>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c r="JW663" s="1"/>
      <c r="JX663" s="1"/>
      <c r="JY663" s="1"/>
      <c r="JZ663" s="1"/>
      <c r="KA663" s="1"/>
      <c r="KB663" s="1"/>
      <c r="KC663" s="1"/>
      <c r="KD663" s="1"/>
      <c r="KE663" s="1"/>
      <c r="KF663" s="1"/>
      <c r="KG663" s="1"/>
      <c r="KH663" s="1"/>
      <c r="KI663" s="1"/>
      <c r="KJ663" s="1"/>
      <c r="KK663" s="1"/>
      <c r="KL663" s="1"/>
      <c r="KM663" s="1"/>
      <c r="KN663" s="1"/>
      <c r="KO663" s="1"/>
      <c r="KP663" s="1"/>
      <c r="KQ663" s="1"/>
      <c r="KR663" s="1"/>
      <c r="KS663" s="1"/>
      <c r="KT663" s="1"/>
      <c r="KU663" s="1"/>
      <c r="KV663" s="1"/>
      <c r="KW663" s="1"/>
      <c r="KX663" s="1"/>
      <c r="KY663" s="1"/>
      <c r="KZ663" s="1"/>
      <c r="LA663" s="1"/>
      <c r="LB663" s="1"/>
      <c r="LC663" s="1"/>
      <c r="LD663" s="1"/>
      <c r="LE663" s="1"/>
      <c r="LF663" s="1"/>
      <c r="LG663" s="1"/>
      <c r="LH663" s="1"/>
      <c r="LI663" s="1"/>
      <c r="LJ663" s="1"/>
      <c r="LK663" s="1"/>
      <c r="LL663" s="1"/>
      <c r="LM663" s="1"/>
      <c r="LN663" s="1"/>
      <c r="LO663" s="1"/>
      <c r="LP663" s="1"/>
      <c r="LQ663" s="1"/>
      <c r="LR663" s="1"/>
      <c r="LS663" s="1"/>
      <c r="LT663" s="1"/>
      <c r="LU663" s="1"/>
      <c r="LV663" s="1"/>
      <c r="LW663" s="1"/>
      <c r="LX663" s="1"/>
      <c r="LY663" s="1"/>
      <c r="LZ663" s="1"/>
      <c r="MA663" s="1"/>
      <c r="MB663" s="1"/>
      <c r="MC663" s="1"/>
      <c r="MD663" s="1"/>
      <c r="ME663" s="1"/>
      <c r="MF663" s="1"/>
      <c r="MG663" s="1"/>
      <c r="MH663" s="1"/>
      <c r="MI663" s="1"/>
      <c r="MJ663" s="1"/>
      <c r="MK663" s="1"/>
      <c r="ML663" s="1"/>
      <c r="MM663" s="1"/>
      <c r="MN663" s="1"/>
      <c r="MO663" s="1"/>
      <c r="MP663" s="1"/>
      <c r="MQ663" s="1"/>
      <c r="MR663" s="1"/>
      <c r="MS663" s="1"/>
      <c r="MT663" s="1"/>
      <c r="MU663" s="1"/>
      <c r="MV663" s="1"/>
      <c r="MW663" s="1"/>
      <c r="MX663" s="1"/>
      <c r="MY663" s="1"/>
      <c r="MZ663" s="1"/>
      <c r="NA663" s="1"/>
      <c r="NB663" s="1"/>
      <c r="NC663" s="1"/>
      <c r="ND663" s="1"/>
      <c r="NE663" s="1"/>
      <c r="NF663" s="1"/>
      <c r="NG663" s="1"/>
      <c r="NH663" s="1"/>
      <c r="NI663" s="1"/>
      <c r="NJ663" s="1"/>
      <c r="NK663" s="1"/>
      <c r="NL663" s="1"/>
      <c r="NM663" s="1"/>
      <c r="NN663" s="1"/>
      <c r="NO663" s="1"/>
      <c r="NP663" s="1"/>
      <c r="NQ663" s="1"/>
      <c r="NR663" s="1"/>
      <c r="NS663" s="1"/>
      <c r="NT663" s="1"/>
      <c r="NU663" s="1"/>
      <c r="NV663" s="1"/>
      <c r="NW663" s="1"/>
      <c r="NX663" s="1"/>
      <c r="NY663" s="1"/>
      <c r="NZ663" s="1"/>
      <c r="OA663" s="1"/>
      <c r="OB663" s="1"/>
      <c r="OC663" s="1"/>
      <c r="OD663" s="1"/>
      <c r="OE663" s="1"/>
      <c r="OF663" s="1"/>
      <c r="OG663" s="1"/>
      <c r="OH663" s="1"/>
      <c r="OI663" s="1"/>
      <c r="OJ663" s="1"/>
      <c r="OK663" s="1"/>
      <c r="OL663" s="1"/>
      <c r="OM663" s="1"/>
      <c r="ON663" s="1"/>
      <c r="OO663" s="1"/>
      <c r="OP663" s="1"/>
      <c r="OQ663" s="1"/>
      <c r="OR663" s="1"/>
      <c r="OS663" s="1"/>
      <c r="OT663" s="1"/>
      <c r="OU663" s="1"/>
      <c r="OV663" s="1"/>
      <c r="OW663" s="1"/>
      <c r="OX663" s="1"/>
      <c r="OY663" s="1"/>
      <c r="OZ663" s="1"/>
      <c r="PA663" s="1"/>
      <c r="PB663" s="1"/>
      <c r="PC663" s="1"/>
      <c r="PD663" s="1"/>
      <c r="PE663" s="1"/>
      <c r="PF663" s="1"/>
      <c r="PG663" s="1"/>
      <c r="PH663" s="1"/>
      <c r="PI663" s="1"/>
      <c r="PJ663" s="1"/>
      <c r="PK663" s="1"/>
      <c r="PL663" s="1"/>
      <c r="PM663" s="1"/>
      <c r="PN663" s="1"/>
      <c r="PO663" s="1"/>
      <c r="PP663" s="1"/>
      <c r="PQ663" s="1"/>
      <c r="PR663" s="1"/>
      <c r="PS663" s="1"/>
      <c r="PT663" s="1"/>
      <c r="PU663" s="1"/>
      <c r="PV663" s="1"/>
      <c r="PW663" s="1"/>
      <c r="PX663" s="1"/>
      <c r="PY663" s="1"/>
      <c r="PZ663" s="1"/>
      <c r="QA663" s="1"/>
      <c r="QB663" s="1"/>
      <c r="QC663" s="1"/>
      <c r="QD663" s="1"/>
      <c r="QE663" s="1"/>
      <c r="QF663" s="1"/>
      <c r="QG663" s="1"/>
      <c r="QH663" s="1"/>
      <c r="QI663" s="1"/>
      <c r="QJ663" s="1"/>
      <c r="QK663" s="1"/>
      <c r="QL663" s="1"/>
      <c r="QM663" s="1"/>
      <c r="QN663" s="1"/>
      <c r="QO663" s="1"/>
      <c r="QP663" s="1"/>
      <c r="QQ663" s="1"/>
      <c r="QR663" s="1"/>
      <c r="QS663" s="1"/>
      <c r="QT663" s="1"/>
      <c r="QU663" s="1"/>
      <c r="QV663" s="1"/>
      <c r="QW663" s="1"/>
      <c r="QX663" s="1"/>
      <c r="QY663" s="1"/>
      <c r="QZ663" s="1"/>
      <c r="RA663" s="1"/>
      <c r="RB663" s="1"/>
      <c r="RC663" s="1"/>
      <c r="RD663" s="1"/>
      <c r="RE663" s="1"/>
      <c r="RF663" s="1"/>
      <c r="RG663" s="1"/>
      <c r="RH663" s="1"/>
      <c r="RI663" s="1"/>
      <c r="RJ663" s="1"/>
      <c r="RK663" s="1"/>
      <c r="RL663" s="1"/>
      <c r="RM663" s="1"/>
      <c r="RN663" s="1"/>
      <c r="RO663" s="1"/>
      <c r="RP663" s="1"/>
      <c r="RQ663" s="1"/>
      <c r="RR663" s="1"/>
      <c r="RS663" s="1"/>
      <c r="RT663" s="1"/>
      <c r="RU663" s="1"/>
      <c r="RV663" s="1"/>
      <c r="RW663" s="1"/>
      <c r="RX663" s="1"/>
      <c r="RY663" s="1"/>
      <c r="RZ663" s="1"/>
      <c r="SA663" s="1"/>
      <c r="SB663" s="1"/>
      <c r="SC663" s="1"/>
      <c r="SD663" s="1"/>
      <c r="SE663" s="1"/>
      <c r="SF663" s="1"/>
      <c r="SG663" s="1"/>
      <c r="SH663" s="1"/>
      <c r="SI663" s="1"/>
      <c r="SJ663" s="1"/>
      <c r="SK663" s="1"/>
      <c r="SL663" s="1"/>
      <c r="SM663" s="1"/>
      <c r="SN663" s="1"/>
      <c r="SO663" s="1"/>
      <c r="SP663" s="1"/>
      <c r="SQ663" s="1"/>
      <c r="SR663" s="1"/>
      <c r="SS663" s="1"/>
      <c r="ST663" s="1"/>
      <c r="SU663" s="1"/>
      <c r="SV663" s="1"/>
      <c r="SW663" s="1"/>
      <c r="SX663" s="1"/>
      <c r="SY663" s="1"/>
      <c r="SZ663" s="1"/>
      <c r="TA663" s="1"/>
      <c r="TB663" s="1"/>
      <c r="TC663" s="1"/>
      <c r="TD663" s="1"/>
      <c r="TE663" s="1"/>
      <c r="TF663" s="1"/>
      <c r="TG663" s="1"/>
      <c r="TH663" s="1"/>
      <c r="TI663" s="1"/>
      <c r="TJ663" s="1"/>
      <c r="TK663" s="1"/>
      <c r="TL663" s="1"/>
      <c r="TM663" s="1"/>
      <c r="TN663" s="1"/>
      <c r="TO663" s="1"/>
      <c r="TP663" s="1"/>
      <c r="TQ663" s="1"/>
      <c r="TR663" s="1"/>
      <c r="TS663" s="1"/>
      <c r="TT663" s="1"/>
      <c r="TU663" s="1"/>
      <c r="TV663" s="1"/>
      <c r="TW663" s="1"/>
      <c r="TX663" s="1"/>
      <c r="TY663" s="1"/>
      <c r="TZ663" s="1"/>
      <c r="UA663" s="1"/>
      <c r="UB663" s="1"/>
      <c r="UC663" s="1"/>
      <c r="UD663" s="1"/>
      <c r="UE663" s="1"/>
      <c r="UF663" s="1"/>
      <c r="UG663" s="1"/>
      <c r="UH663" s="1"/>
      <c r="UI663" s="1"/>
    </row>
    <row r="664" spans="1:555" s="259" customFormat="1" ht="81">
      <c r="A664" s="33">
        <v>500</v>
      </c>
      <c r="B664" s="34" t="s">
        <v>4733</v>
      </c>
      <c r="C664" s="35">
        <v>79634259</v>
      </c>
      <c r="D664" s="440" t="s">
        <v>906</v>
      </c>
      <c r="E664" s="37">
        <v>42793</v>
      </c>
      <c r="F664" s="38">
        <v>42793</v>
      </c>
      <c r="G664" s="39" t="s">
        <v>4734</v>
      </c>
      <c r="H664" s="34" t="s">
        <v>625</v>
      </c>
      <c r="I664" s="34" t="s">
        <v>2411</v>
      </c>
      <c r="J664" s="37">
        <v>42822</v>
      </c>
      <c r="K664" s="38">
        <v>42795</v>
      </c>
      <c r="L664" s="39" t="s">
        <v>271</v>
      </c>
      <c r="M664" s="34" t="s">
        <v>1997</v>
      </c>
      <c r="N664" s="34" t="s">
        <v>1544</v>
      </c>
      <c r="O664" s="37"/>
      <c r="P664" s="40"/>
      <c r="Q664" s="39"/>
      <c r="R664" s="34"/>
      <c r="S664" s="34"/>
      <c r="T664" s="37"/>
      <c r="U664" s="38"/>
      <c r="V664" s="39"/>
      <c r="W664" s="34"/>
      <c r="X664" s="34"/>
      <c r="Y664" s="37"/>
      <c r="Z664" s="38"/>
      <c r="AA664" s="39"/>
      <c r="AB664" s="34"/>
      <c r="AC664" s="34"/>
      <c r="AD664" s="37"/>
      <c r="AE664" s="38"/>
      <c r="AF664" s="39"/>
      <c r="AG664" s="34"/>
      <c r="AH664" s="34"/>
      <c r="AI664" s="73"/>
      <c r="AJ664" s="38"/>
      <c r="AK664" s="39"/>
      <c r="AL664" s="34"/>
      <c r="AM664" s="34"/>
      <c r="AN664" s="34"/>
      <c r="AO664" s="473"/>
      <c r="AP664" s="34"/>
      <c r="AQ664" s="39" t="s">
        <v>4735</v>
      </c>
      <c r="AR664" s="34" t="s">
        <v>161</v>
      </c>
      <c r="AS664" s="37">
        <v>33935</v>
      </c>
      <c r="AT664" s="37">
        <v>40908</v>
      </c>
      <c r="AU664" s="34" t="s">
        <v>4736</v>
      </c>
      <c r="AV664" s="34"/>
      <c r="AW664" s="34" t="s">
        <v>69</v>
      </c>
      <c r="AX664" s="34" t="s">
        <v>4737</v>
      </c>
      <c r="AY664" s="37">
        <v>42544</v>
      </c>
      <c r="AZ664" s="34" t="s">
        <v>94</v>
      </c>
      <c r="BA664" s="37">
        <v>42776</v>
      </c>
      <c r="BB664" s="382">
        <v>42787</v>
      </c>
      <c r="BC664" s="34" t="s">
        <v>912</v>
      </c>
      <c r="BD664" s="34"/>
      <c r="BE664" s="34"/>
      <c r="BF664" s="39"/>
      <c r="BG664" s="39"/>
      <c r="BH664" s="39"/>
      <c r="BI664" s="39"/>
      <c r="BJ664" s="74">
        <v>3250000</v>
      </c>
      <c r="BK664" s="74"/>
      <c r="BL664" s="44"/>
      <c r="BM664" s="37"/>
      <c r="BN664" s="38"/>
      <c r="BO664" s="462"/>
      <c r="BP664" s="391"/>
      <c r="BQ664" s="34"/>
      <c r="BR664" s="42"/>
      <c r="BS664" s="39"/>
      <c r="BT664" s="39"/>
      <c r="BU664" s="39"/>
      <c r="BV664" s="39"/>
      <c r="BW664" s="51"/>
      <c r="BX664" s="41"/>
      <c r="BY664" s="37"/>
      <c r="BZ664" s="52"/>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c r="JW664" s="1"/>
      <c r="JX664" s="1"/>
      <c r="JY664" s="1"/>
      <c r="JZ664" s="1"/>
      <c r="KA664" s="1"/>
      <c r="KB664" s="1"/>
      <c r="KC664" s="1"/>
      <c r="KD664" s="1"/>
      <c r="KE664" s="1"/>
      <c r="KF664" s="1"/>
      <c r="KG664" s="1"/>
      <c r="KH664" s="1"/>
      <c r="KI664" s="1"/>
      <c r="KJ664" s="1"/>
      <c r="KK664" s="1"/>
      <c r="KL664" s="1"/>
      <c r="KM664" s="1"/>
      <c r="KN664" s="1"/>
      <c r="KO664" s="1"/>
      <c r="KP664" s="1"/>
      <c r="KQ664" s="1"/>
      <c r="KR664" s="1"/>
      <c r="KS664" s="1"/>
      <c r="KT664" s="1"/>
      <c r="KU664" s="1"/>
      <c r="KV664" s="1"/>
      <c r="KW664" s="1"/>
      <c r="KX664" s="1"/>
      <c r="KY664" s="1"/>
      <c r="KZ664" s="1"/>
      <c r="LA664" s="1"/>
      <c r="LB664" s="1"/>
      <c r="LC664" s="1"/>
      <c r="LD664" s="1"/>
      <c r="LE664" s="1"/>
      <c r="LF664" s="1"/>
      <c r="LG664" s="1"/>
      <c r="LH664" s="1"/>
      <c r="LI664" s="1"/>
      <c r="LJ664" s="1"/>
      <c r="LK664" s="1"/>
      <c r="LL664" s="1"/>
      <c r="LM664" s="1"/>
      <c r="LN664" s="1"/>
      <c r="LO664" s="1"/>
      <c r="LP664" s="1"/>
      <c r="LQ664" s="1"/>
      <c r="LR664" s="1"/>
      <c r="LS664" s="1"/>
      <c r="LT664" s="1"/>
      <c r="LU664" s="1"/>
      <c r="LV664" s="1"/>
      <c r="LW664" s="1"/>
      <c r="LX664" s="1"/>
      <c r="LY664" s="1"/>
      <c r="LZ664" s="1"/>
      <c r="MA664" s="1"/>
      <c r="MB664" s="1"/>
      <c r="MC664" s="1"/>
      <c r="MD664" s="1"/>
      <c r="ME664" s="1"/>
      <c r="MF664" s="1"/>
      <c r="MG664" s="1"/>
      <c r="MH664" s="1"/>
      <c r="MI664" s="1"/>
      <c r="MJ664" s="1"/>
      <c r="MK664" s="1"/>
      <c r="ML664" s="1"/>
      <c r="MM664" s="1"/>
      <c r="MN664" s="1"/>
      <c r="MO664" s="1"/>
      <c r="MP664" s="1"/>
      <c r="MQ664" s="1"/>
      <c r="MR664" s="1"/>
      <c r="MS664" s="1"/>
      <c r="MT664" s="1"/>
      <c r="MU664" s="1"/>
      <c r="MV664" s="1"/>
      <c r="MW664" s="1"/>
      <c r="MX664" s="1"/>
      <c r="MY664" s="1"/>
      <c r="MZ664" s="1"/>
      <c r="NA664" s="1"/>
      <c r="NB664" s="1"/>
      <c r="NC664" s="1"/>
      <c r="ND664" s="1"/>
      <c r="NE664" s="1"/>
      <c r="NF664" s="1"/>
      <c r="NG664" s="1"/>
      <c r="NH664" s="1"/>
      <c r="NI664" s="1"/>
      <c r="NJ664" s="1"/>
      <c r="NK664" s="1"/>
      <c r="NL664" s="1"/>
      <c r="NM664" s="1"/>
      <c r="NN664" s="1"/>
      <c r="NO664" s="1"/>
      <c r="NP664" s="1"/>
      <c r="NQ664" s="1"/>
      <c r="NR664" s="1"/>
      <c r="NS664" s="1"/>
      <c r="NT664" s="1"/>
      <c r="NU664" s="1"/>
      <c r="NV664" s="1"/>
      <c r="NW664" s="1"/>
      <c r="NX664" s="1"/>
      <c r="NY664" s="1"/>
      <c r="NZ664" s="1"/>
      <c r="OA664" s="1"/>
      <c r="OB664" s="1"/>
      <c r="OC664" s="1"/>
      <c r="OD664" s="1"/>
      <c r="OE664" s="1"/>
      <c r="OF664" s="1"/>
      <c r="OG664" s="1"/>
      <c r="OH664" s="1"/>
      <c r="OI664" s="1"/>
      <c r="OJ664" s="1"/>
      <c r="OK664" s="1"/>
      <c r="OL664" s="1"/>
      <c r="OM664" s="1"/>
      <c r="ON664" s="1"/>
      <c r="OO664" s="1"/>
      <c r="OP664" s="1"/>
      <c r="OQ664" s="1"/>
      <c r="OR664" s="1"/>
      <c r="OS664" s="1"/>
      <c r="OT664" s="1"/>
      <c r="OU664" s="1"/>
      <c r="OV664" s="1"/>
      <c r="OW664" s="1"/>
      <c r="OX664" s="1"/>
      <c r="OY664" s="1"/>
      <c r="OZ664" s="1"/>
      <c r="PA664" s="1"/>
      <c r="PB664" s="1"/>
      <c r="PC664" s="1"/>
      <c r="PD664" s="1"/>
      <c r="PE664" s="1"/>
      <c r="PF664" s="1"/>
      <c r="PG664" s="1"/>
      <c r="PH664" s="1"/>
      <c r="PI664" s="1"/>
      <c r="PJ664" s="1"/>
      <c r="PK664" s="1"/>
      <c r="PL664" s="1"/>
      <c r="PM664" s="1"/>
      <c r="PN664" s="1"/>
      <c r="PO664" s="1"/>
      <c r="PP664" s="1"/>
      <c r="PQ664" s="1"/>
      <c r="PR664" s="1"/>
      <c r="PS664" s="1"/>
      <c r="PT664" s="1"/>
      <c r="PU664" s="1"/>
      <c r="PV664" s="1"/>
      <c r="PW664" s="1"/>
      <c r="PX664" s="1"/>
      <c r="PY664" s="1"/>
      <c r="PZ664" s="1"/>
      <c r="QA664" s="1"/>
      <c r="QB664" s="1"/>
      <c r="QC664" s="1"/>
      <c r="QD664" s="1"/>
      <c r="QE664" s="1"/>
      <c r="QF664" s="1"/>
      <c r="QG664" s="1"/>
      <c r="QH664" s="1"/>
      <c r="QI664" s="1"/>
      <c r="QJ664" s="1"/>
      <c r="QK664" s="1"/>
      <c r="QL664" s="1"/>
      <c r="QM664" s="1"/>
      <c r="QN664" s="1"/>
      <c r="QO664" s="1"/>
      <c r="QP664" s="1"/>
      <c r="QQ664" s="1"/>
      <c r="QR664" s="1"/>
      <c r="QS664" s="1"/>
      <c r="QT664" s="1"/>
      <c r="QU664" s="1"/>
      <c r="QV664" s="1"/>
      <c r="QW664" s="1"/>
      <c r="QX664" s="1"/>
      <c r="QY664" s="1"/>
      <c r="QZ664" s="1"/>
      <c r="RA664" s="1"/>
      <c r="RB664" s="1"/>
      <c r="RC664" s="1"/>
      <c r="RD664" s="1"/>
      <c r="RE664" s="1"/>
      <c r="RF664" s="1"/>
      <c r="RG664" s="1"/>
      <c r="RH664" s="1"/>
      <c r="RI664" s="1"/>
      <c r="RJ664" s="1"/>
      <c r="RK664" s="1"/>
      <c r="RL664" s="1"/>
      <c r="RM664" s="1"/>
      <c r="RN664" s="1"/>
      <c r="RO664" s="1"/>
      <c r="RP664" s="1"/>
      <c r="RQ664" s="1"/>
      <c r="RR664" s="1"/>
      <c r="RS664" s="1"/>
      <c r="RT664" s="1"/>
      <c r="RU664" s="1"/>
      <c r="RV664" s="1"/>
      <c r="RW664" s="1"/>
      <c r="RX664" s="1"/>
      <c r="RY664" s="1"/>
      <c r="RZ664" s="1"/>
      <c r="SA664" s="1"/>
      <c r="SB664" s="1"/>
      <c r="SC664" s="1"/>
      <c r="SD664" s="1"/>
      <c r="SE664" s="1"/>
      <c r="SF664" s="1"/>
      <c r="SG664" s="1"/>
      <c r="SH664" s="1"/>
      <c r="SI664" s="1"/>
      <c r="SJ664" s="1"/>
      <c r="SK664" s="1"/>
      <c r="SL664" s="1"/>
      <c r="SM664" s="1"/>
      <c r="SN664" s="1"/>
      <c r="SO664" s="1"/>
      <c r="SP664" s="1"/>
      <c r="SQ664" s="1"/>
      <c r="SR664" s="1"/>
      <c r="SS664" s="1"/>
      <c r="ST664" s="1"/>
      <c r="SU664" s="1"/>
      <c r="SV664" s="1"/>
      <c r="SW664" s="1"/>
      <c r="SX664" s="1"/>
      <c r="SY664" s="1"/>
      <c r="SZ664" s="1"/>
      <c r="TA664" s="1"/>
      <c r="TB664" s="1"/>
      <c r="TC664" s="1"/>
      <c r="TD664" s="1"/>
      <c r="TE664" s="1"/>
      <c r="TF664" s="1"/>
      <c r="TG664" s="1"/>
      <c r="TH664" s="1"/>
      <c r="TI664" s="1"/>
      <c r="TJ664" s="1"/>
      <c r="TK664" s="1"/>
      <c r="TL664" s="1"/>
      <c r="TM664" s="1"/>
      <c r="TN664" s="1"/>
      <c r="TO664" s="1"/>
      <c r="TP664" s="1"/>
      <c r="TQ664" s="1"/>
      <c r="TR664" s="1"/>
      <c r="TS664" s="1"/>
      <c r="TT664" s="1"/>
      <c r="TU664" s="1"/>
      <c r="TV664" s="1"/>
      <c r="TW664" s="1"/>
      <c r="TX664" s="1"/>
      <c r="TY664" s="1"/>
      <c r="TZ664" s="1"/>
      <c r="UA664" s="1"/>
      <c r="UB664" s="1"/>
      <c r="UC664" s="1"/>
      <c r="UD664" s="1"/>
      <c r="UE664" s="1"/>
      <c r="UF664" s="1"/>
      <c r="UG664" s="1"/>
      <c r="UH664" s="1"/>
      <c r="UI664" s="1"/>
    </row>
    <row r="665" spans="1:555" s="259" customFormat="1" ht="77.25" customHeight="1">
      <c r="A665" s="57">
        <v>502</v>
      </c>
      <c r="B665" s="58" t="s">
        <v>4755</v>
      </c>
      <c r="C665" s="59">
        <v>19384585</v>
      </c>
      <c r="D665" s="170" t="s">
        <v>597</v>
      </c>
      <c r="E665" s="60">
        <v>42825</v>
      </c>
      <c r="F665" s="61">
        <v>42795</v>
      </c>
      <c r="G665" s="62" t="s">
        <v>4756</v>
      </c>
      <c r="H665" s="58" t="s">
        <v>4388</v>
      </c>
      <c r="I665" s="58" t="s">
        <v>3423</v>
      </c>
      <c r="J665" s="60"/>
      <c r="K665" s="61"/>
      <c r="L665" s="62"/>
      <c r="M665" s="58"/>
      <c r="N665" s="58"/>
      <c r="O665" s="60"/>
      <c r="P665" s="63"/>
      <c r="Q665" s="62"/>
      <c r="R665" s="58"/>
      <c r="S665" s="58"/>
      <c r="T665" s="60"/>
      <c r="U665" s="61"/>
      <c r="V665" s="62"/>
      <c r="W665" s="58"/>
      <c r="X665" s="58"/>
      <c r="Y665" s="60"/>
      <c r="Z665" s="61"/>
      <c r="AA665" s="62"/>
      <c r="AB665" s="58"/>
      <c r="AC665" s="58"/>
      <c r="AD665" s="60"/>
      <c r="AE665" s="61"/>
      <c r="AF665" s="62"/>
      <c r="AG665" s="58"/>
      <c r="AH665" s="58"/>
      <c r="AI665" s="117"/>
      <c r="AJ665" s="61"/>
      <c r="AK665" s="62"/>
      <c r="AL665" s="58"/>
      <c r="AM665" s="58"/>
      <c r="AN665" s="58" t="s">
        <v>3671</v>
      </c>
      <c r="AO665" s="478"/>
      <c r="AP665" s="58"/>
      <c r="AQ665" s="62" t="s">
        <v>4757</v>
      </c>
      <c r="AR665" s="58" t="s">
        <v>161</v>
      </c>
      <c r="AS665" s="60">
        <v>37408</v>
      </c>
      <c r="AT665" s="60" t="s">
        <v>4758</v>
      </c>
      <c r="AU665" s="58" t="s">
        <v>4759</v>
      </c>
      <c r="AV665" s="58"/>
      <c r="AW665" s="58" t="s">
        <v>92</v>
      </c>
      <c r="AX665" s="58" t="s">
        <v>4760</v>
      </c>
      <c r="AY665" s="60">
        <v>41404</v>
      </c>
      <c r="AZ665" s="58" t="s">
        <v>94</v>
      </c>
      <c r="BA665" s="60">
        <v>42718</v>
      </c>
      <c r="BB665" s="382">
        <v>42780</v>
      </c>
      <c r="BC665" s="58" t="s">
        <v>95</v>
      </c>
      <c r="BD665" s="58" t="s">
        <v>566</v>
      </c>
      <c r="BE665" s="58"/>
      <c r="BF665" s="62"/>
      <c r="BG665" s="62"/>
      <c r="BH665" s="62"/>
      <c r="BI665" s="62"/>
      <c r="BJ665" s="138">
        <f>+[202]MATRIZ!$J$49</f>
        <v>6207073.2579522114</v>
      </c>
      <c r="BK665" s="67"/>
      <c r="BL665" s="68"/>
      <c r="BM665" s="60"/>
      <c r="BN665" s="61"/>
      <c r="BO665" s="463"/>
      <c r="BP665" s="122"/>
      <c r="BQ665" s="58"/>
      <c r="BR665" s="70"/>
      <c r="BS665" s="62"/>
      <c r="BT665" s="62"/>
      <c r="BU665" s="62"/>
      <c r="BV665" s="62"/>
      <c r="BW665" s="71"/>
      <c r="BX665" s="66"/>
      <c r="BY665" s="60"/>
      <c r="BZ665" s="72"/>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c r="JW665" s="1"/>
      <c r="JX665" s="1"/>
      <c r="JY665" s="1"/>
      <c r="JZ665" s="1"/>
      <c r="KA665" s="1"/>
      <c r="KB665" s="1"/>
      <c r="KC665" s="1"/>
      <c r="KD665" s="1"/>
      <c r="KE665" s="1"/>
      <c r="KF665" s="1"/>
      <c r="KG665" s="1"/>
      <c r="KH665" s="1"/>
      <c r="KI665" s="1"/>
      <c r="KJ665" s="1"/>
      <c r="KK665" s="1"/>
      <c r="KL665" s="1"/>
      <c r="KM665" s="1"/>
      <c r="KN665" s="1"/>
      <c r="KO665" s="1"/>
      <c r="KP665" s="1"/>
      <c r="KQ665" s="1"/>
      <c r="KR665" s="1"/>
      <c r="KS665" s="1"/>
      <c r="KT665" s="1"/>
      <c r="KU665" s="1"/>
      <c r="KV665" s="1"/>
      <c r="KW665" s="1"/>
      <c r="KX665" s="1"/>
      <c r="KY665" s="1"/>
      <c r="KZ665" s="1"/>
      <c r="LA665" s="1"/>
      <c r="LB665" s="1"/>
      <c r="LC665" s="1"/>
      <c r="LD665" s="1"/>
      <c r="LE665" s="1"/>
      <c r="LF665" s="1"/>
      <c r="LG665" s="1"/>
      <c r="LH665" s="1"/>
      <c r="LI665" s="1"/>
      <c r="LJ665" s="1"/>
      <c r="LK665" s="1"/>
      <c r="LL665" s="1"/>
      <c r="LM665" s="1"/>
      <c r="LN665" s="1"/>
      <c r="LO665" s="1"/>
      <c r="LP665" s="1"/>
      <c r="LQ665" s="1"/>
      <c r="LR665" s="1"/>
      <c r="LS665" s="1"/>
      <c r="LT665" s="1"/>
      <c r="LU665" s="1"/>
      <c r="LV665" s="1"/>
      <c r="LW665" s="1"/>
      <c r="LX665" s="1"/>
      <c r="LY665" s="1"/>
      <c r="LZ665" s="1"/>
      <c r="MA665" s="1"/>
      <c r="MB665" s="1"/>
      <c r="MC665" s="1"/>
      <c r="MD665" s="1"/>
      <c r="ME665" s="1"/>
      <c r="MF665" s="1"/>
      <c r="MG665" s="1"/>
      <c r="MH665" s="1"/>
      <c r="MI665" s="1"/>
      <c r="MJ665" s="1"/>
      <c r="MK665" s="1"/>
      <c r="ML665" s="1"/>
      <c r="MM665" s="1"/>
      <c r="MN665" s="1"/>
      <c r="MO665" s="1"/>
      <c r="MP665" s="1"/>
      <c r="MQ665" s="1"/>
      <c r="MR665" s="1"/>
      <c r="MS665" s="1"/>
      <c r="MT665" s="1"/>
      <c r="MU665" s="1"/>
      <c r="MV665" s="1"/>
      <c r="MW665" s="1"/>
      <c r="MX665" s="1"/>
      <c r="MY665" s="1"/>
      <c r="MZ665" s="1"/>
      <c r="NA665" s="1"/>
      <c r="NB665" s="1"/>
      <c r="NC665" s="1"/>
      <c r="ND665" s="1"/>
      <c r="NE665" s="1"/>
      <c r="NF665" s="1"/>
      <c r="NG665" s="1"/>
      <c r="NH665" s="1"/>
      <c r="NI665" s="1"/>
      <c r="NJ665" s="1"/>
      <c r="NK665" s="1"/>
      <c r="NL665" s="1"/>
      <c r="NM665" s="1"/>
      <c r="NN665" s="1"/>
      <c r="NO665" s="1"/>
      <c r="NP665" s="1"/>
      <c r="NQ665" s="1"/>
      <c r="NR665" s="1"/>
      <c r="NS665" s="1"/>
      <c r="NT665" s="1"/>
      <c r="NU665" s="1"/>
      <c r="NV665" s="1"/>
      <c r="NW665" s="1"/>
      <c r="NX665" s="1"/>
      <c r="NY665" s="1"/>
      <c r="NZ665" s="1"/>
      <c r="OA665" s="1"/>
      <c r="OB665" s="1"/>
      <c r="OC665" s="1"/>
      <c r="OD665" s="1"/>
      <c r="OE665" s="1"/>
      <c r="OF665" s="1"/>
      <c r="OG665" s="1"/>
      <c r="OH665" s="1"/>
      <c r="OI665" s="1"/>
      <c r="OJ665" s="1"/>
      <c r="OK665" s="1"/>
      <c r="OL665" s="1"/>
      <c r="OM665" s="1"/>
      <c r="ON665" s="1"/>
      <c r="OO665" s="1"/>
      <c r="OP665" s="1"/>
      <c r="OQ665" s="1"/>
      <c r="OR665" s="1"/>
      <c r="OS665" s="1"/>
      <c r="OT665" s="1"/>
      <c r="OU665" s="1"/>
      <c r="OV665" s="1"/>
      <c r="OW665" s="1"/>
      <c r="OX665" s="1"/>
      <c r="OY665" s="1"/>
      <c r="OZ665" s="1"/>
      <c r="PA665" s="1"/>
      <c r="PB665" s="1"/>
      <c r="PC665" s="1"/>
      <c r="PD665" s="1"/>
      <c r="PE665" s="1"/>
      <c r="PF665" s="1"/>
      <c r="PG665" s="1"/>
      <c r="PH665" s="1"/>
      <c r="PI665" s="1"/>
      <c r="PJ665" s="1"/>
      <c r="PK665" s="1"/>
      <c r="PL665" s="1"/>
      <c r="PM665" s="1"/>
      <c r="PN665" s="1"/>
      <c r="PO665" s="1"/>
      <c r="PP665" s="1"/>
      <c r="PQ665" s="1"/>
      <c r="PR665" s="1"/>
      <c r="PS665" s="1"/>
      <c r="PT665" s="1"/>
      <c r="PU665" s="1"/>
      <c r="PV665" s="1"/>
      <c r="PW665" s="1"/>
      <c r="PX665" s="1"/>
      <c r="PY665" s="1"/>
      <c r="PZ665" s="1"/>
      <c r="QA665" s="1"/>
      <c r="QB665" s="1"/>
      <c r="QC665" s="1"/>
      <c r="QD665" s="1"/>
      <c r="QE665" s="1"/>
      <c r="QF665" s="1"/>
      <c r="QG665" s="1"/>
      <c r="QH665" s="1"/>
      <c r="QI665" s="1"/>
      <c r="QJ665" s="1"/>
      <c r="QK665" s="1"/>
      <c r="QL665" s="1"/>
      <c r="QM665" s="1"/>
      <c r="QN665" s="1"/>
      <c r="QO665" s="1"/>
      <c r="QP665" s="1"/>
      <c r="QQ665" s="1"/>
      <c r="QR665" s="1"/>
      <c r="QS665" s="1"/>
      <c r="QT665" s="1"/>
      <c r="QU665" s="1"/>
      <c r="QV665" s="1"/>
      <c r="QW665" s="1"/>
      <c r="QX665" s="1"/>
      <c r="QY665" s="1"/>
      <c r="QZ665" s="1"/>
      <c r="RA665" s="1"/>
      <c r="RB665" s="1"/>
      <c r="RC665" s="1"/>
      <c r="RD665" s="1"/>
      <c r="RE665" s="1"/>
      <c r="RF665" s="1"/>
      <c r="RG665" s="1"/>
      <c r="RH665" s="1"/>
      <c r="RI665" s="1"/>
      <c r="RJ665" s="1"/>
      <c r="RK665" s="1"/>
      <c r="RL665" s="1"/>
      <c r="RM665" s="1"/>
      <c r="RN665" s="1"/>
      <c r="RO665" s="1"/>
      <c r="RP665" s="1"/>
      <c r="RQ665" s="1"/>
      <c r="RR665" s="1"/>
      <c r="RS665" s="1"/>
      <c r="RT665" s="1"/>
      <c r="RU665" s="1"/>
      <c r="RV665" s="1"/>
      <c r="RW665" s="1"/>
      <c r="RX665" s="1"/>
      <c r="RY665" s="1"/>
      <c r="RZ665" s="1"/>
      <c r="SA665" s="1"/>
      <c r="SB665" s="1"/>
      <c r="SC665" s="1"/>
      <c r="SD665" s="1"/>
      <c r="SE665" s="1"/>
      <c r="SF665" s="1"/>
      <c r="SG665" s="1"/>
      <c r="SH665" s="1"/>
      <c r="SI665" s="1"/>
      <c r="SJ665" s="1"/>
      <c r="SK665" s="1"/>
      <c r="SL665" s="1"/>
      <c r="SM665" s="1"/>
      <c r="SN665" s="1"/>
      <c r="SO665" s="1"/>
      <c r="SP665" s="1"/>
      <c r="SQ665" s="1"/>
      <c r="SR665" s="1"/>
      <c r="SS665" s="1"/>
      <c r="ST665" s="1"/>
      <c r="SU665" s="1"/>
      <c r="SV665" s="1"/>
      <c r="SW665" s="1"/>
      <c r="SX665" s="1"/>
      <c r="SY665" s="1"/>
      <c r="SZ665" s="1"/>
      <c r="TA665" s="1"/>
      <c r="TB665" s="1"/>
      <c r="TC665" s="1"/>
      <c r="TD665" s="1"/>
      <c r="TE665" s="1"/>
      <c r="TF665" s="1"/>
      <c r="TG665" s="1"/>
      <c r="TH665" s="1"/>
      <c r="TI665" s="1"/>
      <c r="TJ665" s="1"/>
      <c r="TK665" s="1"/>
      <c r="TL665" s="1"/>
      <c r="TM665" s="1"/>
      <c r="TN665" s="1"/>
      <c r="TO665" s="1"/>
      <c r="TP665" s="1"/>
      <c r="TQ665" s="1"/>
      <c r="TR665" s="1"/>
      <c r="TS665" s="1"/>
      <c r="TT665" s="1"/>
      <c r="TU665" s="1"/>
      <c r="TV665" s="1"/>
      <c r="TW665" s="1"/>
      <c r="TX665" s="1"/>
      <c r="TY665" s="1"/>
      <c r="TZ665" s="1"/>
      <c r="UA665" s="1"/>
      <c r="UB665" s="1"/>
      <c r="UC665" s="1"/>
      <c r="UD665" s="1"/>
      <c r="UE665" s="1"/>
      <c r="UF665" s="1"/>
      <c r="UG665" s="1"/>
      <c r="UH665" s="1"/>
      <c r="UI665" s="1"/>
    </row>
    <row r="666" spans="1:555" ht="290.25" customHeight="1">
      <c r="A666" s="502">
        <v>503</v>
      </c>
      <c r="B666" s="686" t="s">
        <v>4761</v>
      </c>
      <c r="C666" s="687">
        <v>1012345215</v>
      </c>
      <c r="D666" s="688" t="s">
        <v>2446</v>
      </c>
      <c r="E666" s="27">
        <v>42825</v>
      </c>
      <c r="F666" s="689">
        <v>42795</v>
      </c>
      <c r="G666" s="690" t="s">
        <v>4762</v>
      </c>
      <c r="H666" s="686" t="s">
        <v>4495</v>
      </c>
      <c r="I666" s="686" t="s">
        <v>3423</v>
      </c>
      <c r="J666" s="27">
        <v>42789</v>
      </c>
      <c r="K666" s="689">
        <v>42767</v>
      </c>
      <c r="L666" s="690" t="s">
        <v>4763</v>
      </c>
      <c r="M666" s="686" t="s">
        <v>4764</v>
      </c>
      <c r="N666" s="686" t="s">
        <v>2395</v>
      </c>
      <c r="O666" s="27">
        <v>42859</v>
      </c>
      <c r="P666" s="691">
        <v>42856</v>
      </c>
      <c r="Q666" s="690" t="s">
        <v>4765</v>
      </c>
      <c r="R666" s="686" t="s">
        <v>171</v>
      </c>
      <c r="S666" s="686" t="s">
        <v>4766</v>
      </c>
      <c r="T666" s="27">
        <v>42909</v>
      </c>
      <c r="U666" s="689">
        <v>42887</v>
      </c>
      <c r="V666" s="690" t="s">
        <v>4767</v>
      </c>
      <c r="W666" s="686" t="s">
        <v>5</v>
      </c>
      <c r="X666" s="686" t="s">
        <v>79</v>
      </c>
      <c r="Y666" s="27"/>
      <c r="Z666" s="689"/>
      <c r="AA666" s="690"/>
      <c r="AB666" s="686"/>
      <c r="AC666" s="686"/>
      <c r="AD666" s="27"/>
      <c r="AE666" s="689"/>
      <c r="AF666" s="690"/>
      <c r="AG666" s="686"/>
      <c r="AH666" s="686"/>
      <c r="AI666" s="704"/>
      <c r="AJ666" s="689"/>
      <c r="AK666" s="690"/>
      <c r="AL666" s="686"/>
      <c r="AM666" s="686"/>
      <c r="AN666" s="686" t="s">
        <v>3671</v>
      </c>
      <c r="AO666" s="705"/>
      <c r="AP666" s="686"/>
      <c r="AQ666" s="690" t="s">
        <v>4768</v>
      </c>
      <c r="AR666" s="686" t="s">
        <v>161</v>
      </c>
      <c r="AS666" s="27">
        <v>40513</v>
      </c>
      <c r="AT666" s="27">
        <v>40862</v>
      </c>
      <c r="AU666" s="686" t="s">
        <v>4769</v>
      </c>
      <c r="AV666" s="686"/>
      <c r="AW666" s="686" t="s">
        <v>69</v>
      </c>
      <c r="AX666" s="686" t="s">
        <v>4770</v>
      </c>
      <c r="AY666" s="27">
        <v>42557</v>
      </c>
      <c r="AZ666" s="686" t="s">
        <v>94</v>
      </c>
      <c r="BA666" s="27">
        <v>42789</v>
      </c>
      <c r="BB666" s="27">
        <v>42801</v>
      </c>
      <c r="BC666" s="686" t="s">
        <v>95</v>
      </c>
      <c r="BD666" s="686" t="s">
        <v>566</v>
      </c>
      <c r="BE666" s="686"/>
      <c r="BF666" s="690"/>
      <c r="BG666" s="690"/>
      <c r="BH666" s="690"/>
      <c r="BI666" s="690"/>
      <c r="BJ666" s="696">
        <f>+[203]MATRIZ!$J$62</f>
        <v>0</v>
      </c>
      <c r="BK666" s="696"/>
      <c r="BL666" s="697"/>
      <c r="BM666" s="27"/>
      <c r="BN666" s="689"/>
      <c r="BO666" s="699"/>
      <c r="BP666" s="700"/>
      <c r="BQ666" s="686"/>
      <c r="BR666" s="701"/>
      <c r="BS666" s="690"/>
      <c r="BT666" s="690"/>
      <c r="BU666" s="690"/>
      <c r="BV666" s="690"/>
      <c r="BW666" s="702"/>
      <c r="BX666" s="693"/>
      <c r="BY666" s="27"/>
      <c r="BZ666" s="703"/>
      <c r="CA666" s="259"/>
      <c r="CB666" s="259"/>
      <c r="CC666" s="259"/>
      <c r="CD666" s="259"/>
      <c r="CE666" s="259"/>
      <c r="CF666" s="259"/>
      <c r="CG666" s="259"/>
      <c r="CH666" s="259"/>
      <c r="CI666" s="259"/>
      <c r="CJ666" s="259"/>
      <c r="CK666" s="259"/>
      <c r="CL666" s="259"/>
      <c r="CM666" s="259"/>
      <c r="CN666" s="259"/>
      <c r="CO666" s="259"/>
      <c r="CP666" s="259"/>
      <c r="CQ666" s="259"/>
      <c r="CR666" s="259"/>
      <c r="CS666" s="259"/>
      <c r="CT666" s="259"/>
      <c r="CU666" s="259"/>
      <c r="CV666" s="259"/>
      <c r="CW666" s="259"/>
      <c r="CX666" s="259"/>
      <c r="CY666" s="259"/>
      <c r="CZ666" s="259"/>
      <c r="DA666" s="259"/>
      <c r="DB666" s="259"/>
      <c r="DC666" s="259"/>
      <c r="DD666" s="259"/>
      <c r="DE666" s="259"/>
      <c r="DF666" s="259"/>
      <c r="DG666" s="259"/>
      <c r="DH666" s="259"/>
      <c r="DI666" s="259"/>
      <c r="DJ666" s="259"/>
      <c r="DK666" s="259"/>
      <c r="DL666" s="259"/>
      <c r="DM666" s="259"/>
      <c r="DN666" s="259"/>
      <c r="DO666" s="259"/>
      <c r="DP666" s="259"/>
      <c r="DQ666" s="259"/>
      <c r="DR666" s="259"/>
      <c r="DS666" s="259"/>
      <c r="DT666" s="259"/>
      <c r="DU666" s="259"/>
      <c r="DV666" s="259"/>
      <c r="DW666" s="259"/>
      <c r="DX666" s="259"/>
      <c r="DY666" s="259"/>
      <c r="DZ666" s="259"/>
      <c r="EA666" s="259"/>
      <c r="EB666" s="259"/>
      <c r="EC666" s="259"/>
      <c r="ED666" s="259"/>
      <c r="EE666" s="259"/>
      <c r="EF666" s="259"/>
      <c r="EG666" s="259"/>
      <c r="EH666" s="259"/>
      <c r="EI666" s="259"/>
      <c r="EJ666" s="259"/>
      <c r="EK666" s="259"/>
      <c r="EL666" s="259"/>
      <c r="EM666" s="259"/>
      <c r="EN666" s="259"/>
      <c r="EO666" s="259"/>
      <c r="EP666" s="259"/>
      <c r="EQ666" s="259"/>
      <c r="ER666" s="259"/>
      <c r="ES666" s="259"/>
      <c r="ET666" s="259"/>
      <c r="EU666" s="259"/>
      <c r="EV666" s="259"/>
      <c r="EW666" s="259"/>
      <c r="EX666" s="259"/>
      <c r="EY666" s="259"/>
      <c r="EZ666" s="259"/>
      <c r="FA666" s="259"/>
      <c r="FB666" s="259"/>
      <c r="FC666" s="259"/>
      <c r="FD666" s="259"/>
      <c r="FE666" s="259"/>
      <c r="FF666" s="259"/>
      <c r="FG666" s="259"/>
      <c r="FH666" s="259"/>
      <c r="FI666" s="259"/>
      <c r="FJ666" s="259"/>
      <c r="FK666" s="259"/>
      <c r="FL666" s="259"/>
      <c r="FM666" s="259"/>
      <c r="FN666" s="259"/>
      <c r="FO666" s="259"/>
      <c r="FP666" s="259"/>
      <c r="FQ666" s="259"/>
      <c r="FR666" s="259"/>
      <c r="FS666" s="259"/>
      <c r="FT666" s="259"/>
      <c r="FU666" s="259"/>
      <c r="FV666" s="259"/>
      <c r="FW666" s="259"/>
      <c r="FX666" s="259"/>
      <c r="FY666" s="259"/>
      <c r="FZ666" s="259"/>
      <c r="GA666" s="259"/>
      <c r="GB666" s="259"/>
      <c r="GC666" s="259"/>
      <c r="GD666" s="259"/>
      <c r="GE666" s="259"/>
      <c r="GF666" s="259"/>
      <c r="GG666" s="259"/>
      <c r="GH666" s="259"/>
      <c r="GI666" s="259"/>
      <c r="GJ666" s="259"/>
      <c r="GK666" s="259"/>
      <c r="GL666" s="259"/>
      <c r="GM666" s="259"/>
      <c r="GN666" s="259"/>
      <c r="GO666" s="259"/>
      <c r="GP666" s="259"/>
      <c r="GQ666" s="259"/>
      <c r="GR666" s="259"/>
      <c r="GS666" s="259"/>
      <c r="GT666" s="259"/>
      <c r="GU666" s="259"/>
      <c r="GV666" s="259"/>
      <c r="GW666" s="259"/>
      <c r="GX666" s="259"/>
      <c r="GY666" s="259"/>
      <c r="GZ666" s="259"/>
      <c r="HA666" s="259"/>
      <c r="HB666" s="259"/>
      <c r="HC666" s="259"/>
      <c r="HD666" s="259"/>
      <c r="HE666" s="259"/>
      <c r="HF666" s="259"/>
      <c r="HG666" s="259"/>
      <c r="HH666" s="259"/>
      <c r="HI666" s="259"/>
      <c r="HJ666" s="259"/>
      <c r="HK666" s="259"/>
      <c r="HL666" s="259"/>
      <c r="HM666" s="259"/>
      <c r="HN666" s="259"/>
      <c r="HO666" s="259"/>
      <c r="HP666" s="259"/>
      <c r="HQ666" s="259"/>
      <c r="HR666" s="259"/>
      <c r="HS666" s="259"/>
      <c r="HT666" s="259"/>
      <c r="HU666" s="259"/>
      <c r="HV666" s="259"/>
      <c r="HW666" s="259"/>
      <c r="HX666" s="259"/>
      <c r="HY666" s="259"/>
      <c r="HZ666" s="259"/>
      <c r="IA666" s="259"/>
      <c r="IB666" s="259"/>
      <c r="IC666" s="259"/>
      <c r="ID666" s="259"/>
      <c r="IE666" s="259"/>
      <c r="IF666" s="259"/>
      <c r="IG666" s="259"/>
      <c r="IH666" s="259"/>
      <c r="II666" s="259"/>
      <c r="IJ666" s="259"/>
      <c r="IK666" s="259"/>
      <c r="IL666" s="259"/>
      <c r="IM666" s="259"/>
      <c r="IN666" s="259"/>
      <c r="IO666" s="259"/>
      <c r="IP666" s="259"/>
      <c r="IQ666" s="259"/>
      <c r="IR666" s="259"/>
      <c r="IS666" s="259"/>
      <c r="IT666" s="259"/>
      <c r="IU666" s="259"/>
      <c r="IV666" s="259"/>
      <c r="IW666" s="259"/>
      <c r="IX666" s="259"/>
      <c r="IY666" s="259"/>
      <c r="IZ666" s="259"/>
      <c r="JA666" s="259"/>
      <c r="JB666" s="259"/>
      <c r="JC666" s="259"/>
      <c r="JD666" s="259"/>
      <c r="JE666" s="259"/>
      <c r="JF666" s="259"/>
      <c r="JG666" s="259"/>
      <c r="JH666" s="259"/>
      <c r="JI666" s="259"/>
      <c r="JJ666" s="259"/>
      <c r="JK666" s="259"/>
      <c r="JL666" s="259"/>
      <c r="JM666" s="259"/>
      <c r="JN666" s="259"/>
      <c r="JO666" s="259"/>
      <c r="JP666" s="259"/>
      <c r="JQ666" s="259"/>
      <c r="JR666" s="259"/>
      <c r="JS666" s="259"/>
      <c r="JT666" s="259"/>
      <c r="JU666" s="259"/>
      <c r="JV666" s="259"/>
      <c r="JW666" s="259"/>
      <c r="JX666" s="259"/>
      <c r="JY666" s="259"/>
      <c r="JZ666" s="259"/>
      <c r="KA666" s="259"/>
      <c r="KB666" s="259"/>
      <c r="KC666" s="259"/>
      <c r="KD666" s="259"/>
      <c r="KE666" s="259"/>
      <c r="KF666" s="259"/>
      <c r="KG666" s="259"/>
      <c r="KH666" s="259"/>
      <c r="KI666" s="259"/>
      <c r="KJ666" s="259"/>
      <c r="KK666" s="259"/>
      <c r="KL666" s="259"/>
      <c r="KM666" s="259"/>
      <c r="KN666" s="259"/>
      <c r="KO666" s="259"/>
      <c r="KP666" s="259"/>
      <c r="KQ666" s="259"/>
      <c r="KR666" s="259"/>
      <c r="KS666" s="259"/>
      <c r="KT666" s="259"/>
      <c r="KU666" s="259"/>
      <c r="KV666" s="259"/>
      <c r="KW666" s="259"/>
      <c r="KX666" s="259"/>
      <c r="KY666" s="259"/>
      <c r="KZ666" s="259"/>
      <c r="LA666" s="259"/>
      <c r="LB666" s="259"/>
      <c r="LC666" s="259"/>
      <c r="LD666" s="259"/>
      <c r="LE666" s="259"/>
      <c r="LF666" s="259"/>
      <c r="LG666" s="259"/>
      <c r="LH666" s="259"/>
      <c r="LI666" s="259"/>
      <c r="LJ666" s="259"/>
      <c r="LK666" s="259"/>
      <c r="LL666" s="259"/>
      <c r="LM666" s="259"/>
      <c r="LN666" s="259"/>
      <c r="LO666" s="259"/>
      <c r="LP666" s="259"/>
      <c r="LQ666" s="259"/>
      <c r="LR666" s="259"/>
      <c r="LS666" s="259"/>
      <c r="LT666" s="259"/>
      <c r="LU666" s="259"/>
      <c r="LV666" s="259"/>
      <c r="LW666" s="259"/>
      <c r="LX666" s="259"/>
      <c r="LY666" s="259"/>
      <c r="LZ666" s="259"/>
      <c r="MA666" s="259"/>
      <c r="MB666" s="259"/>
      <c r="MC666" s="259"/>
      <c r="MD666" s="259"/>
      <c r="ME666" s="259"/>
      <c r="MF666" s="259"/>
      <c r="MG666" s="259"/>
      <c r="MH666" s="259"/>
      <c r="MI666" s="259"/>
      <c r="MJ666" s="259"/>
      <c r="MK666" s="259"/>
      <c r="ML666" s="259"/>
      <c r="MM666" s="259"/>
      <c r="MN666" s="259"/>
      <c r="MO666" s="259"/>
      <c r="MP666" s="259"/>
      <c r="MQ666" s="259"/>
      <c r="MR666" s="259"/>
      <c r="MS666" s="259"/>
      <c r="MT666" s="259"/>
      <c r="MU666" s="259"/>
      <c r="MV666" s="259"/>
      <c r="MW666" s="259"/>
      <c r="MX666" s="259"/>
      <c r="MY666" s="259"/>
      <c r="MZ666" s="259"/>
      <c r="NA666" s="259"/>
      <c r="NB666" s="259"/>
      <c r="NC666" s="259"/>
      <c r="ND666" s="259"/>
      <c r="NE666" s="259"/>
      <c r="NF666" s="259"/>
      <c r="NG666" s="259"/>
      <c r="NH666" s="259"/>
      <c r="NI666" s="259"/>
      <c r="NJ666" s="259"/>
      <c r="NK666" s="259"/>
      <c r="NL666" s="259"/>
      <c r="NM666" s="259"/>
      <c r="NN666" s="259"/>
      <c r="NO666" s="259"/>
      <c r="NP666" s="259"/>
      <c r="NQ666" s="259"/>
      <c r="NR666" s="259"/>
      <c r="NS666" s="259"/>
      <c r="NT666" s="259"/>
      <c r="NU666" s="259"/>
      <c r="NV666" s="259"/>
      <c r="NW666" s="259"/>
      <c r="NX666" s="259"/>
      <c r="NY666" s="259"/>
      <c r="NZ666" s="259"/>
      <c r="OA666" s="259"/>
      <c r="OB666" s="259"/>
      <c r="OC666" s="259"/>
      <c r="OD666" s="259"/>
      <c r="OE666" s="259"/>
      <c r="OF666" s="259"/>
      <c r="OG666" s="259"/>
      <c r="OH666" s="259"/>
      <c r="OI666" s="259"/>
      <c r="OJ666" s="259"/>
      <c r="OK666" s="259"/>
      <c r="OL666" s="259"/>
      <c r="OM666" s="259"/>
      <c r="ON666" s="259"/>
      <c r="OO666" s="259"/>
      <c r="OP666" s="259"/>
      <c r="OQ666" s="259"/>
      <c r="OR666" s="259"/>
      <c r="OS666" s="259"/>
      <c r="OT666" s="259"/>
      <c r="OU666" s="259"/>
      <c r="OV666" s="259"/>
      <c r="OW666" s="259"/>
      <c r="OX666" s="259"/>
      <c r="OY666" s="259"/>
      <c r="OZ666" s="259"/>
      <c r="PA666" s="259"/>
      <c r="PB666" s="259"/>
      <c r="PC666" s="259"/>
      <c r="PD666" s="259"/>
      <c r="PE666" s="259"/>
      <c r="PF666" s="259"/>
      <c r="PG666" s="259"/>
      <c r="PH666" s="259"/>
      <c r="PI666" s="259"/>
      <c r="PJ666" s="259"/>
      <c r="PK666" s="259"/>
      <c r="PL666" s="259"/>
      <c r="PM666" s="259"/>
      <c r="PN666" s="259"/>
      <c r="PO666" s="259"/>
      <c r="PP666" s="259"/>
      <c r="PQ666" s="259"/>
      <c r="PR666" s="259"/>
      <c r="PS666" s="259"/>
      <c r="PT666" s="259"/>
      <c r="PU666" s="259"/>
      <c r="PV666" s="259"/>
      <c r="PW666" s="259"/>
      <c r="PX666" s="259"/>
      <c r="PY666" s="259"/>
      <c r="PZ666" s="259"/>
      <c r="QA666" s="259"/>
      <c r="QB666" s="259"/>
      <c r="QC666" s="259"/>
      <c r="QD666" s="259"/>
      <c r="QE666" s="259"/>
      <c r="QF666" s="259"/>
      <c r="QG666" s="259"/>
      <c r="QH666" s="259"/>
      <c r="QI666" s="259"/>
      <c r="QJ666" s="259"/>
      <c r="QK666" s="259"/>
      <c r="QL666" s="259"/>
      <c r="QM666" s="259"/>
      <c r="QN666" s="259"/>
      <c r="QO666" s="259"/>
      <c r="QP666" s="259"/>
      <c r="QQ666" s="259"/>
      <c r="QR666" s="259"/>
      <c r="QS666" s="259"/>
      <c r="QT666" s="259"/>
      <c r="QU666" s="259"/>
      <c r="QV666" s="259"/>
      <c r="QW666" s="259"/>
      <c r="QX666" s="259"/>
      <c r="QY666" s="259"/>
      <c r="QZ666" s="259"/>
      <c r="RA666" s="259"/>
      <c r="RB666" s="259"/>
      <c r="RC666" s="259"/>
      <c r="RD666" s="259"/>
      <c r="RE666" s="259"/>
      <c r="RF666" s="259"/>
      <c r="RG666" s="259"/>
      <c r="RH666" s="259"/>
      <c r="RI666" s="259"/>
      <c r="RJ666" s="259"/>
      <c r="RK666" s="259"/>
      <c r="RL666" s="259"/>
      <c r="RM666" s="259"/>
      <c r="RN666" s="259"/>
      <c r="RO666" s="259"/>
      <c r="RP666" s="259"/>
      <c r="RQ666" s="259"/>
      <c r="RR666" s="259"/>
      <c r="RS666" s="259"/>
      <c r="RT666" s="259"/>
      <c r="RU666" s="259"/>
      <c r="RV666" s="259"/>
      <c r="RW666" s="259"/>
      <c r="RX666" s="259"/>
      <c r="RY666" s="259"/>
      <c r="RZ666" s="259"/>
      <c r="SA666" s="259"/>
      <c r="SB666" s="259"/>
      <c r="SC666" s="259"/>
      <c r="SD666" s="259"/>
      <c r="SE666" s="259"/>
      <c r="SF666" s="259"/>
      <c r="SG666" s="259"/>
      <c r="SH666" s="259"/>
      <c r="SI666" s="259"/>
      <c r="SJ666" s="259"/>
      <c r="SK666" s="259"/>
      <c r="SL666" s="259"/>
      <c r="SM666" s="259"/>
      <c r="SN666" s="259"/>
      <c r="SO666" s="259"/>
      <c r="SP666" s="259"/>
      <c r="SQ666" s="259"/>
      <c r="SR666" s="259"/>
      <c r="SS666" s="259"/>
      <c r="ST666" s="259"/>
      <c r="SU666" s="259"/>
      <c r="SV666" s="259"/>
      <c r="SW666" s="259"/>
      <c r="SX666" s="259"/>
      <c r="SY666" s="259"/>
      <c r="SZ666" s="259"/>
      <c r="TA666" s="259"/>
      <c r="TB666" s="259"/>
      <c r="TC666" s="259"/>
      <c r="TD666" s="259"/>
      <c r="TE666" s="259"/>
      <c r="TF666" s="259"/>
      <c r="TG666" s="259"/>
      <c r="TH666" s="259"/>
      <c r="TI666" s="259"/>
      <c r="TJ666" s="259"/>
      <c r="TK666" s="259"/>
      <c r="TL666" s="259"/>
      <c r="TM666" s="259"/>
      <c r="TN666" s="259"/>
      <c r="TO666" s="259"/>
      <c r="TP666" s="259"/>
      <c r="TQ666" s="259"/>
      <c r="TR666" s="259"/>
      <c r="TS666" s="259"/>
      <c r="TT666" s="259"/>
      <c r="TU666" s="259"/>
      <c r="TV666" s="259"/>
      <c r="TW666" s="259"/>
      <c r="TX666" s="259"/>
      <c r="TY666" s="259"/>
      <c r="TZ666" s="259"/>
      <c r="UA666" s="259"/>
      <c r="UB666" s="259"/>
      <c r="UC666" s="259"/>
      <c r="UD666" s="259"/>
      <c r="UE666" s="259"/>
      <c r="UF666" s="259"/>
      <c r="UG666" s="259"/>
      <c r="UH666" s="259"/>
      <c r="UI666" s="259"/>
    </row>
    <row r="667" spans="1:555" s="259" customFormat="1" ht="162">
      <c r="A667" s="88">
        <v>504</v>
      </c>
      <c r="B667" s="75" t="s">
        <v>4771</v>
      </c>
      <c r="C667" s="76">
        <v>92556244</v>
      </c>
      <c r="D667" s="441" t="s">
        <v>167</v>
      </c>
      <c r="E667" s="77">
        <v>42826</v>
      </c>
      <c r="F667" s="78">
        <v>42826</v>
      </c>
      <c r="G667" s="79" t="s">
        <v>4772</v>
      </c>
      <c r="H667" s="75" t="s">
        <v>625</v>
      </c>
      <c r="I667" s="75" t="s">
        <v>183</v>
      </c>
      <c r="J667" s="77">
        <v>42923</v>
      </c>
      <c r="K667" s="78">
        <v>42917</v>
      </c>
      <c r="L667" s="79" t="s">
        <v>4773</v>
      </c>
      <c r="M667" s="75" t="s">
        <v>5</v>
      </c>
      <c r="N667" s="75" t="s">
        <v>79</v>
      </c>
      <c r="O667" s="77">
        <v>42977</v>
      </c>
      <c r="P667" s="80">
        <v>42948</v>
      </c>
      <c r="Q667" s="79" t="s">
        <v>4774</v>
      </c>
      <c r="R667" s="75" t="s">
        <v>5</v>
      </c>
      <c r="S667" s="75" t="s">
        <v>85</v>
      </c>
      <c r="T667" s="77">
        <v>43878</v>
      </c>
      <c r="U667" s="78">
        <v>43878</v>
      </c>
      <c r="V667" s="79" t="s">
        <v>9465</v>
      </c>
      <c r="W667" s="75" t="s">
        <v>208</v>
      </c>
      <c r="X667" s="75" t="s">
        <v>8243</v>
      </c>
      <c r="Y667" s="77"/>
      <c r="Z667" s="78"/>
      <c r="AA667" s="79"/>
      <c r="AB667" s="75"/>
      <c r="AC667" s="75"/>
      <c r="AD667" s="77"/>
      <c r="AE667" s="78"/>
      <c r="AF667" s="79"/>
      <c r="AG667" s="75"/>
      <c r="AH667" s="75"/>
      <c r="AI667" s="102"/>
      <c r="AJ667" s="78"/>
      <c r="AK667" s="79"/>
      <c r="AL667" s="75"/>
      <c r="AM667" s="75"/>
      <c r="AN667" s="75" t="s">
        <v>4775</v>
      </c>
      <c r="AO667" s="479">
        <v>42923</v>
      </c>
      <c r="AP667" s="75"/>
      <c r="AQ667" s="79" t="s">
        <v>4776</v>
      </c>
      <c r="AR667" s="75" t="s">
        <v>161</v>
      </c>
      <c r="AS667" s="77">
        <v>37292</v>
      </c>
      <c r="AT667" s="77">
        <v>40562</v>
      </c>
      <c r="AU667" s="75" t="s">
        <v>4777</v>
      </c>
      <c r="AV667" s="75"/>
      <c r="AW667" s="75" t="s">
        <v>92</v>
      </c>
      <c r="AX667" s="75" t="s">
        <v>4778</v>
      </c>
      <c r="AY667" s="77">
        <v>41691</v>
      </c>
      <c r="AZ667" s="75" t="s">
        <v>4779</v>
      </c>
      <c r="BA667" s="77">
        <v>42723</v>
      </c>
      <c r="BB667" s="382">
        <v>42801</v>
      </c>
      <c r="BC667" s="75" t="s">
        <v>95</v>
      </c>
      <c r="BD667" s="75" t="s">
        <v>566</v>
      </c>
      <c r="BE667" s="75"/>
      <c r="BF667" s="79" t="s">
        <v>4780</v>
      </c>
      <c r="BG667" s="79"/>
      <c r="BH667" s="79"/>
      <c r="BI667" s="79"/>
      <c r="BJ667" s="138">
        <f>+[204]MATRIZ!$J$73</f>
        <v>0</v>
      </c>
      <c r="BK667" s="82"/>
      <c r="BL667" s="83"/>
      <c r="BM667" s="77"/>
      <c r="BN667" s="78"/>
      <c r="BO667" s="464"/>
      <c r="BP667" s="400"/>
      <c r="BQ667" s="75"/>
      <c r="BR667" s="85"/>
      <c r="BS667" s="79"/>
      <c r="BT667" s="79"/>
      <c r="BU667" s="79"/>
      <c r="BV667" s="79"/>
      <c r="BW667" s="86"/>
      <c r="BX667" s="81"/>
      <c r="BY667" s="77"/>
      <c r="BZ667" s="87"/>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c r="JW667" s="1"/>
      <c r="JX667" s="1"/>
      <c r="JY667" s="1"/>
      <c r="JZ667" s="1"/>
      <c r="KA667" s="1"/>
      <c r="KB667" s="1"/>
      <c r="KC667" s="1"/>
      <c r="KD667" s="1"/>
      <c r="KE667" s="1"/>
      <c r="KF667" s="1"/>
      <c r="KG667" s="1"/>
      <c r="KH667" s="1"/>
      <c r="KI667" s="1"/>
      <c r="KJ667" s="1"/>
      <c r="KK667" s="1"/>
      <c r="KL667" s="1"/>
      <c r="KM667" s="1"/>
      <c r="KN667" s="1"/>
      <c r="KO667" s="1"/>
      <c r="KP667" s="1"/>
      <c r="KQ667" s="1"/>
      <c r="KR667" s="1"/>
      <c r="KS667" s="1"/>
      <c r="KT667" s="1"/>
      <c r="KU667" s="1"/>
      <c r="KV667" s="1"/>
      <c r="KW667" s="1"/>
      <c r="KX667" s="1"/>
      <c r="KY667" s="1"/>
      <c r="KZ667" s="1"/>
      <c r="LA667" s="1"/>
      <c r="LB667" s="1"/>
      <c r="LC667" s="1"/>
      <c r="LD667" s="1"/>
      <c r="LE667" s="1"/>
      <c r="LF667" s="1"/>
      <c r="LG667" s="1"/>
      <c r="LH667" s="1"/>
      <c r="LI667" s="1"/>
      <c r="LJ667" s="1"/>
      <c r="LK667" s="1"/>
      <c r="LL667" s="1"/>
      <c r="LM667" s="1"/>
      <c r="LN667" s="1"/>
      <c r="LO667" s="1"/>
      <c r="LP667" s="1"/>
      <c r="LQ667" s="1"/>
      <c r="LR667" s="1"/>
      <c r="LS667" s="1"/>
      <c r="LT667" s="1"/>
      <c r="LU667" s="1"/>
      <c r="LV667" s="1"/>
      <c r="LW667" s="1"/>
      <c r="LX667" s="1"/>
      <c r="LY667" s="1"/>
      <c r="LZ667" s="1"/>
      <c r="MA667" s="1"/>
      <c r="MB667" s="1"/>
      <c r="MC667" s="1"/>
      <c r="MD667" s="1"/>
      <c r="ME667" s="1"/>
      <c r="MF667" s="1"/>
      <c r="MG667" s="1"/>
      <c r="MH667" s="1"/>
      <c r="MI667" s="1"/>
      <c r="MJ667" s="1"/>
      <c r="MK667" s="1"/>
      <c r="ML667" s="1"/>
      <c r="MM667" s="1"/>
      <c r="MN667" s="1"/>
      <c r="MO667" s="1"/>
      <c r="MP667" s="1"/>
      <c r="MQ667" s="1"/>
      <c r="MR667" s="1"/>
      <c r="MS667" s="1"/>
      <c r="MT667" s="1"/>
      <c r="MU667" s="1"/>
      <c r="MV667" s="1"/>
      <c r="MW667" s="1"/>
      <c r="MX667" s="1"/>
      <c r="MY667" s="1"/>
      <c r="MZ667" s="1"/>
      <c r="NA667" s="1"/>
      <c r="NB667" s="1"/>
      <c r="NC667" s="1"/>
      <c r="ND667" s="1"/>
      <c r="NE667" s="1"/>
      <c r="NF667" s="1"/>
      <c r="NG667" s="1"/>
      <c r="NH667" s="1"/>
      <c r="NI667" s="1"/>
      <c r="NJ667" s="1"/>
      <c r="NK667" s="1"/>
      <c r="NL667" s="1"/>
      <c r="NM667" s="1"/>
      <c r="NN667" s="1"/>
      <c r="NO667" s="1"/>
      <c r="NP667" s="1"/>
      <c r="NQ667" s="1"/>
      <c r="NR667" s="1"/>
      <c r="NS667" s="1"/>
      <c r="NT667" s="1"/>
      <c r="NU667" s="1"/>
      <c r="NV667" s="1"/>
      <c r="NW667" s="1"/>
      <c r="NX667" s="1"/>
      <c r="NY667" s="1"/>
      <c r="NZ667" s="1"/>
      <c r="OA667" s="1"/>
      <c r="OB667" s="1"/>
      <c r="OC667" s="1"/>
      <c r="OD667" s="1"/>
      <c r="OE667" s="1"/>
      <c r="OF667" s="1"/>
      <c r="OG667" s="1"/>
      <c r="OH667" s="1"/>
      <c r="OI667" s="1"/>
      <c r="OJ667" s="1"/>
      <c r="OK667" s="1"/>
      <c r="OL667" s="1"/>
      <c r="OM667" s="1"/>
      <c r="ON667" s="1"/>
      <c r="OO667" s="1"/>
      <c r="OP667" s="1"/>
      <c r="OQ667" s="1"/>
      <c r="OR667" s="1"/>
      <c r="OS667" s="1"/>
      <c r="OT667" s="1"/>
      <c r="OU667" s="1"/>
      <c r="OV667" s="1"/>
      <c r="OW667" s="1"/>
      <c r="OX667" s="1"/>
      <c r="OY667" s="1"/>
      <c r="OZ667" s="1"/>
      <c r="PA667" s="1"/>
      <c r="PB667" s="1"/>
      <c r="PC667" s="1"/>
      <c r="PD667" s="1"/>
      <c r="PE667" s="1"/>
      <c r="PF667" s="1"/>
      <c r="PG667" s="1"/>
      <c r="PH667" s="1"/>
      <c r="PI667" s="1"/>
      <c r="PJ667" s="1"/>
      <c r="PK667" s="1"/>
      <c r="PL667" s="1"/>
      <c r="PM667" s="1"/>
      <c r="PN667" s="1"/>
      <c r="PO667" s="1"/>
      <c r="PP667" s="1"/>
      <c r="PQ667" s="1"/>
      <c r="PR667" s="1"/>
      <c r="PS667" s="1"/>
      <c r="PT667" s="1"/>
      <c r="PU667" s="1"/>
      <c r="PV667" s="1"/>
      <c r="PW667" s="1"/>
      <c r="PX667" s="1"/>
      <c r="PY667" s="1"/>
      <c r="PZ667" s="1"/>
      <c r="QA667" s="1"/>
      <c r="QB667" s="1"/>
      <c r="QC667" s="1"/>
      <c r="QD667" s="1"/>
      <c r="QE667" s="1"/>
      <c r="QF667" s="1"/>
      <c r="QG667" s="1"/>
      <c r="QH667" s="1"/>
      <c r="QI667" s="1"/>
      <c r="QJ667" s="1"/>
      <c r="QK667" s="1"/>
      <c r="QL667" s="1"/>
      <c r="QM667" s="1"/>
      <c r="QN667" s="1"/>
      <c r="QO667" s="1"/>
      <c r="QP667" s="1"/>
      <c r="QQ667" s="1"/>
      <c r="QR667" s="1"/>
      <c r="QS667" s="1"/>
      <c r="QT667" s="1"/>
      <c r="QU667" s="1"/>
      <c r="QV667" s="1"/>
      <c r="QW667" s="1"/>
      <c r="QX667" s="1"/>
      <c r="QY667" s="1"/>
      <c r="QZ667" s="1"/>
      <c r="RA667" s="1"/>
      <c r="RB667" s="1"/>
      <c r="RC667" s="1"/>
      <c r="RD667" s="1"/>
      <c r="RE667" s="1"/>
      <c r="RF667" s="1"/>
      <c r="RG667" s="1"/>
      <c r="RH667" s="1"/>
      <c r="RI667" s="1"/>
      <c r="RJ667" s="1"/>
      <c r="RK667" s="1"/>
      <c r="RL667" s="1"/>
      <c r="RM667" s="1"/>
      <c r="RN667" s="1"/>
      <c r="RO667" s="1"/>
      <c r="RP667" s="1"/>
      <c r="RQ667" s="1"/>
      <c r="RR667" s="1"/>
      <c r="RS667" s="1"/>
      <c r="RT667" s="1"/>
      <c r="RU667" s="1"/>
      <c r="RV667" s="1"/>
      <c r="RW667" s="1"/>
      <c r="RX667" s="1"/>
      <c r="RY667" s="1"/>
      <c r="RZ667" s="1"/>
      <c r="SA667" s="1"/>
      <c r="SB667" s="1"/>
      <c r="SC667" s="1"/>
      <c r="SD667" s="1"/>
      <c r="SE667" s="1"/>
      <c r="SF667" s="1"/>
      <c r="SG667" s="1"/>
      <c r="SH667" s="1"/>
      <c r="SI667" s="1"/>
      <c r="SJ667" s="1"/>
      <c r="SK667" s="1"/>
      <c r="SL667" s="1"/>
      <c r="SM667" s="1"/>
      <c r="SN667" s="1"/>
      <c r="SO667" s="1"/>
      <c r="SP667" s="1"/>
      <c r="SQ667" s="1"/>
      <c r="SR667" s="1"/>
      <c r="SS667" s="1"/>
      <c r="ST667" s="1"/>
      <c r="SU667" s="1"/>
      <c r="SV667" s="1"/>
      <c r="SW667" s="1"/>
      <c r="SX667" s="1"/>
      <c r="SY667" s="1"/>
      <c r="SZ667" s="1"/>
      <c r="TA667" s="1"/>
      <c r="TB667" s="1"/>
      <c r="TC667" s="1"/>
      <c r="TD667" s="1"/>
      <c r="TE667" s="1"/>
      <c r="TF667" s="1"/>
      <c r="TG667" s="1"/>
      <c r="TH667" s="1"/>
      <c r="TI667" s="1"/>
      <c r="TJ667" s="1"/>
      <c r="TK667" s="1"/>
      <c r="TL667" s="1"/>
      <c r="TM667" s="1"/>
      <c r="TN667" s="1"/>
      <c r="TO667" s="1"/>
      <c r="TP667" s="1"/>
      <c r="TQ667" s="1"/>
      <c r="TR667" s="1"/>
      <c r="TS667" s="1"/>
      <c r="TT667" s="1"/>
      <c r="TU667" s="1"/>
      <c r="TV667" s="1"/>
      <c r="TW667" s="1"/>
      <c r="TX667" s="1"/>
      <c r="TY667" s="1"/>
      <c r="TZ667" s="1"/>
      <c r="UA667" s="1"/>
      <c r="UB667" s="1"/>
      <c r="UC667" s="1"/>
      <c r="UD667" s="1"/>
      <c r="UE667" s="1"/>
      <c r="UF667" s="1"/>
      <c r="UG667" s="1"/>
      <c r="UH667" s="1"/>
      <c r="UI667" s="1"/>
    </row>
    <row r="668" spans="1:555" ht="65.25" customHeight="1">
      <c r="A668" s="33">
        <v>520</v>
      </c>
      <c r="B668" s="34" t="s">
        <v>4819</v>
      </c>
      <c r="C668" s="35">
        <v>79694174</v>
      </c>
      <c r="D668" s="440" t="s">
        <v>579</v>
      </c>
      <c r="E668" s="37">
        <v>42828</v>
      </c>
      <c r="F668" s="38">
        <v>42826</v>
      </c>
      <c r="G668" s="39" t="s">
        <v>271</v>
      </c>
      <c r="H668" s="34" t="s">
        <v>171</v>
      </c>
      <c r="I668" s="34" t="s">
        <v>1544</v>
      </c>
      <c r="J668" s="37"/>
      <c r="K668" s="38"/>
      <c r="L668" s="39"/>
      <c r="M668" s="34"/>
      <c r="N668" s="34"/>
      <c r="O668" s="37"/>
      <c r="P668" s="40"/>
      <c r="Q668" s="39"/>
      <c r="R668" s="34"/>
      <c r="S668" s="34"/>
      <c r="T668" s="37"/>
      <c r="U668" s="38"/>
      <c r="V668" s="39"/>
      <c r="W668" s="34"/>
      <c r="X668" s="34"/>
      <c r="Y668" s="37"/>
      <c r="Z668" s="38"/>
      <c r="AA668" s="39"/>
      <c r="AB668" s="34"/>
      <c r="AC668" s="34"/>
      <c r="AD668" s="37"/>
      <c r="AE668" s="38"/>
      <c r="AF668" s="39"/>
      <c r="AG668" s="34"/>
      <c r="AH668" s="34"/>
      <c r="AI668" s="73"/>
      <c r="AJ668" s="38"/>
      <c r="AK668" s="39"/>
      <c r="AL668" s="34"/>
      <c r="AM668" s="34"/>
      <c r="AN668" s="34"/>
      <c r="AO668" s="473"/>
      <c r="AP668" s="34"/>
      <c r="AQ668" s="39" t="s">
        <v>4820</v>
      </c>
      <c r="AR668" s="34" t="s">
        <v>161</v>
      </c>
      <c r="AS668" s="37" t="s">
        <v>579</v>
      </c>
      <c r="AT668" s="37" t="s">
        <v>579</v>
      </c>
      <c r="AU668" s="34" t="s">
        <v>4821</v>
      </c>
      <c r="AV668" s="34"/>
      <c r="AW668" s="34" t="s">
        <v>579</v>
      </c>
      <c r="AX668" s="34" t="s">
        <v>4822</v>
      </c>
      <c r="AY668" s="37">
        <v>42521</v>
      </c>
      <c r="AZ668" s="34" t="s">
        <v>4823</v>
      </c>
      <c r="BA668" s="37">
        <v>42766</v>
      </c>
      <c r="BB668" s="382">
        <v>42782</v>
      </c>
      <c r="BC668" s="34" t="s">
        <v>4732</v>
      </c>
      <c r="BD668" s="34"/>
      <c r="BE668" s="34"/>
      <c r="BF668" s="39"/>
      <c r="BG668" s="39"/>
      <c r="BH668" s="39"/>
      <c r="BI668" s="39"/>
      <c r="BJ668" s="138">
        <v>3250000</v>
      </c>
      <c r="BK668" s="74"/>
      <c r="BL668" s="44"/>
      <c r="BM668" s="37"/>
      <c r="BN668" s="38"/>
      <c r="BO668" s="462"/>
      <c r="BP668" s="391"/>
      <c r="BQ668" s="34"/>
      <c r="BR668" s="42"/>
      <c r="BS668" s="39"/>
      <c r="BT668" s="39"/>
      <c r="BU668" s="39"/>
      <c r="BV668" s="39"/>
      <c r="BW668" s="51"/>
      <c r="BX668" s="41"/>
      <c r="BY668" s="37"/>
      <c r="BZ668" s="52"/>
    </row>
    <row r="669" spans="1:555" ht="133.5" customHeight="1">
      <c r="A669" s="57">
        <v>522</v>
      </c>
      <c r="B669" s="58" t="s">
        <v>4830</v>
      </c>
      <c r="C669" s="59">
        <v>87491852</v>
      </c>
      <c r="D669" s="66" t="s">
        <v>4831</v>
      </c>
      <c r="E669" s="60">
        <v>42830</v>
      </c>
      <c r="F669" s="61">
        <v>42826</v>
      </c>
      <c r="G669" s="62" t="s">
        <v>4832</v>
      </c>
      <c r="H669" s="58" t="s">
        <v>625</v>
      </c>
      <c r="I669" s="58" t="s">
        <v>183</v>
      </c>
      <c r="J669" s="60">
        <v>43297</v>
      </c>
      <c r="K669" s="61">
        <v>43297</v>
      </c>
      <c r="L669" s="66" t="s">
        <v>4833</v>
      </c>
      <c r="M669" s="66" t="s">
        <v>5</v>
      </c>
      <c r="N669" s="66" t="s">
        <v>79</v>
      </c>
      <c r="O669" s="64">
        <v>43343</v>
      </c>
      <c r="P669" s="63">
        <v>43343</v>
      </c>
      <c r="Q669" s="425" t="s">
        <v>4834</v>
      </c>
      <c r="R669" s="58" t="s">
        <v>5</v>
      </c>
      <c r="S669" s="58" t="s">
        <v>85</v>
      </c>
      <c r="T669" s="60">
        <v>43857</v>
      </c>
      <c r="U669" s="61">
        <v>43857</v>
      </c>
      <c r="V669" s="62" t="s">
        <v>9364</v>
      </c>
      <c r="W669" s="58" t="s">
        <v>5</v>
      </c>
      <c r="X669" s="58" t="s">
        <v>8243</v>
      </c>
      <c r="Y669" s="60">
        <v>43992</v>
      </c>
      <c r="Z669" s="61">
        <v>43992</v>
      </c>
      <c r="AA669" s="62" t="s">
        <v>9510</v>
      </c>
      <c r="AB669" s="58" t="s">
        <v>5</v>
      </c>
      <c r="AC669" s="58" t="s">
        <v>9511</v>
      </c>
      <c r="AD669" s="60">
        <v>44067</v>
      </c>
      <c r="AE669" s="61">
        <v>44067</v>
      </c>
      <c r="AF669" s="62" t="s">
        <v>9602</v>
      </c>
      <c r="AG669" s="58" t="s">
        <v>5</v>
      </c>
      <c r="AH669" s="58" t="s">
        <v>9603</v>
      </c>
      <c r="AI669" s="60" t="s">
        <v>10673</v>
      </c>
      <c r="AJ669" s="61" t="s">
        <v>10674</v>
      </c>
      <c r="AK669" s="959" t="s">
        <v>10670</v>
      </c>
      <c r="AL669" s="58" t="s">
        <v>10671</v>
      </c>
      <c r="AM669" s="58" t="s">
        <v>10672</v>
      </c>
      <c r="AN669" s="58" t="s">
        <v>2099</v>
      </c>
      <c r="AO669" s="478"/>
      <c r="AP669" s="119" t="s">
        <v>2558</v>
      </c>
      <c r="AQ669" s="62" t="s">
        <v>4835</v>
      </c>
      <c r="AR669" s="58" t="s">
        <v>161</v>
      </c>
      <c r="AS669" s="60">
        <v>39372</v>
      </c>
      <c r="AT669" s="60">
        <v>40786</v>
      </c>
      <c r="AU669" s="58" t="s">
        <v>4836</v>
      </c>
      <c r="AV669" s="58"/>
      <c r="AW669" s="58" t="s">
        <v>92</v>
      </c>
      <c r="AX669" s="58" t="s">
        <v>4214</v>
      </c>
      <c r="AY669" s="60" t="s">
        <v>579</v>
      </c>
      <c r="AZ669" s="58" t="s">
        <v>4215</v>
      </c>
      <c r="BA669" s="60">
        <v>42802</v>
      </c>
      <c r="BB669" s="382">
        <v>42823</v>
      </c>
      <c r="BC669" s="58" t="s">
        <v>95</v>
      </c>
      <c r="BD669" s="58" t="s">
        <v>566</v>
      </c>
      <c r="BE669" s="58"/>
      <c r="BF669" s="62" t="s">
        <v>4837</v>
      </c>
      <c r="BG669" s="62"/>
      <c r="BH669" s="62"/>
      <c r="BI669" s="62"/>
      <c r="BJ669" s="138">
        <f>+[205]MATRIZ!$K$81</f>
        <v>0</v>
      </c>
      <c r="BK669" s="67"/>
      <c r="BL669" s="68"/>
      <c r="BM669" s="60"/>
      <c r="BN669" s="61"/>
      <c r="BO669" s="463"/>
      <c r="BP669" s="122"/>
      <c r="BQ669" s="58"/>
      <c r="BR669" s="70"/>
      <c r="BS669" s="62"/>
      <c r="BT669" s="62"/>
      <c r="BU669" s="62"/>
      <c r="BV669" s="62"/>
      <c r="BW669" s="71"/>
      <c r="BX669" s="66"/>
      <c r="BY669" s="60"/>
      <c r="BZ669" s="72"/>
    </row>
    <row r="670" spans="1:555" s="259" customFormat="1" ht="108">
      <c r="A670" s="96">
        <v>523</v>
      </c>
      <c r="B670" s="422" t="s">
        <v>8074</v>
      </c>
      <c r="C670" s="419">
        <v>79487494</v>
      </c>
      <c r="D670" s="439" t="s">
        <v>8075</v>
      </c>
      <c r="E670" s="423">
        <v>42830</v>
      </c>
      <c r="F670" s="21">
        <v>42826</v>
      </c>
      <c r="G670" s="22" t="s">
        <v>1370</v>
      </c>
      <c r="H670" s="422" t="s">
        <v>5</v>
      </c>
      <c r="I670" s="422" t="s">
        <v>79</v>
      </c>
      <c r="J670" s="423">
        <v>43501</v>
      </c>
      <c r="K670" s="21">
        <v>43501</v>
      </c>
      <c r="L670" s="22" t="s">
        <v>8073</v>
      </c>
      <c r="M670" s="422" t="s">
        <v>625</v>
      </c>
      <c r="N670" s="422" t="s">
        <v>6367</v>
      </c>
      <c r="O670" s="423">
        <v>43608</v>
      </c>
      <c r="P670" s="23">
        <v>43608</v>
      </c>
      <c r="Q670" s="22" t="s">
        <v>8786</v>
      </c>
      <c r="R670" s="422" t="s">
        <v>5</v>
      </c>
      <c r="S670" s="422" t="s">
        <v>79</v>
      </c>
      <c r="T670" s="423">
        <v>43787</v>
      </c>
      <c r="U670" s="21">
        <v>43787</v>
      </c>
      <c r="V670" s="22" t="s">
        <v>9236</v>
      </c>
      <c r="W670" s="422" t="s">
        <v>171</v>
      </c>
      <c r="X670" s="422" t="s">
        <v>9186</v>
      </c>
      <c r="Y670" s="423">
        <v>43902</v>
      </c>
      <c r="Z670" s="21">
        <v>43902</v>
      </c>
      <c r="AA670" s="22" t="s">
        <v>9496</v>
      </c>
      <c r="AB670" s="422" t="s">
        <v>5</v>
      </c>
      <c r="AC670" s="422" t="s">
        <v>85</v>
      </c>
      <c r="AD670" s="423">
        <v>43993</v>
      </c>
      <c r="AE670" s="21">
        <v>43993</v>
      </c>
      <c r="AF670" s="22" t="s">
        <v>9512</v>
      </c>
      <c r="AG670" s="422" t="s">
        <v>5</v>
      </c>
      <c r="AH670" s="422" t="s">
        <v>85</v>
      </c>
      <c r="AI670" s="126"/>
      <c r="AJ670" s="21"/>
      <c r="AK670" s="22"/>
      <c r="AL670" s="422"/>
      <c r="AM670" s="422"/>
      <c r="AN670" s="422"/>
      <c r="AO670" s="473"/>
      <c r="AP670" s="422"/>
      <c r="AQ670" s="504" t="s">
        <v>8078</v>
      </c>
      <c r="AR670" s="158" t="s">
        <v>2395</v>
      </c>
      <c r="AS670" s="128" t="s">
        <v>67</v>
      </c>
      <c r="AT670" s="128" t="s">
        <v>67</v>
      </c>
      <c r="AU670" s="158" t="s">
        <v>9625</v>
      </c>
      <c r="AV670" s="158"/>
      <c r="AW670" s="158" t="s">
        <v>69</v>
      </c>
      <c r="AX670" s="158" t="s">
        <v>8076</v>
      </c>
      <c r="AY670" s="128">
        <v>42943</v>
      </c>
      <c r="AZ670" s="422" t="s">
        <v>8079</v>
      </c>
      <c r="BA670" s="423">
        <v>43426</v>
      </c>
      <c r="BB670" s="382">
        <v>43502</v>
      </c>
      <c r="BC670" s="158" t="s">
        <v>8077</v>
      </c>
      <c r="BD670" s="422" t="s">
        <v>6447</v>
      </c>
      <c r="BE670" s="422"/>
      <c r="BF670" s="22"/>
      <c r="BG670" s="22"/>
      <c r="BH670" s="22"/>
      <c r="BI670" s="22"/>
      <c r="BJ670" s="138"/>
      <c r="BK670" s="28"/>
      <c r="BL670" s="29"/>
      <c r="BM670" s="423"/>
      <c r="BN670" s="21"/>
      <c r="BO670" s="461"/>
      <c r="BP670" s="399"/>
      <c r="BQ670" s="422"/>
      <c r="BR670" s="31"/>
      <c r="BS670" s="22"/>
      <c r="BT670" s="22"/>
      <c r="BU670" s="22"/>
      <c r="BV670" s="22"/>
      <c r="BW670" s="97"/>
      <c r="BX670" s="26"/>
      <c r="BY670" s="423"/>
      <c r="BZ670" s="134"/>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c r="JW670" s="1"/>
      <c r="JX670" s="1"/>
      <c r="JY670" s="1"/>
      <c r="JZ670" s="1"/>
      <c r="KA670" s="1"/>
      <c r="KB670" s="1"/>
      <c r="KC670" s="1"/>
      <c r="KD670" s="1"/>
      <c r="KE670" s="1"/>
      <c r="KF670" s="1"/>
      <c r="KG670" s="1"/>
      <c r="KH670" s="1"/>
      <c r="KI670" s="1"/>
      <c r="KJ670" s="1"/>
      <c r="KK670" s="1"/>
      <c r="KL670" s="1"/>
      <c r="KM670" s="1"/>
      <c r="KN670" s="1"/>
      <c r="KO670" s="1"/>
      <c r="KP670" s="1"/>
      <c r="KQ670" s="1"/>
      <c r="KR670" s="1"/>
      <c r="KS670" s="1"/>
      <c r="KT670" s="1"/>
      <c r="KU670" s="1"/>
      <c r="KV670" s="1"/>
      <c r="KW670" s="1"/>
      <c r="KX670" s="1"/>
      <c r="KY670" s="1"/>
      <c r="KZ670" s="1"/>
      <c r="LA670" s="1"/>
      <c r="LB670" s="1"/>
      <c r="LC670" s="1"/>
      <c r="LD670" s="1"/>
      <c r="LE670" s="1"/>
      <c r="LF670" s="1"/>
      <c r="LG670" s="1"/>
      <c r="LH670" s="1"/>
      <c r="LI670" s="1"/>
      <c r="LJ670" s="1"/>
      <c r="LK670" s="1"/>
      <c r="LL670" s="1"/>
      <c r="LM670" s="1"/>
      <c r="LN670" s="1"/>
      <c r="LO670" s="1"/>
      <c r="LP670" s="1"/>
      <c r="LQ670" s="1"/>
      <c r="LR670" s="1"/>
      <c r="LS670" s="1"/>
      <c r="LT670" s="1"/>
      <c r="LU670" s="1"/>
      <c r="LV670" s="1"/>
      <c r="LW670" s="1"/>
      <c r="LX670" s="1"/>
      <c r="LY670" s="1"/>
      <c r="LZ670" s="1"/>
      <c r="MA670" s="1"/>
      <c r="MB670" s="1"/>
      <c r="MC670" s="1"/>
      <c r="MD670" s="1"/>
      <c r="ME670" s="1"/>
      <c r="MF670" s="1"/>
      <c r="MG670" s="1"/>
      <c r="MH670" s="1"/>
      <c r="MI670" s="1"/>
      <c r="MJ670" s="1"/>
      <c r="MK670" s="1"/>
      <c r="ML670" s="1"/>
      <c r="MM670" s="1"/>
      <c r="MN670" s="1"/>
      <c r="MO670" s="1"/>
      <c r="MP670" s="1"/>
      <c r="MQ670" s="1"/>
      <c r="MR670" s="1"/>
      <c r="MS670" s="1"/>
      <c r="MT670" s="1"/>
      <c r="MU670" s="1"/>
      <c r="MV670" s="1"/>
      <c r="MW670" s="1"/>
      <c r="MX670" s="1"/>
      <c r="MY670" s="1"/>
      <c r="MZ670" s="1"/>
      <c r="NA670" s="1"/>
      <c r="NB670" s="1"/>
      <c r="NC670" s="1"/>
      <c r="ND670" s="1"/>
      <c r="NE670" s="1"/>
      <c r="NF670" s="1"/>
      <c r="NG670" s="1"/>
      <c r="NH670" s="1"/>
      <c r="NI670" s="1"/>
      <c r="NJ670" s="1"/>
      <c r="NK670" s="1"/>
      <c r="NL670" s="1"/>
      <c r="NM670" s="1"/>
      <c r="NN670" s="1"/>
      <c r="NO670" s="1"/>
      <c r="NP670" s="1"/>
      <c r="NQ670" s="1"/>
      <c r="NR670" s="1"/>
      <c r="NS670" s="1"/>
      <c r="NT670" s="1"/>
      <c r="NU670" s="1"/>
      <c r="NV670" s="1"/>
      <c r="NW670" s="1"/>
      <c r="NX670" s="1"/>
      <c r="NY670" s="1"/>
      <c r="NZ670" s="1"/>
      <c r="OA670" s="1"/>
      <c r="OB670" s="1"/>
      <c r="OC670" s="1"/>
      <c r="OD670" s="1"/>
      <c r="OE670" s="1"/>
      <c r="OF670" s="1"/>
      <c r="OG670" s="1"/>
      <c r="OH670" s="1"/>
      <c r="OI670" s="1"/>
      <c r="OJ670" s="1"/>
      <c r="OK670" s="1"/>
      <c r="OL670" s="1"/>
      <c r="OM670" s="1"/>
      <c r="ON670" s="1"/>
      <c r="OO670" s="1"/>
      <c r="OP670" s="1"/>
      <c r="OQ670" s="1"/>
      <c r="OR670" s="1"/>
      <c r="OS670" s="1"/>
      <c r="OT670" s="1"/>
      <c r="OU670" s="1"/>
      <c r="OV670" s="1"/>
      <c r="OW670" s="1"/>
      <c r="OX670" s="1"/>
      <c r="OY670" s="1"/>
      <c r="OZ670" s="1"/>
      <c r="PA670" s="1"/>
      <c r="PB670" s="1"/>
      <c r="PC670" s="1"/>
      <c r="PD670" s="1"/>
      <c r="PE670" s="1"/>
      <c r="PF670" s="1"/>
      <c r="PG670" s="1"/>
      <c r="PH670" s="1"/>
      <c r="PI670" s="1"/>
      <c r="PJ670" s="1"/>
      <c r="PK670" s="1"/>
      <c r="PL670" s="1"/>
      <c r="PM670" s="1"/>
      <c r="PN670" s="1"/>
      <c r="PO670" s="1"/>
      <c r="PP670" s="1"/>
      <c r="PQ670" s="1"/>
      <c r="PR670" s="1"/>
      <c r="PS670" s="1"/>
      <c r="PT670" s="1"/>
      <c r="PU670" s="1"/>
      <c r="PV670" s="1"/>
      <c r="PW670" s="1"/>
      <c r="PX670" s="1"/>
      <c r="PY670" s="1"/>
      <c r="PZ670" s="1"/>
      <c r="QA670" s="1"/>
      <c r="QB670" s="1"/>
      <c r="QC670" s="1"/>
      <c r="QD670" s="1"/>
      <c r="QE670" s="1"/>
      <c r="QF670" s="1"/>
      <c r="QG670" s="1"/>
      <c r="QH670" s="1"/>
      <c r="QI670" s="1"/>
      <c r="QJ670" s="1"/>
      <c r="QK670" s="1"/>
      <c r="QL670" s="1"/>
      <c r="QM670" s="1"/>
      <c r="QN670" s="1"/>
      <c r="QO670" s="1"/>
      <c r="QP670" s="1"/>
      <c r="QQ670" s="1"/>
      <c r="QR670" s="1"/>
      <c r="QS670" s="1"/>
      <c r="QT670" s="1"/>
      <c r="QU670" s="1"/>
      <c r="QV670" s="1"/>
      <c r="QW670" s="1"/>
      <c r="QX670" s="1"/>
      <c r="QY670" s="1"/>
      <c r="QZ670" s="1"/>
      <c r="RA670" s="1"/>
      <c r="RB670" s="1"/>
      <c r="RC670" s="1"/>
      <c r="RD670" s="1"/>
      <c r="RE670" s="1"/>
      <c r="RF670" s="1"/>
      <c r="RG670" s="1"/>
      <c r="RH670" s="1"/>
      <c r="RI670" s="1"/>
      <c r="RJ670" s="1"/>
      <c r="RK670" s="1"/>
      <c r="RL670" s="1"/>
      <c r="RM670" s="1"/>
      <c r="RN670" s="1"/>
      <c r="RO670" s="1"/>
      <c r="RP670" s="1"/>
      <c r="RQ670" s="1"/>
      <c r="RR670" s="1"/>
      <c r="RS670" s="1"/>
      <c r="RT670" s="1"/>
      <c r="RU670" s="1"/>
      <c r="RV670" s="1"/>
      <c r="RW670" s="1"/>
      <c r="RX670" s="1"/>
      <c r="RY670" s="1"/>
      <c r="RZ670" s="1"/>
      <c r="SA670" s="1"/>
      <c r="SB670" s="1"/>
      <c r="SC670" s="1"/>
      <c r="SD670" s="1"/>
      <c r="SE670" s="1"/>
      <c r="SF670" s="1"/>
      <c r="SG670" s="1"/>
      <c r="SH670" s="1"/>
      <c r="SI670" s="1"/>
      <c r="SJ670" s="1"/>
      <c r="SK670" s="1"/>
      <c r="SL670" s="1"/>
      <c r="SM670" s="1"/>
      <c r="SN670" s="1"/>
      <c r="SO670" s="1"/>
      <c r="SP670" s="1"/>
      <c r="SQ670" s="1"/>
      <c r="SR670" s="1"/>
      <c r="SS670" s="1"/>
      <c r="ST670" s="1"/>
      <c r="SU670" s="1"/>
      <c r="SV670" s="1"/>
      <c r="SW670" s="1"/>
      <c r="SX670" s="1"/>
      <c r="SY670" s="1"/>
      <c r="SZ670" s="1"/>
      <c r="TA670" s="1"/>
      <c r="TB670" s="1"/>
      <c r="TC670" s="1"/>
      <c r="TD670" s="1"/>
      <c r="TE670" s="1"/>
      <c r="TF670" s="1"/>
      <c r="TG670" s="1"/>
      <c r="TH670" s="1"/>
      <c r="TI670" s="1"/>
      <c r="TJ670" s="1"/>
      <c r="TK670" s="1"/>
      <c r="TL670" s="1"/>
      <c r="TM670" s="1"/>
      <c r="TN670" s="1"/>
      <c r="TO670" s="1"/>
      <c r="TP670" s="1"/>
      <c r="TQ670" s="1"/>
      <c r="TR670" s="1"/>
      <c r="TS670" s="1"/>
      <c r="TT670" s="1"/>
      <c r="TU670" s="1"/>
      <c r="TV670" s="1"/>
      <c r="TW670" s="1"/>
      <c r="TX670" s="1"/>
      <c r="TY670" s="1"/>
      <c r="TZ670" s="1"/>
      <c r="UA670" s="1"/>
      <c r="UB670" s="1"/>
      <c r="UC670" s="1"/>
      <c r="UD670" s="1"/>
      <c r="UE670" s="1"/>
      <c r="UF670" s="1"/>
      <c r="UG670" s="1"/>
      <c r="UH670" s="1"/>
      <c r="UI670" s="1"/>
    </row>
    <row r="671" spans="1:555" s="259" customFormat="1" ht="81">
      <c r="A671" s="96">
        <v>524</v>
      </c>
      <c r="B671" s="422" t="s">
        <v>4838</v>
      </c>
      <c r="C671" s="419">
        <v>79912527</v>
      </c>
      <c r="D671" s="439" t="s">
        <v>597</v>
      </c>
      <c r="E671" s="423">
        <v>42831</v>
      </c>
      <c r="F671" s="21">
        <v>42826</v>
      </c>
      <c r="G671" s="22" t="s">
        <v>271</v>
      </c>
      <c r="H671" s="422" t="s">
        <v>625</v>
      </c>
      <c r="I671" s="422" t="s">
        <v>183</v>
      </c>
      <c r="J671" s="423">
        <v>42909</v>
      </c>
      <c r="K671" s="21">
        <v>42887</v>
      </c>
      <c r="L671" s="22" t="s">
        <v>4839</v>
      </c>
      <c r="M671" s="422" t="s">
        <v>195</v>
      </c>
      <c r="N671" s="422" t="s">
        <v>183</v>
      </c>
      <c r="O671" s="423">
        <v>42922</v>
      </c>
      <c r="P671" s="23">
        <v>42917</v>
      </c>
      <c r="Q671" s="22" t="s">
        <v>4840</v>
      </c>
      <c r="R671" s="422" t="s">
        <v>63</v>
      </c>
      <c r="S671" s="422" t="s">
        <v>4841</v>
      </c>
      <c r="T671" s="423">
        <v>43073</v>
      </c>
      <c r="U671" s="21">
        <v>43073</v>
      </c>
      <c r="V671" s="22" t="s">
        <v>4842</v>
      </c>
      <c r="W671" s="422" t="s">
        <v>63</v>
      </c>
      <c r="X671" s="422" t="s">
        <v>4843</v>
      </c>
      <c r="Y671" s="423"/>
      <c r="Z671" s="21"/>
      <c r="AA671" s="22"/>
      <c r="AB671" s="422"/>
      <c r="AC671" s="422"/>
      <c r="AD671" s="423"/>
      <c r="AE671" s="21"/>
      <c r="AF671" s="22"/>
      <c r="AG671" s="422"/>
      <c r="AH671" s="422"/>
      <c r="AI671" s="126"/>
      <c r="AJ671" s="21"/>
      <c r="AK671" s="22"/>
      <c r="AL671" s="422"/>
      <c r="AM671" s="422"/>
      <c r="AN671" s="422" t="s">
        <v>4844</v>
      </c>
      <c r="AO671" s="478"/>
      <c r="AP671" s="422"/>
      <c r="AQ671" s="22" t="s">
        <v>4845</v>
      </c>
      <c r="AR671" s="422" t="s">
        <v>161</v>
      </c>
      <c r="AS671" s="423">
        <v>38883</v>
      </c>
      <c r="AT671" s="423">
        <v>40862</v>
      </c>
      <c r="AU671" s="422" t="s">
        <v>4846</v>
      </c>
      <c r="AV671" s="422"/>
      <c r="AW671" s="422" t="s">
        <v>69</v>
      </c>
      <c r="AX671" s="422" t="s">
        <v>4705</v>
      </c>
      <c r="AY671" s="423">
        <v>41913</v>
      </c>
      <c r="AZ671" s="422" t="s">
        <v>94</v>
      </c>
      <c r="BA671" s="423">
        <v>42811</v>
      </c>
      <c r="BB671" s="382">
        <v>42842</v>
      </c>
      <c r="BC671" s="422" t="s">
        <v>95</v>
      </c>
      <c r="BD671" s="422" t="s">
        <v>566</v>
      </c>
      <c r="BE671" s="422"/>
      <c r="BF671" s="22"/>
      <c r="BG671" s="22"/>
      <c r="BH671" s="22"/>
      <c r="BI671" s="22"/>
      <c r="BJ671" s="138">
        <f>+[206]MATRIZ!$J$70</f>
        <v>0</v>
      </c>
      <c r="BK671" s="28"/>
      <c r="BL671" s="29"/>
      <c r="BM671" s="423"/>
      <c r="BN671" s="21"/>
      <c r="BO671" s="461"/>
      <c r="BP671" s="399"/>
      <c r="BQ671" s="422"/>
      <c r="BR671" s="31"/>
      <c r="BS671" s="22"/>
      <c r="BT671" s="22"/>
      <c r="BU671" s="22"/>
      <c r="BV671" s="22"/>
      <c r="BW671" s="97"/>
      <c r="BX671" s="26"/>
      <c r="BY671" s="423"/>
      <c r="BZ671" s="134"/>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c r="JW671" s="1"/>
      <c r="JX671" s="1"/>
      <c r="JY671" s="1"/>
      <c r="JZ671" s="1"/>
      <c r="KA671" s="1"/>
      <c r="KB671" s="1"/>
      <c r="KC671" s="1"/>
      <c r="KD671" s="1"/>
      <c r="KE671" s="1"/>
      <c r="KF671" s="1"/>
      <c r="KG671" s="1"/>
      <c r="KH671" s="1"/>
      <c r="KI671" s="1"/>
      <c r="KJ671" s="1"/>
      <c r="KK671" s="1"/>
      <c r="KL671" s="1"/>
      <c r="KM671" s="1"/>
      <c r="KN671" s="1"/>
      <c r="KO671" s="1"/>
      <c r="KP671" s="1"/>
      <c r="KQ671" s="1"/>
      <c r="KR671" s="1"/>
      <c r="KS671" s="1"/>
      <c r="KT671" s="1"/>
      <c r="KU671" s="1"/>
      <c r="KV671" s="1"/>
      <c r="KW671" s="1"/>
      <c r="KX671" s="1"/>
      <c r="KY671" s="1"/>
      <c r="KZ671" s="1"/>
      <c r="LA671" s="1"/>
      <c r="LB671" s="1"/>
      <c r="LC671" s="1"/>
      <c r="LD671" s="1"/>
      <c r="LE671" s="1"/>
      <c r="LF671" s="1"/>
      <c r="LG671" s="1"/>
      <c r="LH671" s="1"/>
      <c r="LI671" s="1"/>
      <c r="LJ671" s="1"/>
      <c r="LK671" s="1"/>
      <c r="LL671" s="1"/>
      <c r="LM671" s="1"/>
      <c r="LN671" s="1"/>
      <c r="LO671" s="1"/>
      <c r="LP671" s="1"/>
      <c r="LQ671" s="1"/>
      <c r="LR671" s="1"/>
      <c r="LS671" s="1"/>
      <c r="LT671" s="1"/>
      <c r="LU671" s="1"/>
      <c r="LV671" s="1"/>
      <c r="LW671" s="1"/>
      <c r="LX671" s="1"/>
      <c r="LY671" s="1"/>
      <c r="LZ671" s="1"/>
      <c r="MA671" s="1"/>
      <c r="MB671" s="1"/>
      <c r="MC671" s="1"/>
      <c r="MD671" s="1"/>
      <c r="ME671" s="1"/>
      <c r="MF671" s="1"/>
      <c r="MG671" s="1"/>
      <c r="MH671" s="1"/>
      <c r="MI671" s="1"/>
      <c r="MJ671" s="1"/>
      <c r="MK671" s="1"/>
      <c r="ML671" s="1"/>
      <c r="MM671" s="1"/>
      <c r="MN671" s="1"/>
      <c r="MO671" s="1"/>
      <c r="MP671" s="1"/>
      <c r="MQ671" s="1"/>
      <c r="MR671" s="1"/>
      <c r="MS671" s="1"/>
      <c r="MT671" s="1"/>
      <c r="MU671" s="1"/>
      <c r="MV671" s="1"/>
      <c r="MW671" s="1"/>
      <c r="MX671" s="1"/>
      <c r="MY671" s="1"/>
      <c r="MZ671" s="1"/>
      <c r="NA671" s="1"/>
      <c r="NB671" s="1"/>
      <c r="NC671" s="1"/>
      <c r="ND671" s="1"/>
      <c r="NE671" s="1"/>
      <c r="NF671" s="1"/>
      <c r="NG671" s="1"/>
      <c r="NH671" s="1"/>
      <c r="NI671" s="1"/>
      <c r="NJ671" s="1"/>
      <c r="NK671" s="1"/>
      <c r="NL671" s="1"/>
      <c r="NM671" s="1"/>
      <c r="NN671" s="1"/>
      <c r="NO671" s="1"/>
      <c r="NP671" s="1"/>
      <c r="NQ671" s="1"/>
      <c r="NR671" s="1"/>
      <c r="NS671" s="1"/>
      <c r="NT671" s="1"/>
      <c r="NU671" s="1"/>
      <c r="NV671" s="1"/>
      <c r="NW671" s="1"/>
      <c r="NX671" s="1"/>
      <c r="NY671" s="1"/>
      <c r="NZ671" s="1"/>
      <c r="OA671" s="1"/>
      <c r="OB671" s="1"/>
      <c r="OC671" s="1"/>
      <c r="OD671" s="1"/>
      <c r="OE671" s="1"/>
      <c r="OF671" s="1"/>
      <c r="OG671" s="1"/>
      <c r="OH671" s="1"/>
      <c r="OI671" s="1"/>
      <c r="OJ671" s="1"/>
      <c r="OK671" s="1"/>
      <c r="OL671" s="1"/>
      <c r="OM671" s="1"/>
      <c r="ON671" s="1"/>
      <c r="OO671" s="1"/>
      <c r="OP671" s="1"/>
      <c r="OQ671" s="1"/>
      <c r="OR671" s="1"/>
      <c r="OS671" s="1"/>
      <c r="OT671" s="1"/>
      <c r="OU671" s="1"/>
      <c r="OV671" s="1"/>
      <c r="OW671" s="1"/>
      <c r="OX671" s="1"/>
      <c r="OY671" s="1"/>
      <c r="OZ671" s="1"/>
      <c r="PA671" s="1"/>
      <c r="PB671" s="1"/>
      <c r="PC671" s="1"/>
      <c r="PD671" s="1"/>
      <c r="PE671" s="1"/>
      <c r="PF671" s="1"/>
      <c r="PG671" s="1"/>
      <c r="PH671" s="1"/>
      <c r="PI671" s="1"/>
      <c r="PJ671" s="1"/>
      <c r="PK671" s="1"/>
      <c r="PL671" s="1"/>
      <c r="PM671" s="1"/>
      <c r="PN671" s="1"/>
      <c r="PO671" s="1"/>
      <c r="PP671" s="1"/>
      <c r="PQ671" s="1"/>
      <c r="PR671" s="1"/>
      <c r="PS671" s="1"/>
      <c r="PT671" s="1"/>
      <c r="PU671" s="1"/>
      <c r="PV671" s="1"/>
      <c r="PW671" s="1"/>
      <c r="PX671" s="1"/>
      <c r="PY671" s="1"/>
      <c r="PZ671" s="1"/>
      <c r="QA671" s="1"/>
      <c r="QB671" s="1"/>
      <c r="QC671" s="1"/>
      <c r="QD671" s="1"/>
      <c r="QE671" s="1"/>
      <c r="QF671" s="1"/>
      <c r="QG671" s="1"/>
      <c r="QH671" s="1"/>
      <c r="QI671" s="1"/>
      <c r="QJ671" s="1"/>
      <c r="QK671" s="1"/>
      <c r="QL671" s="1"/>
      <c r="QM671" s="1"/>
      <c r="QN671" s="1"/>
      <c r="QO671" s="1"/>
      <c r="QP671" s="1"/>
      <c r="QQ671" s="1"/>
      <c r="QR671" s="1"/>
      <c r="QS671" s="1"/>
      <c r="QT671" s="1"/>
      <c r="QU671" s="1"/>
      <c r="QV671" s="1"/>
      <c r="QW671" s="1"/>
      <c r="QX671" s="1"/>
      <c r="QY671" s="1"/>
      <c r="QZ671" s="1"/>
      <c r="RA671" s="1"/>
      <c r="RB671" s="1"/>
      <c r="RC671" s="1"/>
      <c r="RD671" s="1"/>
      <c r="RE671" s="1"/>
      <c r="RF671" s="1"/>
      <c r="RG671" s="1"/>
      <c r="RH671" s="1"/>
      <c r="RI671" s="1"/>
      <c r="RJ671" s="1"/>
      <c r="RK671" s="1"/>
      <c r="RL671" s="1"/>
      <c r="RM671" s="1"/>
      <c r="RN671" s="1"/>
      <c r="RO671" s="1"/>
      <c r="RP671" s="1"/>
      <c r="RQ671" s="1"/>
      <c r="RR671" s="1"/>
      <c r="RS671" s="1"/>
      <c r="RT671" s="1"/>
      <c r="RU671" s="1"/>
      <c r="RV671" s="1"/>
      <c r="RW671" s="1"/>
      <c r="RX671" s="1"/>
      <c r="RY671" s="1"/>
      <c r="RZ671" s="1"/>
      <c r="SA671" s="1"/>
      <c r="SB671" s="1"/>
      <c r="SC671" s="1"/>
      <c r="SD671" s="1"/>
      <c r="SE671" s="1"/>
      <c r="SF671" s="1"/>
      <c r="SG671" s="1"/>
      <c r="SH671" s="1"/>
      <c r="SI671" s="1"/>
      <c r="SJ671" s="1"/>
      <c r="SK671" s="1"/>
      <c r="SL671" s="1"/>
      <c r="SM671" s="1"/>
      <c r="SN671" s="1"/>
      <c r="SO671" s="1"/>
      <c r="SP671" s="1"/>
      <c r="SQ671" s="1"/>
      <c r="SR671" s="1"/>
      <c r="SS671" s="1"/>
      <c r="ST671" s="1"/>
      <c r="SU671" s="1"/>
      <c r="SV671" s="1"/>
      <c r="SW671" s="1"/>
      <c r="SX671" s="1"/>
      <c r="SY671" s="1"/>
      <c r="SZ671" s="1"/>
      <c r="TA671" s="1"/>
      <c r="TB671" s="1"/>
      <c r="TC671" s="1"/>
      <c r="TD671" s="1"/>
      <c r="TE671" s="1"/>
      <c r="TF671" s="1"/>
      <c r="TG671" s="1"/>
      <c r="TH671" s="1"/>
      <c r="TI671" s="1"/>
      <c r="TJ671" s="1"/>
      <c r="TK671" s="1"/>
      <c r="TL671" s="1"/>
      <c r="TM671" s="1"/>
      <c r="TN671" s="1"/>
      <c r="TO671" s="1"/>
      <c r="TP671" s="1"/>
      <c r="TQ671" s="1"/>
      <c r="TR671" s="1"/>
      <c r="TS671" s="1"/>
      <c r="TT671" s="1"/>
      <c r="TU671" s="1"/>
      <c r="TV671" s="1"/>
      <c r="TW671" s="1"/>
      <c r="TX671" s="1"/>
      <c r="TY671" s="1"/>
      <c r="TZ671" s="1"/>
      <c r="UA671" s="1"/>
      <c r="UB671" s="1"/>
      <c r="UC671" s="1"/>
      <c r="UD671" s="1"/>
      <c r="UE671" s="1"/>
      <c r="UF671" s="1"/>
      <c r="UG671" s="1"/>
      <c r="UH671" s="1"/>
      <c r="UI671" s="1"/>
    </row>
    <row r="672" spans="1:555" s="509" customFormat="1" ht="55.5" customHeight="1">
      <c r="A672" s="57">
        <v>525</v>
      </c>
      <c r="B672" s="58" t="s">
        <v>4847</v>
      </c>
      <c r="C672" s="59">
        <v>80154159</v>
      </c>
      <c r="D672" s="170" t="s">
        <v>597</v>
      </c>
      <c r="E672" s="60">
        <v>42835</v>
      </c>
      <c r="F672" s="61">
        <v>42826</v>
      </c>
      <c r="G672" s="62" t="s">
        <v>4848</v>
      </c>
      <c r="H672" s="58" t="s">
        <v>625</v>
      </c>
      <c r="I672" s="58" t="s">
        <v>183</v>
      </c>
      <c r="J672" s="60">
        <v>42970</v>
      </c>
      <c r="K672" s="61">
        <v>42948</v>
      </c>
      <c r="L672" s="62" t="s">
        <v>4849</v>
      </c>
      <c r="M672" s="58" t="s">
        <v>63</v>
      </c>
      <c r="N672" s="58" t="s">
        <v>4850</v>
      </c>
      <c r="O672" s="60">
        <v>43032</v>
      </c>
      <c r="P672" s="63">
        <v>43009</v>
      </c>
      <c r="Q672" s="62" t="s">
        <v>4851</v>
      </c>
      <c r="R672" s="58" t="s">
        <v>63</v>
      </c>
      <c r="S672" s="58" t="s">
        <v>79</v>
      </c>
      <c r="T672" s="60"/>
      <c r="U672" s="61"/>
      <c r="V672" s="62"/>
      <c r="W672" s="58"/>
      <c r="X672" s="58"/>
      <c r="Y672" s="60"/>
      <c r="Z672" s="61"/>
      <c r="AA672" s="62"/>
      <c r="AB672" s="58"/>
      <c r="AC672" s="58"/>
      <c r="AD672" s="60"/>
      <c r="AE672" s="61"/>
      <c r="AF672" s="62"/>
      <c r="AG672" s="58"/>
      <c r="AH672" s="58"/>
      <c r="AI672" s="117"/>
      <c r="AJ672" s="61"/>
      <c r="AK672" s="62"/>
      <c r="AL672" s="58"/>
      <c r="AM672" s="58"/>
      <c r="AN672" s="58" t="s">
        <v>3671</v>
      </c>
      <c r="AO672" s="478"/>
      <c r="AP672" s="58"/>
      <c r="AQ672" s="62" t="s">
        <v>4852</v>
      </c>
      <c r="AR672" s="58" t="s">
        <v>161</v>
      </c>
      <c r="AS672" s="60">
        <v>38545</v>
      </c>
      <c r="AT672" s="60">
        <v>39822</v>
      </c>
      <c r="AU672" s="58" t="s">
        <v>4853</v>
      </c>
      <c r="AV672" s="58"/>
      <c r="AW672" s="58" t="s">
        <v>92</v>
      </c>
      <c r="AX672" s="58" t="s">
        <v>4854</v>
      </c>
      <c r="AY672" s="60">
        <v>41355</v>
      </c>
      <c r="AZ672" s="58" t="s">
        <v>94</v>
      </c>
      <c r="BA672" s="60">
        <v>42789</v>
      </c>
      <c r="BB672" s="382">
        <v>42808</v>
      </c>
      <c r="BC672" s="58" t="s">
        <v>95</v>
      </c>
      <c r="BD672" s="58" t="s">
        <v>566</v>
      </c>
      <c r="BE672" s="58"/>
      <c r="BF672" s="62" t="s">
        <v>7298</v>
      </c>
      <c r="BG672" s="62"/>
      <c r="BH672" s="62"/>
      <c r="BI672" s="62"/>
      <c r="BJ672" s="74">
        <f>+[207]MATRIZ!$J$70</f>
        <v>0</v>
      </c>
      <c r="BK672" s="67"/>
      <c r="BL672" s="68"/>
      <c r="BM672" s="60"/>
      <c r="BN672" s="61"/>
      <c r="BO672" s="463"/>
      <c r="BP672" s="122"/>
      <c r="BQ672" s="58"/>
      <c r="BR672" s="70"/>
      <c r="BS672" s="62"/>
      <c r="BT672" s="62"/>
      <c r="BU672" s="62"/>
      <c r="BV672" s="62"/>
      <c r="BW672" s="71"/>
      <c r="BX672" s="66"/>
      <c r="BY672" s="60"/>
      <c r="BZ672" s="72"/>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c r="JW672" s="1"/>
      <c r="JX672" s="1"/>
      <c r="JY672" s="1"/>
      <c r="JZ672" s="1"/>
      <c r="KA672" s="1"/>
      <c r="KB672" s="1"/>
      <c r="KC672" s="1"/>
      <c r="KD672" s="1"/>
      <c r="KE672" s="1"/>
      <c r="KF672" s="1"/>
      <c r="KG672" s="1"/>
      <c r="KH672" s="1"/>
      <c r="KI672" s="1"/>
      <c r="KJ672" s="1"/>
      <c r="KK672" s="1"/>
      <c r="KL672" s="1"/>
      <c r="KM672" s="1"/>
      <c r="KN672" s="1"/>
      <c r="KO672" s="1"/>
      <c r="KP672" s="1"/>
      <c r="KQ672" s="1"/>
      <c r="KR672" s="1"/>
      <c r="KS672" s="1"/>
      <c r="KT672" s="1"/>
      <c r="KU672" s="1"/>
      <c r="KV672" s="1"/>
      <c r="KW672" s="1"/>
      <c r="KX672" s="1"/>
      <c r="KY672" s="1"/>
      <c r="KZ672" s="1"/>
      <c r="LA672" s="1"/>
      <c r="LB672" s="1"/>
      <c r="LC672" s="1"/>
      <c r="LD672" s="1"/>
      <c r="LE672" s="1"/>
      <c r="LF672" s="1"/>
      <c r="LG672" s="1"/>
      <c r="LH672" s="1"/>
      <c r="LI672" s="1"/>
      <c r="LJ672" s="1"/>
      <c r="LK672" s="1"/>
      <c r="LL672" s="1"/>
      <c r="LM672" s="1"/>
      <c r="LN672" s="1"/>
      <c r="LO672" s="1"/>
      <c r="LP672" s="1"/>
      <c r="LQ672" s="1"/>
      <c r="LR672" s="1"/>
      <c r="LS672" s="1"/>
      <c r="LT672" s="1"/>
      <c r="LU672" s="1"/>
      <c r="LV672" s="1"/>
      <c r="LW672" s="1"/>
      <c r="LX672" s="1"/>
      <c r="LY672" s="1"/>
      <c r="LZ672" s="1"/>
      <c r="MA672" s="1"/>
      <c r="MB672" s="1"/>
      <c r="MC672" s="1"/>
      <c r="MD672" s="1"/>
      <c r="ME672" s="1"/>
      <c r="MF672" s="1"/>
      <c r="MG672" s="1"/>
      <c r="MH672" s="1"/>
      <c r="MI672" s="1"/>
      <c r="MJ672" s="1"/>
      <c r="MK672" s="1"/>
      <c r="ML672" s="1"/>
      <c r="MM672" s="1"/>
      <c r="MN672" s="1"/>
      <c r="MO672" s="1"/>
      <c r="MP672" s="1"/>
      <c r="MQ672" s="1"/>
      <c r="MR672" s="1"/>
      <c r="MS672" s="1"/>
      <c r="MT672" s="1"/>
      <c r="MU672" s="1"/>
      <c r="MV672" s="1"/>
      <c r="MW672" s="1"/>
      <c r="MX672" s="1"/>
      <c r="MY672" s="1"/>
      <c r="MZ672" s="1"/>
      <c r="NA672" s="1"/>
      <c r="NB672" s="1"/>
      <c r="NC672" s="1"/>
      <c r="ND672" s="1"/>
      <c r="NE672" s="1"/>
      <c r="NF672" s="1"/>
      <c r="NG672" s="1"/>
      <c r="NH672" s="1"/>
      <c r="NI672" s="1"/>
      <c r="NJ672" s="1"/>
      <c r="NK672" s="1"/>
      <c r="NL672" s="1"/>
      <c r="NM672" s="1"/>
      <c r="NN672" s="1"/>
      <c r="NO672" s="1"/>
      <c r="NP672" s="1"/>
      <c r="NQ672" s="1"/>
      <c r="NR672" s="1"/>
      <c r="NS672" s="1"/>
      <c r="NT672" s="1"/>
      <c r="NU672" s="1"/>
      <c r="NV672" s="1"/>
      <c r="NW672" s="1"/>
      <c r="NX672" s="1"/>
      <c r="NY672" s="1"/>
      <c r="NZ672" s="1"/>
      <c r="OA672" s="1"/>
      <c r="OB672" s="1"/>
      <c r="OC672" s="1"/>
      <c r="OD672" s="1"/>
      <c r="OE672" s="1"/>
      <c r="OF672" s="1"/>
      <c r="OG672" s="1"/>
      <c r="OH672" s="1"/>
      <c r="OI672" s="1"/>
      <c r="OJ672" s="1"/>
      <c r="OK672" s="1"/>
      <c r="OL672" s="1"/>
      <c r="OM672" s="1"/>
      <c r="ON672" s="1"/>
      <c r="OO672" s="1"/>
      <c r="OP672" s="1"/>
      <c r="OQ672" s="1"/>
      <c r="OR672" s="1"/>
      <c r="OS672" s="1"/>
      <c r="OT672" s="1"/>
      <c r="OU672" s="1"/>
      <c r="OV672" s="1"/>
      <c r="OW672" s="1"/>
      <c r="OX672" s="1"/>
      <c r="OY672" s="1"/>
      <c r="OZ672" s="1"/>
      <c r="PA672" s="1"/>
      <c r="PB672" s="1"/>
      <c r="PC672" s="1"/>
      <c r="PD672" s="1"/>
      <c r="PE672" s="1"/>
      <c r="PF672" s="1"/>
      <c r="PG672" s="1"/>
      <c r="PH672" s="1"/>
      <c r="PI672" s="1"/>
      <c r="PJ672" s="1"/>
      <c r="PK672" s="1"/>
      <c r="PL672" s="1"/>
      <c r="PM672" s="1"/>
      <c r="PN672" s="1"/>
      <c r="PO672" s="1"/>
      <c r="PP672" s="1"/>
      <c r="PQ672" s="1"/>
      <c r="PR672" s="1"/>
      <c r="PS672" s="1"/>
      <c r="PT672" s="1"/>
      <c r="PU672" s="1"/>
      <c r="PV672" s="1"/>
      <c r="PW672" s="1"/>
      <c r="PX672" s="1"/>
      <c r="PY672" s="1"/>
      <c r="PZ672" s="1"/>
      <c r="QA672" s="1"/>
      <c r="QB672" s="1"/>
      <c r="QC672" s="1"/>
      <c r="QD672" s="1"/>
      <c r="QE672" s="1"/>
      <c r="QF672" s="1"/>
      <c r="QG672" s="1"/>
      <c r="QH672" s="1"/>
      <c r="QI672" s="1"/>
      <c r="QJ672" s="1"/>
      <c r="QK672" s="1"/>
      <c r="QL672" s="1"/>
      <c r="QM672" s="1"/>
      <c r="QN672" s="1"/>
      <c r="QO672" s="1"/>
      <c r="QP672" s="1"/>
      <c r="QQ672" s="1"/>
      <c r="QR672" s="1"/>
      <c r="QS672" s="1"/>
      <c r="QT672" s="1"/>
      <c r="QU672" s="1"/>
      <c r="QV672" s="1"/>
      <c r="QW672" s="1"/>
      <c r="QX672" s="1"/>
      <c r="QY672" s="1"/>
      <c r="QZ672" s="1"/>
      <c r="RA672" s="1"/>
      <c r="RB672" s="1"/>
      <c r="RC672" s="1"/>
      <c r="RD672" s="1"/>
      <c r="RE672" s="1"/>
      <c r="RF672" s="1"/>
      <c r="RG672" s="1"/>
      <c r="RH672" s="1"/>
      <c r="RI672" s="1"/>
      <c r="RJ672" s="1"/>
      <c r="RK672" s="1"/>
      <c r="RL672" s="1"/>
      <c r="RM672" s="1"/>
      <c r="RN672" s="1"/>
      <c r="RO672" s="1"/>
      <c r="RP672" s="1"/>
      <c r="RQ672" s="1"/>
      <c r="RR672" s="1"/>
      <c r="RS672" s="1"/>
      <c r="RT672" s="1"/>
      <c r="RU672" s="1"/>
      <c r="RV672" s="1"/>
      <c r="RW672" s="1"/>
      <c r="RX672" s="1"/>
      <c r="RY672" s="1"/>
      <c r="RZ672" s="1"/>
      <c r="SA672" s="1"/>
      <c r="SB672" s="1"/>
      <c r="SC672" s="1"/>
      <c r="SD672" s="1"/>
      <c r="SE672" s="1"/>
      <c r="SF672" s="1"/>
      <c r="SG672" s="1"/>
      <c r="SH672" s="1"/>
      <c r="SI672" s="1"/>
      <c r="SJ672" s="1"/>
      <c r="SK672" s="1"/>
      <c r="SL672" s="1"/>
      <c r="SM672" s="1"/>
      <c r="SN672" s="1"/>
      <c r="SO672" s="1"/>
      <c r="SP672" s="1"/>
      <c r="SQ672" s="1"/>
      <c r="SR672" s="1"/>
      <c r="SS672" s="1"/>
      <c r="ST672" s="1"/>
      <c r="SU672" s="1"/>
      <c r="SV672" s="1"/>
      <c r="SW672" s="1"/>
      <c r="SX672" s="1"/>
      <c r="SY672" s="1"/>
      <c r="SZ672" s="1"/>
      <c r="TA672" s="1"/>
      <c r="TB672" s="1"/>
      <c r="TC672" s="1"/>
      <c r="TD672" s="1"/>
      <c r="TE672" s="1"/>
      <c r="TF672" s="1"/>
      <c r="TG672" s="1"/>
      <c r="TH672" s="1"/>
      <c r="TI672" s="1"/>
      <c r="TJ672" s="1"/>
      <c r="TK672" s="1"/>
      <c r="TL672" s="1"/>
      <c r="TM672" s="1"/>
      <c r="TN672" s="1"/>
      <c r="TO672" s="1"/>
      <c r="TP672" s="1"/>
      <c r="TQ672" s="1"/>
      <c r="TR672" s="1"/>
      <c r="TS672" s="1"/>
      <c r="TT672" s="1"/>
      <c r="TU672" s="1"/>
      <c r="TV672" s="1"/>
      <c r="TW672" s="1"/>
      <c r="TX672" s="1"/>
      <c r="TY672" s="1"/>
      <c r="TZ672" s="1"/>
      <c r="UA672" s="1"/>
      <c r="UB672" s="1"/>
      <c r="UC672" s="1"/>
      <c r="UD672" s="1"/>
      <c r="UE672" s="1"/>
      <c r="UF672" s="1"/>
      <c r="UG672" s="1"/>
      <c r="UH672" s="1"/>
      <c r="UI672" s="1"/>
    </row>
    <row r="673" spans="1:555" s="259" customFormat="1" ht="81">
      <c r="A673" s="57">
        <v>527</v>
      </c>
      <c r="B673" s="58" t="s">
        <v>4862</v>
      </c>
      <c r="C673" s="59">
        <v>79522067</v>
      </c>
      <c r="D673" s="170" t="s">
        <v>167</v>
      </c>
      <c r="E673" s="60">
        <v>42844</v>
      </c>
      <c r="F673" s="61">
        <v>42826</v>
      </c>
      <c r="G673" s="62" t="s">
        <v>271</v>
      </c>
      <c r="H673" s="58" t="s">
        <v>625</v>
      </c>
      <c r="I673" s="58" t="s">
        <v>183</v>
      </c>
      <c r="J673" s="60">
        <v>43007</v>
      </c>
      <c r="K673" s="61">
        <v>42979</v>
      </c>
      <c r="L673" s="62" t="s">
        <v>4863</v>
      </c>
      <c r="M673" s="58" t="s">
        <v>5</v>
      </c>
      <c r="N673" s="58" t="s">
        <v>79</v>
      </c>
      <c r="O673" s="60"/>
      <c r="P673" s="63"/>
      <c r="Q673" s="62"/>
      <c r="R673" s="58"/>
      <c r="S673" s="58"/>
      <c r="T673" s="60"/>
      <c r="U673" s="61"/>
      <c r="V673" s="62"/>
      <c r="W673" s="58"/>
      <c r="X673" s="58"/>
      <c r="Y673" s="60"/>
      <c r="Z673" s="61"/>
      <c r="AA673" s="62"/>
      <c r="AB673" s="58"/>
      <c r="AC673" s="58"/>
      <c r="AD673" s="60"/>
      <c r="AE673" s="61"/>
      <c r="AF673" s="62"/>
      <c r="AG673" s="58"/>
      <c r="AH673" s="58"/>
      <c r="AI673" s="117"/>
      <c r="AJ673" s="61"/>
      <c r="AK673" s="62"/>
      <c r="AL673" s="58"/>
      <c r="AM673" s="58"/>
      <c r="AN673" s="58" t="s">
        <v>3671</v>
      </c>
      <c r="AO673" s="479">
        <v>43007</v>
      </c>
      <c r="AP673" s="58"/>
      <c r="AQ673" s="62" t="s">
        <v>7576</v>
      </c>
      <c r="AR673" s="58" t="s">
        <v>161</v>
      </c>
      <c r="AS673" s="60">
        <v>37818</v>
      </c>
      <c r="AT673" s="60">
        <v>40603</v>
      </c>
      <c r="AU673" s="58" t="s">
        <v>4864</v>
      </c>
      <c r="AV673" s="58"/>
      <c r="AW673" s="58" t="s">
        <v>69</v>
      </c>
      <c r="AX673" s="58" t="s">
        <v>3616</v>
      </c>
      <c r="AY673" s="60">
        <v>42460</v>
      </c>
      <c r="AZ673" s="58" t="s">
        <v>94</v>
      </c>
      <c r="BA673" s="60">
        <v>42824</v>
      </c>
      <c r="BB673" s="382">
        <v>42849</v>
      </c>
      <c r="BC673" s="58" t="s">
        <v>4865</v>
      </c>
      <c r="BD673" s="58" t="s">
        <v>566</v>
      </c>
      <c r="BE673" s="58"/>
      <c r="BF673" s="62" t="s">
        <v>4866</v>
      </c>
      <c r="BG673" s="62"/>
      <c r="BH673" s="62"/>
      <c r="BI673" s="62"/>
      <c r="BJ673" s="138">
        <f>+[208]MATRIZ!$J$83</f>
        <v>0</v>
      </c>
      <c r="BK673" s="67"/>
      <c r="BL673" s="68"/>
      <c r="BM673" s="60"/>
      <c r="BN673" s="61"/>
      <c r="BO673" s="463"/>
      <c r="BP673" s="122"/>
      <c r="BQ673" s="58"/>
      <c r="BR673" s="70"/>
      <c r="BS673" s="62"/>
      <c r="BT673" s="62"/>
      <c r="BU673" s="62"/>
      <c r="BV673" s="62"/>
      <c r="BW673" s="71"/>
      <c r="BX673" s="66"/>
      <c r="BY673" s="60"/>
      <c r="BZ673" s="72"/>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c r="JW673" s="1"/>
      <c r="JX673" s="1"/>
      <c r="JY673" s="1"/>
      <c r="JZ673" s="1"/>
      <c r="KA673" s="1"/>
      <c r="KB673" s="1"/>
      <c r="KC673" s="1"/>
      <c r="KD673" s="1"/>
      <c r="KE673" s="1"/>
      <c r="KF673" s="1"/>
      <c r="KG673" s="1"/>
      <c r="KH673" s="1"/>
      <c r="KI673" s="1"/>
      <c r="KJ673" s="1"/>
      <c r="KK673" s="1"/>
      <c r="KL673" s="1"/>
      <c r="KM673" s="1"/>
      <c r="KN673" s="1"/>
      <c r="KO673" s="1"/>
      <c r="KP673" s="1"/>
      <c r="KQ673" s="1"/>
      <c r="KR673" s="1"/>
      <c r="KS673" s="1"/>
      <c r="KT673" s="1"/>
      <c r="KU673" s="1"/>
      <c r="KV673" s="1"/>
      <c r="KW673" s="1"/>
      <c r="KX673" s="1"/>
      <c r="KY673" s="1"/>
      <c r="KZ673" s="1"/>
      <c r="LA673" s="1"/>
      <c r="LB673" s="1"/>
      <c r="LC673" s="1"/>
      <c r="LD673" s="1"/>
      <c r="LE673" s="1"/>
      <c r="LF673" s="1"/>
      <c r="LG673" s="1"/>
      <c r="LH673" s="1"/>
      <c r="LI673" s="1"/>
      <c r="LJ673" s="1"/>
      <c r="LK673" s="1"/>
      <c r="LL673" s="1"/>
      <c r="LM673" s="1"/>
      <c r="LN673" s="1"/>
      <c r="LO673" s="1"/>
      <c r="LP673" s="1"/>
      <c r="LQ673" s="1"/>
      <c r="LR673" s="1"/>
      <c r="LS673" s="1"/>
      <c r="LT673" s="1"/>
      <c r="LU673" s="1"/>
      <c r="LV673" s="1"/>
      <c r="LW673" s="1"/>
      <c r="LX673" s="1"/>
      <c r="LY673" s="1"/>
      <c r="LZ673" s="1"/>
      <c r="MA673" s="1"/>
      <c r="MB673" s="1"/>
      <c r="MC673" s="1"/>
      <c r="MD673" s="1"/>
      <c r="ME673" s="1"/>
      <c r="MF673" s="1"/>
      <c r="MG673" s="1"/>
      <c r="MH673" s="1"/>
      <c r="MI673" s="1"/>
      <c r="MJ673" s="1"/>
      <c r="MK673" s="1"/>
      <c r="ML673" s="1"/>
      <c r="MM673" s="1"/>
      <c r="MN673" s="1"/>
      <c r="MO673" s="1"/>
      <c r="MP673" s="1"/>
      <c r="MQ673" s="1"/>
      <c r="MR673" s="1"/>
      <c r="MS673" s="1"/>
      <c r="MT673" s="1"/>
      <c r="MU673" s="1"/>
      <c r="MV673" s="1"/>
      <c r="MW673" s="1"/>
      <c r="MX673" s="1"/>
      <c r="MY673" s="1"/>
      <c r="MZ673" s="1"/>
      <c r="NA673" s="1"/>
      <c r="NB673" s="1"/>
      <c r="NC673" s="1"/>
      <c r="ND673" s="1"/>
      <c r="NE673" s="1"/>
      <c r="NF673" s="1"/>
      <c r="NG673" s="1"/>
      <c r="NH673" s="1"/>
      <c r="NI673" s="1"/>
      <c r="NJ673" s="1"/>
      <c r="NK673" s="1"/>
      <c r="NL673" s="1"/>
      <c r="NM673" s="1"/>
      <c r="NN673" s="1"/>
      <c r="NO673" s="1"/>
      <c r="NP673" s="1"/>
      <c r="NQ673" s="1"/>
      <c r="NR673" s="1"/>
      <c r="NS673" s="1"/>
      <c r="NT673" s="1"/>
      <c r="NU673" s="1"/>
      <c r="NV673" s="1"/>
      <c r="NW673" s="1"/>
      <c r="NX673" s="1"/>
      <c r="NY673" s="1"/>
      <c r="NZ673" s="1"/>
      <c r="OA673" s="1"/>
      <c r="OB673" s="1"/>
      <c r="OC673" s="1"/>
      <c r="OD673" s="1"/>
      <c r="OE673" s="1"/>
      <c r="OF673" s="1"/>
      <c r="OG673" s="1"/>
      <c r="OH673" s="1"/>
      <c r="OI673" s="1"/>
      <c r="OJ673" s="1"/>
      <c r="OK673" s="1"/>
      <c r="OL673" s="1"/>
      <c r="OM673" s="1"/>
      <c r="ON673" s="1"/>
      <c r="OO673" s="1"/>
      <c r="OP673" s="1"/>
      <c r="OQ673" s="1"/>
      <c r="OR673" s="1"/>
      <c r="OS673" s="1"/>
      <c r="OT673" s="1"/>
      <c r="OU673" s="1"/>
      <c r="OV673" s="1"/>
      <c r="OW673" s="1"/>
      <c r="OX673" s="1"/>
      <c r="OY673" s="1"/>
      <c r="OZ673" s="1"/>
      <c r="PA673" s="1"/>
      <c r="PB673" s="1"/>
      <c r="PC673" s="1"/>
      <c r="PD673" s="1"/>
      <c r="PE673" s="1"/>
      <c r="PF673" s="1"/>
      <c r="PG673" s="1"/>
      <c r="PH673" s="1"/>
      <c r="PI673" s="1"/>
      <c r="PJ673" s="1"/>
      <c r="PK673" s="1"/>
      <c r="PL673" s="1"/>
      <c r="PM673" s="1"/>
      <c r="PN673" s="1"/>
      <c r="PO673" s="1"/>
      <c r="PP673" s="1"/>
      <c r="PQ673" s="1"/>
      <c r="PR673" s="1"/>
      <c r="PS673" s="1"/>
      <c r="PT673" s="1"/>
      <c r="PU673" s="1"/>
      <c r="PV673" s="1"/>
      <c r="PW673" s="1"/>
      <c r="PX673" s="1"/>
      <c r="PY673" s="1"/>
      <c r="PZ673" s="1"/>
      <c r="QA673" s="1"/>
      <c r="QB673" s="1"/>
      <c r="QC673" s="1"/>
      <c r="QD673" s="1"/>
      <c r="QE673" s="1"/>
      <c r="QF673" s="1"/>
      <c r="QG673" s="1"/>
      <c r="QH673" s="1"/>
      <c r="QI673" s="1"/>
      <c r="QJ673" s="1"/>
      <c r="QK673" s="1"/>
      <c r="QL673" s="1"/>
      <c r="QM673" s="1"/>
      <c r="QN673" s="1"/>
      <c r="QO673" s="1"/>
      <c r="QP673" s="1"/>
      <c r="QQ673" s="1"/>
      <c r="QR673" s="1"/>
      <c r="QS673" s="1"/>
      <c r="QT673" s="1"/>
      <c r="QU673" s="1"/>
      <c r="QV673" s="1"/>
      <c r="QW673" s="1"/>
      <c r="QX673" s="1"/>
      <c r="QY673" s="1"/>
      <c r="QZ673" s="1"/>
      <c r="RA673" s="1"/>
      <c r="RB673" s="1"/>
      <c r="RC673" s="1"/>
      <c r="RD673" s="1"/>
      <c r="RE673" s="1"/>
      <c r="RF673" s="1"/>
      <c r="RG673" s="1"/>
      <c r="RH673" s="1"/>
      <c r="RI673" s="1"/>
      <c r="RJ673" s="1"/>
      <c r="RK673" s="1"/>
      <c r="RL673" s="1"/>
      <c r="RM673" s="1"/>
      <c r="RN673" s="1"/>
      <c r="RO673" s="1"/>
      <c r="RP673" s="1"/>
      <c r="RQ673" s="1"/>
      <c r="RR673" s="1"/>
      <c r="RS673" s="1"/>
      <c r="RT673" s="1"/>
      <c r="RU673" s="1"/>
      <c r="RV673" s="1"/>
      <c r="RW673" s="1"/>
      <c r="RX673" s="1"/>
      <c r="RY673" s="1"/>
      <c r="RZ673" s="1"/>
      <c r="SA673" s="1"/>
      <c r="SB673" s="1"/>
      <c r="SC673" s="1"/>
      <c r="SD673" s="1"/>
      <c r="SE673" s="1"/>
      <c r="SF673" s="1"/>
      <c r="SG673" s="1"/>
      <c r="SH673" s="1"/>
      <c r="SI673" s="1"/>
      <c r="SJ673" s="1"/>
      <c r="SK673" s="1"/>
      <c r="SL673" s="1"/>
      <c r="SM673" s="1"/>
      <c r="SN673" s="1"/>
      <c r="SO673" s="1"/>
      <c r="SP673" s="1"/>
      <c r="SQ673" s="1"/>
      <c r="SR673" s="1"/>
      <c r="SS673" s="1"/>
      <c r="ST673" s="1"/>
      <c r="SU673" s="1"/>
      <c r="SV673" s="1"/>
      <c r="SW673" s="1"/>
      <c r="SX673" s="1"/>
      <c r="SY673" s="1"/>
      <c r="SZ673" s="1"/>
      <c r="TA673" s="1"/>
      <c r="TB673" s="1"/>
      <c r="TC673" s="1"/>
      <c r="TD673" s="1"/>
      <c r="TE673" s="1"/>
      <c r="TF673" s="1"/>
      <c r="TG673" s="1"/>
      <c r="TH673" s="1"/>
      <c r="TI673" s="1"/>
      <c r="TJ673" s="1"/>
      <c r="TK673" s="1"/>
      <c r="TL673" s="1"/>
      <c r="TM673" s="1"/>
      <c r="TN673" s="1"/>
      <c r="TO673" s="1"/>
      <c r="TP673" s="1"/>
      <c r="TQ673" s="1"/>
      <c r="TR673" s="1"/>
      <c r="TS673" s="1"/>
      <c r="TT673" s="1"/>
      <c r="TU673" s="1"/>
      <c r="TV673" s="1"/>
      <c r="TW673" s="1"/>
      <c r="TX673" s="1"/>
      <c r="TY673" s="1"/>
      <c r="TZ673" s="1"/>
      <c r="UA673" s="1"/>
      <c r="UB673" s="1"/>
      <c r="UC673" s="1"/>
      <c r="UD673" s="1"/>
      <c r="UE673" s="1"/>
      <c r="UF673" s="1"/>
      <c r="UG673" s="1"/>
      <c r="UH673" s="1"/>
      <c r="UI673" s="1"/>
    </row>
    <row r="674" spans="1:555" ht="81">
      <c r="A674" s="502">
        <v>528</v>
      </c>
      <c r="B674" s="686" t="s">
        <v>7238</v>
      </c>
      <c r="C674" s="687">
        <v>8567345</v>
      </c>
      <c r="D674" s="688" t="s">
        <v>323</v>
      </c>
      <c r="E674" s="27">
        <v>42860</v>
      </c>
      <c r="F674" s="689">
        <v>42856</v>
      </c>
      <c r="G674" s="690" t="s">
        <v>4867</v>
      </c>
      <c r="H674" s="686" t="s">
        <v>5</v>
      </c>
      <c r="I674" s="686" t="s">
        <v>79</v>
      </c>
      <c r="J674" s="27">
        <v>43397</v>
      </c>
      <c r="K674" s="689">
        <v>43397</v>
      </c>
      <c r="L674" s="690" t="s">
        <v>7380</v>
      </c>
      <c r="M674" s="686" t="s">
        <v>5</v>
      </c>
      <c r="N674" s="686" t="s">
        <v>107</v>
      </c>
      <c r="O674" s="27">
        <v>43595</v>
      </c>
      <c r="P674" s="691">
        <v>43595</v>
      </c>
      <c r="Q674" s="690" t="s">
        <v>8791</v>
      </c>
      <c r="R674" s="686" t="s">
        <v>5</v>
      </c>
      <c r="S674" s="686" t="s">
        <v>8447</v>
      </c>
      <c r="T674" s="27"/>
      <c r="U674" s="689"/>
      <c r="V674" s="690"/>
      <c r="W674" s="686"/>
      <c r="X674" s="686"/>
      <c r="Y674" s="27"/>
      <c r="Z674" s="689"/>
      <c r="AA674" s="690"/>
      <c r="AB674" s="686"/>
      <c r="AC674" s="686"/>
      <c r="AD674" s="27"/>
      <c r="AE674" s="689"/>
      <c r="AF674" s="690"/>
      <c r="AG674" s="686"/>
      <c r="AH674" s="686"/>
      <c r="AI674" s="704"/>
      <c r="AJ674" s="689"/>
      <c r="AK674" s="690"/>
      <c r="AL674" s="686"/>
      <c r="AM674" s="686"/>
      <c r="AN674" s="686" t="s">
        <v>2099</v>
      </c>
      <c r="AO674" s="705"/>
      <c r="AP674" s="692" t="s">
        <v>2558</v>
      </c>
      <c r="AQ674" s="690" t="s">
        <v>4868</v>
      </c>
      <c r="AR674" s="686" t="s">
        <v>161</v>
      </c>
      <c r="AS674" s="27">
        <v>38596</v>
      </c>
      <c r="AT674" s="27">
        <v>40164</v>
      </c>
      <c r="AU674" s="686" t="s">
        <v>7381</v>
      </c>
      <c r="AV674" s="686"/>
      <c r="AW674" s="686" t="s">
        <v>92</v>
      </c>
      <c r="AX674" s="686" t="s">
        <v>4869</v>
      </c>
      <c r="AY674" s="27">
        <v>41233</v>
      </c>
      <c r="AZ674" s="686" t="s">
        <v>328</v>
      </c>
      <c r="BA674" s="27">
        <v>42474</v>
      </c>
      <c r="BB674" s="27">
        <v>42514</v>
      </c>
      <c r="BC674" s="686" t="s">
        <v>95</v>
      </c>
      <c r="BD674" s="686" t="s">
        <v>566</v>
      </c>
      <c r="BE674" s="686"/>
      <c r="BF674" s="690" t="s">
        <v>7239</v>
      </c>
      <c r="BG674" s="690"/>
      <c r="BH674" s="690"/>
      <c r="BI674" s="690"/>
      <c r="BJ674" s="696">
        <f>+[209]MATRIZ!$J$72</f>
        <v>0</v>
      </c>
      <c r="BK674" s="696"/>
      <c r="BL674" s="697"/>
      <c r="BM674" s="27"/>
      <c r="BN674" s="689"/>
      <c r="BO674" s="699"/>
      <c r="BP674" s="700"/>
      <c r="BQ674" s="686"/>
      <c r="BR674" s="701"/>
      <c r="BS674" s="690"/>
      <c r="BT674" s="690"/>
      <c r="BU674" s="690"/>
      <c r="BV674" s="690"/>
      <c r="BW674" s="702"/>
      <c r="BX674" s="693"/>
      <c r="BY674" s="27"/>
      <c r="BZ674" s="703"/>
      <c r="CA674" s="259"/>
      <c r="CB674" s="259"/>
      <c r="CC674" s="259"/>
      <c r="CD674" s="259"/>
      <c r="CE674" s="259"/>
      <c r="CF674" s="259"/>
      <c r="CG674" s="259"/>
      <c r="CH674" s="259"/>
      <c r="CI674" s="259"/>
      <c r="CJ674" s="259"/>
      <c r="CK674" s="259"/>
      <c r="CL674" s="259"/>
      <c r="CM674" s="259"/>
      <c r="CN674" s="259"/>
      <c r="CO674" s="259"/>
      <c r="CP674" s="259"/>
      <c r="CQ674" s="259"/>
      <c r="CR674" s="259"/>
      <c r="CS674" s="259"/>
      <c r="CT674" s="259"/>
      <c r="CU674" s="259"/>
      <c r="CV674" s="259"/>
      <c r="CW674" s="259"/>
      <c r="CX674" s="259"/>
      <c r="CY674" s="259"/>
      <c r="CZ674" s="259"/>
      <c r="DA674" s="259"/>
      <c r="DB674" s="259"/>
      <c r="DC674" s="259"/>
      <c r="DD674" s="259"/>
      <c r="DE674" s="259"/>
      <c r="DF674" s="259"/>
      <c r="DG674" s="259"/>
      <c r="DH674" s="259"/>
      <c r="DI674" s="259"/>
      <c r="DJ674" s="259"/>
      <c r="DK674" s="259"/>
      <c r="DL674" s="259"/>
      <c r="DM674" s="259"/>
      <c r="DN674" s="259"/>
      <c r="DO674" s="259"/>
      <c r="DP674" s="259"/>
      <c r="DQ674" s="259"/>
      <c r="DR674" s="259"/>
      <c r="DS674" s="259"/>
      <c r="DT674" s="259"/>
      <c r="DU674" s="259"/>
      <c r="DV674" s="259"/>
      <c r="DW674" s="259"/>
      <c r="DX674" s="259"/>
      <c r="DY674" s="259"/>
      <c r="DZ674" s="259"/>
      <c r="EA674" s="259"/>
      <c r="EB674" s="259"/>
      <c r="EC674" s="259"/>
      <c r="ED674" s="259"/>
      <c r="EE674" s="259"/>
      <c r="EF674" s="259"/>
      <c r="EG674" s="259"/>
      <c r="EH674" s="259"/>
      <c r="EI674" s="259"/>
      <c r="EJ674" s="259"/>
      <c r="EK674" s="259"/>
      <c r="EL674" s="259"/>
      <c r="EM674" s="259"/>
      <c r="EN674" s="259"/>
      <c r="EO674" s="259"/>
      <c r="EP674" s="259"/>
      <c r="EQ674" s="259"/>
      <c r="ER674" s="259"/>
      <c r="ES674" s="259"/>
      <c r="ET674" s="259"/>
      <c r="EU674" s="259"/>
      <c r="EV674" s="259"/>
      <c r="EW674" s="259"/>
      <c r="EX674" s="259"/>
      <c r="EY674" s="259"/>
      <c r="EZ674" s="259"/>
      <c r="FA674" s="259"/>
      <c r="FB674" s="259"/>
      <c r="FC674" s="259"/>
      <c r="FD674" s="259"/>
      <c r="FE674" s="259"/>
      <c r="FF674" s="259"/>
      <c r="FG674" s="259"/>
      <c r="FH674" s="259"/>
      <c r="FI674" s="259"/>
      <c r="FJ674" s="259"/>
      <c r="FK674" s="259"/>
      <c r="FL674" s="259"/>
      <c r="FM674" s="259"/>
      <c r="FN674" s="259"/>
      <c r="FO674" s="259"/>
      <c r="FP674" s="259"/>
      <c r="FQ674" s="259"/>
      <c r="FR674" s="259"/>
      <c r="FS674" s="259"/>
      <c r="FT674" s="259"/>
      <c r="FU674" s="259"/>
      <c r="FV674" s="259"/>
      <c r="FW674" s="259"/>
      <c r="FX674" s="259"/>
      <c r="FY674" s="259"/>
      <c r="FZ674" s="259"/>
      <c r="GA674" s="259"/>
      <c r="GB674" s="259"/>
      <c r="GC674" s="259"/>
      <c r="GD674" s="259"/>
      <c r="GE674" s="259"/>
      <c r="GF674" s="259"/>
      <c r="GG674" s="259"/>
      <c r="GH674" s="259"/>
      <c r="GI674" s="259"/>
      <c r="GJ674" s="259"/>
      <c r="GK674" s="259"/>
      <c r="GL674" s="259"/>
      <c r="GM674" s="259"/>
      <c r="GN674" s="259"/>
      <c r="GO674" s="259"/>
      <c r="GP674" s="259"/>
      <c r="GQ674" s="259"/>
      <c r="GR674" s="259"/>
      <c r="GS674" s="259"/>
      <c r="GT674" s="259"/>
      <c r="GU674" s="259"/>
      <c r="GV674" s="259"/>
      <c r="GW674" s="259"/>
      <c r="GX674" s="259"/>
      <c r="GY674" s="259"/>
      <c r="GZ674" s="259"/>
      <c r="HA674" s="259"/>
      <c r="HB674" s="259"/>
      <c r="HC674" s="259"/>
      <c r="HD674" s="259"/>
      <c r="HE674" s="259"/>
      <c r="HF674" s="259"/>
      <c r="HG674" s="259"/>
      <c r="HH674" s="259"/>
      <c r="HI674" s="259"/>
      <c r="HJ674" s="259"/>
      <c r="HK674" s="259"/>
      <c r="HL674" s="259"/>
      <c r="HM674" s="259"/>
      <c r="HN674" s="259"/>
      <c r="HO674" s="259"/>
      <c r="HP674" s="259"/>
      <c r="HQ674" s="259"/>
      <c r="HR674" s="259"/>
      <c r="HS674" s="259"/>
      <c r="HT674" s="259"/>
      <c r="HU674" s="259"/>
      <c r="HV674" s="259"/>
      <c r="HW674" s="259"/>
      <c r="HX674" s="259"/>
      <c r="HY674" s="259"/>
      <c r="HZ674" s="259"/>
      <c r="IA674" s="259"/>
      <c r="IB674" s="259"/>
      <c r="IC674" s="259"/>
      <c r="ID674" s="259"/>
      <c r="IE674" s="259"/>
      <c r="IF674" s="259"/>
      <c r="IG674" s="259"/>
      <c r="IH674" s="259"/>
      <c r="II674" s="259"/>
      <c r="IJ674" s="259"/>
      <c r="IK674" s="259"/>
      <c r="IL674" s="259"/>
      <c r="IM674" s="259"/>
      <c r="IN674" s="259"/>
      <c r="IO674" s="259"/>
      <c r="IP674" s="259"/>
      <c r="IQ674" s="259"/>
      <c r="IR674" s="259"/>
      <c r="IS674" s="259"/>
      <c r="IT674" s="259"/>
      <c r="IU674" s="259"/>
      <c r="IV674" s="259"/>
      <c r="IW674" s="259"/>
      <c r="IX674" s="259"/>
      <c r="IY674" s="259"/>
      <c r="IZ674" s="259"/>
      <c r="JA674" s="259"/>
      <c r="JB674" s="259"/>
      <c r="JC674" s="259"/>
      <c r="JD674" s="259"/>
      <c r="JE674" s="259"/>
      <c r="JF674" s="259"/>
      <c r="JG674" s="259"/>
      <c r="JH674" s="259"/>
      <c r="JI674" s="259"/>
      <c r="JJ674" s="259"/>
      <c r="JK674" s="259"/>
      <c r="JL674" s="259"/>
      <c r="JM674" s="259"/>
      <c r="JN674" s="259"/>
      <c r="JO674" s="259"/>
      <c r="JP674" s="259"/>
      <c r="JQ674" s="259"/>
      <c r="JR674" s="259"/>
      <c r="JS674" s="259"/>
      <c r="JT674" s="259"/>
      <c r="JU674" s="259"/>
      <c r="JV674" s="259"/>
      <c r="JW674" s="259"/>
      <c r="JX674" s="259"/>
      <c r="JY674" s="259"/>
      <c r="JZ674" s="259"/>
      <c r="KA674" s="259"/>
      <c r="KB674" s="259"/>
      <c r="KC674" s="259"/>
      <c r="KD674" s="259"/>
      <c r="KE674" s="259"/>
      <c r="KF674" s="259"/>
      <c r="KG674" s="259"/>
      <c r="KH674" s="259"/>
      <c r="KI674" s="259"/>
      <c r="KJ674" s="259"/>
      <c r="KK674" s="259"/>
      <c r="KL674" s="259"/>
      <c r="KM674" s="259"/>
      <c r="KN674" s="259"/>
      <c r="KO674" s="259"/>
      <c r="KP674" s="259"/>
      <c r="KQ674" s="259"/>
      <c r="KR674" s="259"/>
      <c r="KS674" s="259"/>
      <c r="KT674" s="259"/>
      <c r="KU674" s="259"/>
      <c r="KV674" s="259"/>
      <c r="KW674" s="259"/>
      <c r="KX674" s="259"/>
      <c r="KY674" s="259"/>
      <c r="KZ674" s="259"/>
      <c r="LA674" s="259"/>
      <c r="LB674" s="259"/>
      <c r="LC674" s="259"/>
      <c r="LD674" s="259"/>
      <c r="LE674" s="259"/>
      <c r="LF674" s="259"/>
      <c r="LG674" s="259"/>
      <c r="LH674" s="259"/>
      <c r="LI674" s="259"/>
      <c r="LJ674" s="259"/>
      <c r="LK674" s="259"/>
      <c r="LL674" s="259"/>
      <c r="LM674" s="259"/>
      <c r="LN674" s="259"/>
      <c r="LO674" s="259"/>
      <c r="LP674" s="259"/>
      <c r="LQ674" s="259"/>
      <c r="LR674" s="259"/>
      <c r="LS674" s="259"/>
      <c r="LT674" s="259"/>
      <c r="LU674" s="259"/>
      <c r="LV674" s="259"/>
      <c r="LW674" s="259"/>
      <c r="LX674" s="259"/>
      <c r="LY674" s="259"/>
      <c r="LZ674" s="259"/>
      <c r="MA674" s="259"/>
      <c r="MB674" s="259"/>
      <c r="MC674" s="259"/>
      <c r="MD674" s="259"/>
      <c r="ME674" s="259"/>
      <c r="MF674" s="259"/>
      <c r="MG674" s="259"/>
      <c r="MH674" s="259"/>
      <c r="MI674" s="259"/>
      <c r="MJ674" s="259"/>
      <c r="MK674" s="259"/>
      <c r="ML674" s="259"/>
      <c r="MM674" s="259"/>
      <c r="MN674" s="259"/>
      <c r="MO674" s="259"/>
      <c r="MP674" s="259"/>
      <c r="MQ674" s="259"/>
      <c r="MR674" s="259"/>
      <c r="MS674" s="259"/>
      <c r="MT674" s="259"/>
      <c r="MU674" s="259"/>
      <c r="MV674" s="259"/>
      <c r="MW674" s="259"/>
      <c r="MX674" s="259"/>
      <c r="MY674" s="259"/>
      <c r="MZ674" s="259"/>
      <c r="NA674" s="259"/>
      <c r="NB674" s="259"/>
      <c r="NC674" s="259"/>
      <c r="ND674" s="259"/>
      <c r="NE674" s="259"/>
      <c r="NF674" s="259"/>
      <c r="NG674" s="259"/>
      <c r="NH674" s="259"/>
      <c r="NI674" s="259"/>
      <c r="NJ674" s="259"/>
      <c r="NK674" s="259"/>
      <c r="NL674" s="259"/>
      <c r="NM674" s="259"/>
      <c r="NN674" s="259"/>
      <c r="NO674" s="259"/>
      <c r="NP674" s="259"/>
      <c r="NQ674" s="259"/>
      <c r="NR674" s="259"/>
      <c r="NS674" s="259"/>
      <c r="NT674" s="259"/>
      <c r="NU674" s="259"/>
      <c r="NV674" s="259"/>
      <c r="NW674" s="259"/>
      <c r="NX674" s="259"/>
      <c r="NY674" s="259"/>
      <c r="NZ674" s="259"/>
      <c r="OA674" s="259"/>
      <c r="OB674" s="259"/>
      <c r="OC674" s="259"/>
      <c r="OD674" s="259"/>
      <c r="OE674" s="259"/>
      <c r="OF674" s="259"/>
      <c r="OG674" s="259"/>
      <c r="OH674" s="259"/>
      <c r="OI674" s="259"/>
      <c r="OJ674" s="259"/>
      <c r="OK674" s="259"/>
      <c r="OL674" s="259"/>
      <c r="OM674" s="259"/>
      <c r="ON674" s="259"/>
      <c r="OO674" s="259"/>
      <c r="OP674" s="259"/>
      <c r="OQ674" s="259"/>
      <c r="OR674" s="259"/>
      <c r="OS674" s="259"/>
      <c r="OT674" s="259"/>
      <c r="OU674" s="259"/>
      <c r="OV674" s="259"/>
      <c r="OW674" s="259"/>
      <c r="OX674" s="259"/>
      <c r="OY674" s="259"/>
      <c r="OZ674" s="259"/>
      <c r="PA674" s="259"/>
      <c r="PB674" s="259"/>
      <c r="PC674" s="259"/>
      <c r="PD674" s="259"/>
      <c r="PE674" s="259"/>
      <c r="PF674" s="259"/>
      <c r="PG674" s="259"/>
      <c r="PH674" s="259"/>
      <c r="PI674" s="259"/>
      <c r="PJ674" s="259"/>
      <c r="PK674" s="259"/>
      <c r="PL674" s="259"/>
      <c r="PM674" s="259"/>
      <c r="PN674" s="259"/>
      <c r="PO674" s="259"/>
      <c r="PP674" s="259"/>
      <c r="PQ674" s="259"/>
      <c r="PR674" s="259"/>
      <c r="PS674" s="259"/>
      <c r="PT674" s="259"/>
      <c r="PU674" s="259"/>
      <c r="PV674" s="259"/>
      <c r="PW674" s="259"/>
      <c r="PX674" s="259"/>
      <c r="PY674" s="259"/>
      <c r="PZ674" s="259"/>
      <c r="QA674" s="259"/>
      <c r="QB674" s="259"/>
      <c r="QC674" s="259"/>
      <c r="QD674" s="259"/>
      <c r="QE674" s="259"/>
      <c r="QF674" s="259"/>
      <c r="QG674" s="259"/>
      <c r="QH674" s="259"/>
      <c r="QI674" s="259"/>
      <c r="QJ674" s="259"/>
      <c r="QK674" s="259"/>
      <c r="QL674" s="259"/>
      <c r="QM674" s="259"/>
      <c r="QN674" s="259"/>
      <c r="QO674" s="259"/>
      <c r="QP674" s="259"/>
      <c r="QQ674" s="259"/>
      <c r="QR674" s="259"/>
      <c r="QS674" s="259"/>
      <c r="QT674" s="259"/>
      <c r="QU674" s="259"/>
      <c r="QV674" s="259"/>
      <c r="QW674" s="259"/>
      <c r="QX674" s="259"/>
      <c r="QY674" s="259"/>
      <c r="QZ674" s="259"/>
      <c r="RA674" s="259"/>
      <c r="RB674" s="259"/>
      <c r="RC674" s="259"/>
      <c r="RD674" s="259"/>
      <c r="RE674" s="259"/>
      <c r="RF674" s="259"/>
      <c r="RG674" s="259"/>
      <c r="RH674" s="259"/>
      <c r="RI674" s="259"/>
      <c r="RJ674" s="259"/>
      <c r="RK674" s="259"/>
      <c r="RL674" s="259"/>
      <c r="RM674" s="259"/>
      <c r="RN674" s="259"/>
      <c r="RO674" s="259"/>
      <c r="RP674" s="259"/>
      <c r="RQ674" s="259"/>
      <c r="RR674" s="259"/>
      <c r="RS674" s="259"/>
      <c r="RT674" s="259"/>
      <c r="RU674" s="259"/>
      <c r="RV674" s="259"/>
      <c r="RW674" s="259"/>
      <c r="RX674" s="259"/>
      <c r="RY674" s="259"/>
      <c r="RZ674" s="259"/>
      <c r="SA674" s="259"/>
      <c r="SB674" s="259"/>
      <c r="SC674" s="259"/>
      <c r="SD674" s="259"/>
      <c r="SE674" s="259"/>
      <c r="SF674" s="259"/>
      <c r="SG674" s="259"/>
      <c r="SH674" s="259"/>
      <c r="SI674" s="259"/>
      <c r="SJ674" s="259"/>
      <c r="SK674" s="259"/>
      <c r="SL674" s="259"/>
      <c r="SM674" s="259"/>
      <c r="SN674" s="259"/>
      <c r="SO674" s="259"/>
      <c r="SP674" s="259"/>
      <c r="SQ674" s="259"/>
      <c r="SR674" s="259"/>
      <c r="SS674" s="259"/>
      <c r="ST674" s="259"/>
      <c r="SU674" s="259"/>
      <c r="SV674" s="259"/>
      <c r="SW674" s="259"/>
      <c r="SX674" s="259"/>
      <c r="SY674" s="259"/>
      <c r="SZ674" s="259"/>
      <c r="TA674" s="259"/>
      <c r="TB674" s="259"/>
      <c r="TC674" s="259"/>
      <c r="TD674" s="259"/>
      <c r="TE674" s="259"/>
      <c r="TF674" s="259"/>
      <c r="TG674" s="259"/>
      <c r="TH674" s="259"/>
      <c r="TI674" s="259"/>
      <c r="TJ674" s="259"/>
      <c r="TK674" s="259"/>
      <c r="TL674" s="259"/>
      <c r="TM674" s="259"/>
      <c r="TN674" s="259"/>
      <c r="TO674" s="259"/>
      <c r="TP674" s="259"/>
      <c r="TQ674" s="259"/>
      <c r="TR674" s="259"/>
      <c r="TS674" s="259"/>
      <c r="TT674" s="259"/>
      <c r="TU674" s="259"/>
      <c r="TV674" s="259"/>
      <c r="TW674" s="259"/>
      <c r="TX674" s="259"/>
      <c r="TY674" s="259"/>
      <c r="TZ674" s="259"/>
      <c r="UA674" s="259"/>
      <c r="UB674" s="259"/>
      <c r="UC674" s="259"/>
      <c r="UD674" s="259"/>
      <c r="UE674" s="259"/>
      <c r="UF674" s="259"/>
      <c r="UG674" s="259"/>
      <c r="UH674" s="259"/>
      <c r="UI674" s="259"/>
    </row>
    <row r="675" spans="1:555" ht="121.5">
      <c r="A675" s="33">
        <v>529</v>
      </c>
      <c r="B675" s="34" t="s">
        <v>4870</v>
      </c>
      <c r="C675" s="35">
        <v>52029336</v>
      </c>
      <c r="D675" s="440" t="s">
        <v>579</v>
      </c>
      <c r="E675" s="37">
        <v>42865</v>
      </c>
      <c r="F675" s="38">
        <v>42856</v>
      </c>
      <c r="G675" s="39" t="s">
        <v>271</v>
      </c>
      <c r="H675" s="34" t="s">
        <v>63</v>
      </c>
      <c r="I675" s="34" t="s">
        <v>4871</v>
      </c>
      <c r="J675" s="37"/>
      <c r="K675" s="38"/>
      <c r="L675" s="39"/>
      <c r="M675" s="34"/>
      <c r="N675" s="34"/>
      <c r="O675" s="37"/>
      <c r="P675" s="40"/>
      <c r="Q675" s="39"/>
      <c r="R675" s="34"/>
      <c r="S675" s="34"/>
      <c r="T675" s="37"/>
      <c r="U675" s="38"/>
      <c r="V675" s="39"/>
      <c r="W675" s="34"/>
      <c r="X675" s="34"/>
      <c r="Y675" s="37"/>
      <c r="Z675" s="38"/>
      <c r="AA675" s="39"/>
      <c r="AB675" s="34"/>
      <c r="AC675" s="34"/>
      <c r="AD675" s="37"/>
      <c r="AE675" s="38"/>
      <c r="AF675" s="39"/>
      <c r="AG675" s="34"/>
      <c r="AH675" s="34"/>
      <c r="AI675" s="73"/>
      <c r="AJ675" s="38"/>
      <c r="AK675" s="39"/>
      <c r="AL675" s="34"/>
      <c r="AM675" s="34"/>
      <c r="AN675" s="34"/>
      <c r="AO675" s="478"/>
      <c r="AP675" s="34"/>
      <c r="AQ675" s="39" t="s">
        <v>4872</v>
      </c>
      <c r="AR675" s="34" t="s">
        <v>161</v>
      </c>
      <c r="AS675" s="37" t="s">
        <v>579</v>
      </c>
      <c r="AT675" s="37" t="s">
        <v>579</v>
      </c>
      <c r="AU675" s="34" t="s">
        <v>4873</v>
      </c>
      <c r="AV675" s="34"/>
      <c r="AW675" s="34" t="s">
        <v>579</v>
      </c>
      <c r="AX675" s="34" t="s">
        <v>4874</v>
      </c>
      <c r="AY675" s="37">
        <v>41790</v>
      </c>
      <c r="AZ675" s="34" t="s">
        <v>4875</v>
      </c>
      <c r="BA675" s="37">
        <v>42766</v>
      </c>
      <c r="BB675" s="382">
        <v>42782</v>
      </c>
      <c r="BC675" s="34" t="s">
        <v>912</v>
      </c>
      <c r="BD675" s="34"/>
      <c r="BE675" s="34"/>
      <c r="BF675" s="39"/>
      <c r="BG675" s="39"/>
      <c r="BH675" s="39"/>
      <c r="BI675" s="39"/>
      <c r="BJ675" s="138">
        <v>13985600</v>
      </c>
      <c r="BK675" s="74"/>
      <c r="BL675" s="44"/>
      <c r="BM675" s="37"/>
      <c r="BN675" s="38"/>
      <c r="BO675" s="462"/>
      <c r="BP675" s="391"/>
      <c r="BQ675" s="34"/>
      <c r="BR675" s="42"/>
      <c r="BS675" s="39"/>
      <c r="BT675" s="39"/>
      <c r="BU675" s="39"/>
      <c r="BV675" s="39"/>
      <c r="BW675" s="51"/>
      <c r="BX675" s="41"/>
      <c r="BY675" s="37"/>
      <c r="BZ675" s="52"/>
    </row>
    <row r="676" spans="1:555" ht="54">
      <c r="A676" s="57">
        <v>535</v>
      </c>
      <c r="B676" s="58" t="s">
        <v>4891</v>
      </c>
      <c r="C676" s="59" t="s">
        <v>4892</v>
      </c>
      <c r="D676" s="170" t="s">
        <v>4893</v>
      </c>
      <c r="E676" s="60">
        <v>42866</v>
      </c>
      <c r="F676" s="61">
        <v>42856</v>
      </c>
      <c r="G676" s="62" t="s">
        <v>271</v>
      </c>
      <c r="H676" s="58" t="s">
        <v>63</v>
      </c>
      <c r="I676" s="58" t="s">
        <v>79</v>
      </c>
      <c r="J676" s="60">
        <v>42881</v>
      </c>
      <c r="K676" s="61">
        <v>42856</v>
      </c>
      <c r="L676" s="62" t="s">
        <v>4894</v>
      </c>
      <c r="M676" s="58" t="s">
        <v>4895</v>
      </c>
      <c r="N676" s="58" t="s">
        <v>85</v>
      </c>
      <c r="O676" s="60"/>
      <c r="P676" s="63"/>
      <c r="Q676" s="62"/>
      <c r="R676" s="58"/>
      <c r="S676" s="58"/>
      <c r="T676" s="60"/>
      <c r="U676" s="61"/>
      <c r="V676" s="62"/>
      <c r="W676" s="58"/>
      <c r="X676" s="58"/>
      <c r="Y676" s="60"/>
      <c r="Z676" s="61"/>
      <c r="AA676" s="62"/>
      <c r="AB676" s="58"/>
      <c r="AC676" s="58"/>
      <c r="AD676" s="60"/>
      <c r="AE676" s="61"/>
      <c r="AF676" s="62"/>
      <c r="AG676" s="58"/>
      <c r="AH676" s="58"/>
      <c r="AI676" s="117"/>
      <c r="AJ676" s="61"/>
      <c r="AK676" s="62"/>
      <c r="AL676" s="58"/>
      <c r="AM676" s="58"/>
      <c r="AN676" s="58" t="s">
        <v>4896</v>
      </c>
      <c r="AO676" s="478"/>
      <c r="AP676" s="58"/>
      <c r="AQ676" s="62" t="s">
        <v>4897</v>
      </c>
      <c r="AR676" s="58" t="s">
        <v>4858</v>
      </c>
      <c r="AS676" s="60" t="s">
        <v>67</v>
      </c>
      <c r="AT676" s="60" t="s">
        <v>67</v>
      </c>
      <c r="AU676" s="58" t="s">
        <v>4898</v>
      </c>
      <c r="AV676" s="58"/>
      <c r="AW676" s="58" t="s">
        <v>69</v>
      </c>
      <c r="AX676" s="58" t="s">
        <v>7578</v>
      </c>
      <c r="AY676" s="60">
        <v>42773</v>
      </c>
      <c r="AZ676" s="58" t="s">
        <v>67</v>
      </c>
      <c r="BA676" s="60" t="s">
        <v>67</v>
      </c>
      <c r="BB676" s="382">
        <v>42779</v>
      </c>
      <c r="BC676" s="58" t="s">
        <v>71</v>
      </c>
      <c r="BD676" s="58"/>
      <c r="BE676" s="58"/>
      <c r="BF676" s="62"/>
      <c r="BG676" s="62"/>
      <c r="BH676" s="62"/>
      <c r="BI676" s="62"/>
      <c r="BJ676" s="138">
        <v>20796870</v>
      </c>
      <c r="BK676" s="67"/>
      <c r="BL676" s="68"/>
      <c r="BM676" s="60"/>
      <c r="BN676" s="61"/>
      <c r="BO676" s="463"/>
      <c r="BP676" s="122"/>
      <c r="BQ676" s="58"/>
      <c r="BR676" s="70"/>
      <c r="BS676" s="62"/>
      <c r="BT676" s="62"/>
      <c r="BU676" s="62"/>
      <c r="BV676" s="62"/>
      <c r="BW676" s="71"/>
      <c r="BX676" s="66"/>
      <c r="BY676" s="60"/>
      <c r="BZ676" s="72"/>
    </row>
    <row r="677" spans="1:555" ht="54">
      <c r="A677" s="57">
        <v>540</v>
      </c>
      <c r="B677" s="58" t="s">
        <v>4317</v>
      </c>
      <c r="C677" s="59">
        <v>5824714</v>
      </c>
      <c r="D677" s="170" t="s">
        <v>3988</v>
      </c>
      <c r="E677" s="60">
        <v>42878</v>
      </c>
      <c r="F677" s="61">
        <v>42856</v>
      </c>
      <c r="G677" s="62" t="s">
        <v>271</v>
      </c>
      <c r="H677" s="58" t="s">
        <v>5</v>
      </c>
      <c r="I677" s="58" t="s">
        <v>183</v>
      </c>
      <c r="J677" s="60">
        <v>42969</v>
      </c>
      <c r="K677" s="61">
        <v>42948</v>
      </c>
      <c r="L677" s="62" t="s">
        <v>4915</v>
      </c>
      <c r="M677" s="58" t="s">
        <v>625</v>
      </c>
      <c r="N677" s="58" t="s">
        <v>4916</v>
      </c>
      <c r="O677" s="60">
        <v>42985</v>
      </c>
      <c r="P677" s="63">
        <v>42979</v>
      </c>
      <c r="Q677" s="62" t="s">
        <v>4917</v>
      </c>
      <c r="R677" s="58" t="s">
        <v>625</v>
      </c>
      <c r="S677" s="58" t="s">
        <v>4918</v>
      </c>
      <c r="T677" s="60">
        <v>42992</v>
      </c>
      <c r="U677" s="61">
        <v>42979</v>
      </c>
      <c r="V677" s="62" t="s">
        <v>4919</v>
      </c>
      <c r="W677" s="58" t="s">
        <v>152</v>
      </c>
      <c r="X677" s="58" t="s">
        <v>4920</v>
      </c>
      <c r="Y677" s="60">
        <v>42998</v>
      </c>
      <c r="Z677" s="61">
        <v>42979</v>
      </c>
      <c r="AA677" s="62" t="s">
        <v>4921</v>
      </c>
      <c r="AB677" s="58" t="s">
        <v>198</v>
      </c>
      <c r="AC677" s="58" t="s">
        <v>352</v>
      </c>
      <c r="AD677" s="60">
        <v>43753</v>
      </c>
      <c r="AE677" s="61">
        <v>43753</v>
      </c>
      <c r="AF677" s="62" t="s">
        <v>9175</v>
      </c>
      <c r="AG677" s="58" t="s">
        <v>5</v>
      </c>
      <c r="AH677" s="58" t="s">
        <v>79</v>
      </c>
      <c r="AI677" s="60">
        <v>44104</v>
      </c>
      <c r="AJ677" s="61">
        <v>44104</v>
      </c>
      <c r="AK677" s="62" t="s">
        <v>9722</v>
      </c>
      <c r="AL677" s="58" t="s">
        <v>5</v>
      </c>
      <c r="AM677" s="58" t="s">
        <v>85</v>
      </c>
      <c r="AN677" s="58" t="s">
        <v>3671</v>
      </c>
      <c r="AO677" s="478"/>
      <c r="AP677" s="58"/>
      <c r="AQ677" s="62" t="s">
        <v>4922</v>
      </c>
      <c r="AR677" s="58" t="s">
        <v>161</v>
      </c>
      <c r="AS677" s="60">
        <v>36839</v>
      </c>
      <c r="AT677" s="60">
        <v>40908</v>
      </c>
      <c r="AU677" s="58" t="s">
        <v>4923</v>
      </c>
      <c r="AV677" s="58"/>
      <c r="AW677" s="58" t="s">
        <v>69</v>
      </c>
      <c r="AX677" s="58" t="s">
        <v>4924</v>
      </c>
      <c r="AY677" s="60">
        <v>42534</v>
      </c>
      <c r="AZ677" s="58" t="s">
        <v>4904</v>
      </c>
      <c r="BA677" s="60">
        <v>42852</v>
      </c>
      <c r="BB677" s="382">
        <v>42958</v>
      </c>
      <c r="BC677" s="70" t="s">
        <v>912</v>
      </c>
      <c r="BD677" s="70" t="s">
        <v>566</v>
      </c>
      <c r="BE677" s="58"/>
      <c r="BF677" s="62"/>
      <c r="BG677" s="62"/>
      <c r="BH677" s="62"/>
      <c r="BI677" s="62"/>
      <c r="BJ677" s="74">
        <f>+[210]MATRIZ!$J$58</f>
        <v>0</v>
      </c>
      <c r="BK677" s="67"/>
      <c r="BL677" s="68"/>
      <c r="BM677" s="60"/>
      <c r="BN677" s="61"/>
      <c r="BO677" s="463"/>
      <c r="BP677" s="122"/>
      <c r="BQ677" s="58"/>
      <c r="BR677" s="70"/>
      <c r="BS677" s="62"/>
      <c r="BT677" s="62"/>
      <c r="BU677" s="62"/>
      <c r="BV677" s="62"/>
      <c r="BW677" s="71"/>
      <c r="BX677" s="66"/>
      <c r="BY677" s="60"/>
      <c r="BZ677" s="72"/>
    </row>
    <row r="678" spans="1:555" ht="54">
      <c r="A678" s="57">
        <v>541</v>
      </c>
      <c r="B678" s="58" t="s">
        <v>4925</v>
      </c>
      <c r="C678" s="59">
        <v>16288911</v>
      </c>
      <c r="D678" s="170" t="s">
        <v>2446</v>
      </c>
      <c r="E678" s="60">
        <v>42879</v>
      </c>
      <c r="F678" s="61">
        <v>42856</v>
      </c>
      <c r="G678" s="62" t="s">
        <v>271</v>
      </c>
      <c r="H678" s="58" t="s">
        <v>5</v>
      </c>
      <c r="I678" s="58" t="s">
        <v>183</v>
      </c>
      <c r="J678" s="60">
        <v>42979</v>
      </c>
      <c r="K678" s="61">
        <v>42979</v>
      </c>
      <c r="L678" s="62" t="s">
        <v>4926</v>
      </c>
      <c r="M678" s="58" t="s">
        <v>5</v>
      </c>
      <c r="N678" s="58" t="s">
        <v>4927</v>
      </c>
      <c r="O678" s="60">
        <v>42986</v>
      </c>
      <c r="P678" s="63">
        <v>42979</v>
      </c>
      <c r="Q678" s="62" t="s">
        <v>4928</v>
      </c>
      <c r="R678" s="58" t="s">
        <v>625</v>
      </c>
      <c r="S678" s="58" t="s">
        <v>4918</v>
      </c>
      <c r="T678" s="963">
        <v>44510</v>
      </c>
      <c r="U678" s="61">
        <v>44501</v>
      </c>
      <c r="V678" s="959" t="s">
        <v>10677</v>
      </c>
      <c r="W678" s="58" t="s">
        <v>208</v>
      </c>
      <c r="X678" s="58" t="s">
        <v>10678</v>
      </c>
      <c r="Y678" s="60"/>
      <c r="Z678" s="61"/>
      <c r="AA678" s="62"/>
      <c r="AB678" s="58"/>
      <c r="AC678" s="58"/>
      <c r="AD678" s="60"/>
      <c r="AE678" s="61"/>
      <c r="AF678" s="62"/>
      <c r="AG678" s="58"/>
      <c r="AH678" s="58"/>
      <c r="AI678" s="117"/>
      <c r="AJ678" s="61"/>
      <c r="AK678" s="62"/>
      <c r="AL678" s="58"/>
      <c r="AM678" s="58"/>
      <c r="AN678" s="58" t="s">
        <v>3671</v>
      </c>
      <c r="AO678" s="478"/>
      <c r="AP678" s="58"/>
      <c r="AQ678" s="62" t="s">
        <v>4929</v>
      </c>
      <c r="AR678" s="58" t="s">
        <v>161</v>
      </c>
      <c r="AS678" s="60">
        <v>39287</v>
      </c>
      <c r="AT678" s="60">
        <v>40862</v>
      </c>
      <c r="AU678" s="58" t="s">
        <v>4930</v>
      </c>
      <c r="AV678" s="58"/>
      <c r="AW678" s="58" t="s">
        <v>69</v>
      </c>
      <c r="AX678" s="58" t="s">
        <v>4907</v>
      </c>
      <c r="AY678" s="60">
        <v>42489</v>
      </c>
      <c r="AZ678" s="58" t="s">
        <v>4904</v>
      </c>
      <c r="BA678" s="60">
        <v>42824</v>
      </c>
      <c r="BB678" s="382">
        <v>42873</v>
      </c>
      <c r="BC678" s="58" t="s">
        <v>95</v>
      </c>
      <c r="BD678" s="58" t="s">
        <v>566</v>
      </c>
      <c r="BE678" s="58"/>
      <c r="BF678" s="62" t="s">
        <v>4931</v>
      </c>
      <c r="BG678" s="62"/>
      <c r="BH678" s="62"/>
      <c r="BI678" s="62"/>
      <c r="BJ678" s="74">
        <f>+[211]MATRIZ!$J$77</f>
        <v>210379111.24427828</v>
      </c>
      <c r="BK678" s="67"/>
      <c r="BL678" s="68"/>
      <c r="BM678" s="60"/>
      <c r="BN678" s="61"/>
      <c r="BO678" s="463"/>
      <c r="BP678" s="122"/>
      <c r="BQ678" s="58"/>
      <c r="BR678" s="70"/>
      <c r="BS678" s="62"/>
      <c r="BT678" s="62"/>
      <c r="BU678" s="62"/>
      <c r="BV678" s="62"/>
      <c r="BW678" s="71"/>
      <c r="BX678" s="66"/>
      <c r="BY678" s="60"/>
      <c r="BZ678" s="72"/>
    </row>
    <row r="679" spans="1:555" ht="111.75" customHeight="1">
      <c r="A679" s="57">
        <v>548</v>
      </c>
      <c r="B679" s="58" t="s">
        <v>4955</v>
      </c>
      <c r="C679" s="59">
        <v>79989849</v>
      </c>
      <c r="D679" s="170" t="s">
        <v>167</v>
      </c>
      <c r="E679" s="60">
        <v>42880</v>
      </c>
      <c r="F679" s="61">
        <v>42856</v>
      </c>
      <c r="G679" s="62" t="s">
        <v>4956</v>
      </c>
      <c r="H679" s="58" t="s">
        <v>171</v>
      </c>
      <c r="I679" s="58" t="s">
        <v>183</v>
      </c>
      <c r="J679" s="60">
        <v>42976</v>
      </c>
      <c r="K679" s="61">
        <v>42948</v>
      </c>
      <c r="L679" s="62" t="s">
        <v>4957</v>
      </c>
      <c r="M679" s="58" t="s">
        <v>625</v>
      </c>
      <c r="N679" s="58" t="s">
        <v>4958</v>
      </c>
      <c r="O679" s="60">
        <v>43147</v>
      </c>
      <c r="P679" s="63">
        <v>43147</v>
      </c>
      <c r="Q679" s="62" t="s">
        <v>4959</v>
      </c>
      <c r="R679" s="58" t="s">
        <v>5</v>
      </c>
      <c r="S679" s="58" t="s">
        <v>79</v>
      </c>
      <c r="T679" s="60">
        <v>43762</v>
      </c>
      <c r="U679" s="61">
        <v>43762</v>
      </c>
      <c r="V679" s="62" t="s">
        <v>9222</v>
      </c>
      <c r="W679" s="58" t="s">
        <v>208</v>
      </c>
      <c r="X679" s="58" t="s">
        <v>8243</v>
      </c>
      <c r="Y679" s="60">
        <v>43840</v>
      </c>
      <c r="Z679" s="61">
        <v>43840</v>
      </c>
      <c r="AA679" s="62" t="s">
        <v>9371</v>
      </c>
      <c r="AB679" s="58" t="s">
        <v>208</v>
      </c>
      <c r="AC679" s="58" t="s">
        <v>8243</v>
      </c>
      <c r="AD679" s="60">
        <v>44088</v>
      </c>
      <c r="AE679" s="61">
        <v>44088</v>
      </c>
      <c r="AF679" s="62" t="s">
        <v>9703</v>
      </c>
      <c r="AG679" s="58" t="s">
        <v>208</v>
      </c>
      <c r="AH679" s="58" t="s">
        <v>8255</v>
      </c>
      <c r="AI679" s="60">
        <v>44281</v>
      </c>
      <c r="AJ679" s="61">
        <v>44281</v>
      </c>
      <c r="AK679" s="62" t="s">
        <v>10666</v>
      </c>
      <c r="AL679" s="58" t="s">
        <v>10667</v>
      </c>
      <c r="AM679" s="58" t="s">
        <v>9511</v>
      </c>
      <c r="AN679" s="58" t="s">
        <v>10668</v>
      </c>
      <c r="AO679" s="478"/>
      <c r="AP679" s="58"/>
      <c r="AQ679" s="62" t="s">
        <v>4960</v>
      </c>
      <c r="AR679" s="58" t="s">
        <v>79</v>
      </c>
      <c r="AS679" s="60">
        <v>37181</v>
      </c>
      <c r="AT679" s="60">
        <v>40862</v>
      </c>
      <c r="AU679" s="58" t="s">
        <v>4961</v>
      </c>
      <c r="AV679" s="58"/>
      <c r="AW679" s="58" t="s">
        <v>92</v>
      </c>
      <c r="AX679" s="58" t="s">
        <v>3900</v>
      </c>
      <c r="AY679" s="60">
        <v>41739</v>
      </c>
      <c r="AZ679" s="58" t="s">
        <v>4904</v>
      </c>
      <c r="BA679" s="60">
        <v>42880</v>
      </c>
      <c r="BB679" s="382">
        <v>42891</v>
      </c>
      <c r="BC679" s="58" t="s">
        <v>4865</v>
      </c>
      <c r="BD679" s="58" t="s">
        <v>566</v>
      </c>
      <c r="BE679" s="58"/>
      <c r="BF679" s="62" t="s">
        <v>4962</v>
      </c>
      <c r="BG679" s="62"/>
      <c r="BH679" s="62"/>
      <c r="BI679" s="62"/>
      <c r="BJ679" s="138">
        <f>+[212]MATRIZ!$J$95</f>
        <v>0</v>
      </c>
      <c r="BK679" s="67"/>
      <c r="BL679" s="68"/>
      <c r="BM679" s="60"/>
      <c r="BN679" s="61"/>
      <c r="BO679" s="463"/>
      <c r="BP679" s="122"/>
      <c r="BQ679" s="58"/>
      <c r="BR679" s="70"/>
      <c r="BS679" s="62"/>
      <c r="BT679" s="62"/>
      <c r="BU679" s="62"/>
      <c r="BV679" s="62"/>
      <c r="BW679" s="71"/>
      <c r="BX679" s="66"/>
      <c r="BY679" s="60"/>
      <c r="BZ679" s="72"/>
    </row>
    <row r="680" spans="1:555" ht="86.25" customHeight="1">
      <c r="A680" s="57">
        <v>549</v>
      </c>
      <c r="B680" s="58" t="s">
        <v>4963</v>
      </c>
      <c r="C680" s="59">
        <v>72126818</v>
      </c>
      <c r="D680" s="170" t="s">
        <v>667</v>
      </c>
      <c r="E680" s="60">
        <v>42880</v>
      </c>
      <c r="F680" s="61">
        <v>42856</v>
      </c>
      <c r="G680" s="62" t="s">
        <v>4964</v>
      </c>
      <c r="H680" s="58" t="s">
        <v>171</v>
      </c>
      <c r="I680" s="58" t="s">
        <v>183</v>
      </c>
      <c r="J680" s="60">
        <v>43154</v>
      </c>
      <c r="K680" s="61">
        <v>43132</v>
      </c>
      <c r="L680" s="62" t="s">
        <v>4965</v>
      </c>
      <c r="M680" s="58" t="s">
        <v>208</v>
      </c>
      <c r="N680" s="58" t="s">
        <v>107</v>
      </c>
      <c r="O680" s="60">
        <v>43222</v>
      </c>
      <c r="P680" s="63">
        <v>43221</v>
      </c>
      <c r="Q680" s="62" t="s">
        <v>4966</v>
      </c>
      <c r="R680" s="58" t="s">
        <v>63</v>
      </c>
      <c r="S680" s="58" t="s">
        <v>2080</v>
      </c>
      <c r="T680" s="60">
        <v>43371</v>
      </c>
      <c r="U680" s="61">
        <v>43371</v>
      </c>
      <c r="V680" s="66" t="s">
        <v>4967</v>
      </c>
      <c r="W680" s="58" t="s">
        <v>5</v>
      </c>
      <c r="X680" s="58" t="s">
        <v>4968</v>
      </c>
      <c r="Y680" s="64">
        <v>43455</v>
      </c>
      <c r="Z680" s="61">
        <v>43455</v>
      </c>
      <c r="AA680" s="425" t="s">
        <v>8000</v>
      </c>
      <c r="AB680" s="425" t="s">
        <v>63</v>
      </c>
      <c r="AC680" s="425" t="s">
        <v>8001</v>
      </c>
      <c r="AD680" s="60">
        <v>43719</v>
      </c>
      <c r="AE680" s="61">
        <v>43719</v>
      </c>
      <c r="AF680" s="62" t="s">
        <v>9154</v>
      </c>
      <c r="AG680" s="58" t="s">
        <v>208</v>
      </c>
      <c r="AH680" s="58" t="s">
        <v>9155</v>
      </c>
      <c r="AI680" s="117" t="s">
        <v>10375</v>
      </c>
      <c r="AJ680" s="61" t="s">
        <v>10376</v>
      </c>
      <c r="AK680" s="62" t="s">
        <v>10374</v>
      </c>
      <c r="AL680" s="58" t="s">
        <v>10377</v>
      </c>
      <c r="AM680" s="58" t="s">
        <v>10378</v>
      </c>
      <c r="AN680" s="58" t="s">
        <v>4827</v>
      </c>
      <c r="AO680" s="478"/>
      <c r="AP680" s="58"/>
      <c r="AQ680" s="62" t="s">
        <v>4969</v>
      </c>
      <c r="AR680" s="58" t="s">
        <v>161</v>
      </c>
      <c r="AS680" s="60">
        <v>38534</v>
      </c>
      <c r="AT680" s="60">
        <v>40702</v>
      </c>
      <c r="AU680" s="58" t="s">
        <v>4970</v>
      </c>
      <c r="AV680" s="58"/>
      <c r="AW680" s="58" t="s">
        <v>92</v>
      </c>
      <c r="AX680" s="58" t="s">
        <v>4971</v>
      </c>
      <c r="AY680" s="60">
        <v>41586</v>
      </c>
      <c r="AZ680" s="58" t="s">
        <v>4904</v>
      </c>
      <c r="BA680" s="60">
        <v>42811</v>
      </c>
      <c r="BB680" s="382">
        <v>42843</v>
      </c>
      <c r="BC680" s="58" t="s">
        <v>4865</v>
      </c>
      <c r="BD680" s="58" t="s">
        <v>1792</v>
      </c>
      <c r="BE680" s="58"/>
      <c r="BF680" s="62" t="s">
        <v>4972</v>
      </c>
      <c r="BG680" s="62"/>
      <c r="BH680" s="62"/>
      <c r="BI680" s="62"/>
      <c r="BJ680" s="74">
        <f>+[213]MATRIZ!$J$73</f>
        <v>0</v>
      </c>
      <c r="BK680" s="67"/>
      <c r="BL680" s="68"/>
      <c r="BM680" s="60"/>
      <c r="BN680" s="61"/>
      <c r="BO680" s="463"/>
      <c r="BP680" s="122"/>
      <c r="BQ680" s="58"/>
      <c r="BR680" s="70"/>
      <c r="BS680" s="62"/>
      <c r="BT680" s="62"/>
      <c r="BU680" s="62"/>
      <c r="BV680" s="62"/>
      <c r="BW680" s="71"/>
      <c r="BX680" s="66"/>
      <c r="BY680" s="60"/>
      <c r="BZ680" s="72"/>
    </row>
    <row r="681" spans="1:555" s="259" customFormat="1" ht="82.5" customHeight="1">
      <c r="A681" s="57">
        <v>550</v>
      </c>
      <c r="B681" s="58" t="s">
        <v>4973</v>
      </c>
      <c r="C681" s="59">
        <v>91540851</v>
      </c>
      <c r="D681" s="170" t="s">
        <v>167</v>
      </c>
      <c r="E681" s="60">
        <v>42880</v>
      </c>
      <c r="F681" s="61">
        <v>42856</v>
      </c>
      <c r="G681" s="62" t="s">
        <v>4964</v>
      </c>
      <c r="H681" s="58" t="s">
        <v>171</v>
      </c>
      <c r="I681" s="58" t="s">
        <v>183</v>
      </c>
      <c r="J681" s="60">
        <v>42965</v>
      </c>
      <c r="K681" s="61">
        <v>42948</v>
      </c>
      <c r="L681" s="62" t="s">
        <v>4974</v>
      </c>
      <c r="M681" s="58" t="s">
        <v>5</v>
      </c>
      <c r="N681" s="58" t="s">
        <v>79</v>
      </c>
      <c r="O681" s="60">
        <v>43157</v>
      </c>
      <c r="P681" s="63">
        <v>43132</v>
      </c>
      <c r="Q681" s="62" t="s">
        <v>4975</v>
      </c>
      <c r="R681" s="58" t="s">
        <v>208</v>
      </c>
      <c r="S681" s="58" t="s">
        <v>1114</v>
      </c>
      <c r="T681" s="60"/>
      <c r="U681" s="61"/>
      <c r="V681" s="62"/>
      <c r="W681" s="58"/>
      <c r="X681" s="58"/>
      <c r="Y681" s="60"/>
      <c r="Z681" s="61"/>
      <c r="AA681" s="62"/>
      <c r="AB681" s="58"/>
      <c r="AC681" s="58"/>
      <c r="AD681" s="60"/>
      <c r="AE681" s="61"/>
      <c r="AF681" s="62"/>
      <c r="AG681" s="58"/>
      <c r="AH681" s="58"/>
      <c r="AI681" s="117"/>
      <c r="AJ681" s="61"/>
      <c r="AK681" s="62"/>
      <c r="AL681" s="58"/>
      <c r="AM681" s="58"/>
      <c r="AN681" s="58" t="s">
        <v>4976</v>
      </c>
      <c r="AO681" s="478"/>
      <c r="AP681" s="58"/>
      <c r="AQ681" s="62" t="s">
        <v>4977</v>
      </c>
      <c r="AR681" s="58" t="s">
        <v>161</v>
      </c>
      <c r="AS681" s="60">
        <v>38420</v>
      </c>
      <c r="AT681" s="60" t="s">
        <v>4978</v>
      </c>
      <c r="AU681" s="58" t="s">
        <v>4979</v>
      </c>
      <c r="AV681" s="58"/>
      <c r="AW681" s="58" t="s">
        <v>92</v>
      </c>
      <c r="AX681" s="58" t="s">
        <v>4980</v>
      </c>
      <c r="AY681" s="60">
        <v>42524</v>
      </c>
      <c r="AZ681" s="58" t="s">
        <v>4981</v>
      </c>
      <c r="BA681" s="60">
        <v>42852</v>
      </c>
      <c r="BB681" s="382">
        <v>42872</v>
      </c>
      <c r="BC681" s="58" t="s">
        <v>95</v>
      </c>
      <c r="BD681" s="58" t="s">
        <v>566</v>
      </c>
      <c r="BE681" s="58"/>
      <c r="BF681" s="62"/>
      <c r="BG681" s="62"/>
      <c r="BH681" s="62"/>
      <c r="BI681" s="62"/>
      <c r="BJ681" s="74">
        <f>[214]MATRIZ!$H$80</f>
        <v>0</v>
      </c>
      <c r="BK681" s="67"/>
      <c r="BL681" s="68"/>
      <c r="BM681" s="60"/>
      <c r="BN681" s="61"/>
      <c r="BO681" s="463"/>
      <c r="BP681" s="122"/>
      <c r="BQ681" s="58"/>
      <c r="BR681" s="70"/>
      <c r="BS681" s="62"/>
      <c r="BT681" s="62"/>
      <c r="BU681" s="62"/>
      <c r="BV681" s="62"/>
      <c r="BW681" s="71"/>
      <c r="BX681" s="66"/>
      <c r="BY681" s="60"/>
      <c r="BZ681" s="72"/>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c r="JW681" s="1"/>
      <c r="JX681" s="1"/>
      <c r="JY681" s="1"/>
      <c r="JZ681" s="1"/>
      <c r="KA681" s="1"/>
      <c r="KB681" s="1"/>
      <c r="KC681" s="1"/>
      <c r="KD681" s="1"/>
      <c r="KE681" s="1"/>
      <c r="KF681" s="1"/>
      <c r="KG681" s="1"/>
      <c r="KH681" s="1"/>
      <c r="KI681" s="1"/>
      <c r="KJ681" s="1"/>
      <c r="KK681" s="1"/>
      <c r="KL681" s="1"/>
      <c r="KM681" s="1"/>
      <c r="KN681" s="1"/>
      <c r="KO681" s="1"/>
      <c r="KP681" s="1"/>
      <c r="KQ681" s="1"/>
      <c r="KR681" s="1"/>
      <c r="KS681" s="1"/>
      <c r="KT681" s="1"/>
      <c r="KU681" s="1"/>
      <c r="KV681" s="1"/>
      <c r="KW681" s="1"/>
      <c r="KX681" s="1"/>
      <c r="KY681" s="1"/>
      <c r="KZ681" s="1"/>
      <c r="LA681" s="1"/>
      <c r="LB681" s="1"/>
      <c r="LC681" s="1"/>
      <c r="LD681" s="1"/>
      <c r="LE681" s="1"/>
      <c r="LF681" s="1"/>
      <c r="LG681" s="1"/>
      <c r="LH681" s="1"/>
      <c r="LI681" s="1"/>
      <c r="LJ681" s="1"/>
      <c r="LK681" s="1"/>
      <c r="LL681" s="1"/>
      <c r="LM681" s="1"/>
      <c r="LN681" s="1"/>
      <c r="LO681" s="1"/>
      <c r="LP681" s="1"/>
      <c r="LQ681" s="1"/>
      <c r="LR681" s="1"/>
      <c r="LS681" s="1"/>
      <c r="LT681" s="1"/>
      <c r="LU681" s="1"/>
      <c r="LV681" s="1"/>
      <c r="LW681" s="1"/>
      <c r="LX681" s="1"/>
      <c r="LY681" s="1"/>
      <c r="LZ681" s="1"/>
      <c r="MA681" s="1"/>
      <c r="MB681" s="1"/>
      <c r="MC681" s="1"/>
      <c r="MD681" s="1"/>
      <c r="ME681" s="1"/>
      <c r="MF681" s="1"/>
      <c r="MG681" s="1"/>
      <c r="MH681" s="1"/>
      <c r="MI681" s="1"/>
      <c r="MJ681" s="1"/>
      <c r="MK681" s="1"/>
      <c r="ML681" s="1"/>
      <c r="MM681" s="1"/>
      <c r="MN681" s="1"/>
      <c r="MO681" s="1"/>
      <c r="MP681" s="1"/>
      <c r="MQ681" s="1"/>
      <c r="MR681" s="1"/>
      <c r="MS681" s="1"/>
      <c r="MT681" s="1"/>
      <c r="MU681" s="1"/>
      <c r="MV681" s="1"/>
      <c r="MW681" s="1"/>
      <c r="MX681" s="1"/>
      <c r="MY681" s="1"/>
      <c r="MZ681" s="1"/>
      <c r="NA681" s="1"/>
      <c r="NB681" s="1"/>
      <c r="NC681" s="1"/>
      <c r="ND681" s="1"/>
      <c r="NE681" s="1"/>
      <c r="NF681" s="1"/>
      <c r="NG681" s="1"/>
      <c r="NH681" s="1"/>
      <c r="NI681" s="1"/>
      <c r="NJ681" s="1"/>
      <c r="NK681" s="1"/>
      <c r="NL681" s="1"/>
      <c r="NM681" s="1"/>
      <c r="NN681" s="1"/>
      <c r="NO681" s="1"/>
      <c r="NP681" s="1"/>
      <c r="NQ681" s="1"/>
      <c r="NR681" s="1"/>
      <c r="NS681" s="1"/>
      <c r="NT681" s="1"/>
      <c r="NU681" s="1"/>
      <c r="NV681" s="1"/>
      <c r="NW681" s="1"/>
      <c r="NX681" s="1"/>
      <c r="NY681" s="1"/>
      <c r="NZ681" s="1"/>
      <c r="OA681" s="1"/>
      <c r="OB681" s="1"/>
      <c r="OC681" s="1"/>
      <c r="OD681" s="1"/>
      <c r="OE681" s="1"/>
      <c r="OF681" s="1"/>
      <c r="OG681" s="1"/>
      <c r="OH681" s="1"/>
      <c r="OI681" s="1"/>
      <c r="OJ681" s="1"/>
      <c r="OK681" s="1"/>
      <c r="OL681" s="1"/>
      <c r="OM681" s="1"/>
      <c r="ON681" s="1"/>
      <c r="OO681" s="1"/>
      <c r="OP681" s="1"/>
      <c r="OQ681" s="1"/>
      <c r="OR681" s="1"/>
      <c r="OS681" s="1"/>
      <c r="OT681" s="1"/>
      <c r="OU681" s="1"/>
      <c r="OV681" s="1"/>
      <c r="OW681" s="1"/>
      <c r="OX681" s="1"/>
      <c r="OY681" s="1"/>
      <c r="OZ681" s="1"/>
      <c r="PA681" s="1"/>
      <c r="PB681" s="1"/>
      <c r="PC681" s="1"/>
      <c r="PD681" s="1"/>
      <c r="PE681" s="1"/>
      <c r="PF681" s="1"/>
      <c r="PG681" s="1"/>
      <c r="PH681" s="1"/>
      <c r="PI681" s="1"/>
      <c r="PJ681" s="1"/>
      <c r="PK681" s="1"/>
      <c r="PL681" s="1"/>
      <c r="PM681" s="1"/>
      <c r="PN681" s="1"/>
      <c r="PO681" s="1"/>
      <c r="PP681" s="1"/>
      <c r="PQ681" s="1"/>
      <c r="PR681" s="1"/>
      <c r="PS681" s="1"/>
      <c r="PT681" s="1"/>
      <c r="PU681" s="1"/>
      <c r="PV681" s="1"/>
      <c r="PW681" s="1"/>
      <c r="PX681" s="1"/>
      <c r="PY681" s="1"/>
      <c r="PZ681" s="1"/>
      <c r="QA681" s="1"/>
      <c r="QB681" s="1"/>
      <c r="QC681" s="1"/>
      <c r="QD681" s="1"/>
      <c r="QE681" s="1"/>
      <c r="QF681" s="1"/>
      <c r="QG681" s="1"/>
      <c r="QH681" s="1"/>
      <c r="QI681" s="1"/>
      <c r="QJ681" s="1"/>
      <c r="QK681" s="1"/>
      <c r="QL681" s="1"/>
      <c r="QM681" s="1"/>
      <c r="QN681" s="1"/>
      <c r="QO681" s="1"/>
      <c r="QP681" s="1"/>
      <c r="QQ681" s="1"/>
      <c r="QR681" s="1"/>
      <c r="QS681" s="1"/>
      <c r="QT681" s="1"/>
      <c r="QU681" s="1"/>
      <c r="QV681" s="1"/>
      <c r="QW681" s="1"/>
      <c r="QX681" s="1"/>
      <c r="QY681" s="1"/>
      <c r="QZ681" s="1"/>
      <c r="RA681" s="1"/>
      <c r="RB681" s="1"/>
      <c r="RC681" s="1"/>
      <c r="RD681" s="1"/>
      <c r="RE681" s="1"/>
      <c r="RF681" s="1"/>
      <c r="RG681" s="1"/>
      <c r="RH681" s="1"/>
      <c r="RI681" s="1"/>
      <c r="RJ681" s="1"/>
      <c r="RK681" s="1"/>
      <c r="RL681" s="1"/>
      <c r="RM681" s="1"/>
      <c r="RN681" s="1"/>
      <c r="RO681" s="1"/>
      <c r="RP681" s="1"/>
      <c r="RQ681" s="1"/>
      <c r="RR681" s="1"/>
      <c r="RS681" s="1"/>
      <c r="RT681" s="1"/>
      <c r="RU681" s="1"/>
      <c r="RV681" s="1"/>
      <c r="RW681" s="1"/>
      <c r="RX681" s="1"/>
      <c r="RY681" s="1"/>
      <c r="RZ681" s="1"/>
      <c r="SA681" s="1"/>
      <c r="SB681" s="1"/>
      <c r="SC681" s="1"/>
      <c r="SD681" s="1"/>
      <c r="SE681" s="1"/>
      <c r="SF681" s="1"/>
      <c r="SG681" s="1"/>
      <c r="SH681" s="1"/>
      <c r="SI681" s="1"/>
      <c r="SJ681" s="1"/>
      <c r="SK681" s="1"/>
      <c r="SL681" s="1"/>
      <c r="SM681" s="1"/>
      <c r="SN681" s="1"/>
      <c r="SO681" s="1"/>
      <c r="SP681" s="1"/>
      <c r="SQ681" s="1"/>
      <c r="SR681" s="1"/>
      <c r="SS681" s="1"/>
      <c r="ST681" s="1"/>
      <c r="SU681" s="1"/>
      <c r="SV681" s="1"/>
      <c r="SW681" s="1"/>
      <c r="SX681" s="1"/>
      <c r="SY681" s="1"/>
      <c r="SZ681" s="1"/>
      <c r="TA681" s="1"/>
      <c r="TB681" s="1"/>
      <c r="TC681" s="1"/>
      <c r="TD681" s="1"/>
      <c r="TE681" s="1"/>
      <c r="TF681" s="1"/>
      <c r="TG681" s="1"/>
      <c r="TH681" s="1"/>
      <c r="TI681" s="1"/>
      <c r="TJ681" s="1"/>
      <c r="TK681" s="1"/>
      <c r="TL681" s="1"/>
      <c r="TM681" s="1"/>
      <c r="TN681" s="1"/>
      <c r="TO681" s="1"/>
      <c r="TP681" s="1"/>
      <c r="TQ681" s="1"/>
      <c r="TR681" s="1"/>
      <c r="TS681" s="1"/>
      <c r="TT681" s="1"/>
      <c r="TU681" s="1"/>
      <c r="TV681" s="1"/>
      <c r="TW681" s="1"/>
      <c r="TX681" s="1"/>
      <c r="TY681" s="1"/>
      <c r="TZ681" s="1"/>
      <c r="UA681" s="1"/>
      <c r="UB681" s="1"/>
      <c r="UC681" s="1"/>
      <c r="UD681" s="1"/>
      <c r="UE681" s="1"/>
      <c r="UF681" s="1"/>
      <c r="UG681" s="1"/>
      <c r="UH681" s="1"/>
      <c r="UI681" s="1"/>
    </row>
    <row r="682" spans="1:555" s="259" customFormat="1" ht="73.5" customHeight="1">
      <c r="A682" s="96">
        <v>552</v>
      </c>
      <c r="B682" s="422" t="s">
        <v>4992</v>
      </c>
      <c r="C682" s="419">
        <v>85473479</v>
      </c>
      <c r="D682" s="439" t="s">
        <v>463</v>
      </c>
      <c r="E682" s="423">
        <v>42887</v>
      </c>
      <c r="F682" s="21">
        <v>42887</v>
      </c>
      <c r="G682" s="22" t="s">
        <v>4993</v>
      </c>
      <c r="H682" s="422" t="s">
        <v>5</v>
      </c>
      <c r="I682" s="422" t="s">
        <v>101</v>
      </c>
      <c r="J682" s="423">
        <v>43703</v>
      </c>
      <c r="K682" s="21">
        <v>43703</v>
      </c>
      <c r="L682" s="22" t="s">
        <v>9138</v>
      </c>
      <c r="M682" s="422" t="s">
        <v>5</v>
      </c>
      <c r="N682" s="422" t="s">
        <v>8243</v>
      </c>
      <c r="O682" s="423"/>
      <c r="P682" s="23"/>
      <c r="Q682" s="22"/>
      <c r="R682" s="422"/>
      <c r="S682" s="422"/>
      <c r="T682" s="423"/>
      <c r="U682" s="21"/>
      <c r="V682" s="22"/>
      <c r="W682" s="422"/>
      <c r="X682" s="422"/>
      <c r="Y682" s="423"/>
      <c r="Z682" s="21"/>
      <c r="AA682" s="22"/>
      <c r="AB682" s="422"/>
      <c r="AC682" s="422"/>
      <c r="AD682" s="423"/>
      <c r="AE682" s="21"/>
      <c r="AF682" s="22"/>
      <c r="AG682" s="422"/>
      <c r="AH682" s="422"/>
      <c r="AI682" s="126"/>
      <c r="AJ682" s="21"/>
      <c r="AK682" s="22"/>
      <c r="AL682" s="422"/>
      <c r="AM682" s="422"/>
      <c r="AN682" s="422"/>
      <c r="AO682" s="479">
        <v>42887</v>
      </c>
      <c r="AP682" s="422"/>
      <c r="AQ682" s="22" t="s">
        <v>4994</v>
      </c>
      <c r="AR682" s="422" t="s">
        <v>161</v>
      </c>
      <c r="AS682" s="423">
        <v>39170</v>
      </c>
      <c r="AT682" s="423">
        <v>40604</v>
      </c>
      <c r="AU682" s="422" t="s">
        <v>4995</v>
      </c>
      <c r="AV682" s="422"/>
      <c r="AW682" s="422" t="s">
        <v>92</v>
      </c>
      <c r="AX682" s="422" t="s">
        <v>4996</v>
      </c>
      <c r="AY682" s="423">
        <v>42788</v>
      </c>
      <c r="AZ682" s="422" t="s">
        <v>67</v>
      </c>
      <c r="BA682" s="423" t="s">
        <v>67</v>
      </c>
      <c r="BB682" s="382">
        <v>42824</v>
      </c>
      <c r="BC682" s="422" t="s">
        <v>95</v>
      </c>
      <c r="BD682" s="422" t="s">
        <v>4604</v>
      </c>
      <c r="BE682" s="422"/>
      <c r="BF682" s="22"/>
      <c r="BG682" s="22"/>
      <c r="BH682" s="22"/>
      <c r="BI682" s="22"/>
      <c r="BJ682" s="74">
        <f>+[215]MATRIZ!$J$65</f>
        <v>0</v>
      </c>
      <c r="BK682" s="28"/>
      <c r="BL682" s="29"/>
      <c r="BM682" s="423"/>
      <c r="BN682" s="21"/>
      <c r="BO682" s="461"/>
      <c r="BP682" s="399"/>
      <c r="BQ682" s="422"/>
      <c r="BR682" s="31"/>
      <c r="BS682" s="22"/>
      <c r="BT682" s="22"/>
      <c r="BU682" s="22"/>
      <c r="BV682" s="22"/>
      <c r="BW682" s="97"/>
      <c r="BX682" s="26"/>
      <c r="BY682" s="423"/>
      <c r="BZ682" s="134"/>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c r="JW682" s="1"/>
      <c r="JX682" s="1"/>
      <c r="JY682" s="1"/>
      <c r="JZ682" s="1"/>
      <c r="KA682" s="1"/>
      <c r="KB682" s="1"/>
      <c r="KC682" s="1"/>
      <c r="KD682" s="1"/>
      <c r="KE682" s="1"/>
      <c r="KF682" s="1"/>
      <c r="KG682" s="1"/>
      <c r="KH682" s="1"/>
      <c r="KI682" s="1"/>
      <c r="KJ682" s="1"/>
      <c r="KK682" s="1"/>
      <c r="KL682" s="1"/>
      <c r="KM682" s="1"/>
      <c r="KN682" s="1"/>
      <c r="KO682" s="1"/>
      <c r="KP682" s="1"/>
      <c r="KQ682" s="1"/>
      <c r="KR682" s="1"/>
      <c r="KS682" s="1"/>
      <c r="KT682" s="1"/>
      <c r="KU682" s="1"/>
      <c r="KV682" s="1"/>
      <c r="KW682" s="1"/>
      <c r="KX682" s="1"/>
      <c r="KY682" s="1"/>
      <c r="KZ682" s="1"/>
      <c r="LA682" s="1"/>
      <c r="LB682" s="1"/>
      <c r="LC682" s="1"/>
      <c r="LD682" s="1"/>
      <c r="LE682" s="1"/>
      <c r="LF682" s="1"/>
      <c r="LG682" s="1"/>
      <c r="LH682" s="1"/>
      <c r="LI682" s="1"/>
      <c r="LJ682" s="1"/>
      <c r="LK682" s="1"/>
      <c r="LL682" s="1"/>
      <c r="LM682" s="1"/>
      <c r="LN682" s="1"/>
      <c r="LO682" s="1"/>
      <c r="LP682" s="1"/>
      <c r="LQ682" s="1"/>
      <c r="LR682" s="1"/>
      <c r="LS682" s="1"/>
      <c r="LT682" s="1"/>
      <c r="LU682" s="1"/>
      <c r="LV682" s="1"/>
      <c r="LW682" s="1"/>
      <c r="LX682" s="1"/>
      <c r="LY682" s="1"/>
      <c r="LZ682" s="1"/>
      <c r="MA682" s="1"/>
      <c r="MB682" s="1"/>
      <c r="MC682" s="1"/>
      <c r="MD682" s="1"/>
      <c r="ME682" s="1"/>
      <c r="MF682" s="1"/>
      <c r="MG682" s="1"/>
      <c r="MH682" s="1"/>
      <c r="MI682" s="1"/>
      <c r="MJ682" s="1"/>
      <c r="MK682" s="1"/>
      <c r="ML682" s="1"/>
      <c r="MM682" s="1"/>
      <c r="MN682" s="1"/>
      <c r="MO682" s="1"/>
      <c r="MP682" s="1"/>
      <c r="MQ682" s="1"/>
      <c r="MR682" s="1"/>
      <c r="MS682" s="1"/>
      <c r="MT682" s="1"/>
      <c r="MU682" s="1"/>
      <c r="MV682" s="1"/>
      <c r="MW682" s="1"/>
      <c r="MX682" s="1"/>
      <c r="MY682" s="1"/>
      <c r="MZ682" s="1"/>
      <c r="NA682" s="1"/>
      <c r="NB682" s="1"/>
      <c r="NC682" s="1"/>
      <c r="ND682" s="1"/>
      <c r="NE682" s="1"/>
      <c r="NF682" s="1"/>
      <c r="NG682" s="1"/>
      <c r="NH682" s="1"/>
      <c r="NI682" s="1"/>
      <c r="NJ682" s="1"/>
      <c r="NK682" s="1"/>
      <c r="NL682" s="1"/>
      <c r="NM682" s="1"/>
      <c r="NN682" s="1"/>
      <c r="NO682" s="1"/>
      <c r="NP682" s="1"/>
      <c r="NQ682" s="1"/>
      <c r="NR682" s="1"/>
      <c r="NS682" s="1"/>
      <c r="NT682" s="1"/>
      <c r="NU682" s="1"/>
      <c r="NV682" s="1"/>
      <c r="NW682" s="1"/>
      <c r="NX682" s="1"/>
      <c r="NY682" s="1"/>
      <c r="NZ682" s="1"/>
      <c r="OA682" s="1"/>
      <c r="OB682" s="1"/>
      <c r="OC682" s="1"/>
      <c r="OD682" s="1"/>
      <c r="OE682" s="1"/>
      <c r="OF682" s="1"/>
      <c r="OG682" s="1"/>
      <c r="OH682" s="1"/>
      <c r="OI682" s="1"/>
      <c r="OJ682" s="1"/>
      <c r="OK682" s="1"/>
      <c r="OL682" s="1"/>
      <c r="OM682" s="1"/>
      <c r="ON682" s="1"/>
      <c r="OO682" s="1"/>
      <c r="OP682" s="1"/>
      <c r="OQ682" s="1"/>
      <c r="OR682" s="1"/>
      <c r="OS682" s="1"/>
      <c r="OT682" s="1"/>
      <c r="OU682" s="1"/>
      <c r="OV682" s="1"/>
      <c r="OW682" s="1"/>
      <c r="OX682" s="1"/>
      <c r="OY682" s="1"/>
      <c r="OZ682" s="1"/>
      <c r="PA682" s="1"/>
      <c r="PB682" s="1"/>
      <c r="PC682" s="1"/>
      <c r="PD682" s="1"/>
      <c r="PE682" s="1"/>
      <c r="PF682" s="1"/>
      <c r="PG682" s="1"/>
      <c r="PH682" s="1"/>
      <c r="PI682" s="1"/>
      <c r="PJ682" s="1"/>
      <c r="PK682" s="1"/>
      <c r="PL682" s="1"/>
      <c r="PM682" s="1"/>
      <c r="PN682" s="1"/>
      <c r="PO682" s="1"/>
      <c r="PP682" s="1"/>
      <c r="PQ682" s="1"/>
      <c r="PR682" s="1"/>
      <c r="PS682" s="1"/>
      <c r="PT682" s="1"/>
      <c r="PU682" s="1"/>
      <c r="PV682" s="1"/>
      <c r="PW682" s="1"/>
      <c r="PX682" s="1"/>
      <c r="PY682" s="1"/>
      <c r="PZ682" s="1"/>
      <c r="QA682" s="1"/>
      <c r="QB682" s="1"/>
      <c r="QC682" s="1"/>
      <c r="QD682" s="1"/>
      <c r="QE682" s="1"/>
      <c r="QF682" s="1"/>
      <c r="QG682" s="1"/>
      <c r="QH682" s="1"/>
      <c r="QI682" s="1"/>
      <c r="QJ682" s="1"/>
      <c r="QK682" s="1"/>
      <c r="QL682" s="1"/>
      <c r="QM682" s="1"/>
      <c r="QN682" s="1"/>
      <c r="QO682" s="1"/>
      <c r="QP682" s="1"/>
      <c r="QQ682" s="1"/>
      <c r="QR682" s="1"/>
      <c r="QS682" s="1"/>
      <c r="QT682" s="1"/>
      <c r="QU682" s="1"/>
      <c r="QV682" s="1"/>
      <c r="QW682" s="1"/>
      <c r="QX682" s="1"/>
      <c r="QY682" s="1"/>
      <c r="QZ682" s="1"/>
      <c r="RA682" s="1"/>
      <c r="RB682" s="1"/>
      <c r="RC682" s="1"/>
      <c r="RD682" s="1"/>
      <c r="RE682" s="1"/>
      <c r="RF682" s="1"/>
      <c r="RG682" s="1"/>
      <c r="RH682" s="1"/>
      <c r="RI682" s="1"/>
      <c r="RJ682" s="1"/>
      <c r="RK682" s="1"/>
      <c r="RL682" s="1"/>
      <c r="RM682" s="1"/>
      <c r="RN682" s="1"/>
      <c r="RO682" s="1"/>
      <c r="RP682" s="1"/>
      <c r="RQ682" s="1"/>
      <c r="RR682" s="1"/>
      <c r="RS682" s="1"/>
      <c r="RT682" s="1"/>
      <c r="RU682" s="1"/>
      <c r="RV682" s="1"/>
      <c r="RW682" s="1"/>
      <c r="RX682" s="1"/>
      <c r="RY682" s="1"/>
      <c r="RZ682" s="1"/>
      <c r="SA682" s="1"/>
      <c r="SB682" s="1"/>
      <c r="SC682" s="1"/>
      <c r="SD682" s="1"/>
      <c r="SE682" s="1"/>
      <c r="SF682" s="1"/>
      <c r="SG682" s="1"/>
      <c r="SH682" s="1"/>
      <c r="SI682" s="1"/>
      <c r="SJ682" s="1"/>
      <c r="SK682" s="1"/>
      <c r="SL682" s="1"/>
      <c r="SM682" s="1"/>
      <c r="SN682" s="1"/>
      <c r="SO682" s="1"/>
      <c r="SP682" s="1"/>
      <c r="SQ682" s="1"/>
      <c r="SR682" s="1"/>
      <c r="SS682" s="1"/>
      <c r="ST682" s="1"/>
      <c r="SU682" s="1"/>
      <c r="SV682" s="1"/>
      <c r="SW682" s="1"/>
      <c r="SX682" s="1"/>
      <c r="SY682" s="1"/>
      <c r="SZ682" s="1"/>
      <c r="TA682" s="1"/>
      <c r="TB682" s="1"/>
      <c r="TC682" s="1"/>
      <c r="TD682" s="1"/>
      <c r="TE682" s="1"/>
      <c r="TF682" s="1"/>
      <c r="TG682" s="1"/>
      <c r="TH682" s="1"/>
      <c r="TI682" s="1"/>
      <c r="TJ682" s="1"/>
      <c r="TK682" s="1"/>
      <c r="TL682" s="1"/>
      <c r="TM682" s="1"/>
      <c r="TN682" s="1"/>
      <c r="TO682" s="1"/>
      <c r="TP682" s="1"/>
      <c r="TQ682" s="1"/>
      <c r="TR682" s="1"/>
      <c r="TS682" s="1"/>
      <c r="TT682" s="1"/>
      <c r="TU682" s="1"/>
      <c r="TV682" s="1"/>
      <c r="TW682" s="1"/>
      <c r="TX682" s="1"/>
      <c r="TY682" s="1"/>
      <c r="TZ682" s="1"/>
      <c r="UA682" s="1"/>
      <c r="UB682" s="1"/>
      <c r="UC682" s="1"/>
      <c r="UD682" s="1"/>
      <c r="UE682" s="1"/>
      <c r="UF682" s="1"/>
      <c r="UG682" s="1"/>
      <c r="UH682" s="1"/>
      <c r="UI682" s="1"/>
    </row>
    <row r="683" spans="1:555" ht="81">
      <c r="A683" s="57">
        <v>556</v>
      </c>
      <c r="B683" s="58" t="s">
        <v>5005</v>
      </c>
      <c r="C683" s="59">
        <v>98595562</v>
      </c>
      <c r="D683" s="170" t="s">
        <v>333</v>
      </c>
      <c r="E683" s="60">
        <v>42969</v>
      </c>
      <c r="F683" s="61">
        <v>42969</v>
      </c>
      <c r="G683" s="62" t="s">
        <v>8176</v>
      </c>
      <c r="H683" s="58" t="s">
        <v>576</v>
      </c>
      <c r="I683" s="58" t="s">
        <v>2395</v>
      </c>
      <c r="J683" s="60">
        <v>43080</v>
      </c>
      <c r="K683" s="61">
        <v>43070</v>
      </c>
      <c r="L683" s="62" t="s">
        <v>5006</v>
      </c>
      <c r="M683" s="58" t="s">
        <v>5</v>
      </c>
      <c r="N683" s="58" t="s">
        <v>1189</v>
      </c>
      <c r="O683" s="60">
        <v>43420</v>
      </c>
      <c r="P683" s="63">
        <v>43420</v>
      </c>
      <c r="Q683" s="62" t="s">
        <v>7426</v>
      </c>
      <c r="R683" s="58" t="s">
        <v>208</v>
      </c>
      <c r="S683" s="58" t="s">
        <v>7427</v>
      </c>
      <c r="T683" s="60">
        <v>43866</v>
      </c>
      <c r="U683" s="61">
        <v>43866</v>
      </c>
      <c r="V683" s="62" t="s">
        <v>9394</v>
      </c>
      <c r="W683" s="58" t="s">
        <v>208</v>
      </c>
      <c r="X683" s="58" t="s">
        <v>8243</v>
      </c>
      <c r="Y683" s="60">
        <v>44027</v>
      </c>
      <c r="Z683" s="61">
        <v>44027</v>
      </c>
      <c r="AA683" s="62" t="s">
        <v>9551</v>
      </c>
      <c r="AB683" s="58" t="s">
        <v>208</v>
      </c>
      <c r="AC683" s="58" t="s">
        <v>9511</v>
      </c>
      <c r="AD683" s="60">
        <v>44139</v>
      </c>
      <c r="AE683" s="61">
        <v>44139</v>
      </c>
      <c r="AF683" s="62" t="s">
        <v>9761</v>
      </c>
      <c r="AG683" s="58" t="s">
        <v>208</v>
      </c>
      <c r="AH683" s="58" t="s">
        <v>9511</v>
      </c>
      <c r="AI683" s="60" t="s">
        <v>9781</v>
      </c>
      <c r="AJ683" s="61" t="s">
        <v>9782</v>
      </c>
      <c r="AK683" s="62" t="s">
        <v>9780</v>
      </c>
      <c r="AL683" s="58" t="s">
        <v>3488</v>
      </c>
      <c r="AM683" s="58" t="s">
        <v>9783</v>
      </c>
      <c r="AN683" s="58" t="s">
        <v>3671</v>
      </c>
      <c r="AO683" s="478"/>
      <c r="AP683" s="58"/>
      <c r="AQ683" s="62" t="s">
        <v>5007</v>
      </c>
      <c r="AR683" s="58" t="s">
        <v>161</v>
      </c>
      <c r="AS683" s="60">
        <v>37985</v>
      </c>
      <c r="AT683" s="60">
        <v>40359</v>
      </c>
      <c r="AU683" s="58" t="s">
        <v>7428</v>
      </c>
      <c r="AV683" s="58"/>
      <c r="AW683" s="58" t="s">
        <v>92</v>
      </c>
      <c r="AX683" s="58" t="s">
        <v>409</v>
      </c>
      <c r="AY683" s="60">
        <v>42137</v>
      </c>
      <c r="AZ683" s="58" t="s">
        <v>576</v>
      </c>
      <c r="BA683" s="60">
        <v>42894</v>
      </c>
      <c r="BB683" s="382">
        <v>42913</v>
      </c>
      <c r="BC683" s="58" t="s">
        <v>95</v>
      </c>
      <c r="BD683" s="58" t="s">
        <v>2009</v>
      </c>
      <c r="BE683" s="58"/>
      <c r="BF683" s="62" t="s">
        <v>5008</v>
      </c>
      <c r="BG683" s="62"/>
      <c r="BH683" s="62"/>
      <c r="BI683" s="62"/>
      <c r="BJ683" s="74">
        <f>+[216]MATRIZ!$J$78</f>
        <v>0</v>
      </c>
      <c r="BK683" s="67"/>
      <c r="BL683" s="68"/>
      <c r="BM683" s="60"/>
      <c r="BN683" s="61"/>
      <c r="BO683" s="463"/>
      <c r="BP683" s="122"/>
      <c r="BQ683" s="58"/>
      <c r="BR683" s="70"/>
      <c r="BS683" s="62"/>
      <c r="BT683" s="62"/>
      <c r="BU683" s="62"/>
      <c r="BV683" s="62"/>
      <c r="BW683" s="71"/>
      <c r="BX683" s="66"/>
      <c r="BY683" s="60"/>
      <c r="BZ683" s="72"/>
    </row>
    <row r="684" spans="1:555" ht="61.5" customHeight="1">
      <c r="A684" s="502">
        <v>557</v>
      </c>
      <c r="B684" s="686" t="s">
        <v>4781</v>
      </c>
      <c r="C684" s="687">
        <v>79350864</v>
      </c>
      <c r="D684" s="688" t="s">
        <v>906</v>
      </c>
      <c r="E684" s="27">
        <v>42894</v>
      </c>
      <c r="F684" s="689">
        <v>42894</v>
      </c>
      <c r="G684" s="690" t="s">
        <v>8172</v>
      </c>
      <c r="H684" s="686" t="s">
        <v>5</v>
      </c>
      <c r="I684" s="686" t="s">
        <v>2411</v>
      </c>
      <c r="J684" s="27">
        <v>42996</v>
      </c>
      <c r="K684" s="689">
        <v>42979</v>
      </c>
      <c r="L684" s="690" t="s">
        <v>5009</v>
      </c>
      <c r="M684" s="686" t="s">
        <v>625</v>
      </c>
      <c r="N684" s="686" t="s">
        <v>4918</v>
      </c>
      <c r="O684" s="27">
        <v>43374</v>
      </c>
      <c r="P684" s="691">
        <v>43374</v>
      </c>
      <c r="Q684" s="690" t="s">
        <v>7266</v>
      </c>
      <c r="R684" s="686" t="s">
        <v>208</v>
      </c>
      <c r="S684" s="686" t="s">
        <v>2413</v>
      </c>
      <c r="T684" s="27">
        <v>43374</v>
      </c>
      <c r="U684" s="689">
        <v>43374</v>
      </c>
      <c r="V684" s="690" t="s">
        <v>8173</v>
      </c>
      <c r="W684" s="686" t="s">
        <v>5</v>
      </c>
      <c r="X684" s="686" t="s">
        <v>79</v>
      </c>
      <c r="Y684" s="27"/>
      <c r="Z684" s="689"/>
      <c r="AA684" s="690"/>
      <c r="AB684" s="686"/>
      <c r="AC684" s="686"/>
      <c r="AD684" s="27"/>
      <c r="AE684" s="689"/>
      <c r="AF684" s="690"/>
      <c r="AG684" s="686"/>
      <c r="AH684" s="686"/>
      <c r="AI684" s="704"/>
      <c r="AJ684" s="689"/>
      <c r="AK684" s="690"/>
      <c r="AL684" s="686"/>
      <c r="AM684" s="686"/>
      <c r="AN684" s="686" t="s">
        <v>3671</v>
      </c>
      <c r="AO684" s="705"/>
      <c r="AP684" s="686"/>
      <c r="AQ684" s="690" t="s">
        <v>5010</v>
      </c>
      <c r="AR684" s="686" t="s">
        <v>161</v>
      </c>
      <c r="AS684" s="27">
        <v>40501</v>
      </c>
      <c r="AT684" s="27">
        <v>40908</v>
      </c>
      <c r="AU684" s="863" t="s">
        <v>7267</v>
      </c>
      <c r="AV684" s="863"/>
      <c r="AW684" s="686" t="s">
        <v>69</v>
      </c>
      <c r="AX684" s="686" t="s">
        <v>2885</v>
      </c>
      <c r="AY684" s="27">
        <v>42285</v>
      </c>
      <c r="AZ684" s="686" t="s">
        <v>94</v>
      </c>
      <c r="BA684" s="27">
        <v>42880</v>
      </c>
      <c r="BB684" s="27">
        <v>42899</v>
      </c>
      <c r="BC684" s="701" t="s">
        <v>912</v>
      </c>
      <c r="BD684" s="701" t="s">
        <v>566</v>
      </c>
      <c r="BE684" s="686"/>
      <c r="BF684" s="690"/>
      <c r="BG684" s="690"/>
      <c r="BH684" s="690"/>
      <c r="BI684" s="690"/>
      <c r="BJ684" s="708">
        <f>+[217]MATRIZ!$J$46</f>
        <v>0</v>
      </c>
      <c r="BK684" s="696"/>
      <c r="BL684" s="697"/>
      <c r="BM684" s="27"/>
      <c r="BN684" s="689"/>
      <c r="BO684" s="699"/>
      <c r="BP684" s="700"/>
      <c r="BQ684" s="686"/>
      <c r="BR684" s="701"/>
      <c r="BS684" s="690"/>
      <c r="BT684" s="690"/>
      <c r="BU684" s="690"/>
      <c r="BV684" s="690"/>
      <c r="BW684" s="702"/>
      <c r="BX684" s="693"/>
      <c r="BY684" s="27"/>
      <c r="BZ684" s="703"/>
      <c r="CA684" s="259"/>
      <c r="CB684" s="259"/>
      <c r="CC684" s="259"/>
      <c r="CD684" s="259"/>
      <c r="CE684" s="259"/>
      <c r="CF684" s="259"/>
      <c r="CG684" s="259"/>
      <c r="CH684" s="259"/>
      <c r="CI684" s="259"/>
      <c r="CJ684" s="259"/>
      <c r="CK684" s="259"/>
      <c r="CL684" s="259"/>
      <c r="CM684" s="259"/>
      <c r="CN684" s="259"/>
      <c r="CO684" s="259"/>
      <c r="CP684" s="259"/>
      <c r="CQ684" s="259"/>
      <c r="CR684" s="259"/>
      <c r="CS684" s="259"/>
      <c r="CT684" s="259"/>
      <c r="CU684" s="259"/>
      <c r="CV684" s="259"/>
      <c r="CW684" s="259"/>
      <c r="CX684" s="259"/>
      <c r="CY684" s="259"/>
      <c r="CZ684" s="259"/>
      <c r="DA684" s="259"/>
      <c r="DB684" s="259"/>
      <c r="DC684" s="259"/>
      <c r="DD684" s="259"/>
      <c r="DE684" s="259"/>
      <c r="DF684" s="259"/>
      <c r="DG684" s="259"/>
      <c r="DH684" s="259"/>
      <c r="DI684" s="259"/>
      <c r="DJ684" s="259"/>
      <c r="DK684" s="259"/>
      <c r="DL684" s="259"/>
      <c r="DM684" s="259"/>
      <c r="DN684" s="259"/>
      <c r="DO684" s="259"/>
      <c r="DP684" s="259"/>
      <c r="DQ684" s="259"/>
      <c r="DR684" s="259"/>
      <c r="DS684" s="259"/>
      <c r="DT684" s="259"/>
      <c r="DU684" s="259"/>
      <c r="DV684" s="259"/>
      <c r="DW684" s="259"/>
      <c r="DX684" s="259"/>
      <c r="DY684" s="259"/>
      <c r="DZ684" s="259"/>
      <c r="EA684" s="259"/>
      <c r="EB684" s="259"/>
      <c r="EC684" s="259"/>
      <c r="ED684" s="259"/>
      <c r="EE684" s="259"/>
      <c r="EF684" s="259"/>
      <c r="EG684" s="259"/>
      <c r="EH684" s="259"/>
      <c r="EI684" s="259"/>
      <c r="EJ684" s="259"/>
      <c r="EK684" s="259"/>
      <c r="EL684" s="259"/>
      <c r="EM684" s="259"/>
      <c r="EN684" s="259"/>
      <c r="EO684" s="259"/>
      <c r="EP684" s="259"/>
      <c r="EQ684" s="259"/>
      <c r="ER684" s="259"/>
      <c r="ES684" s="259"/>
      <c r="ET684" s="259"/>
      <c r="EU684" s="259"/>
      <c r="EV684" s="259"/>
      <c r="EW684" s="259"/>
      <c r="EX684" s="259"/>
      <c r="EY684" s="259"/>
      <c r="EZ684" s="259"/>
      <c r="FA684" s="259"/>
      <c r="FB684" s="259"/>
      <c r="FC684" s="259"/>
      <c r="FD684" s="259"/>
      <c r="FE684" s="259"/>
      <c r="FF684" s="259"/>
      <c r="FG684" s="259"/>
      <c r="FH684" s="259"/>
      <c r="FI684" s="259"/>
      <c r="FJ684" s="259"/>
      <c r="FK684" s="259"/>
      <c r="FL684" s="259"/>
      <c r="FM684" s="259"/>
      <c r="FN684" s="259"/>
      <c r="FO684" s="259"/>
      <c r="FP684" s="259"/>
      <c r="FQ684" s="259"/>
      <c r="FR684" s="259"/>
      <c r="FS684" s="259"/>
      <c r="FT684" s="259"/>
      <c r="FU684" s="259"/>
      <c r="FV684" s="259"/>
      <c r="FW684" s="259"/>
      <c r="FX684" s="259"/>
      <c r="FY684" s="259"/>
      <c r="FZ684" s="259"/>
      <c r="GA684" s="259"/>
      <c r="GB684" s="259"/>
      <c r="GC684" s="259"/>
      <c r="GD684" s="259"/>
      <c r="GE684" s="259"/>
      <c r="GF684" s="259"/>
      <c r="GG684" s="259"/>
      <c r="GH684" s="259"/>
      <c r="GI684" s="259"/>
      <c r="GJ684" s="259"/>
      <c r="GK684" s="259"/>
      <c r="GL684" s="259"/>
      <c r="GM684" s="259"/>
      <c r="GN684" s="259"/>
      <c r="GO684" s="259"/>
      <c r="GP684" s="259"/>
      <c r="GQ684" s="259"/>
      <c r="GR684" s="259"/>
      <c r="GS684" s="259"/>
      <c r="GT684" s="259"/>
      <c r="GU684" s="259"/>
      <c r="GV684" s="259"/>
      <c r="GW684" s="259"/>
      <c r="GX684" s="259"/>
      <c r="GY684" s="259"/>
      <c r="GZ684" s="259"/>
      <c r="HA684" s="259"/>
      <c r="HB684" s="259"/>
      <c r="HC684" s="259"/>
      <c r="HD684" s="259"/>
      <c r="HE684" s="259"/>
      <c r="HF684" s="259"/>
      <c r="HG684" s="259"/>
      <c r="HH684" s="259"/>
      <c r="HI684" s="259"/>
      <c r="HJ684" s="259"/>
      <c r="HK684" s="259"/>
      <c r="HL684" s="259"/>
      <c r="HM684" s="259"/>
      <c r="HN684" s="259"/>
      <c r="HO684" s="259"/>
      <c r="HP684" s="259"/>
      <c r="HQ684" s="259"/>
      <c r="HR684" s="259"/>
      <c r="HS684" s="259"/>
      <c r="HT684" s="259"/>
      <c r="HU684" s="259"/>
      <c r="HV684" s="259"/>
      <c r="HW684" s="259"/>
      <c r="HX684" s="259"/>
      <c r="HY684" s="259"/>
      <c r="HZ684" s="259"/>
      <c r="IA684" s="259"/>
      <c r="IB684" s="259"/>
      <c r="IC684" s="259"/>
      <c r="ID684" s="259"/>
      <c r="IE684" s="259"/>
      <c r="IF684" s="259"/>
      <c r="IG684" s="259"/>
      <c r="IH684" s="259"/>
      <c r="II684" s="259"/>
      <c r="IJ684" s="259"/>
      <c r="IK684" s="259"/>
      <c r="IL684" s="259"/>
      <c r="IM684" s="259"/>
      <c r="IN684" s="259"/>
      <c r="IO684" s="259"/>
      <c r="IP684" s="259"/>
      <c r="IQ684" s="259"/>
      <c r="IR684" s="259"/>
      <c r="IS684" s="259"/>
      <c r="IT684" s="259"/>
      <c r="IU684" s="259"/>
      <c r="IV684" s="259"/>
      <c r="IW684" s="259"/>
      <c r="IX684" s="259"/>
      <c r="IY684" s="259"/>
      <c r="IZ684" s="259"/>
      <c r="JA684" s="259"/>
      <c r="JB684" s="259"/>
      <c r="JC684" s="259"/>
      <c r="JD684" s="259"/>
      <c r="JE684" s="259"/>
      <c r="JF684" s="259"/>
      <c r="JG684" s="259"/>
      <c r="JH684" s="259"/>
      <c r="JI684" s="259"/>
      <c r="JJ684" s="259"/>
      <c r="JK684" s="259"/>
      <c r="JL684" s="259"/>
      <c r="JM684" s="259"/>
      <c r="JN684" s="259"/>
      <c r="JO684" s="259"/>
      <c r="JP684" s="259"/>
      <c r="JQ684" s="259"/>
      <c r="JR684" s="259"/>
      <c r="JS684" s="259"/>
      <c r="JT684" s="259"/>
      <c r="JU684" s="259"/>
      <c r="JV684" s="259"/>
      <c r="JW684" s="259"/>
      <c r="JX684" s="259"/>
      <c r="JY684" s="259"/>
      <c r="JZ684" s="259"/>
      <c r="KA684" s="259"/>
      <c r="KB684" s="259"/>
      <c r="KC684" s="259"/>
      <c r="KD684" s="259"/>
      <c r="KE684" s="259"/>
      <c r="KF684" s="259"/>
      <c r="KG684" s="259"/>
      <c r="KH684" s="259"/>
      <c r="KI684" s="259"/>
      <c r="KJ684" s="259"/>
      <c r="KK684" s="259"/>
      <c r="KL684" s="259"/>
      <c r="KM684" s="259"/>
      <c r="KN684" s="259"/>
      <c r="KO684" s="259"/>
      <c r="KP684" s="259"/>
      <c r="KQ684" s="259"/>
      <c r="KR684" s="259"/>
      <c r="KS684" s="259"/>
      <c r="KT684" s="259"/>
      <c r="KU684" s="259"/>
      <c r="KV684" s="259"/>
      <c r="KW684" s="259"/>
      <c r="KX684" s="259"/>
      <c r="KY684" s="259"/>
      <c r="KZ684" s="259"/>
      <c r="LA684" s="259"/>
      <c r="LB684" s="259"/>
      <c r="LC684" s="259"/>
      <c r="LD684" s="259"/>
      <c r="LE684" s="259"/>
      <c r="LF684" s="259"/>
      <c r="LG684" s="259"/>
      <c r="LH684" s="259"/>
      <c r="LI684" s="259"/>
      <c r="LJ684" s="259"/>
      <c r="LK684" s="259"/>
      <c r="LL684" s="259"/>
      <c r="LM684" s="259"/>
      <c r="LN684" s="259"/>
      <c r="LO684" s="259"/>
      <c r="LP684" s="259"/>
      <c r="LQ684" s="259"/>
      <c r="LR684" s="259"/>
      <c r="LS684" s="259"/>
      <c r="LT684" s="259"/>
      <c r="LU684" s="259"/>
      <c r="LV684" s="259"/>
      <c r="LW684" s="259"/>
      <c r="LX684" s="259"/>
      <c r="LY684" s="259"/>
      <c r="LZ684" s="259"/>
      <c r="MA684" s="259"/>
      <c r="MB684" s="259"/>
      <c r="MC684" s="259"/>
      <c r="MD684" s="259"/>
      <c r="ME684" s="259"/>
      <c r="MF684" s="259"/>
      <c r="MG684" s="259"/>
      <c r="MH684" s="259"/>
      <c r="MI684" s="259"/>
      <c r="MJ684" s="259"/>
      <c r="MK684" s="259"/>
      <c r="ML684" s="259"/>
      <c r="MM684" s="259"/>
      <c r="MN684" s="259"/>
      <c r="MO684" s="259"/>
      <c r="MP684" s="259"/>
      <c r="MQ684" s="259"/>
      <c r="MR684" s="259"/>
      <c r="MS684" s="259"/>
      <c r="MT684" s="259"/>
      <c r="MU684" s="259"/>
      <c r="MV684" s="259"/>
      <c r="MW684" s="259"/>
      <c r="MX684" s="259"/>
      <c r="MY684" s="259"/>
      <c r="MZ684" s="259"/>
      <c r="NA684" s="259"/>
      <c r="NB684" s="259"/>
      <c r="NC684" s="259"/>
      <c r="ND684" s="259"/>
      <c r="NE684" s="259"/>
      <c r="NF684" s="259"/>
      <c r="NG684" s="259"/>
      <c r="NH684" s="259"/>
      <c r="NI684" s="259"/>
      <c r="NJ684" s="259"/>
      <c r="NK684" s="259"/>
      <c r="NL684" s="259"/>
      <c r="NM684" s="259"/>
      <c r="NN684" s="259"/>
      <c r="NO684" s="259"/>
      <c r="NP684" s="259"/>
      <c r="NQ684" s="259"/>
      <c r="NR684" s="259"/>
      <c r="NS684" s="259"/>
      <c r="NT684" s="259"/>
      <c r="NU684" s="259"/>
      <c r="NV684" s="259"/>
      <c r="NW684" s="259"/>
      <c r="NX684" s="259"/>
      <c r="NY684" s="259"/>
      <c r="NZ684" s="259"/>
      <c r="OA684" s="259"/>
      <c r="OB684" s="259"/>
      <c r="OC684" s="259"/>
      <c r="OD684" s="259"/>
      <c r="OE684" s="259"/>
      <c r="OF684" s="259"/>
      <c r="OG684" s="259"/>
      <c r="OH684" s="259"/>
      <c r="OI684" s="259"/>
      <c r="OJ684" s="259"/>
      <c r="OK684" s="259"/>
      <c r="OL684" s="259"/>
      <c r="OM684" s="259"/>
      <c r="ON684" s="259"/>
      <c r="OO684" s="259"/>
      <c r="OP684" s="259"/>
      <c r="OQ684" s="259"/>
      <c r="OR684" s="259"/>
      <c r="OS684" s="259"/>
      <c r="OT684" s="259"/>
      <c r="OU684" s="259"/>
      <c r="OV684" s="259"/>
      <c r="OW684" s="259"/>
      <c r="OX684" s="259"/>
      <c r="OY684" s="259"/>
      <c r="OZ684" s="259"/>
      <c r="PA684" s="259"/>
      <c r="PB684" s="259"/>
      <c r="PC684" s="259"/>
      <c r="PD684" s="259"/>
      <c r="PE684" s="259"/>
      <c r="PF684" s="259"/>
      <c r="PG684" s="259"/>
      <c r="PH684" s="259"/>
      <c r="PI684" s="259"/>
      <c r="PJ684" s="259"/>
      <c r="PK684" s="259"/>
      <c r="PL684" s="259"/>
      <c r="PM684" s="259"/>
      <c r="PN684" s="259"/>
      <c r="PO684" s="259"/>
      <c r="PP684" s="259"/>
      <c r="PQ684" s="259"/>
      <c r="PR684" s="259"/>
      <c r="PS684" s="259"/>
      <c r="PT684" s="259"/>
      <c r="PU684" s="259"/>
      <c r="PV684" s="259"/>
      <c r="PW684" s="259"/>
      <c r="PX684" s="259"/>
      <c r="PY684" s="259"/>
      <c r="PZ684" s="259"/>
      <c r="QA684" s="259"/>
      <c r="QB684" s="259"/>
      <c r="QC684" s="259"/>
      <c r="QD684" s="259"/>
      <c r="QE684" s="259"/>
      <c r="QF684" s="259"/>
      <c r="QG684" s="259"/>
      <c r="QH684" s="259"/>
      <c r="QI684" s="259"/>
      <c r="QJ684" s="259"/>
      <c r="QK684" s="259"/>
      <c r="QL684" s="259"/>
      <c r="QM684" s="259"/>
      <c r="QN684" s="259"/>
      <c r="QO684" s="259"/>
      <c r="QP684" s="259"/>
      <c r="QQ684" s="259"/>
      <c r="QR684" s="259"/>
      <c r="QS684" s="259"/>
      <c r="QT684" s="259"/>
      <c r="QU684" s="259"/>
      <c r="QV684" s="259"/>
      <c r="QW684" s="259"/>
      <c r="QX684" s="259"/>
      <c r="QY684" s="259"/>
      <c r="QZ684" s="259"/>
      <c r="RA684" s="259"/>
      <c r="RB684" s="259"/>
      <c r="RC684" s="259"/>
      <c r="RD684" s="259"/>
      <c r="RE684" s="259"/>
      <c r="RF684" s="259"/>
      <c r="RG684" s="259"/>
      <c r="RH684" s="259"/>
      <c r="RI684" s="259"/>
      <c r="RJ684" s="259"/>
      <c r="RK684" s="259"/>
      <c r="RL684" s="259"/>
      <c r="RM684" s="259"/>
      <c r="RN684" s="259"/>
      <c r="RO684" s="259"/>
      <c r="RP684" s="259"/>
      <c r="RQ684" s="259"/>
      <c r="RR684" s="259"/>
      <c r="RS684" s="259"/>
      <c r="RT684" s="259"/>
      <c r="RU684" s="259"/>
      <c r="RV684" s="259"/>
      <c r="RW684" s="259"/>
      <c r="RX684" s="259"/>
      <c r="RY684" s="259"/>
      <c r="RZ684" s="259"/>
      <c r="SA684" s="259"/>
      <c r="SB684" s="259"/>
      <c r="SC684" s="259"/>
      <c r="SD684" s="259"/>
      <c r="SE684" s="259"/>
      <c r="SF684" s="259"/>
      <c r="SG684" s="259"/>
      <c r="SH684" s="259"/>
      <c r="SI684" s="259"/>
      <c r="SJ684" s="259"/>
      <c r="SK684" s="259"/>
      <c r="SL684" s="259"/>
      <c r="SM684" s="259"/>
      <c r="SN684" s="259"/>
      <c r="SO684" s="259"/>
      <c r="SP684" s="259"/>
      <c r="SQ684" s="259"/>
      <c r="SR684" s="259"/>
      <c r="SS684" s="259"/>
      <c r="ST684" s="259"/>
      <c r="SU684" s="259"/>
      <c r="SV684" s="259"/>
      <c r="SW684" s="259"/>
      <c r="SX684" s="259"/>
      <c r="SY684" s="259"/>
      <c r="SZ684" s="259"/>
      <c r="TA684" s="259"/>
      <c r="TB684" s="259"/>
      <c r="TC684" s="259"/>
      <c r="TD684" s="259"/>
      <c r="TE684" s="259"/>
      <c r="TF684" s="259"/>
      <c r="TG684" s="259"/>
      <c r="TH684" s="259"/>
      <c r="TI684" s="259"/>
      <c r="TJ684" s="259"/>
      <c r="TK684" s="259"/>
      <c r="TL684" s="259"/>
      <c r="TM684" s="259"/>
      <c r="TN684" s="259"/>
      <c r="TO684" s="259"/>
      <c r="TP684" s="259"/>
      <c r="TQ684" s="259"/>
      <c r="TR684" s="259"/>
      <c r="TS684" s="259"/>
      <c r="TT684" s="259"/>
      <c r="TU684" s="259"/>
      <c r="TV684" s="259"/>
      <c r="TW684" s="259"/>
      <c r="TX684" s="259"/>
      <c r="TY684" s="259"/>
      <c r="TZ684" s="259"/>
      <c r="UA684" s="259"/>
      <c r="UB684" s="259"/>
      <c r="UC684" s="259"/>
      <c r="UD684" s="259"/>
      <c r="UE684" s="259"/>
      <c r="UF684" s="259"/>
      <c r="UG684" s="259"/>
      <c r="UH684" s="259"/>
      <c r="UI684" s="259"/>
    </row>
    <row r="685" spans="1:555" ht="108">
      <c r="A685" s="57">
        <v>569</v>
      </c>
      <c r="B685" s="58" t="s">
        <v>5052</v>
      </c>
      <c r="C685" s="59">
        <v>79753859</v>
      </c>
      <c r="D685" s="170" t="s">
        <v>167</v>
      </c>
      <c r="E685" s="60">
        <v>42915</v>
      </c>
      <c r="F685" s="61">
        <v>42887</v>
      </c>
      <c r="G685" s="62" t="s">
        <v>5053</v>
      </c>
      <c r="H685" s="58" t="s">
        <v>625</v>
      </c>
      <c r="I685" s="58" t="s">
        <v>183</v>
      </c>
      <c r="J685" s="60">
        <v>42979</v>
      </c>
      <c r="K685" s="61">
        <v>42979</v>
      </c>
      <c r="L685" s="62" t="s">
        <v>5054</v>
      </c>
      <c r="M685" s="58" t="s">
        <v>5</v>
      </c>
      <c r="N685" s="58" t="s">
        <v>79</v>
      </c>
      <c r="O685" s="60"/>
      <c r="P685" s="63"/>
      <c r="Q685" s="62"/>
      <c r="R685" s="58"/>
      <c r="S685" s="58"/>
      <c r="T685" s="60"/>
      <c r="U685" s="61"/>
      <c r="V685" s="62"/>
      <c r="W685" s="58"/>
      <c r="X685" s="58"/>
      <c r="Y685" s="60"/>
      <c r="Z685" s="61"/>
      <c r="AA685" s="62"/>
      <c r="AB685" s="58"/>
      <c r="AC685" s="58"/>
      <c r="AD685" s="60"/>
      <c r="AE685" s="61"/>
      <c r="AF685" s="62"/>
      <c r="AG685" s="58"/>
      <c r="AH685" s="58"/>
      <c r="AI685" s="117"/>
      <c r="AJ685" s="61"/>
      <c r="AK685" s="62"/>
      <c r="AL685" s="58"/>
      <c r="AM685" s="58"/>
      <c r="AN685" s="58" t="s">
        <v>5055</v>
      </c>
      <c r="AO685" s="478"/>
      <c r="AP685" s="58"/>
      <c r="AQ685" s="62" t="s">
        <v>5056</v>
      </c>
      <c r="AR685" s="58" t="s">
        <v>161</v>
      </c>
      <c r="AS685" s="60">
        <v>37591</v>
      </c>
      <c r="AT685" s="60">
        <v>39994</v>
      </c>
      <c r="AU685" s="58" t="s">
        <v>5057</v>
      </c>
      <c r="AV685" s="58"/>
      <c r="AW685" s="58" t="s">
        <v>92</v>
      </c>
      <c r="AX685" s="58" t="s">
        <v>3177</v>
      </c>
      <c r="AY685" s="60">
        <v>41438</v>
      </c>
      <c r="AZ685" s="58" t="s">
        <v>94</v>
      </c>
      <c r="BA685" s="60">
        <v>42867</v>
      </c>
      <c r="BB685" s="382">
        <v>42894</v>
      </c>
      <c r="BC685" s="58" t="s">
        <v>95</v>
      </c>
      <c r="BD685" s="58" t="s">
        <v>566</v>
      </c>
      <c r="BE685" s="58"/>
      <c r="BF685" s="62" t="s">
        <v>5058</v>
      </c>
      <c r="BG685" s="62"/>
      <c r="BH685" s="62"/>
      <c r="BI685" s="62"/>
      <c r="BJ685" s="74">
        <f>+[218]MATRIZ!$J$76</f>
        <v>0</v>
      </c>
      <c r="BK685" s="67"/>
      <c r="BL685" s="68"/>
      <c r="BM685" s="60"/>
      <c r="BN685" s="61"/>
      <c r="BO685" s="463"/>
      <c r="BP685" s="122"/>
      <c r="BQ685" s="58"/>
      <c r="BR685" s="70"/>
      <c r="BS685" s="62"/>
      <c r="BT685" s="62"/>
      <c r="BU685" s="62"/>
      <c r="BV685" s="62"/>
      <c r="BW685" s="71"/>
      <c r="BX685" s="66"/>
      <c r="BY685" s="60"/>
      <c r="BZ685" s="72"/>
    </row>
    <row r="686" spans="1:555" ht="81">
      <c r="A686" s="57" t="s">
        <v>7512</v>
      </c>
      <c r="B686" s="58" t="s">
        <v>7517</v>
      </c>
      <c r="C686" s="59" t="s">
        <v>7518</v>
      </c>
      <c r="D686" s="170" t="s">
        <v>3541</v>
      </c>
      <c r="E686" s="60">
        <v>42906</v>
      </c>
      <c r="F686" s="61">
        <v>42887</v>
      </c>
      <c r="G686" s="62" t="s">
        <v>5068</v>
      </c>
      <c r="H686" s="58" t="s">
        <v>625</v>
      </c>
      <c r="I686" s="58" t="s">
        <v>183</v>
      </c>
      <c r="J686" s="60">
        <v>42970</v>
      </c>
      <c r="K686" s="61">
        <v>42948</v>
      </c>
      <c r="L686" s="62" t="s">
        <v>5069</v>
      </c>
      <c r="M686" s="58" t="s">
        <v>63</v>
      </c>
      <c r="N686" s="58" t="s">
        <v>5070</v>
      </c>
      <c r="O686" s="60">
        <v>43159</v>
      </c>
      <c r="P686" s="63">
        <v>43132</v>
      </c>
      <c r="Q686" s="62" t="s">
        <v>5071</v>
      </c>
      <c r="R686" s="58" t="s">
        <v>63</v>
      </c>
      <c r="S686" s="58" t="s">
        <v>107</v>
      </c>
      <c r="T686" s="60">
        <v>43199</v>
      </c>
      <c r="U686" s="61">
        <v>43191</v>
      </c>
      <c r="V686" s="62" t="s">
        <v>3545</v>
      </c>
      <c r="W686" s="58" t="s">
        <v>63</v>
      </c>
      <c r="X686" s="58" t="s">
        <v>107</v>
      </c>
      <c r="Y686" s="60">
        <v>43670</v>
      </c>
      <c r="Z686" s="61">
        <v>43670</v>
      </c>
      <c r="AA686" s="62" t="s">
        <v>8999</v>
      </c>
      <c r="AB686" s="58" t="s">
        <v>63</v>
      </c>
      <c r="AC686" s="58" t="s">
        <v>1114</v>
      </c>
      <c r="AD686" s="60">
        <v>44286</v>
      </c>
      <c r="AE686" s="61">
        <v>44286</v>
      </c>
      <c r="AF686" s="62" t="s">
        <v>10424</v>
      </c>
      <c r="AG686" s="58" t="s">
        <v>63</v>
      </c>
      <c r="AH686" s="58" t="s">
        <v>9546</v>
      </c>
      <c r="AI686" s="60">
        <v>44522</v>
      </c>
      <c r="AJ686" s="61">
        <v>44501</v>
      </c>
      <c r="AK686" s="959" t="s">
        <v>10687</v>
      </c>
      <c r="AL686" s="58" t="s">
        <v>5</v>
      </c>
      <c r="AM686" s="58" t="s">
        <v>10688</v>
      </c>
      <c r="AN686" s="58" t="s">
        <v>3671</v>
      </c>
      <c r="AO686" s="478"/>
      <c r="AP686" s="58"/>
      <c r="AQ686" s="62" t="s">
        <v>5072</v>
      </c>
      <c r="AR686" s="58" t="s">
        <v>161</v>
      </c>
      <c r="AS686" s="60" t="s">
        <v>7520</v>
      </c>
      <c r="AT686" s="60" t="s">
        <v>7521</v>
      </c>
      <c r="AU686" s="58" t="s">
        <v>9000</v>
      </c>
      <c r="AV686" s="58"/>
      <c r="AW686" s="58" t="s">
        <v>92</v>
      </c>
      <c r="AX686" s="58" t="s">
        <v>5074</v>
      </c>
      <c r="AY686" s="60">
        <v>41603</v>
      </c>
      <c r="AZ686" s="58" t="s">
        <v>164</v>
      </c>
      <c r="BA686" s="60">
        <v>42718</v>
      </c>
      <c r="BB686" s="382">
        <v>42850</v>
      </c>
      <c r="BC686" s="58" t="s">
        <v>95</v>
      </c>
      <c r="BD686" s="58" t="s">
        <v>566</v>
      </c>
      <c r="BE686" s="58"/>
      <c r="BF686" s="62" t="s">
        <v>5075</v>
      </c>
      <c r="BG686" s="62" t="s">
        <v>5076</v>
      </c>
      <c r="BH686" s="62"/>
      <c r="BI686" s="62"/>
      <c r="BJ686" s="74">
        <f>+[219]MATRIZ!$J$73</f>
        <v>0</v>
      </c>
      <c r="BK686" s="67"/>
      <c r="BL686" s="68"/>
      <c r="BM686" s="60"/>
      <c r="BN686" s="61"/>
      <c r="BO686" s="463"/>
      <c r="BP686" s="122"/>
      <c r="BQ686" s="58"/>
      <c r="BR686" s="70"/>
      <c r="BS686" s="62"/>
      <c r="BT686" s="62"/>
      <c r="BU686" s="62"/>
      <c r="BV686" s="62"/>
      <c r="BW686" s="71"/>
      <c r="BX686" s="66"/>
      <c r="BY686" s="60"/>
      <c r="BZ686" s="72"/>
    </row>
    <row r="687" spans="1:555" s="259" customFormat="1" ht="165" customHeight="1">
      <c r="A687" s="57" t="s">
        <v>7513</v>
      </c>
      <c r="B687" s="58" t="s">
        <v>7515</v>
      </c>
      <c r="C687" s="59">
        <v>79623190</v>
      </c>
      <c r="D687" s="170" t="s">
        <v>3541</v>
      </c>
      <c r="E687" s="60">
        <v>42906</v>
      </c>
      <c r="F687" s="61">
        <v>42887</v>
      </c>
      <c r="G687" s="62" t="s">
        <v>5068</v>
      </c>
      <c r="H687" s="58" t="s">
        <v>625</v>
      </c>
      <c r="I687" s="58" t="s">
        <v>183</v>
      </c>
      <c r="J687" s="60">
        <v>42970</v>
      </c>
      <c r="K687" s="61">
        <v>42948</v>
      </c>
      <c r="L687" s="62" t="s">
        <v>5069</v>
      </c>
      <c r="M687" s="58" t="s">
        <v>63</v>
      </c>
      <c r="N687" s="58" t="s">
        <v>5070</v>
      </c>
      <c r="O687" s="60">
        <v>43159</v>
      </c>
      <c r="P687" s="63">
        <v>43132</v>
      </c>
      <c r="Q687" s="62" t="s">
        <v>5071</v>
      </c>
      <c r="R687" s="58" t="s">
        <v>63</v>
      </c>
      <c r="S687" s="58" t="s">
        <v>107</v>
      </c>
      <c r="T687" s="60">
        <v>43199</v>
      </c>
      <c r="U687" s="61">
        <v>43191</v>
      </c>
      <c r="V687" s="62" t="s">
        <v>3545</v>
      </c>
      <c r="W687" s="58" t="s">
        <v>63</v>
      </c>
      <c r="X687" s="58" t="s">
        <v>107</v>
      </c>
      <c r="Y687" s="60">
        <v>43670</v>
      </c>
      <c r="Z687" s="61">
        <v>43670</v>
      </c>
      <c r="AA687" s="62" t="s">
        <v>8998</v>
      </c>
      <c r="AB687" s="58" t="s">
        <v>63</v>
      </c>
      <c r="AC687" s="58" t="s">
        <v>1114</v>
      </c>
      <c r="AD687" s="60">
        <v>44286</v>
      </c>
      <c r="AE687" s="61">
        <v>44286</v>
      </c>
      <c r="AF687" s="62" t="s">
        <v>10424</v>
      </c>
      <c r="AG687" s="58" t="s">
        <v>63</v>
      </c>
      <c r="AH687" s="58" t="s">
        <v>9546</v>
      </c>
      <c r="AI687" s="27" t="s">
        <v>10692</v>
      </c>
      <c r="AJ687" s="689" t="s">
        <v>10691</v>
      </c>
      <c r="AK687" s="690" t="s">
        <v>10689</v>
      </c>
      <c r="AL687" s="686" t="s">
        <v>10690</v>
      </c>
      <c r="AM687" s="686" t="s">
        <v>10693</v>
      </c>
      <c r="AN687" s="58" t="s">
        <v>3671</v>
      </c>
      <c r="AO687" s="478"/>
      <c r="AP687" s="58"/>
      <c r="AQ687" s="62" t="s">
        <v>5072</v>
      </c>
      <c r="AR687" s="58" t="s">
        <v>161</v>
      </c>
      <c r="AS687" s="60">
        <v>39630</v>
      </c>
      <c r="AT687" s="60" t="s">
        <v>7519</v>
      </c>
      <c r="AU687" s="58" t="s">
        <v>9000</v>
      </c>
      <c r="AV687" s="58"/>
      <c r="AW687" s="58" t="s">
        <v>92</v>
      </c>
      <c r="AX687" s="58" t="s">
        <v>5074</v>
      </c>
      <c r="AY687" s="60">
        <v>41603</v>
      </c>
      <c r="AZ687" s="58" t="s">
        <v>164</v>
      </c>
      <c r="BA687" s="60">
        <v>42718</v>
      </c>
      <c r="BB687" s="382">
        <v>42850</v>
      </c>
      <c r="BC687" s="58" t="s">
        <v>95</v>
      </c>
      <c r="BD687" s="58" t="s">
        <v>566</v>
      </c>
      <c r="BE687" s="58"/>
      <c r="BF687" s="62"/>
      <c r="BG687" s="62"/>
      <c r="BH687" s="62"/>
      <c r="BI687" s="62"/>
      <c r="BJ687" s="74">
        <f>+[220]MATRIZ!$J$60</f>
        <v>0</v>
      </c>
      <c r="BK687" s="67"/>
      <c r="BL687" s="68"/>
      <c r="BM687" s="60"/>
      <c r="BN687" s="61"/>
      <c r="BO687" s="463"/>
      <c r="BP687" s="122"/>
      <c r="BQ687" s="58"/>
      <c r="BR687" s="70"/>
      <c r="BS687" s="62"/>
      <c r="BT687" s="62"/>
      <c r="BU687" s="62"/>
      <c r="BV687" s="62"/>
      <c r="BW687" s="71"/>
      <c r="BX687" s="66"/>
      <c r="BY687" s="60"/>
      <c r="BZ687" s="72"/>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c r="JW687" s="1"/>
      <c r="JX687" s="1"/>
      <c r="JY687" s="1"/>
      <c r="JZ687" s="1"/>
      <c r="KA687" s="1"/>
      <c r="KB687" s="1"/>
      <c r="KC687" s="1"/>
      <c r="KD687" s="1"/>
      <c r="KE687" s="1"/>
      <c r="KF687" s="1"/>
      <c r="KG687" s="1"/>
      <c r="KH687" s="1"/>
      <c r="KI687" s="1"/>
      <c r="KJ687" s="1"/>
      <c r="KK687" s="1"/>
      <c r="KL687" s="1"/>
      <c r="KM687" s="1"/>
      <c r="KN687" s="1"/>
      <c r="KO687" s="1"/>
      <c r="KP687" s="1"/>
      <c r="KQ687" s="1"/>
      <c r="KR687" s="1"/>
      <c r="KS687" s="1"/>
      <c r="KT687" s="1"/>
      <c r="KU687" s="1"/>
      <c r="KV687" s="1"/>
      <c r="KW687" s="1"/>
      <c r="KX687" s="1"/>
      <c r="KY687" s="1"/>
      <c r="KZ687" s="1"/>
      <c r="LA687" s="1"/>
      <c r="LB687" s="1"/>
      <c r="LC687" s="1"/>
      <c r="LD687" s="1"/>
      <c r="LE687" s="1"/>
      <c r="LF687" s="1"/>
      <c r="LG687" s="1"/>
      <c r="LH687" s="1"/>
      <c r="LI687" s="1"/>
      <c r="LJ687" s="1"/>
      <c r="LK687" s="1"/>
      <c r="LL687" s="1"/>
      <c r="LM687" s="1"/>
      <c r="LN687" s="1"/>
      <c r="LO687" s="1"/>
      <c r="LP687" s="1"/>
      <c r="LQ687" s="1"/>
      <c r="LR687" s="1"/>
      <c r="LS687" s="1"/>
      <c r="LT687" s="1"/>
      <c r="LU687" s="1"/>
      <c r="LV687" s="1"/>
      <c r="LW687" s="1"/>
      <c r="LX687" s="1"/>
      <c r="LY687" s="1"/>
      <c r="LZ687" s="1"/>
      <c r="MA687" s="1"/>
      <c r="MB687" s="1"/>
      <c r="MC687" s="1"/>
      <c r="MD687" s="1"/>
      <c r="ME687" s="1"/>
      <c r="MF687" s="1"/>
      <c r="MG687" s="1"/>
      <c r="MH687" s="1"/>
      <c r="MI687" s="1"/>
      <c r="MJ687" s="1"/>
      <c r="MK687" s="1"/>
      <c r="ML687" s="1"/>
      <c r="MM687" s="1"/>
      <c r="MN687" s="1"/>
      <c r="MO687" s="1"/>
      <c r="MP687" s="1"/>
      <c r="MQ687" s="1"/>
      <c r="MR687" s="1"/>
      <c r="MS687" s="1"/>
      <c r="MT687" s="1"/>
      <c r="MU687" s="1"/>
      <c r="MV687" s="1"/>
      <c r="MW687" s="1"/>
      <c r="MX687" s="1"/>
      <c r="MY687" s="1"/>
      <c r="MZ687" s="1"/>
      <c r="NA687" s="1"/>
      <c r="NB687" s="1"/>
      <c r="NC687" s="1"/>
      <c r="ND687" s="1"/>
      <c r="NE687" s="1"/>
      <c r="NF687" s="1"/>
      <c r="NG687" s="1"/>
      <c r="NH687" s="1"/>
      <c r="NI687" s="1"/>
      <c r="NJ687" s="1"/>
      <c r="NK687" s="1"/>
      <c r="NL687" s="1"/>
      <c r="NM687" s="1"/>
      <c r="NN687" s="1"/>
      <c r="NO687" s="1"/>
      <c r="NP687" s="1"/>
      <c r="NQ687" s="1"/>
      <c r="NR687" s="1"/>
      <c r="NS687" s="1"/>
      <c r="NT687" s="1"/>
      <c r="NU687" s="1"/>
      <c r="NV687" s="1"/>
      <c r="NW687" s="1"/>
      <c r="NX687" s="1"/>
      <c r="NY687" s="1"/>
      <c r="NZ687" s="1"/>
      <c r="OA687" s="1"/>
      <c r="OB687" s="1"/>
      <c r="OC687" s="1"/>
      <c r="OD687" s="1"/>
      <c r="OE687" s="1"/>
      <c r="OF687" s="1"/>
      <c r="OG687" s="1"/>
      <c r="OH687" s="1"/>
      <c r="OI687" s="1"/>
      <c r="OJ687" s="1"/>
      <c r="OK687" s="1"/>
      <c r="OL687" s="1"/>
      <c r="OM687" s="1"/>
      <c r="ON687" s="1"/>
      <c r="OO687" s="1"/>
      <c r="OP687" s="1"/>
      <c r="OQ687" s="1"/>
      <c r="OR687" s="1"/>
      <c r="OS687" s="1"/>
      <c r="OT687" s="1"/>
      <c r="OU687" s="1"/>
      <c r="OV687" s="1"/>
      <c r="OW687" s="1"/>
      <c r="OX687" s="1"/>
      <c r="OY687" s="1"/>
      <c r="OZ687" s="1"/>
      <c r="PA687" s="1"/>
      <c r="PB687" s="1"/>
      <c r="PC687" s="1"/>
      <c r="PD687" s="1"/>
      <c r="PE687" s="1"/>
      <c r="PF687" s="1"/>
      <c r="PG687" s="1"/>
      <c r="PH687" s="1"/>
      <c r="PI687" s="1"/>
      <c r="PJ687" s="1"/>
      <c r="PK687" s="1"/>
      <c r="PL687" s="1"/>
      <c r="PM687" s="1"/>
      <c r="PN687" s="1"/>
      <c r="PO687" s="1"/>
      <c r="PP687" s="1"/>
      <c r="PQ687" s="1"/>
      <c r="PR687" s="1"/>
      <c r="PS687" s="1"/>
      <c r="PT687" s="1"/>
      <c r="PU687" s="1"/>
      <c r="PV687" s="1"/>
      <c r="PW687" s="1"/>
      <c r="PX687" s="1"/>
      <c r="PY687" s="1"/>
      <c r="PZ687" s="1"/>
      <c r="QA687" s="1"/>
      <c r="QB687" s="1"/>
      <c r="QC687" s="1"/>
      <c r="QD687" s="1"/>
      <c r="QE687" s="1"/>
      <c r="QF687" s="1"/>
      <c r="QG687" s="1"/>
      <c r="QH687" s="1"/>
      <c r="QI687" s="1"/>
      <c r="QJ687" s="1"/>
      <c r="QK687" s="1"/>
      <c r="QL687" s="1"/>
      <c r="QM687" s="1"/>
      <c r="QN687" s="1"/>
      <c r="QO687" s="1"/>
      <c r="QP687" s="1"/>
      <c r="QQ687" s="1"/>
      <c r="QR687" s="1"/>
      <c r="QS687" s="1"/>
      <c r="QT687" s="1"/>
      <c r="QU687" s="1"/>
      <c r="QV687" s="1"/>
      <c r="QW687" s="1"/>
      <c r="QX687" s="1"/>
      <c r="QY687" s="1"/>
      <c r="QZ687" s="1"/>
      <c r="RA687" s="1"/>
      <c r="RB687" s="1"/>
      <c r="RC687" s="1"/>
      <c r="RD687" s="1"/>
      <c r="RE687" s="1"/>
      <c r="RF687" s="1"/>
      <c r="RG687" s="1"/>
      <c r="RH687" s="1"/>
      <c r="RI687" s="1"/>
      <c r="RJ687" s="1"/>
      <c r="RK687" s="1"/>
      <c r="RL687" s="1"/>
      <c r="RM687" s="1"/>
      <c r="RN687" s="1"/>
      <c r="RO687" s="1"/>
      <c r="RP687" s="1"/>
      <c r="RQ687" s="1"/>
      <c r="RR687" s="1"/>
      <c r="RS687" s="1"/>
      <c r="RT687" s="1"/>
      <c r="RU687" s="1"/>
      <c r="RV687" s="1"/>
      <c r="RW687" s="1"/>
      <c r="RX687" s="1"/>
      <c r="RY687" s="1"/>
      <c r="RZ687" s="1"/>
      <c r="SA687" s="1"/>
      <c r="SB687" s="1"/>
      <c r="SC687" s="1"/>
      <c r="SD687" s="1"/>
      <c r="SE687" s="1"/>
      <c r="SF687" s="1"/>
      <c r="SG687" s="1"/>
      <c r="SH687" s="1"/>
      <c r="SI687" s="1"/>
      <c r="SJ687" s="1"/>
      <c r="SK687" s="1"/>
      <c r="SL687" s="1"/>
      <c r="SM687" s="1"/>
      <c r="SN687" s="1"/>
      <c r="SO687" s="1"/>
      <c r="SP687" s="1"/>
      <c r="SQ687" s="1"/>
      <c r="SR687" s="1"/>
      <c r="SS687" s="1"/>
      <c r="ST687" s="1"/>
      <c r="SU687" s="1"/>
      <c r="SV687" s="1"/>
      <c r="SW687" s="1"/>
      <c r="SX687" s="1"/>
      <c r="SY687" s="1"/>
      <c r="SZ687" s="1"/>
      <c r="TA687" s="1"/>
      <c r="TB687" s="1"/>
      <c r="TC687" s="1"/>
      <c r="TD687" s="1"/>
      <c r="TE687" s="1"/>
      <c r="TF687" s="1"/>
      <c r="TG687" s="1"/>
      <c r="TH687" s="1"/>
      <c r="TI687" s="1"/>
      <c r="TJ687" s="1"/>
      <c r="TK687" s="1"/>
      <c r="TL687" s="1"/>
      <c r="TM687" s="1"/>
      <c r="TN687" s="1"/>
      <c r="TO687" s="1"/>
      <c r="TP687" s="1"/>
      <c r="TQ687" s="1"/>
      <c r="TR687" s="1"/>
      <c r="TS687" s="1"/>
      <c r="TT687" s="1"/>
      <c r="TU687" s="1"/>
      <c r="TV687" s="1"/>
      <c r="TW687" s="1"/>
      <c r="TX687" s="1"/>
      <c r="TY687" s="1"/>
      <c r="TZ687" s="1"/>
      <c r="UA687" s="1"/>
      <c r="UB687" s="1"/>
      <c r="UC687" s="1"/>
      <c r="UD687" s="1"/>
      <c r="UE687" s="1"/>
      <c r="UF687" s="1"/>
      <c r="UG687" s="1"/>
      <c r="UH687" s="1"/>
      <c r="UI687" s="1"/>
    </row>
    <row r="688" spans="1:555" ht="71.25" customHeight="1">
      <c r="A688" s="57" t="s">
        <v>7514</v>
      </c>
      <c r="B688" s="58" t="s">
        <v>7516</v>
      </c>
      <c r="C688" s="59">
        <v>80117670</v>
      </c>
      <c r="D688" s="170" t="s">
        <v>3541</v>
      </c>
      <c r="E688" s="60">
        <v>42906</v>
      </c>
      <c r="F688" s="61">
        <v>42887</v>
      </c>
      <c r="G688" s="62" t="s">
        <v>5068</v>
      </c>
      <c r="H688" s="58" t="s">
        <v>625</v>
      </c>
      <c r="I688" s="58" t="s">
        <v>183</v>
      </c>
      <c r="J688" s="60">
        <v>42970</v>
      </c>
      <c r="K688" s="61">
        <v>42948</v>
      </c>
      <c r="L688" s="62" t="s">
        <v>5069</v>
      </c>
      <c r="M688" s="58" t="s">
        <v>63</v>
      </c>
      <c r="N688" s="58" t="s">
        <v>5070</v>
      </c>
      <c r="O688" s="60">
        <v>43159</v>
      </c>
      <c r="P688" s="63">
        <v>43132</v>
      </c>
      <c r="Q688" s="62" t="s">
        <v>5071</v>
      </c>
      <c r="R688" s="58" t="s">
        <v>63</v>
      </c>
      <c r="S688" s="58" t="s">
        <v>107</v>
      </c>
      <c r="T688" s="60">
        <v>43199</v>
      </c>
      <c r="U688" s="61">
        <v>43191</v>
      </c>
      <c r="V688" s="62" t="s">
        <v>3545</v>
      </c>
      <c r="W688" s="58" t="s">
        <v>63</v>
      </c>
      <c r="X688" s="58" t="s">
        <v>107</v>
      </c>
      <c r="Y688" s="60">
        <v>43670</v>
      </c>
      <c r="Z688" s="61">
        <v>43670</v>
      </c>
      <c r="AA688" s="62" t="s">
        <v>9032</v>
      </c>
      <c r="AB688" s="58" t="s">
        <v>63</v>
      </c>
      <c r="AC688" s="58" t="s">
        <v>1114</v>
      </c>
      <c r="AD688" s="60">
        <v>44286</v>
      </c>
      <c r="AE688" s="61">
        <v>44286</v>
      </c>
      <c r="AF688" s="62" t="s">
        <v>10424</v>
      </c>
      <c r="AG688" s="58" t="s">
        <v>63</v>
      </c>
      <c r="AH688" s="58" t="s">
        <v>9546</v>
      </c>
      <c r="AI688" s="60">
        <v>44522</v>
      </c>
      <c r="AJ688" s="61">
        <v>44501</v>
      </c>
      <c r="AK688" s="959" t="s">
        <v>10687</v>
      </c>
      <c r="AL688" s="58" t="s">
        <v>63</v>
      </c>
      <c r="AM688" s="58" t="s">
        <v>10694</v>
      </c>
      <c r="AN688" s="58" t="s">
        <v>3671</v>
      </c>
      <c r="AO688" s="478"/>
      <c r="AP688" s="58"/>
      <c r="AQ688" s="62" t="s">
        <v>5072</v>
      </c>
      <c r="AR688" s="58" t="s">
        <v>161</v>
      </c>
      <c r="AS688" s="60">
        <v>38595</v>
      </c>
      <c r="AT688" s="60" t="s">
        <v>7519</v>
      </c>
      <c r="AU688" s="58" t="s">
        <v>5073</v>
      </c>
      <c r="AV688" s="58"/>
      <c r="AW688" s="58" t="s">
        <v>92</v>
      </c>
      <c r="AX688" s="58" t="s">
        <v>5074</v>
      </c>
      <c r="AY688" s="60">
        <v>41603</v>
      </c>
      <c r="AZ688" s="58" t="s">
        <v>164</v>
      </c>
      <c r="BA688" s="60">
        <v>42718</v>
      </c>
      <c r="BB688" s="382">
        <v>42850</v>
      </c>
      <c r="BC688" s="58" t="s">
        <v>95</v>
      </c>
      <c r="BD688" s="58" t="s">
        <v>566</v>
      </c>
      <c r="BE688" s="58"/>
      <c r="BF688" s="62"/>
      <c r="BG688" s="62"/>
      <c r="BH688" s="62"/>
      <c r="BI688" s="62"/>
      <c r="BJ688" s="74">
        <f>+[221]MATRIZ!$J$67</f>
        <v>0</v>
      </c>
      <c r="BK688" s="67"/>
      <c r="BL688" s="68"/>
      <c r="BM688" s="60"/>
      <c r="BN688" s="61"/>
      <c r="BO688" s="463"/>
      <c r="BP688" s="122"/>
      <c r="BQ688" s="58"/>
      <c r="BR688" s="70"/>
      <c r="BS688" s="62"/>
      <c r="BT688" s="62"/>
      <c r="BU688" s="62"/>
      <c r="BV688" s="62"/>
      <c r="BW688" s="71"/>
      <c r="BX688" s="66"/>
      <c r="BY688" s="60"/>
      <c r="BZ688" s="72"/>
    </row>
    <row r="689" spans="1:555" ht="175.5">
      <c r="A689" s="33">
        <v>573</v>
      </c>
      <c r="B689" s="34" t="s">
        <v>5080</v>
      </c>
      <c r="C689" s="135">
        <v>7707577</v>
      </c>
      <c r="D689" s="440"/>
      <c r="E689" s="37">
        <v>42956</v>
      </c>
      <c r="F689" s="38">
        <v>42948</v>
      </c>
      <c r="G689" s="39" t="s">
        <v>5081</v>
      </c>
      <c r="H689" s="34" t="s">
        <v>171</v>
      </c>
      <c r="I689" s="34" t="s">
        <v>4918</v>
      </c>
      <c r="J689" s="37"/>
      <c r="K689" s="38"/>
      <c r="L689" s="39"/>
      <c r="M689" s="34"/>
      <c r="N689" s="34"/>
      <c r="O689" s="37"/>
      <c r="P689" s="40"/>
      <c r="Q689" s="39"/>
      <c r="R689" s="34"/>
      <c r="S689" s="34"/>
      <c r="T689" s="37"/>
      <c r="U689" s="38"/>
      <c r="V689" s="39"/>
      <c r="W689" s="34"/>
      <c r="X689" s="34"/>
      <c r="Y689" s="37"/>
      <c r="Z689" s="38"/>
      <c r="AA689" s="39"/>
      <c r="AB689" s="34"/>
      <c r="AC689" s="34"/>
      <c r="AD689" s="37"/>
      <c r="AE689" s="38"/>
      <c r="AF689" s="39"/>
      <c r="AG689" s="34"/>
      <c r="AH689" s="34"/>
      <c r="AI689" s="73"/>
      <c r="AJ689" s="38"/>
      <c r="AK689" s="39"/>
      <c r="AL689" s="34"/>
      <c r="AM689" s="34"/>
      <c r="AN689" s="34"/>
      <c r="AO689" s="473"/>
      <c r="AP689" s="34"/>
      <c r="AQ689" s="39" t="s">
        <v>5082</v>
      </c>
      <c r="AR689" s="34" t="s">
        <v>161</v>
      </c>
      <c r="AS689" s="37"/>
      <c r="AT689" s="37"/>
      <c r="AU689" s="34" t="s">
        <v>5083</v>
      </c>
      <c r="AV689" s="34"/>
      <c r="AW689" s="34" t="s">
        <v>69</v>
      </c>
      <c r="AX689" s="34" t="s">
        <v>5084</v>
      </c>
      <c r="AY689" s="37">
        <v>41880</v>
      </c>
      <c r="AZ689" s="34" t="s">
        <v>5085</v>
      </c>
      <c r="BA689" s="37">
        <v>42517</v>
      </c>
      <c r="BB689" s="382">
        <v>42538</v>
      </c>
      <c r="BC689" s="34" t="s">
        <v>5086</v>
      </c>
      <c r="BD689" s="34"/>
      <c r="BE689" s="34"/>
      <c r="BF689" s="39"/>
      <c r="BG689" s="39"/>
      <c r="BH689" s="39"/>
      <c r="BI689" s="39"/>
      <c r="BJ689" s="74"/>
      <c r="BK689" s="74"/>
      <c r="BL689" s="44"/>
      <c r="BM689" s="37"/>
      <c r="BN689" s="38"/>
      <c r="BO689" s="462"/>
      <c r="BP689" s="391"/>
      <c r="BQ689" s="34"/>
      <c r="BR689" s="42"/>
      <c r="BS689" s="39"/>
      <c r="BT689" s="39"/>
      <c r="BU689" s="39"/>
      <c r="BV689" s="39"/>
      <c r="BW689" s="51"/>
      <c r="BX689" s="41"/>
      <c r="BY689" s="37"/>
      <c r="BZ689" s="52"/>
    </row>
    <row r="690" spans="1:555" s="685" customFormat="1" ht="229.5">
      <c r="A690" s="502">
        <v>574</v>
      </c>
      <c r="B690" s="686" t="s">
        <v>4356</v>
      </c>
      <c r="C690" s="687">
        <v>37722333</v>
      </c>
      <c r="D690" s="688" t="s">
        <v>906</v>
      </c>
      <c r="E690" s="27">
        <v>41990</v>
      </c>
      <c r="F690" s="689">
        <v>41990</v>
      </c>
      <c r="G690" s="690" t="s">
        <v>5087</v>
      </c>
      <c r="H690" s="686" t="s">
        <v>195</v>
      </c>
      <c r="I690" s="686" t="s">
        <v>336</v>
      </c>
      <c r="J690" s="27">
        <v>42176</v>
      </c>
      <c r="K690" s="689">
        <v>42156</v>
      </c>
      <c r="L690" s="690" t="s">
        <v>5088</v>
      </c>
      <c r="M690" s="686" t="s">
        <v>1997</v>
      </c>
      <c r="N690" s="686" t="s">
        <v>5089</v>
      </c>
      <c r="O690" s="27">
        <v>42867</v>
      </c>
      <c r="P690" s="691">
        <v>42856</v>
      </c>
      <c r="Q690" s="690" t="s">
        <v>5090</v>
      </c>
      <c r="R690" s="686" t="s">
        <v>625</v>
      </c>
      <c r="S690" s="686" t="s">
        <v>4918</v>
      </c>
      <c r="T690" s="27">
        <v>42928</v>
      </c>
      <c r="U690" s="689">
        <v>42917</v>
      </c>
      <c r="V690" s="690" t="s">
        <v>5091</v>
      </c>
      <c r="W690" s="686" t="s">
        <v>5</v>
      </c>
      <c r="X690" s="686" t="s">
        <v>3510</v>
      </c>
      <c r="Y690" s="27">
        <v>42122</v>
      </c>
      <c r="Z690" s="689">
        <v>42095</v>
      </c>
      <c r="AA690" s="690" t="s">
        <v>5092</v>
      </c>
      <c r="AB690" s="686" t="s">
        <v>171</v>
      </c>
      <c r="AC690" s="686" t="s">
        <v>1393</v>
      </c>
      <c r="AD690" s="27" t="s">
        <v>5093</v>
      </c>
      <c r="AE690" s="689" t="s">
        <v>5094</v>
      </c>
      <c r="AF690" s="690" t="s">
        <v>5095</v>
      </c>
      <c r="AG690" s="686" t="s">
        <v>5096</v>
      </c>
      <c r="AH690" s="686" t="s">
        <v>5097</v>
      </c>
      <c r="AI690" s="704"/>
      <c r="AJ690" s="689"/>
      <c r="AK690" s="690"/>
      <c r="AL690" s="686"/>
      <c r="AM690" s="686"/>
      <c r="AN690" s="686" t="s">
        <v>5098</v>
      </c>
      <c r="AO690" s="694">
        <v>42928</v>
      </c>
      <c r="AP690" s="686"/>
      <c r="AQ690" s="690" t="s">
        <v>5099</v>
      </c>
      <c r="AR690" s="686" t="s">
        <v>2080</v>
      </c>
      <c r="AS690" s="27">
        <v>37187</v>
      </c>
      <c r="AT690" s="27">
        <v>40908</v>
      </c>
      <c r="AU690" s="686" t="s">
        <v>5100</v>
      </c>
      <c r="AV690" s="686"/>
      <c r="AW690" s="686" t="s">
        <v>69</v>
      </c>
      <c r="AX690" s="686" t="s">
        <v>5101</v>
      </c>
      <c r="AY690" s="27">
        <v>42390</v>
      </c>
      <c r="AZ690" s="686" t="s">
        <v>5102</v>
      </c>
      <c r="BA690" s="27">
        <v>42823</v>
      </c>
      <c r="BB690" s="27">
        <v>42845</v>
      </c>
      <c r="BC690" s="701" t="s">
        <v>912</v>
      </c>
      <c r="BD690" s="701" t="s">
        <v>566</v>
      </c>
      <c r="BE690" s="686"/>
      <c r="BF690" s="690"/>
      <c r="BG690" s="690"/>
      <c r="BH690" s="690"/>
      <c r="BI690" s="690"/>
      <c r="BJ690" s="696">
        <f>+[222]MATRIZ!$J$49</f>
        <v>0</v>
      </c>
      <c r="BK690" s="696"/>
      <c r="BL690" s="697"/>
      <c r="BM690" s="27"/>
      <c r="BN690" s="689"/>
      <c r="BO690" s="699"/>
      <c r="BP690" s="700"/>
      <c r="BQ690" s="686"/>
      <c r="BR690" s="701"/>
      <c r="BS690" s="690"/>
      <c r="BT690" s="690"/>
      <c r="BU690" s="690"/>
      <c r="BV690" s="690"/>
      <c r="BW690" s="702"/>
      <c r="BX690" s="693"/>
      <c r="BY690" s="27"/>
      <c r="BZ690" s="703"/>
      <c r="CA690" s="259"/>
      <c r="CB690" s="259"/>
      <c r="CC690" s="259"/>
      <c r="CD690" s="259"/>
      <c r="CE690" s="259"/>
      <c r="CF690" s="259"/>
      <c r="CG690" s="259"/>
      <c r="CH690" s="259"/>
      <c r="CI690" s="259"/>
      <c r="CJ690" s="259"/>
      <c r="CK690" s="259"/>
      <c r="CL690" s="259"/>
      <c r="CM690" s="259"/>
      <c r="CN690" s="259"/>
      <c r="CO690" s="259"/>
      <c r="CP690" s="259"/>
      <c r="CQ690" s="259"/>
      <c r="CR690" s="259"/>
      <c r="CS690" s="259"/>
      <c r="CT690" s="259"/>
      <c r="CU690" s="259"/>
      <c r="CV690" s="259"/>
      <c r="CW690" s="259"/>
      <c r="CX690" s="259"/>
      <c r="CY690" s="259"/>
      <c r="CZ690" s="259"/>
      <c r="DA690" s="259"/>
      <c r="DB690" s="259"/>
      <c r="DC690" s="259"/>
      <c r="DD690" s="259"/>
      <c r="DE690" s="259"/>
      <c r="DF690" s="259"/>
      <c r="DG690" s="259"/>
      <c r="DH690" s="259"/>
      <c r="DI690" s="259"/>
      <c r="DJ690" s="259"/>
      <c r="DK690" s="259"/>
      <c r="DL690" s="259"/>
      <c r="DM690" s="259"/>
      <c r="DN690" s="259"/>
      <c r="DO690" s="259"/>
      <c r="DP690" s="259"/>
      <c r="DQ690" s="259"/>
      <c r="DR690" s="259"/>
      <c r="DS690" s="259"/>
      <c r="DT690" s="259"/>
      <c r="DU690" s="259"/>
      <c r="DV690" s="259"/>
      <c r="DW690" s="259"/>
      <c r="DX690" s="259"/>
      <c r="DY690" s="259"/>
      <c r="DZ690" s="259"/>
      <c r="EA690" s="259"/>
      <c r="EB690" s="259"/>
      <c r="EC690" s="259"/>
      <c r="ED690" s="259"/>
      <c r="EE690" s="259"/>
      <c r="EF690" s="259"/>
      <c r="EG690" s="259"/>
      <c r="EH690" s="259"/>
      <c r="EI690" s="259"/>
      <c r="EJ690" s="259"/>
      <c r="EK690" s="259"/>
      <c r="EL690" s="259"/>
      <c r="EM690" s="259"/>
      <c r="EN690" s="259"/>
      <c r="EO690" s="259"/>
      <c r="EP690" s="259"/>
      <c r="EQ690" s="259"/>
      <c r="ER690" s="259"/>
      <c r="ES690" s="259"/>
      <c r="ET690" s="259"/>
      <c r="EU690" s="259"/>
      <c r="EV690" s="259"/>
      <c r="EW690" s="259"/>
      <c r="EX690" s="259"/>
      <c r="EY690" s="259"/>
      <c r="EZ690" s="259"/>
      <c r="FA690" s="259"/>
      <c r="FB690" s="259"/>
      <c r="FC690" s="259"/>
      <c r="FD690" s="259"/>
      <c r="FE690" s="259"/>
      <c r="FF690" s="259"/>
      <c r="FG690" s="259"/>
      <c r="FH690" s="259"/>
      <c r="FI690" s="259"/>
      <c r="FJ690" s="259"/>
      <c r="FK690" s="259"/>
      <c r="FL690" s="259"/>
      <c r="FM690" s="259"/>
      <c r="FN690" s="259"/>
      <c r="FO690" s="259"/>
      <c r="FP690" s="259"/>
      <c r="FQ690" s="259"/>
      <c r="FR690" s="259"/>
      <c r="FS690" s="259"/>
      <c r="FT690" s="259"/>
      <c r="FU690" s="259"/>
      <c r="FV690" s="259"/>
      <c r="FW690" s="259"/>
      <c r="FX690" s="259"/>
      <c r="FY690" s="259"/>
      <c r="FZ690" s="259"/>
      <c r="GA690" s="259"/>
      <c r="GB690" s="259"/>
      <c r="GC690" s="259"/>
      <c r="GD690" s="259"/>
      <c r="GE690" s="259"/>
      <c r="GF690" s="259"/>
      <c r="GG690" s="259"/>
      <c r="GH690" s="259"/>
      <c r="GI690" s="259"/>
      <c r="GJ690" s="259"/>
      <c r="GK690" s="259"/>
      <c r="GL690" s="259"/>
      <c r="GM690" s="259"/>
      <c r="GN690" s="259"/>
      <c r="GO690" s="259"/>
      <c r="GP690" s="259"/>
      <c r="GQ690" s="259"/>
      <c r="GR690" s="259"/>
      <c r="GS690" s="259"/>
      <c r="GT690" s="259"/>
      <c r="GU690" s="259"/>
      <c r="GV690" s="259"/>
      <c r="GW690" s="259"/>
      <c r="GX690" s="259"/>
      <c r="GY690" s="259"/>
      <c r="GZ690" s="259"/>
      <c r="HA690" s="259"/>
      <c r="HB690" s="259"/>
      <c r="HC690" s="259"/>
      <c r="HD690" s="259"/>
      <c r="HE690" s="259"/>
      <c r="HF690" s="259"/>
      <c r="HG690" s="259"/>
      <c r="HH690" s="259"/>
      <c r="HI690" s="259"/>
      <c r="HJ690" s="259"/>
      <c r="HK690" s="259"/>
      <c r="HL690" s="259"/>
      <c r="HM690" s="259"/>
      <c r="HN690" s="259"/>
      <c r="HO690" s="259"/>
      <c r="HP690" s="259"/>
      <c r="HQ690" s="259"/>
      <c r="HR690" s="259"/>
      <c r="HS690" s="259"/>
      <c r="HT690" s="259"/>
      <c r="HU690" s="259"/>
      <c r="HV690" s="259"/>
      <c r="HW690" s="259"/>
      <c r="HX690" s="259"/>
      <c r="HY690" s="259"/>
      <c r="HZ690" s="259"/>
      <c r="IA690" s="259"/>
      <c r="IB690" s="259"/>
      <c r="IC690" s="259"/>
      <c r="ID690" s="259"/>
      <c r="IE690" s="259"/>
      <c r="IF690" s="259"/>
      <c r="IG690" s="259"/>
      <c r="IH690" s="259"/>
      <c r="II690" s="259"/>
      <c r="IJ690" s="259"/>
      <c r="IK690" s="259"/>
      <c r="IL690" s="259"/>
      <c r="IM690" s="259"/>
      <c r="IN690" s="259"/>
      <c r="IO690" s="259"/>
      <c r="IP690" s="259"/>
      <c r="IQ690" s="259"/>
      <c r="IR690" s="259"/>
      <c r="IS690" s="259"/>
      <c r="IT690" s="259"/>
      <c r="IU690" s="259"/>
      <c r="IV690" s="259"/>
      <c r="IW690" s="259"/>
      <c r="IX690" s="259"/>
      <c r="IY690" s="259"/>
      <c r="IZ690" s="259"/>
      <c r="JA690" s="259"/>
      <c r="JB690" s="259"/>
      <c r="JC690" s="259"/>
      <c r="JD690" s="259"/>
      <c r="JE690" s="259"/>
      <c r="JF690" s="259"/>
      <c r="JG690" s="259"/>
      <c r="JH690" s="259"/>
      <c r="JI690" s="259"/>
      <c r="JJ690" s="259"/>
      <c r="JK690" s="259"/>
      <c r="JL690" s="259"/>
      <c r="JM690" s="259"/>
      <c r="JN690" s="259"/>
      <c r="JO690" s="259"/>
      <c r="JP690" s="259"/>
      <c r="JQ690" s="259"/>
      <c r="JR690" s="259"/>
      <c r="JS690" s="259"/>
      <c r="JT690" s="259"/>
      <c r="JU690" s="259"/>
      <c r="JV690" s="259"/>
      <c r="JW690" s="259"/>
      <c r="JX690" s="259"/>
      <c r="JY690" s="259"/>
      <c r="JZ690" s="259"/>
      <c r="KA690" s="259"/>
      <c r="KB690" s="259"/>
      <c r="KC690" s="259"/>
      <c r="KD690" s="259"/>
      <c r="KE690" s="259"/>
      <c r="KF690" s="259"/>
      <c r="KG690" s="259"/>
      <c r="KH690" s="259"/>
      <c r="KI690" s="259"/>
      <c r="KJ690" s="259"/>
      <c r="KK690" s="259"/>
      <c r="KL690" s="259"/>
      <c r="KM690" s="259"/>
      <c r="KN690" s="259"/>
      <c r="KO690" s="259"/>
      <c r="KP690" s="259"/>
      <c r="KQ690" s="259"/>
      <c r="KR690" s="259"/>
      <c r="KS690" s="259"/>
      <c r="KT690" s="259"/>
      <c r="KU690" s="259"/>
      <c r="KV690" s="259"/>
      <c r="KW690" s="259"/>
      <c r="KX690" s="259"/>
      <c r="KY690" s="259"/>
      <c r="KZ690" s="259"/>
      <c r="LA690" s="259"/>
      <c r="LB690" s="259"/>
      <c r="LC690" s="259"/>
      <c r="LD690" s="259"/>
      <c r="LE690" s="259"/>
      <c r="LF690" s="259"/>
      <c r="LG690" s="259"/>
      <c r="LH690" s="259"/>
      <c r="LI690" s="259"/>
      <c r="LJ690" s="259"/>
      <c r="LK690" s="259"/>
      <c r="LL690" s="259"/>
      <c r="LM690" s="259"/>
      <c r="LN690" s="259"/>
      <c r="LO690" s="259"/>
      <c r="LP690" s="259"/>
      <c r="LQ690" s="259"/>
      <c r="LR690" s="259"/>
      <c r="LS690" s="259"/>
      <c r="LT690" s="259"/>
      <c r="LU690" s="259"/>
      <c r="LV690" s="259"/>
      <c r="LW690" s="259"/>
      <c r="LX690" s="259"/>
      <c r="LY690" s="259"/>
      <c r="LZ690" s="259"/>
      <c r="MA690" s="259"/>
      <c r="MB690" s="259"/>
      <c r="MC690" s="259"/>
      <c r="MD690" s="259"/>
      <c r="ME690" s="259"/>
      <c r="MF690" s="259"/>
      <c r="MG690" s="259"/>
      <c r="MH690" s="259"/>
      <c r="MI690" s="259"/>
      <c r="MJ690" s="259"/>
      <c r="MK690" s="259"/>
      <c r="ML690" s="259"/>
      <c r="MM690" s="259"/>
      <c r="MN690" s="259"/>
      <c r="MO690" s="259"/>
      <c r="MP690" s="259"/>
      <c r="MQ690" s="259"/>
      <c r="MR690" s="259"/>
      <c r="MS690" s="259"/>
      <c r="MT690" s="259"/>
      <c r="MU690" s="259"/>
      <c r="MV690" s="259"/>
      <c r="MW690" s="259"/>
      <c r="MX690" s="259"/>
      <c r="MY690" s="259"/>
      <c r="MZ690" s="259"/>
      <c r="NA690" s="259"/>
      <c r="NB690" s="259"/>
      <c r="NC690" s="259"/>
      <c r="ND690" s="259"/>
      <c r="NE690" s="259"/>
      <c r="NF690" s="259"/>
      <c r="NG690" s="259"/>
      <c r="NH690" s="259"/>
      <c r="NI690" s="259"/>
      <c r="NJ690" s="259"/>
      <c r="NK690" s="259"/>
      <c r="NL690" s="259"/>
      <c r="NM690" s="259"/>
      <c r="NN690" s="259"/>
      <c r="NO690" s="259"/>
      <c r="NP690" s="259"/>
      <c r="NQ690" s="259"/>
      <c r="NR690" s="259"/>
      <c r="NS690" s="259"/>
      <c r="NT690" s="259"/>
      <c r="NU690" s="259"/>
      <c r="NV690" s="259"/>
      <c r="NW690" s="259"/>
      <c r="NX690" s="259"/>
      <c r="NY690" s="259"/>
      <c r="NZ690" s="259"/>
      <c r="OA690" s="259"/>
      <c r="OB690" s="259"/>
      <c r="OC690" s="259"/>
      <c r="OD690" s="259"/>
      <c r="OE690" s="259"/>
      <c r="OF690" s="259"/>
      <c r="OG690" s="259"/>
      <c r="OH690" s="259"/>
      <c r="OI690" s="259"/>
      <c r="OJ690" s="259"/>
      <c r="OK690" s="259"/>
      <c r="OL690" s="259"/>
      <c r="OM690" s="259"/>
      <c r="ON690" s="259"/>
      <c r="OO690" s="259"/>
      <c r="OP690" s="259"/>
      <c r="OQ690" s="259"/>
      <c r="OR690" s="259"/>
      <c r="OS690" s="259"/>
      <c r="OT690" s="259"/>
      <c r="OU690" s="259"/>
      <c r="OV690" s="259"/>
      <c r="OW690" s="259"/>
      <c r="OX690" s="259"/>
      <c r="OY690" s="259"/>
      <c r="OZ690" s="259"/>
      <c r="PA690" s="259"/>
      <c r="PB690" s="259"/>
      <c r="PC690" s="259"/>
      <c r="PD690" s="259"/>
      <c r="PE690" s="259"/>
      <c r="PF690" s="259"/>
      <c r="PG690" s="259"/>
      <c r="PH690" s="259"/>
      <c r="PI690" s="259"/>
      <c r="PJ690" s="259"/>
      <c r="PK690" s="259"/>
      <c r="PL690" s="259"/>
      <c r="PM690" s="259"/>
      <c r="PN690" s="259"/>
      <c r="PO690" s="259"/>
      <c r="PP690" s="259"/>
      <c r="PQ690" s="259"/>
      <c r="PR690" s="259"/>
      <c r="PS690" s="259"/>
      <c r="PT690" s="259"/>
      <c r="PU690" s="259"/>
      <c r="PV690" s="259"/>
      <c r="PW690" s="259"/>
      <c r="PX690" s="259"/>
      <c r="PY690" s="259"/>
      <c r="PZ690" s="259"/>
      <c r="QA690" s="259"/>
      <c r="QB690" s="259"/>
      <c r="QC690" s="259"/>
      <c r="QD690" s="259"/>
      <c r="QE690" s="259"/>
      <c r="QF690" s="259"/>
      <c r="QG690" s="259"/>
      <c r="QH690" s="259"/>
      <c r="QI690" s="259"/>
      <c r="QJ690" s="259"/>
      <c r="QK690" s="259"/>
      <c r="QL690" s="259"/>
      <c r="QM690" s="259"/>
      <c r="QN690" s="259"/>
      <c r="QO690" s="259"/>
      <c r="QP690" s="259"/>
      <c r="QQ690" s="259"/>
      <c r="QR690" s="259"/>
      <c r="QS690" s="259"/>
      <c r="QT690" s="259"/>
      <c r="QU690" s="259"/>
      <c r="QV690" s="259"/>
      <c r="QW690" s="259"/>
      <c r="QX690" s="259"/>
      <c r="QY690" s="259"/>
      <c r="QZ690" s="259"/>
      <c r="RA690" s="259"/>
      <c r="RB690" s="259"/>
      <c r="RC690" s="259"/>
      <c r="RD690" s="259"/>
      <c r="RE690" s="259"/>
      <c r="RF690" s="259"/>
      <c r="RG690" s="259"/>
      <c r="RH690" s="259"/>
      <c r="RI690" s="259"/>
      <c r="RJ690" s="259"/>
      <c r="RK690" s="259"/>
      <c r="RL690" s="259"/>
      <c r="RM690" s="259"/>
      <c r="RN690" s="259"/>
      <c r="RO690" s="259"/>
      <c r="RP690" s="259"/>
      <c r="RQ690" s="259"/>
      <c r="RR690" s="259"/>
      <c r="RS690" s="259"/>
      <c r="RT690" s="259"/>
      <c r="RU690" s="259"/>
      <c r="RV690" s="259"/>
      <c r="RW690" s="259"/>
      <c r="RX690" s="259"/>
      <c r="RY690" s="259"/>
      <c r="RZ690" s="259"/>
      <c r="SA690" s="259"/>
      <c r="SB690" s="259"/>
      <c r="SC690" s="259"/>
      <c r="SD690" s="259"/>
      <c r="SE690" s="259"/>
      <c r="SF690" s="259"/>
      <c r="SG690" s="259"/>
      <c r="SH690" s="259"/>
      <c r="SI690" s="259"/>
      <c r="SJ690" s="259"/>
      <c r="SK690" s="259"/>
      <c r="SL690" s="259"/>
      <c r="SM690" s="259"/>
      <c r="SN690" s="259"/>
      <c r="SO690" s="259"/>
      <c r="SP690" s="259"/>
      <c r="SQ690" s="259"/>
      <c r="SR690" s="259"/>
      <c r="SS690" s="259"/>
      <c r="ST690" s="259"/>
      <c r="SU690" s="259"/>
      <c r="SV690" s="259"/>
      <c r="SW690" s="259"/>
      <c r="SX690" s="259"/>
      <c r="SY690" s="259"/>
      <c r="SZ690" s="259"/>
      <c r="TA690" s="259"/>
      <c r="TB690" s="259"/>
      <c r="TC690" s="259"/>
      <c r="TD690" s="259"/>
      <c r="TE690" s="259"/>
      <c r="TF690" s="259"/>
      <c r="TG690" s="259"/>
      <c r="TH690" s="259"/>
      <c r="TI690" s="259"/>
      <c r="TJ690" s="259"/>
      <c r="TK690" s="259"/>
      <c r="TL690" s="259"/>
      <c r="TM690" s="259"/>
      <c r="TN690" s="259"/>
      <c r="TO690" s="259"/>
      <c r="TP690" s="259"/>
      <c r="TQ690" s="259"/>
      <c r="TR690" s="259"/>
      <c r="TS690" s="259"/>
      <c r="TT690" s="259"/>
      <c r="TU690" s="259"/>
      <c r="TV690" s="259"/>
      <c r="TW690" s="259"/>
      <c r="TX690" s="259"/>
      <c r="TY690" s="259"/>
      <c r="TZ690" s="259"/>
      <c r="UA690" s="259"/>
      <c r="UB690" s="259"/>
      <c r="UC690" s="259"/>
      <c r="UD690" s="259"/>
      <c r="UE690" s="259"/>
      <c r="UF690" s="259"/>
      <c r="UG690" s="259"/>
      <c r="UH690" s="259"/>
      <c r="UI690" s="259"/>
    </row>
    <row r="691" spans="1:555" ht="73.5" customHeight="1">
      <c r="A691" s="502">
        <v>575</v>
      </c>
      <c r="B691" s="686" t="s">
        <v>5103</v>
      </c>
      <c r="C691" s="687">
        <v>79855009</v>
      </c>
      <c r="D691" s="688" t="s">
        <v>906</v>
      </c>
      <c r="E691" s="27">
        <v>42138</v>
      </c>
      <c r="F691" s="689">
        <v>42138</v>
      </c>
      <c r="G691" s="690" t="s">
        <v>8171</v>
      </c>
      <c r="H691" s="686" t="s">
        <v>171</v>
      </c>
      <c r="I691" s="686" t="s">
        <v>5104</v>
      </c>
      <c r="J691" s="27">
        <v>42926</v>
      </c>
      <c r="K691" s="689">
        <v>42917</v>
      </c>
      <c r="L691" s="690" t="s">
        <v>5105</v>
      </c>
      <c r="M691" s="686" t="s">
        <v>5</v>
      </c>
      <c r="N691" s="686" t="s">
        <v>3510</v>
      </c>
      <c r="O691" s="27">
        <v>43033</v>
      </c>
      <c r="P691" s="691">
        <v>43009</v>
      </c>
      <c r="Q691" s="690" t="s">
        <v>5106</v>
      </c>
      <c r="R691" s="686" t="s">
        <v>171</v>
      </c>
      <c r="S691" s="686" t="s">
        <v>4918</v>
      </c>
      <c r="T691" s="27">
        <v>44131</v>
      </c>
      <c r="U691" s="689">
        <v>44131</v>
      </c>
      <c r="V691" s="690" t="s">
        <v>9742</v>
      </c>
      <c r="W691" s="686" t="s">
        <v>208</v>
      </c>
      <c r="X691" s="686" t="s">
        <v>8243</v>
      </c>
      <c r="Y691" s="27">
        <v>44139</v>
      </c>
      <c r="Z691" s="689">
        <v>44139</v>
      </c>
      <c r="AA691" s="690" t="s">
        <v>9743</v>
      </c>
      <c r="AB691" s="686" t="s">
        <v>208</v>
      </c>
      <c r="AC691" s="686" t="s">
        <v>8243</v>
      </c>
      <c r="AD691" s="27"/>
      <c r="AE691" s="689"/>
      <c r="AF691" s="690"/>
      <c r="AG691" s="686"/>
      <c r="AH691" s="686"/>
      <c r="AI691" s="704"/>
      <c r="AJ691" s="689"/>
      <c r="AK691" s="690"/>
      <c r="AL691" s="686"/>
      <c r="AM691" s="686"/>
      <c r="AN691" s="686" t="s">
        <v>5107</v>
      </c>
      <c r="AO691" s="705"/>
      <c r="AP691" s="686"/>
      <c r="AQ691" s="690" t="s">
        <v>5108</v>
      </c>
      <c r="AR691" s="686" t="s">
        <v>2080</v>
      </c>
      <c r="AS691" s="27">
        <v>36102</v>
      </c>
      <c r="AT691" s="27">
        <v>40908</v>
      </c>
      <c r="AU691" s="686" t="s">
        <v>5109</v>
      </c>
      <c r="AV691" s="686"/>
      <c r="AW691" s="686" t="s">
        <v>69</v>
      </c>
      <c r="AX691" s="686" t="s">
        <v>5110</v>
      </c>
      <c r="AY691" s="27">
        <v>42429</v>
      </c>
      <c r="AZ691" s="686" t="s">
        <v>8178</v>
      </c>
      <c r="BA691" s="27">
        <v>42689</v>
      </c>
      <c r="BB691" s="27" t="s">
        <v>5111</v>
      </c>
      <c r="BC691" s="701" t="s">
        <v>912</v>
      </c>
      <c r="BD691" s="701" t="s">
        <v>566</v>
      </c>
      <c r="BE691" s="686"/>
      <c r="BF691" s="690"/>
      <c r="BG691" s="690"/>
      <c r="BH691" s="690"/>
      <c r="BI691" s="690"/>
      <c r="BJ691" s="708">
        <f>+[223]MATRIZ!$J$50</f>
        <v>0</v>
      </c>
      <c r="BK691" s="696"/>
      <c r="BL691" s="697"/>
      <c r="BM691" s="27"/>
      <c r="BN691" s="689"/>
      <c r="BO691" s="699"/>
      <c r="BP691" s="700"/>
      <c r="BQ691" s="686"/>
      <c r="BR691" s="701"/>
      <c r="BS691" s="690"/>
      <c r="BT691" s="690"/>
      <c r="BU691" s="690"/>
      <c r="BV691" s="690"/>
      <c r="BW691" s="702"/>
      <c r="BX691" s="693"/>
      <c r="BY691" s="27"/>
      <c r="BZ691" s="703"/>
      <c r="CA691" s="259"/>
      <c r="CB691" s="259"/>
      <c r="CC691" s="259"/>
      <c r="CD691" s="259"/>
      <c r="CE691" s="259"/>
      <c r="CF691" s="259"/>
      <c r="CG691" s="259"/>
      <c r="CH691" s="259"/>
      <c r="CI691" s="259"/>
      <c r="CJ691" s="259"/>
      <c r="CK691" s="259"/>
      <c r="CL691" s="259"/>
      <c r="CM691" s="259"/>
      <c r="CN691" s="259"/>
      <c r="CO691" s="259"/>
      <c r="CP691" s="259"/>
      <c r="CQ691" s="259"/>
      <c r="CR691" s="259"/>
      <c r="CS691" s="259"/>
      <c r="CT691" s="259"/>
      <c r="CU691" s="259"/>
      <c r="CV691" s="259"/>
      <c r="CW691" s="259"/>
      <c r="CX691" s="259"/>
      <c r="CY691" s="259"/>
      <c r="CZ691" s="259"/>
      <c r="DA691" s="259"/>
      <c r="DB691" s="259"/>
      <c r="DC691" s="259"/>
      <c r="DD691" s="259"/>
      <c r="DE691" s="259"/>
      <c r="DF691" s="259"/>
      <c r="DG691" s="259"/>
      <c r="DH691" s="259"/>
      <c r="DI691" s="259"/>
      <c r="DJ691" s="259"/>
      <c r="DK691" s="259"/>
      <c r="DL691" s="259"/>
      <c r="DM691" s="259"/>
      <c r="DN691" s="259"/>
      <c r="DO691" s="259"/>
      <c r="DP691" s="259"/>
      <c r="DQ691" s="259"/>
      <c r="DR691" s="259"/>
      <c r="DS691" s="259"/>
      <c r="DT691" s="259"/>
      <c r="DU691" s="259"/>
      <c r="DV691" s="259"/>
      <c r="DW691" s="259"/>
      <c r="DX691" s="259"/>
      <c r="DY691" s="259"/>
      <c r="DZ691" s="259"/>
      <c r="EA691" s="259"/>
      <c r="EB691" s="259"/>
      <c r="EC691" s="259"/>
      <c r="ED691" s="259"/>
      <c r="EE691" s="259"/>
      <c r="EF691" s="259"/>
      <c r="EG691" s="259"/>
      <c r="EH691" s="259"/>
      <c r="EI691" s="259"/>
      <c r="EJ691" s="259"/>
      <c r="EK691" s="259"/>
      <c r="EL691" s="259"/>
      <c r="EM691" s="259"/>
      <c r="EN691" s="259"/>
      <c r="EO691" s="259"/>
      <c r="EP691" s="259"/>
      <c r="EQ691" s="259"/>
      <c r="ER691" s="259"/>
      <c r="ES691" s="259"/>
      <c r="ET691" s="259"/>
      <c r="EU691" s="259"/>
      <c r="EV691" s="259"/>
      <c r="EW691" s="259"/>
      <c r="EX691" s="259"/>
      <c r="EY691" s="259"/>
      <c r="EZ691" s="259"/>
      <c r="FA691" s="259"/>
      <c r="FB691" s="259"/>
      <c r="FC691" s="259"/>
      <c r="FD691" s="259"/>
      <c r="FE691" s="259"/>
      <c r="FF691" s="259"/>
      <c r="FG691" s="259"/>
      <c r="FH691" s="259"/>
      <c r="FI691" s="259"/>
      <c r="FJ691" s="259"/>
      <c r="FK691" s="259"/>
      <c r="FL691" s="259"/>
      <c r="FM691" s="259"/>
      <c r="FN691" s="259"/>
      <c r="FO691" s="259"/>
      <c r="FP691" s="259"/>
      <c r="FQ691" s="259"/>
      <c r="FR691" s="259"/>
      <c r="FS691" s="259"/>
      <c r="FT691" s="259"/>
      <c r="FU691" s="259"/>
      <c r="FV691" s="259"/>
      <c r="FW691" s="259"/>
      <c r="FX691" s="259"/>
      <c r="FY691" s="259"/>
      <c r="FZ691" s="259"/>
      <c r="GA691" s="259"/>
      <c r="GB691" s="259"/>
      <c r="GC691" s="259"/>
      <c r="GD691" s="259"/>
      <c r="GE691" s="259"/>
      <c r="GF691" s="259"/>
      <c r="GG691" s="259"/>
      <c r="GH691" s="259"/>
      <c r="GI691" s="259"/>
      <c r="GJ691" s="259"/>
      <c r="GK691" s="259"/>
      <c r="GL691" s="259"/>
      <c r="GM691" s="259"/>
      <c r="GN691" s="259"/>
      <c r="GO691" s="259"/>
      <c r="GP691" s="259"/>
      <c r="GQ691" s="259"/>
      <c r="GR691" s="259"/>
      <c r="GS691" s="259"/>
      <c r="GT691" s="259"/>
      <c r="GU691" s="259"/>
      <c r="GV691" s="259"/>
      <c r="GW691" s="259"/>
      <c r="GX691" s="259"/>
      <c r="GY691" s="259"/>
      <c r="GZ691" s="259"/>
      <c r="HA691" s="259"/>
      <c r="HB691" s="259"/>
      <c r="HC691" s="259"/>
      <c r="HD691" s="259"/>
      <c r="HE691" s="259"/>
      <c r="HF691" s="259"/>
      <c r="HG691" s="259"/>
      <c r="HH691" s="259"/>
      <c r="HI691" s="259"/>
      <c r="HJ691" s="259"/>
      <c r="HK691" s="259"/>
      <c r="HL691" s="259"/>
      <c r="HM691" s="259"/>
      <c r="HN691" s="259"/>
      <c r="HO691" s="259"/>
      <c r="HP691" s="259"/>
      <c r="HQ691" s="259"/>
      <c r="HR691" s="259"/>
      <c r="HS691" s="259"/>
      <c r="HT691" s="259"/>
      <c r="HU691" s="259"/>
      <c r="HV691" s="259"/>
      <c r="HW691" s="259"/>
      <c r="HX691" s="259"/>
      <c r="HY691" s="259"/>
      <c r="HZ691" s="259"/>
      <c r="IA691" s="259"/>
      <c r="IB691" s="259"/>
      <c r="IC691" s="259"/>
      <c r="ID691" s="259"/>
      <c r="IE691" s="259"/>
      <c r="IF691" s="259"/>
      <c r="IG691" s="259"/>
      <c r="IH691" s="259"/>
      <c r="II691" s="259"/>
      <c r="IJ691" s="259"/>
      <c r="IK691" s="259"/>
      <c r="IL691" s="259"/>
      <c r="IM691" s="259"/>
      <c r="IN691" s="259"/>
      <c r="IO691" s="259"/>
      <c r="IP691" s="259"/>
      <c r="IQ691" s="259"/>
      <c r="IR691" s="259"/>
      <c r="IS691" s="259"/>
      <c r="IT691" s="259"/>
      <c r="IU691" s="259"/>
      <c r="IV691" s="259"/>
      <c r="IW691" s="259"/>
      <c r="IX691" s="259"/>
      <c r="IY691" s="259"/>
      <c r="IZ691" s="259"/>
      <c r="JA691" s="259"/>
      <c r="JB691" s="259"/>
      <c r="JC691" s="259"/>
      <c r="JD691" s="259"/>
      <c r="JE691" s="259"/>
      <c r="JF691" s="259"/>
      <c r="JG691" s="259"/>
      <c r="JH691" s="259"/>
      <c r="JI691" s="259"/>
      <c r="JJ691" s="259"/>
      <c r="JK691" s="259"/>
      <c r="JL691" s="259"/>
      <c r="JM691" s="259"/>
      <c r="JN691" s="259"/>
      <c r="JO691" s="259"/>
      <c r="JP691" s="259"/>
      <c r="JQ691" s="259"/>
      <c r="JR691" s="259"/>
      <c r="JS691" s="259"/>
      <c r="JT691" s="259"/>
      <c r="JU691" s="259"/>
      <c r="JV691" s="259"/>
      <c r="JW691" s="259"/>
      <c r="JX691" s="259"/>
      <c r="JY691" s="259"/>
      <c r="JZ691" s="259"/>
      <c r="KA691" s="259"/>
      <c r="KB691" s="259"/>
      <c r="KC691" s="259"/>
      <c r="KD691" s="259"/>
      <c r="KE691" s="259"/>
      <c r="KF691" s="259"/>
      <c r="KG691" s="259"/>
      <c r="KH691" s="259"/>
      <c r="KI691" s="259"/>
      <c r="KJ691" s="259"/>
      <c r="KK691" s="259"/>
      <c r="KL691" s="259"/>
      <c r="KM691" s="259"/>
      <c r="KN691" s="259"/>
      <c r="KO691" s="259"/>
      <c r="KP691" s="259"/>
      <c r="KQ691" s="259"/>
      <c r="KR691" s="259"/>
      <c r="KS691" s="259"/>
      <c r="KT691" s="259"/>
      <c r="KU691" s="259"/>
      <c r="KV691" s="259"/>
      <c r="KW691" s="259"/>
      <c r="KX691" s="259"/>
      <c r="KY691" s="259"/>
      <c r="KZ691" s="259"/>
      <c r="LA691" s="259"/>
      <c r="LB691" s="259"/>
      <c r="LC691" s="259"/>
      <c r="LD691" s="259"/>
      <c r="LE691" s="259"/>
      <c r="LF691" s="259"/>
      <c r="LG691" s="259"/>
      <c r="LH691" s="259"/>
      <c r="LI691" s="259"/>
      <c r="LJ691" s="259"/>
      <c r="LK691" s="259"/>
      <c r="LL691" s="259"/>
      <c r="LM691" s="259"/>
      <c r="LN691" s="259"/>
      <c r="LO691" s="259"/>
      <c r="LP691" s="259"/>
      <c r="LQ691" s="259"/>
      <c r="LR691" s="259"/>
      <c r="LS691" s="259"/>
      <c r="LT691" s="259"/>
      <c r="LU691" s="259"/>
      <c r="LV691" s="259"/>
      <c r="LW691" s="259"/>
      <c r="LX691" s="259"/>
      <c r="LY691" s="259"/>
      <c r="LZ691" s="259"/>
      <c r="MA691" s="259"/>
      <c r="MB691" s="259"/>
      <c r="MC691" s="259"/>
      <c r="MD691" s="259"/>
      <c r="ME691" s="259"/>
      <c r="MF691" s="259"/>
      <c r="MG691" s="259"/>
      <c r="MH691" s="259"/>
      <c r="MI691" s="259"/>
      <c r="MJ691" s="259"/>
      <c r="MK691" s="259"/>
      <c r="ML691" s="259"/>
      <c r="MM691" s="259"/>
      <c r="MN691" s="259"/>
      <c r="MO691" s="259"/>
      <c r="MP691" s="259"/>
      <c r="MQ691" s="259"/>
      <c r="MR691" s="259"/>
      <c r="MS691" s="259"/>
      <c r="MT691" s="259"/>
      <c r="MU691" s="259"/>
      <c r="MV691" s="259"/>
      <c r="MW691" s="259"/>
      <c r="MX691" s="259"/>
      <c r="MY691" s="259"/>
      <c r="MZ691" s="259"/>
      <c r="NA691" s="259"/>
      <c r="NB691" s="259"/>
      <c r="NC691" s="259"/>
      <c r="ND691" s="259"/>
      <c r="NE691" s="259"/>
      <c r="NF691" s="259"/>
      <c r="NG691" s="259"/>
      <c r="NH691" s="259"/>
      <c r="NI691" s="259"/>
      <c r="NJ691" s="259"/>
      <c r="NK691" s="259"/>
      <c r="NL691" s="259"/>
      <c r="NM691" s="259"/>
      <c r="NN691" s="259"/>
      <c r="NO691" s="259"/>
      <c r="NP691" s="259"/>
      <c r="NQ691" s="259"/>
      <c r="NR691" s="259"/>
      <c r="NS691" s="259"/>
      <c r="NT691" s="259"/>
      <c r="NU691" s="259"/>
      <c r="NV691" s="259"/>
      <c r="NW691" s="259"/>
      <c r="NX691" s="259"/>
      <c r="NY691" s="259"/>
      <c r="NZ691" s="259"/>
      <c r="OA691" s="259"/>
      <c r="OB691" s="259"/>
      <c r="OC691" s="259"/>
      <c r="OD691" s="259"/>
      <c r="OE691" s="259"/>
      <c r="OF691" s="259"/>
      <c r="OG691" s="259"/>
      <c r="OH691" s="259"/>
      <c r="OI691" s="259"/>
      <c r="OJ691" s="259"/>
      <c r="OK691" s="259"/>
      <c r="OL691" s="259"/>
      <c r="OM691" s="259"/>
      <c r="ON691" s="259"/>
      <c r="OO691" s="259"/>
      <c r="OP691" s="259"/>
      <c r="OQ691" s="259"/>
      <c r="OR691" s="259"/>
      <c r="OS691" s="259"/>
      <c r="OT691" s="259"/>
      <c r="OU691" s="259"/>
      <c r="OV691" s="259"/>
      <c r="OW691" s="259"/>
      <c r="OX691" s="259"/>
      <c r="OY691" s="259"/>
      <c r="OZ691" s="259"/>
      <c r="PA691" s="259"/>
      <c r="PB691" s="259"/>
      <c r="PC691" s="259"/>
      <c r="PD691" s="259"/>
      <c r="PE691" s="259"/>
      <c r="PF691" s="259"/>
      <c r="PG691" s="259"/>
      <c r="PH691" s="259"/>
      <c r="PI691" s="259"/>
      <c r="PJ691" s="259"/>
      <c r="PK691" s="259"/>
      <c r="PL691" s="259"/>
      <c r="PM691" s="259"/>
      <c r="PN691" s="259"/>
      <c r="PO691" s="259"/>
      <c r="PP691" s="259"/>
      <c r="PQ691" s="259"/>
      <c r="PR691" s="259"/>
      <c r="PS691" s="259"/>
      <c r="PT691" s="259"/>
      <c r="PU691" s="259"/>
      <c r="PV691" s="259"/>
      <c r="PW691" s="259"/>
      <c r="PX691" s="259"/>
      <c r="PY691" s="259"/>
      <c r="PZ691" s="259"/>
      <c r="QA691" s="259"/>
      <c r="QB691" s="259"/>
      <c r="QC691" s="259"/>
      <c r="QD691" s="259"/>
      <c r="QE691" s="259"/>
      <c r="QF691" s="259"/>
      <c r="QG691" s="259"/>
      <c r="QH691" s="259"/>
      <c r="QI691" s="259"/>
      <c r="QJ691" s="259"/>
      <c r="QK691" s="259"/>
      <c r="QL691" s="259"/>
      <c r="QM691" s="259"/>
      <c r="QN691" s="259"/>
      <c r="QO691" s="259"/>
      <c r="QP691" s="259"/>
      <c r="QQ691" s="259"/>
      <c r="QR691" s="259"/>
      <c r="QS691" s="259"/>
      <c r="QT691" s="259"/>
      <c r="QU691" s="259"/>
      <c r="QV691" s="259"/>
      <c r="QW691" s="259"/>
      <c r="QX691" s="259"/>
      <c r="QY691" s="259"/>
      <c r="QZ691" s="259"/>
      <c r="RA691" s="259"/>
      <c r="RB691" s="259"/>
      <c r="RC691" s="259"/>
      <c r="RD691" s="259"/>
      <c r="RE691" s="259"/>
      <c r="RF691" s="259"/>
      <c r="RG691" s="259"/>
      <c r="RH691" s="259"/>
      <c r="RI691" s="259"/>
      <c r="RJ691" s="259"/>
      <c r="RK691" s="259"/>
      <c r="RL691" s="259"/>
      <c r="RM691" s="259"/>
      <c r="RN691" s="259"/>
      <c r="RO691" s="259"/>
      <c r="RP691" s="259"/>
      <c r="RQ691" s="259"/>
      <c r="RR691" s="259"/>
      <c r="RS691" s="259"/>
      <c r="RT691" s="259"/>
      <c r="RU691" s="259"/>
      <c r="RV691" s="259"/>
      <c r="RW691" s="259"/>
      <c r="RX691" s="259"/>
      <c r="RY691" s="259"/>
      <c r="RZ691" s="259"/>
      <c r="SA691" s="259"/>
      <c r="SB691" s="259"/>
      <c r="SC691" s="259"/>
      <c r="SD691" s="259"/>
      <c r="SE691" s="259"/>
      <c r="SF691" s="259"/>
      <c r="SG691" s="259"/>
      <c r="SH691" s="259"/>
      <c r="SI691" s="259"/>
      <c r="SJ691" s="259"/>
      <c r="SK691" s="259"/>
      <c r="SL691" s="259"/>
      <c r="SM691" s="259"/>
      <c r="SN691" s="259"/>
      <c r="SO691" s="259"/>
      <c r="SP691" s="259"/>
      <c r="SQ691" s="259"/>
      <c r="SR691" s="259"/>
      <c r="SS691" s="259"/>
      <c r="ST691" s="259"/>
      <c r="SU691" s="259"/>
      <c r="SV691" s="259"/>
      <c r="SW691" s="259"/>
      <c r="SX691" s="259"/>
      <c r="SY691" s="259"/>
      <c r="SZ691" s="259"/>
      <c r="TA691" s="259"/>
      <c r="TB691" s="259"/>
      <c r="TC691" s="259"/>
      <c r="TD691" s="259"/>
      <c r="TE691" s="259"/>
      <c r="TF691" s="259"/>
      <c r="TG691" s="259"/>
      <c r="TH691" s="259"/>
      <c r="TI691" s="259"/>
      <c r="TJ691" s="259"/>
      <c r="TK691" s="259"/>
      <c r="TL691" s="259"/>
      <c r="TM691" s="259"/>
      <c r="TN691" s="259"/>
      <c r="TO691" s="259"/>
      <c r="TP691" s="259"/>
      <c r="TQ691" s="259"/>
      <c r="TR691" s="259"/>
      <c r="TS691" s="259"/>
      <c r="TT691" s="259"/>
      <c r="TU691" s="259"/>
      <c r="TV691" s="259"/>
      <c r="TW691" s="259"/>
      <c r="TX691" s="259"/>
      <c r="TY691" s="259"/>
      <c r="TZ691" s="259"/>
      <c r="UA691" s="259"/>
      <c r="UB691" s="259"/>
      <c r="UC691" s="259"/>
      <c r="UD691" s="259"/>
      <c r="UE691" s="259"/>
      <c r="UF691" s="259"/>
      <c r="UG691" s="259"/>
      <c r="UH691" s="259"/>
      <c r="UI691" s="259"/>
    </row>
    <row r="692" spans="1:555" ht="81">
      <c r="A692" s="502">
        <v>588</v>
      </c>
      <c r="B692" s="686" t="s">
        <v>5164</v>
      </c>
      <c r="C692" s="687">
        <v>16941419</v>
      </c>
      <c r="D692" s="688" t="s">
        <v>1153</v>
      </c>
      <c r="E692" s="27">
        <v>42859</v>
      </c>
      <c r="F692" s="689">
        <v>42856</v>
      </c>
      <c r="G692" s="690" t="s">
        <v>5165</v>
      </c>
      <c r="H692" s="686" t="s">
        <v>576</v>
      </c>
      <c r="I692" s="686" t="s">
        <v>183</v>
      </c>
      <c r="J692" s="27">
        <v>42930</v>
      </c>
      <c r="K692" s="689">
        <v>42917</v>
      </c>
      <c r="L692" s="690" t="s">
        <v>5166</v>
      </c>
      <c r="M692" s="686" t="s">
        <v>5</v>
      </c>
      <c r="N692" s="686" t="s">
        <v>79</v>
      </c>
      <c r="O692" s="16">
        <v>43564</v>
      </c>
      <c r="P692" s="689">
        <v>43564</v>
      </c>
      <c r="Q692" s="690" t="s">
        <v>8586</v>
      </c>
      <c r="R692" s="686" t="s">
        <v>5</v>
      </c>
      <c r="S692" s="686" t="s">
        <v>85</v>
      </c>
      <c r="T692" s="27"/>
      <c r="U692" s="689"/>
      <c r="V692" s="690"/>
      <c r="W692" s="686"/>
      <c r="X692" s="686"/>
      <c r="Y692" s="27"/>
      <c r="Z692" s="689"/>
      <c r="AA692" s="690"/>
      <c r="AB692" s="686"/>
      <c r="AC692" s="686"/>
      <c r="AD692" s="27"/>
      <c r="AE692" s="689"/>
      <c r="AF692" s="690"/>
      <c r="AG692" s="686"/>
      <c r="AH692" s="686"/>
      <c r="AI692" s="704"/>
      <c r="AJ692" s="689"/>
      <c r="AK692" s="690"/>
      <c r="AL692" s="686"/>
      <c r="AM692" s="686"/>
      <c r="AN692" s="686" t="s">
        <v>3671</v>
      </c>
      <c r="AO692" s="705"/>
      <c r="AP692" s="686"/>
      <c r="AQ692" s="690" t="s">
        <v>5167</v>
      </c>
      <c r="AR692" s="686" t="s">
        <v>161</v>
      </c>
      <c r="AS692" s="27">
        <v>38777</v>
      </c>
      <c r="AT692" s="27">
        <v>39617</v>
      </c>
      <c r="AU692" s="686" t="s">
        <v>5168</v>
      </c>
      <c r="AV692" s="686"/>
      <c r="AW692" s="686" t="s">
        <v>92</v>
      </c>
      <c r="AX692" s="686" t="s">
        <v>5169</v>
      </c>
      <c r="AY692" s="27">
        <v>41829</v>
      </c>
      <c r="AZ692" s="686" t="s">
        <v>5170</v>
      </c>
      <c r="BA692" s="27">
        <v>42796</v>
      </c>
      <c r="BB692" s="27">
        <v>42821</v>
      </c>
      <c r="BC692" s="686" t="s">
        <v>95</v>
      </c>
      <c r="BD692" s="686" t="s">
        <v>566</v>
      </c>
      <c r="BE692" s="686" t="s">
        <v>67</v>
      </c>
      <c r="BF692" s="690" t="s">
        <v>7235</v>
      </c>
      <c r="BG692" s="690"/>
      <c r="BH692" s="690"/>
      <c r="BI692" s="690"/>
      <c r="BJ692" s="708">
        <f>+[224]MATRIZ!$J$60</f>
        <v>83758965.531959862</v>
      </c>
      <c r="BK692" s="696"/>
      <c r="BL692" s="697"/>
      <c r="BM692" s="27"/>
      <c r="BN692" s="689"/>
      <c r="BO692" s="699"/>
      <c r="BP692" s="700"/>
      <c r="BQ692" s="686"/>
      <c r="BR692" s="701"/>
      <c r="BS692" s="690"/>
      <c r="BT692" s="690"/>
      <c r="BU692" s="690"/>
      <c r="BV692" s="690"/>
      <c r="BW692" s="702"/>
      <c r="BX692" s="693"/>
      <c r="BY692" s="27"/>
      <c r="BZ692" s="703"/>
      <c r="CA692" s="259"/>
      <c r="CB692" s="259"/>
      <c r="CC692" s="259"/>
      <c r="CD692" s="259"/>
      <c r="CE692" s="259"/>
      <c r="CF692" s="259"/>
      <c r="CG692" s="259"/>
      <c r="CH692" s="259"/>
      <c r="CI692" s="259"/>
      <c r="CJ692" s="259"/>
      <c r="CK692" s="259"/>
      <c r="CL692" s="259"/>
      <c r="CM692" s="259"/>
      <c r="CN692" s="259"/>
      <c r="CO692" s="259"/>
      <c r="CP692" s="259"/>
      <c r="CQ692" s="259"/>
      <c r="CR692" s="259"/>
      <c r="CS692" s="259"/>
      <c r="CT692" s="259"/>
      <c r="CU692" s="259"/>
      <c r="CV692" s="259"/>
      <c r="CW692" s="259"/>
      <c r="CX692" s="259"/>
      <c r="CY692" s="259"/>
      <c r="CZ692" s="259"/>
      <c r="DA692" s="259"/>
      <c r="DB692" s="259"/>
      <c r="DC692" s="259"/>
      <c r="DD692" s="259"/>
      <c r="DE692" s="259"/>
      <c r="DF692" s="259"/>
      <c r="DG692" s="259"/>
      <c r="DH692" s="259"/>
      <c r="DI692" s="259"/>
      <c r="DJ692" s="259"/>
      <c r="DK692" s="259"/>
      <c r="DL692" s="259"/>
      <c r="DM692" s="259"/>
      <c r="DN692" s="259"/>
      <c r="DO692" s="259"/>
      <c r="DP692" s="259"/>
      <c r="DQ692" s="259"/>
      <c r="DR692" s="259"/>
      <c r="DS692" s="259"/>
      <c r="DT692" s="259"/>
      <c r="DU692" s="259"/>
      <c r="DV692" s="259"/>
      <c r="DW692" s="259"/>
      <c r="DX692" s="259"/>
      <c r="DY692" s="259"/>
      <c r="DZ692" s="259"/>
      <c r="EA692" s="259"/>
      <c r="EB692" s="259"/>
      <c r="EC692" s="259"/>
      <c r="ED692" s="259"/>
      <c r="EE692" s="259"/>
      <c r="EF692" s="259"/>
      <c r="EG692" s="259"/>
      <c r="EH692" s="259"/>
      <c r="EI692" s="259"/>
      <c r="EJ692" s="259"/>
      <c r="EK692" s="259"/>
      <c r="EL692" s="259"/>
      <c r="EM692" s="259"/>
      <c r="EN692" s="259"/>
      <c r="EO692" s="259"/>
      <c r="EP692" s="259"/>
      <c r="EQ692" s="259"/>
      <c r="ER692" s="259"/>
      <c r="ES692" s="259"/>
      <c r="ET692" s="259"/>
      <c r="EU692" s="259"/>
      <c r="EV692" s="259"/>
      <c r="EW692" s="259"/>
      <c r="EX692" s="259"/>
      <c r="EY692" s="259"/>
      <c r="EZ692" s="259"/>
      <c r="FA692" s="259"/>
      <c r="FB692" s="259"/>
      <c r="FC692" s="259"/>
      <c r="FD692" s="259"/>
      <c r="FE692" s="259"/>
      <c r="FF692" s="259"/>
      <c r="FG692" s="259"/>
      <c r="FH692" s="259"/>
      <c r="FI692" s="259"/>
      <c r="FJ692" s="259"/>
      <c r="FK692" s="259"/>
      <c r="FL692" s="259"/>
      <c r="FM692" s="259"/>
      <c r="FN692" s="259"/>
      <c r="FO692" s="259"/>
      <c r="FP692" s="259"/>
      <c r="FQ692" s="259"/>
      <c r="FR692" s="259"/>
      <c r="FS692" s="259"/>
      <c r="FT692" s="259"/>
      <c r="FU692" s="259"/>
      <c r="FV692" s="259"/>
      <c r="FW692" s="259"/>
      <c r="FX692" s="259"/>
      <c r="FY692" s="259"/>
      <c r="FZ692" s="259"/>
      <c r="GA692" s="259"/>
      <c r="GB692" s="259"/>
      <c r="GC692" s="259"/>
      <c r="GD692" s="259"/>
      <c r="GE692" s="259"/>
      <c r="GF692" s="259"/>
      <c r="GG692" s="259"/>
      <c r="GH692" s="259"/>
      <c r="GI692" s="259"/>
      <c r="GJ692" s="259"/>
      <c r="GK692" s="259"/>
      <c r="GL692" s="259"/>
      <c r="GM692" s="259"/>
      <c r="GN692" s="259"/>
      <c r="GO692" s="259"/>
      <c r="GP692" s="259"/>
      <c r="GQ692" s="259"/>
      <c r="GR692" s="259"/>
      <c r="GS692" s="259"/>
      <c r="GT692" s="259"/>
      <c r="GU692" s="259"/>
      <c r="GV692" s="259"/>
      <c r="GW692" s="259"/>
      <c r="GX692" s="259"/>
      <c r="GY692" s="259"/>
      <c r="GZ692" s="259"/>
      <c r="HA692" s="259"/>
      <c r="HB692" s="259"/>
      <c r="HC692" s="259"/>
      <c r="HD692" s="259"/>
      <c r="HE692" s="259"/>
      <c r="HF692" s="259"/>
      <c r="HG692" s="259"/>
      <c r="HH692" s="259"/>
      <c r="HI692" s="259"/>
      <c r="HJ692" s="259"/>
      <c r="HK692" s="259"/>
      <c r="HL692" s="259"/>
      <c r="HM692" s="259"/>
      <c r="HN692" s="259"/>
      <c r="HO692" s="259"/>
      <c r="HP692" s="259"/>
      <c r="HQ692" s="259"/>
      <c r="HR692" s="259"/>
      <c r="HS692" s="259"/>
      <c r="HT692" s="259"/>
      <c r="HU692" s="259"/>
      <c r="HV692" s="259"/>
      <c r="HW692" s="259"/>
      <c r="HX692" s="259"/>
      <c r="HY692" s="259"/>
      <c r="HZ692" s="259"/>
      <c r="IA692" s="259"/>
      <c r="IB692" s="259"/>
      <c r="IC692" s="259"/>
      <c r="ID692" s="259"/>
      <c r="IE692" s="259"/>
      <c r="IF692" s="259"/>
      <c r="IG692" s="259"/>
      <c r="IH692" s="259"/>
      <c r="II692" s="259"/>
      <c r="IJ692" s="259"/>
      <c r="IK692" s="259"/>
      <c r="IL692" s="259"/>
      <c r="IM692" s="259"/>
      <c r="IN692" s="259"/>
      <c r="IO692" s="259"/>
      <c r="IP692" s="259"/>
      <c r="IQ692" s="259"/>
      <c r="IR692" s="259"/>
      <c r="IS692" s="259"/>
      <c r="IT692" s="259"/>
      <c r="IU692" s="259"/>
      <c r="IV692" s="259"/>
      <c r="IW692" s="259"/>
      <c r="IX692" s="259"/>
      <c r="IY692" s="259"/>
      <c r="IZ692" s="259"/>
      <c r="JA692" s="259"/>
      <c r="JB692" s="259"/>
      <c r="JC692" s="259"/>
      <c r="JD692" s="259"/>
      <c r="JE692" s="259"/>
      <c r="JF692" s="259"/>
      <c r="JG692" s="259"/>
      <c r="JH692" s="259"/>
      <c r="JI692" s="259"/>
      <c r="JJ692" s="259"/>
      <c r="JK692" s="259"/>
      <c r="JL692" s="259"/>
      <c r="JM692" s="259"/>
      <c r="JN692" s="259"/>
      <c r="JO692" s="259"/>
      <c r="JP692" s="259"/>
      <c r="JQ692" s="259"/>
      <c r="JR692" s="259"/>
      <c r="JS692" s="259"/>
      <c r="JT692" s="259"/>
      <c r="JU692" s="259"/>
      <c r="JV692" s="259"/>
      <c r="JW692" s="259"/>
      <c r="JX692" s="259"/>
      <c r="JY692" s="259"/>
      <c r="JZ692" s="259"/>
      <c r="KA692" s="259"/>
      <c r="KB692" s="259"/>
      <c r="KC692" s="259"/>
      <c r="KD692" s="259"/>
      <c r="KE692" s="259"/>
      <c r="KF692" s="259"/>
      <c r="KG692" s="259"/>
      <c r="KH692" s="259"/>
      <c r="KI692" s="259"/>
      <c r="KJ692" s="259"/>
      <c r="KK692" s="259"/>
      <c r="KL692" s="259"/>
      <c r="KM692" s="259"/>
      <c r="KN692" s="259"/>
      <c r="KO692" s="259"/>
      <c r="KP692" s="259"/>
      <c r="KQ692" s="259"/>
      <c r="KR692" s="259"/>
      <c r="KS692" s="259"/>
      <c r="KT692" s="259"/>
      <c r="KU692" s="259"/>
      <c r="KV692" s="259"/>
      <c r="KW692" s="259"/>
      <c r="KX692" s="259"/>
      <c r="KY692" s="259"/>
      <c r="KZ692" s="259"/>
      <c r="LA692" s="259"/>
      <c r="LB692" s="259"/>
      <c r="LC692" s="259"/>
      <c r="LD692" s="259"/>
      <c r="LE692" s="259"/>
      <c r="LF692" s="259"/>
      <c r="LG692" s="259"/>
      <c r="LH692" s="259"/>
      <c r="LI692" s="259"/>
      <c r="LJ692" s="259"/>
      <c r="LK692" s="259"/>
      <c r="LL692" s="259"/>
      <c r="LM692" s="259"/>
      <c r="LN692" s="259"/>
      <c r="LO692" s="259"/>
      <c r="LP692" s="259"/>
      <c r="LQ692" s="259"/>
      <c r="LR692" s="259"/>
      <c r="LS692" s="259"/>
      <c r="LT692" s="259"/>
      <c r="LU692" s="259"/>
      <c r="LV692" s="259"/>
      <c r="LW692" s="259"/>
      <c r="LX692" s="259"/>
      <c r="LY692" s="259"/>
      <c r="LZ692" s="259"/>
      <c r="MA692" s="259"/>
      <c r="MB692" s="259"/>
      <c r="MC692" s="259"/>
      <c r="MD692" s="259"/>
      <c r="ME692" s="259"/>
      <c r="MF692" s="259"/>
      <c r="MG692" s="259"/>
      <c r="MH692" s="259"/>
      <c r="MI692" s="259"/>
      <c r="MJ692" s="259"/>
      <c r="MK692" s="259"/>
      <c r="ML692" s="259"/>
      <c r="MM692" s="259"/>
      <c r="MN692" s="259"/>
      <c r="MO692" s="259"/>
      <c r="MP692" s="259"/>
      <c r="MQ692" s="259"/>
      <c r="MR692" s="259"/>
      <c r="MS692" s="259"/>
      <c r="MT692" s="259"/>
      <c r="MU692" s="259"/>
      <c r="MV692" s="259"/>
      <c r="MW692" s="259"/>
      <c r="MX692" s="259"/>
      <c r="MY692" s="259"/>
      <c r="MZ692" s="259"/>
      <c r="NA692" s="259"/>
      <c r="NB692" s="259"/>
      <c r="NC692" s="259"/>
      <c r="ND692" s="259"/>
      <c r="NE692" s="259"/>
      <c r="NF692" s="259"/>
      <c r="NG692" s="259"/>
      <c r="NH692" s="259"/>
      <c r="NI692" s="259"/>
      <c r="NJ692" s="259"/>
      <c r="NK692" s="259"/>
      <c r="NL692" s="259"/>
      <c r="NM692" s="259"/>
      <c r="NN692" s="259"/>
      <c r="NO692" s="259"/>
      <c r="NP692" s="259"/>
      <c r="NQ692" s="259"/>
      <c r="NR692" s="259"/>
      <c r="NS692" s="259"/>
      <c r="NT692" s="259"/>
      <c r="NU692" s="259"/>
      <c r="NV692" s="259"/>
      <c r="NW692" s="259"/>
      <c r="NX692" s="259"/>
      <c r="NY692" s="259"/>
      <c r="NZ692" s="259"/>
      <c r="OA692" s="259"/>
      <c r="OB692" s="259"/>
      <c r="OC692" s="259"/>
      <c r="OD692" s="259"/>
      <c r="OE692" s="259"/>
      <c r="OF692" s="259"/>
      <c r="OG692" s="259"/>
      <c r="OH692" s="259"/>
      <c r="OI692" s="259"/>
      <c r="OJ692" s="259"/>
      <c r="OK692" s="259"/>
      <c r="OL692" s="259"/>
      <c r="OM692" s="259"/>
      <c r="ON692" s="259"/>
      <c r="OO692" s="259"/>
      <c r="OP692" s="259"/>
      <c r="OQ692" s="259"/>
      <c r="OR692" s="259"/>
      <c r="OS692" s="259"/>
      <c r="OT692" s="259"/>
      <c r="OU692" s="259"/>
      <c r="OV692" s="259"/>
      <c r="OW692" s="259"/>
      <c r="OX692" s="259"/>
      <c r="OY692" s="259"/>
      <c r="OZ692" s="259"/>
      <c r="PA692" s="259"/>
      <c r="PB692" s="259"/>
      <c r="PC692" s="259"/>
      <c r="PD692" s="259"/>
      <c r="PE692" s="259"/>
      <c r="PF692" s="259"/>
      <c r="PG692" s="259"/>
      <c r="PH692" s="259"/>
      <c r="PI692" s="259"/>
      <c r="PJ692" s="259"/>
      <c r="PK692" s="259"/>
      <c r="PL692" s="259"/>
      <c r="PM692" s="259"/>
      <c r="PN692" s="259"/>
      <c r="PO692" s="259"/>
      <c r="PP692" s="259"/>
      <c r="PQ692" s="259"/>
      <c r="PR692" s="259"/>
      <c r="PS692" s="259"/>
      <c r="PT692" s="259"/>
      <c r="PU692" s="259"/>
      <c r="PV692" s="259"/>
      <c r="PW692" s="259"/>
      <c r="PX692" s="259"/>
      <c r="PY692" s="259"/>
      <c r="PZ692" s="259"/>
      <c r="QA692" s="259"/>
      <c r="QB692" s="259"/>
      <c r="QC692" s="259"/>
      <c r="QD692" s="259"/>
      <c r="QE692" s="259"/>
      <c r="QF692" s="259"/>
      <c r="QG692" s="259"/>
      <c r="QH692" s="259"/>
      <c r="QI692" s="259"/>
      <c r="QJ692" s="259"/>
      <c r="QK692" s="259"/>
      <c r="QL692" s="259"/>
      <c r="QM692" s="259"/>
      <c r="QN692" s="259"/>
      <c r="QO692" s="259"/>
      <c r="QP692" s="259"/>
      <c r="QQ692" s="259"/>
      <c r="QR692" s="259"/>
      <c r="QS692" s="259"/>
      <c r="QT692" s="259"/>
      <c r="QU692" s="259"/>
      <c r="QV692" s="259"/>
      <c r="QW692" s="259"/>
      <c r="QX692" s="259"/>
      <c r="QY692" s="259"/>
      <c r="QZ692" s="259"/>
      <c r="RA692" s="259"/>
      <c r="RB692" s="259"/>
      <c r="RC692" s="259"/>
      <c r="RD692" s="259"/>
      <c r="RE692" s="259"/>
      <c r="RF692" s="259"/>
      <c r="RG692" s="259"/>
      <c r="RH692" s="259"/>
      <c r="RI692" s="259"/>
      <c r="RJ692" s="259"/>
      <c r="RK692" s="259"/>
      <c r="RL692" s="259"/>
      <c r="RM692" s="259"/>
      <c r="RN692" s="259"/>
      <c r="RO692" s="259"/>
      <c r="RP692" s="259"/>
      <c r="RQ692" s="259"/>
      <c r="RR692" s="259"/>
      <c r="RS692" s="259"/>
      <c r="RT692" s="259"/>
      <c r="RU692" s="259"/>
      <c r="RV692" s="259"/>
      <c r="RW692" s="259"/>
      <c r="RX692" s="259"/>
      <c r="RY692" s="259"/>
      <c r="RZ692" s="259"/>
      <c r="SA692" s="259"/>
      <c r="SB692" s="259"/>
      <c r="SC692" s="259"/>
      <c r="SD692" s="259"/>
      <c r="SE692" s="259"/>
      <c r="SF692" s="259"/>
      <c r="SG692" s="259"/>
      <c r="SH692" s="259"/>
      <c r="SI692" s="259"/>
      <c r="SJ692" s="259"/>
      <c r="SK692" s="259"/>
      <c r="SL692" s="259"/>
      <c r="SM692" s="259"/>
      <c r="SN692" s="259"/>
      <c r="SO692" s="259"/>
      <c r="SP692" s="259"/>
      <c r="SQ692" s="259"/>
      <c r="SR692" s="259"/>
      <c r="SS692" s="259"/>
      <c r="ST692" s="259"/>
      <c r="SU692" s="259"/>
      <c r="SV692" s="259"/>
      <c r="SW692" s="259"/>
      <c r="SX692" s="259"/>
      <c r="SY692" s="259"/>
      <c r="SZ692" s="259"/>
      <c r="TA692" s="259"/>
      <c r="TB692" s="259"/>
      <c r="TC692" s="259"/>
      <c r="TD692" s="259"/>
      <c r="TE692" s="259"/>
      <c r="TF692" s="259"/>
      <c r="TG692" s="259"/>
      <c r="TH692" s="259"/>
      <c r="TI692" s="259"/>
      <c r="TJ692" s="259"/>
      <c r="TK692" s="259"/>
      <c r="TL692" s="259"/>
      <c r="TM692" s="259"/>
      <c r="TN692" s="259"/>
      <c r="TO692" s="259"/>
      <c r="TP692" s="259"/>
      <c r="TQ692" s="259"/>
      <c r="TR692" s="259"/>
      <c r="TS692" s="259"/>
      <c r="TT692" s="259"/>
      <c r="TU692" s="259"/>
      <c r="TV692" s="259"/>
      <c r="TW692" s="259"/>
      <c r="TX692" s="259"/>
      <c r="TY692" s="259"/>
      <c r="TZ692" s="259"/>
      <c r="UA692" s="259"/>
      <c r="UB692" s="259"/>
      <c r="UC692" s="259"/>
      <c r="UD692" s="259"/>
      <c r="UE692" s="259"/>
      <c r="UF692" s="259"/>
      <c r="UG692" s="259"/>
      <c r="UH692" s="259"/>
      <c r="UI692" s="259"/>
    </row>
    <row r="693" spans="1:555" ht="81">
      <c r="A693" s="502">
        <v>590</v>
      </c>
      <c r="B693" s="701" t="s">
        <v>5174</v>
      </c>
      <c r="C693" s="687">
        <v>17647450</v>
      </c>
      <c r="D693" s="688" t="s">
        <v>5175</v>
      </c>
      <c r="E693" s="27">
        <v>42964</v>
      </c>
      <c r="F693" s="689">
        <v>42948</v>
      </c>
      <c r="G693" s="690" t="s">
        <v>5176</v>
      </c>
      <c r="H693" s="686" t="s">
        <v>5</v>
      </c>
      <c r="I693" s="686" t="s">
        <v>79</v>
      </c>
      <c r="J693" s="16">
        <v>43314</v>
      </c>
      <c r="K693" s="689">
        <v>43314</v>
      </c>
      <c r="L693" s="706" t="s">
        <v>5177</v>
      </c>
      <c r="M693" s="706" t="s">
        <v>5</v>
      </c>
      <c r="N693" s="706" t="s">
        <v>85</v>
      </c>
      <c r="O693" s="27">
        <v>43605</v>
      </c>
      <c r="P693" s="689">
        <v>43605</v>
      </c>
      <c r="Q693" s="690" t="s">
        <v>8901</v>
      </c>
      <c r="R693" s="686" t="s">
        <v>5</v>
      </c>
      <c r="S693" s="686" t="s">
        <v>85</v>
      </c>
      <c r="T693" s="27"/>
      <c r="U693" s="689"/>
      <c r="V693" s="690"/>
      <c r="W693" s="686"/>
      <c r="X693" s="686"/>
      <c r="Y693" s="27"/>
      <c r="Z693" s="689"/>
      <c r="AA693" s="690"/>
      <c r="AB693" s="686"/>
      <c r="AC693" s="686"/>
      <c r="AD693" s="27"/>
      <c r="AE693" s="689"/>
      <c r="AF693" s="690"/>
      <c r="AG693" s="686"/>
      <c r="AH693" s="686"/>
      <c r="AI693" s="693"/>
      <c r="AJ693" s="689"/>
      <c r="AK693" s="690"/>
      <c r="AL693" s="686"/>
      <c r="AM693" s="686"/>
      <c r="AN693" s="686" t="s">
        <v>3671</v>
      </c>
      <c r="AO693" s="705"/>
      <c r="AP693" s="686"/>
      <c r="AQ693" s="690" t="s">
        <v>5178</v>
      </c>
      <c r="AR693" s="686" t="s">
        <v>161</v>
      </c>
      <c r="AS693" s="27"/>
      <c r="AT693" s="27"/>
      <c r="AU693" s="686" t="s">
        <v>5179</v>
      </c>
      <c r="AV693" s="686"/>
      <c r="AW693" s="686" t="s">
        <v>69</v>
      </c>
      <c r="AX693" s="686" t="s">
        <v>5180</v>
      </c>
      <c r="AY693" s="27">
        <v>43008</v>
      </c>
      <c r="AZ693" s="686" t="s">
        <v>5181</v>
      </c>
      <c r="BA693" s="27">
        <v>42874</v>
      </c>
      <c r="BB693" s="27">
        <v>42921</v>
      </c>
      <c r="BC693" s="686" t="s">
        <v>8919</v>
      </c>
      <c r="BD693" s="686" t="s">
        <v>566</v>
      </c>
      <c r="BE693" s="686"/>
      <c r="BF693" s="690"/>
      <c r="BG693" s="690"/>
      <c r="BH693" s="690"/>
      <c r="BI693" s="690"/>
      <c r="BJ693" s="708">
        <f>+[225]MATRIZ!$J$37</f>
        <v>0</v>
      </c>
      <c r="BK693" s="696"/>
      <c r="BL693" s="697"/>
      <c r="BM693" s="27"/>
      <c r="BN693" s="689"/>
      <c r="BO693" s="699"/>
      <c r="BP693" s="700"/>
      <c r="BQ693" s="686"/>
      <c r="BR693" s="701"/>
      <c r="BS693" s="690"/>
      <c r="BT693" s="690"/>
      <c r="BU693" s="690"/>
      <c r="BV693" s="690"/>
      <c r="BW693" s="702"/>
      <c r="BX693" s="693"/>
      <c r="BY693" s="27"/>
      <c r="BZ693" s="703"/>
      <c r="CA693" s="259"/>
      <c r="CB693" s="259"/>
      <c r="CC693" s="259"/>
      <c r="CD693" s="259"/>
      <c r="CE693" s="259"/>
      <c r="CF693" s="259"/>
      <c r="CG693" s="259"/>
      <c r="CH693" s="259"/>
      <c r="CI693" s="259"/>
      <c r="CJ693" s="259"/>
      <c r="CK693" s="259"/>
      <c r="CL693" s="259"/>
      <c r="CM693" s="259"/>
      <c r="CN693" s="259"/>
      <c r="CO693" s="259"/>
      <c r="CP693" s="259"/>
      <c r="CQ693" s="259"/>
      <c r="CR693" s="259"/>
      <c r="CS693" s="259"/>
      <c r="CT693" s="259"/>
      <c r="CU693" s="259"/>
      <c r="CV693" s="259"/>
      <c r="CW693" s="259"/>
      <c r="CX693" s="259"/>
      <c r="CY693" s="259"/>
      <c r="CZ693" s="259"/>
      <c r="DA693" s="259"/>
      <c r="DB693" s="259"/>
      <c r="DC693" s="259"/>
      <c r="DD693" s="259"/>
      <c r="DE693" s="259"/>
      <c r="DF693" s="259"/>
      <c r="DG693" s="259"/>
      <c r="DH693" s="259"/>
      <c r="DI693" s="259"/>
      <c r="DJ693" s="259"/>
      <c r="DK693" s="259"/>
      <c r="DL693" s="259"/>
      <c r="DM693" s="259"/>
      <c r="DN693" s="259"/>
      <c r="DO693" s="259"/>
      <c r="DP693" s="259"/>
      <c r="DQ693" s="259"/>
      <c r="DR693" s="259"/>
      <c r="DS693" s="259"/>
      <c r="DT693" s="259"/>
      <c r="DU693" s="259"/>
      <c r="DV693" s="259"/>
      <c r="DW693" s="259"/>
      <c r="DX693" s="259"/>
      <c r="DY693" s="259"/>
      <c r="DZ693" s="259"/>
      <c r="EA693" s="259"/>
      <c r="EB693" s="259"/>
      <c r="EC693" s="259"/>
      <c r="ED693" s="259"/>
      <c r="EE693" s="259"/>
      <c r="EF693" s="259"/>
      <c r="EG693" s="259"/>
      <c r="EH693" s="259"/>
      <c r="EI693" s="259"/>
      <c r="EJ693" s="259"/>
      <c r="EK693" s="259"/>
      <c r="EL693" s="259"/>
      <c r="EM693" s="259"/>
      <c r="EN693" s="259"/>
      <c r="EO693" s="259"/>
      <c r="EP693" s="259"/>
      <c r="EQ693" s="259"/>
      <c r="ER693" s="259"/>
      <c r="ES693" s="259"/>
      <c r="ET693" s="259"/>
      <c r="EU693" s="259"/>
      <c r="EV693" s="259"/>
      <c r="EW693" s="259"/>
      <c r="EX693" s="259"/>
      <c r="EY693" s="259"/>
      <c r="EZ693" s="259"/>
      <c r="FA693" s="259"/>
      <c r="FB693" s="259"/>
      <c r="FC693" s="259"/>
      <c r="FD693" s="259"/>
      <c r="FE693" s="259"/>
      <c r="FF693" s="259"/>
      <c r="FG693" s="259"/>
      <c r="FH693" s="259"/>
      <c r="FI693" s="259"/>
      <c r="FJ693" s="259"/>
      <c r="FK693" s="259"/>
      <c r="FL693" s="259"/>
      <c r="FM693" s="259"/>
      <c r="FN693" s="259"/>
      <c r="FO693" s="259"/>
      <c r="FP693" s="259"/>
      <c r="FQ693" s="259"/>
      <c r="FR693" s="259"/>
      <c r="FS693" s="259"/>
      <c r="FT693" s="259"/>
      <c r="FU693" s="259"/>
      <c r="FV693" s="259"/>
      <c r="FW693" s="259"/>
      <c r="FX693" s="259"/>
      <c r="FY693" s="259"/>
      <c r="FZ693" s="259"/>
      <c r="GA693" s="259"/>
      <c r="GB693" s="259"/>
      <c r="GC693" s="259"/>
      <c r="GD693" s="259"/>
      <c r="GE693" s="259"/>
      <c r="GF693" s="259"/>
      <c r="GG693" s="259"/>
      <c r="GH693" s="259"/>
      <c r="GI693" s="259"/>
      <c r="GJ693" s="259"/>
      <c r="GK693" s="259"/>
      <c r="GL693" s="259"/>
      <c r="GM693" s="259"/>
      <c r="GN693" s="259"/>
      <c r="GO693" s="259"/>
      <c r="GP693" s="259"/>
      <c r="GQ693" s="259"/>
      <c r="GR693" s="259"/>
      <c r="GS693" s="259"/>
      <c r="GT693" s="259"/>
      <c r="GU693" s="259"/>
      <c r="GV693" s="259"/>
      <c r="GW693" s="259"/>
      <c r="GX693" s="259"/>
      <c r="GY693" s="259"/>
      <c r="GZ693" s="259"/>
      <c r="HA693" s="259"/>
      <c r="HB693" s="259"/>
      <c r="HC693" s="259"/>
      <c r="HD693" s="259"/>
      <c r="HE693" s="259"/>
      <c r="HF693" s="259"/>
      <c r="HG693" s="259"/>
      <c r="HH693" s="259"/>
      <c r="HI693" s="259"/>
      <c r="HJ693" s="259"/>
      <c r="HK693" s="259"/>
      <c r="HL693" s="259"/>
      <c r="HM693" s="259"/>
      <c r="HN693" s="259"/>
      <c r="HO693" s="259"/>
      <c r="HP693" s="259"/>
      <c r="HQ693" s="259"/>
      <c r="HR693" s="259"/>
      <c r="HS693" s="259"/>
      <c r="HT693" s="259"/>
      <c r="HU693" s="259"/>
      <c r="HV693" s="259"/>
      <c r="HW693" s="259"/>
      <c r="HX693" s="259"/>
      <c r="HY693" s="259"/>
      <c r="HZ693" s="259"/>
      <c r="IA693" s="259"/>
      <c r="IB693" s="259"/>
      <c r="IC693" s="259"/>
      <c r="ID693" s="259"/>
      <c r="IE693" s="259"/>
      <c r="IF693" s="259"/>
      <c r="IG693" s="259"/>
      <c r="IH693" s="259"/>
      <c r="II693" s="259"/>
      <c r="IJ693" s="259"/>
      <c r="IK693" s="259"/>
      <c r="IL693" s="259"/>
      <c r="IM693" s="259"/>
      <c r="IN693" s="259"/>
      <c r="IO693" s="259"/>
      <c r="IP693" s="259"/>
      <c r="IQ693" s="259"/>
      <c r="IR693" s="259"/>
      <c r="IS693" s="259"/>
      <c r="IT693" s="259"/>
      <c r="IU693" s="259"/>
      <c r="IV693" s="259"/>
      <c r="IW693" s="259"/>
      <c r="IX693" s="259"/>
      <c r="IY693" s="259"/>
      <c r="IZ693" s="259"/>
      <c r="JA693" s="259"/>
      <c r="JB693" s="259"/>
      <c r="JC693" s="259"/>
      <c r="JD693" s="259"/>
      <c r="JE693" s="259"/>
      <c r="JF693" s="259"/>
      <c r="JG693" s="259"/>
      <c r="JH693" s="259"/>
      <c r="JI693" s="259"/>
      <c r="JJ693" s="259"/>
      <c r="JK693" s="259"/>
      <c r="JL693" s="259"/>
      <c r="JM693" s="259"/>
      <c r="JN693" s="259"/>
      <c r="JO693" s="259"/>
      <c r="JP693" s="259"/>
      <c r="JQ693" s="259"/>
      <c r="JR693" s="259"/>
      <c r="JS693" s="259"/>
      <c r="JT693" s="259"/>
      <c r="JU693" s="259"/>
      <c r="JV693" s="259"/>
      <c r="JW693" s="259"/>
      <c r="JX693" s="259"/>
      <c r="JY693" s="259"/>
      <c r="JZ693" s="259"/>
      <c r="KA693" s="259"/>
      <c r="KB693" s="259"/>
      <c r="KC693" s="259"/>
      <c r="KD693" s="259"/>
      <c r="KE693" s="259"/>
      <c r="KF693" s="259"/>
      <c r="KG693" s="259"/>
      <c r="KH693" s="259"/>
      <c r="KI693" s="259"/>
      <c r="KJ693" s="259"/>
      <c r="KK693" s="259"/>
      <c r="KL693" s="259"/>
      <c r="KM693" s="259"/>
      <c r="KN693" s="259"/>
      <c r="KO693" s="259"/>
      <c r="KP693" s="259"/>
      <c r="KQ693" s="259"/>
      <c r="KR693" s="259"/>
      <c r="KS693" s="259"/>
      <c r="KT693" s="259"/>
      <c r="KU693" s="259"/>
      <c r="KV693" s="259"/>
      <c r="KW693" s="259"/>
      <c r="KX693" s="259"/>
      <c r="KY693" s="259"/>
      <c r="KZ693" s="259"/>
      <c r="LA693" s="259"/>
      <c r="LB693" s="259"/>
      <c r="LC693" s="259"/>
      <c r="LD693" s="259"/>
      <c r="LE693" s="259"/>
      <c r="LF693" s="259"/>
      <c r="LG693" s="259"/>
      <c r="LH693" s="259"/>
      <c r="LI693" s="259"/>
      <c r="LJ693" s="259"/>
      <c r="LK693" s="259"/>
      <c r="LL693" s="259"/>
      <c r="LM693" s="259"/>
      <c r="LN693" s="259"/>
      <c r="LO693" s="259"/>
      <c r="LP693" s="259"/>
      <c r="LQ693" s="259"/>
      <c r="LR693" s="259"/>
      <c r="LS693" s="259"/>
      <c r="LT693" s="259"/>
      <c r="LU693" s="259"/>
      <c r="LV693" s="259"/>
      <c r="LW693" s="259"/>
      <c r="LX693" s="259"/>
      <c r="LY693" s="259"/>
      <c r="LZ693" s="259"/>
      <c r="MA693" s="259"/>
      <c r="MB693" s="259"/>
      <c r="MC693" s="259"/>
      <c r="MD693" s="259"/>
      <c r="ME693" s="259"/>
      <c r="MF693" s="259"/>
      <c r="MG693" s="259"/>
      <c r="MH693" s="259"/>
      <c r="MI693" s="259"/>
      <c r="MJ693" s="259"/>
      <c r="MK693" s="259"/>
      <c r="ML693" s="259"/>
      <c r="MM693" s="259"/>
      <c r="MN693" s="259"/>
      <c r="MO693" s="259"/>
      <c r="MP693" s="259"/>
      <c r="MQ693" s="259"/>
      <c r="MR693" s="259"/>
      <c r="MS693" s="259"/>
      <c r="MT693" s="259"/>
      <c r="MU693" s="259"/>
      <c r="MV693" s="259"/>
      <c r="MW693" s="259"/>
      <c r="MX693" s="259"/>
      <c r="MY693" s="259"/>
      <c r="MZ693" s="259"/>
      <c r="NA693" s="259"/>
      <c r="NB693" s="259"/>
      <c r="NC693" s="259"/>
      <c r="ND693" s="259"/>
      <c r="NE693" s="259"/>
      <c r="NF693" s="259"/>
      <c r="NG693" s="259"/>
      <c r="NH693" s="259"/>
      <c r="NI693" s="259"/>
      <c r="NJ693" s="259"/>
      <c r="NK693" s="259"/>
      <c r="NL693" s="259"/>
      <c r="NM693" s="259"/>
      <c r="NN693" s="259"/>
      <c r="NO693" s="259"/>
      <c r="NP693" s="259"/>
      <c r="NQ693" s="259"/>
      <c r="NR693" s="259"/>
      <c r="NS693" s="259"/>
      <c r="NT693" s="259"/>
      <c r="NU693" s="259"/>
      <c r="NV693" s="259"/>
      <c r="NW693" s="259"/>
      <c r="NX693" s="259"/>
      <c r="NY693" s="259"/>
      <c r="NZ693" s="259"/>
      <c r="OA693" s="259"/>
      <c r="OB693" s="259"/>
      <c r="OC693" s="259"/>
      <c r="OD693" s="259"/>
      <c r="OE693" s="259"/>
      <c r="OF693" s="259"/>
      <c r="OG693" s="259"/>
      <c r="OH693" s="259"/>
      <c r="OI693" s="259"/>
      <c r="OJ693" s="259"/>
      <c r="OK693" s="259"/>
      <c r="OL693" s="259"/>
      <c r="OM693" s="259"/>
      <c r="ON693" s="259"/>
      <c r="OO693" s="259"/>
      <c r="OP693" s="259"/>
      <c r="OQ693" s="259"/>
      <c r="OR693" s="259"/>
      <c r="OS693" s="259"/>
      <c r="OT693" s="259"/>
      <c r="OU693" s="259"/>
      <c r="OV693" s="259"/>
      <c r="OW693" s="259"/>
      <c r="OX693" s="259"/>
      <c r="OY693" s="259"/>
      <c r="OZ693" s="259"/>
      <c r="PA693" s="259"/>
      <c r="PB693" s="259"/>
      <c r="PC693" s="259"/>
      <c r="PD693" s="259"/>
      <c r="PE693" s="259"/>
      <c r="PF693" s="259"/>
      <c r="PG693" s="259"/>
      <c r="PH693" s="259"/>
      <c r="PI693" s="259"/>
      <c r="PJ693" s="259"/>
      <c r="PK693" s="259"/>
      <c r="PL693" s="259"/>
      <c r="PM693" s="259"/>
      <c r="PN693" s="259"/>
      <c r="PO693" s="259"/>
      <c r="PP693" s="259"/>
      <c r="PQ693" s="259"/>
      <c r="PR693" s="259"/>
      <c r="PS693" s="259"/>
      <c r="PT693" s="259"/>
      <c r="PU693" s="259"/>
      <c r="PV693" s="259"/>
      <c r="PW693" s="259"/>
      <c r="PX693" s="259"/>
      <c r="PY693" s="259"/>
      <c r="PZ693" s="259"/>
      <c r="QA693" s="259"/>
      <c r="QB693" s="259"/>
      <c r="QC693" s="259"/>
      <c r="QD693" s="259"/>
      <c r="QE693" s="259"/>
      <c r="QF693" s="259"/>
      <c r="QG693" s="259"/>
      <c r="QH693" s="259"/>
      <c r="QI693" s="259"/>
      <c r="QJ693" s="259"/>
      <c r="QK693" s="259"/>
      <c r="QL693" s="259"/>
      <c r="QM693" s="259"/>
      <c r="QN693" s="259"/>
      <c r="QO693" s="259"/>
      <c r="QP693" s="259"/>
      <c r="QQ693" s="259"/>
      <c r="QR693" s="259"/>
      <c r="QS693" s="259"/>
      <c r="QT693" s="259"/>
      <c r="QU693" s="259"/>
      <c r="QV693" s="259"/>
      <c r="QW693" s="259"/>
      <c r="QX693" s="259"/>
      <c r="QY693" s="259"/>
      <c r="QZ693" s="259"/>
      <c r="RA693" s="259"/>
      <c r="RB693" s="259"/>
      <c r="RC693" s="259"/>
      <c r="RD693" s="259"/>
      <c r="RE693" s="259"/>
      <c r="RF693" s="259"/>
      <c r="RG693" s="259"/>
      <c r="RH693" s="259"/>
      <c r="RI693" s="259"/>
      <c r="RJ693" s="259"/>
      <c r="RK693" s="259"/>
      <c r="RL693" s="259"/>
      <c r="RM693" s="259"/>
      <c r="RN693" s="259"/>
      <c r="RO693" s="259"/>
      <c r="RP693" s="259"/>
      <c r="RQ693" s="259"/>
      <c r="RR693" s="259"/>
      <c r="RS693" s="259"/>
      <c r="RT693" s="259"/>
      <c r="RU693" s="259"/>
      <c r="RV693" s="259"/>
      <c r="RW693" s="259"/>
      <c r="RX693" s="259"/>
      <c r="RY693" s="259"/>
      <c r="RZ693" s="259"/>
      <c r="SA693" s="259"/>
      <c r="SB693" s="259"/>
      <c r="SC693" s="259"/>
      <c r="SD693" s="259"/>
      <c r="SE693" s="259"/>
      <c r="SF693" s="259"/>
      <c r="SG693" s="259"/>
      <c r="SH693" s="259"/>
      <c r="SI693" s="259"/>
      <c r="SJ693" s="259"/>
      <c r="SK693" s="259"/>
      <c r="SL693" s="259"/>
      <c r="SM693" s="259"/>
      <c r="SN693" s="259"/>
      <c r="SO693" s="259"/>
      <c r="SP693" s="259"/>
      <c r="SQ693" s="259"/>
      <c r="SR693" s="259"/>
      <c r="SS693" s="259"/>
      <c r="ST693" s="259"/>
      <c r="SU693" s="259"/>
      <c r="SV693" s="259"/>
      <c r="SW693" s="259"/>
      <c r="SX693" s="259"/>
      <c r="SY693" s="259"/>
      <c r="SZ693" s="259"/>
      <c r="TA693" s="259"/>
      <c r="TB693" s="259"/>
      <c r="TC693" s="259"/>
      <c r="TD693" s="259"/>
      <c r="TE693" s="259"/>
      <c r="TF693" s="259"/>
      <c r="TG693" s="259"/>
      <c r="TH693" s="259"/>
      <c r="TI693" s="259"/>
      <c r="TJ693" s="259"/>
      <c r="TK693" s="259"/>
      <c r="TL693" s="259"/>
      <c r="TM693" s="259"/>
      <c r="TN693" s="259"/>
      <c r="TO693" s="259"/>
      <c r="TP693" s="259"/>
      <c r="TQ693" s="259"/>
      <c r="TR693" s="259"/>
      <c r="TS693" s="259"/>
      <c r="TT693" s="259"/>
      <c r="TU693" s="259"/>
      <c r="TV693" s="259"/>
      <c r="TW693" s="259"/>
      <c r="TX693" s="259"/>
      <c r="TY693" s="259"/>
      <c r="TZ693" s="259"/>
      <c r="UA693" s="259"/>
      <c r="UB693" s="259"/>
      <c r="UC693" s="259"/>
      <c r="UD693" s="259"/>
      <c r="UE693" s="259"/>
      <c r="UF693" s="259"/>
      <c r="UG693" s="259"/>
      <c r="UH693" s="259"/>
      <c r="UI693" s="259"/>
    </row>
    <row r="694" spans="1:555" ht="216">
      <c r="A694" s="33">
        <v>593</v>
      </c>
      <c r="B694" s="34" t="s">
        <v>5204</v>
      </c>
      <c r="C694" s="35">
        <v>52740050</v>
      </c>
      <c r="D694" s="440" t="s">
        <v>906</v>
      </c>
      <c r="E694" s="37">
        <v>42977</v>
      </c>
      <c r="F694" s="38">
        <v>42948</v>
      </c>
      <c r="G694" s="39" t="s">
        <v>5205</v>
      </c>
      <c r="H694" s="34" t="s">
        <v>625</v>
      </c>
      <c r="I694" s="34" t="s">
        <v>4918</v>
      </c>
      <c r="J694" s="37"/>
      <c r="K694" s="38"/>
      <c r="L694" s="39"/>
      <c r="M694" s="34"/>
      <c r="N694" s="34"/>
      <c r="O694" s="37"/>
      <c r="P694" s="40"/>
      <c r="Q694" s="39"/>
      <c r="R694" s="34"/>
      <c r="S694" s="34"/>
      <c r="T694" s="37"/>
      <c r="U694" s="38"/>
      <c r="V694" s="39"/>
      <c r="W694" s="34"/>
      <c r="X694" s="34"/>
      <c r="Y694" s="37"/>
      <c r="Z694" s="38"/>
      <c r="AA694" s="39"/>
      <c r="AB694" s="34"/>
      <c r="AC694" s="34"/>
      <c r="AD694" s="37"/>
      <c r="AE694" s="38"/>
      <c r="AF694" s="39"/>
      <c r="AG694" s="34"/>
      <c r="AH694" s="34"/>
      <c r="AI694" s="73"/>
      <c r="AJ694" s="38"/>
      <c r="AK694" s="39"/>
      <c r="AL694" s="34"/>
      <c r="AM694" s="34"/>
      <c r="AN694" s="34" t="s">
        <v>5206</v>
      </c>
      <c r="AO694" s="473"/>
      <c r="AP694" s="34"/>
      <c r="AQ694" s="39" t="s">
        <v>5207</v>
      </c>
      <c r="AR694" s="34" t="s">
        <v>161</v>
      </c>
      <c r="AS694" s="37">
        <v>38783</v>
      </c>
      <c r="AT694" s="37">
        <v>40908</v>
      </c>
      <c r="AU694" s="34" t="s">
        <v>5208</v>
      </c>
      <c r="AV694" s="34"/>
      <c r="AW694" s="34" t="s">
        <v>69</v>
      </c>
      <c r="AX694" s="34" t="s">
        <v>5209</v>
      </c>
      <c r="AY694" s="37">
        <v>42593</v>
      </c>
      <c r="AZ694" s="34" t="s">
        <v>5210</v>
      </c>
      <c r="BA694" s="37">
        <v>42916</v>
      </c>
      <c r="BB694" s="382">
        <v>42941</v>
      </c>
      <c r="BC694" s="42" t="s">
        <v>912</v>
      </c>
      <c r="BD694" s="42"/>
      <c r="BE694" s="34"/>
      <c r="BF694" s="39"/>
      <c r="BG694" s="39"/>
      <c r="BH694" s="39"/>
      <c r="BI694" s="39"/>
      <c r="BJ694" s="209">
        <v>3850000</v>
      </c>
      <c r="BK694" s="74"/>
      <c r="BL694" s="44"/>
      <c r="BM694" s="37"/>
      <c r="BN694" s="38"/>
      <c r="BO694" s="462"/>
      <c r="BP694" s="391"/>
      <c r="BQ694" s="34"/>
      <c r="BR694" s="42"/>
      <c r="BS694" s="39"/>
      <c r="BT694" s="39"/>
      <c r="BU694" s="39"/>
      <c r="BV694" s="39"/>
      <c r="BW694" s="51"/>
      <c r="BX694" s="41"/>
      <c r="BY694" s="37"/>
      <c r="BZ694" s="52"/>
    </row>
    <row r="695" spans="1:555" ht="81">
      <c r="A695" s="502">
        <v>595</v>
      </c>
      <c r="B695" s="686" t="s">
        <v>5220</v>
      </c>
      <c r="C695" s="687">
        <v>79642738</v>
      </c>
      <c r="D695" s="688" t="s">
        <v>906</v>
      </c>
      <c r="E695" s="27">
        <v>42984</v>
      </c>
      <c r="F695" s="689">
        <v>42979</v>
      </c>
      <c r="G695" s="690" t="s">
        <v>5221</v>
      </c>
      <c r="H695" s="686" t="s">
        <v>625</v>
      </c>
      <c r="I695" s="686" t="s">
        <v>4918</v>
      </c>
      <c r="J695" s="27">
        <v>42984</v>
      </c>
      <c r="K695" s="689">
        <v>42979</v>
      </c>
      <c r="L695" s="690" t="s">
        <v>5222</v>
      </c>
      <c r="M695" s="686" t="s">
        <v>198</v>
      </c>
      <c r="N695" s="686" t="s">
        <v>352</v>
      </c>
      <c r="O695" s="27">
        <v>42998</v>
      </c>
      <c r="P695" s="691">
        <v>42979</v>
      </c>
      <c r="Q695" s="690" t="s">
        <v>5223</v>
      </c>
      <c r="R695" s="686" t="s">
        <v>198</v>
      </c>
      <c r="S695" s="686" t="s">
        <v>352</v>
      </c>
      <c r="T695" s="27">
        <v>43530</v>
      </c>
      <c r="U695" s="689">
        <v>43530</v>
      </c>
      <c r="V695" s="690" t="s">
        <v>8257</v>
      </c>
      <c r="W695" s="686" t="s">
        <v>5</v>
      </c>
      <c r="X695" s="686" t="s">
        <v>79</v>
      </c>
      <c r="Y695" s="27"/>
      <c r="Z695" s="689"/>
      <c r="AA695" s="690"/>
      <c r="AB695" s="686"/>
      <c r="AC695" s="686"/>
      <c r="AD695" s="27"/>
      <c r="AE695" s="689"/>
      <c r="AF695" s="690"/>
      <c r="AG695" s="686"/>
      <c r="AH695" s="686"/>
      <c r="AI695" s="704"/>
      <c r="AJ695" s="689"/>
      <c r="AK695" s="690"/>
      <c r="AL695" s="686"/>
      <c r="AM695" s="686"/>
      <c r="AN695" s="686" t="s">
        <v>3671</v>
      </c>
      <c r="AO695" s="705"/>
      <c r="AP695" s="686"/>
      <c r="AQ695" s="690" t="s">
        <v>5224</v>
      </c>
      <c r="AR695" s="686" t="s">
        <v>161</v>
      </c>
      <c r="AS695" s="27">
        <v>38355</v>
      </c>
      <c r="AT695" s="27">
        <v>40908</v>
      </c>
      <c r="AU695" s="686" t="s">
        <v>5109</v>
      </c>
      <c r="AV695" s="686"/>
      <c r="AW695" s="686" t="s">
        <v>69</v>
      </c>
      <c r="AX695" s="686" t="s">
        <v>5225</v>
      </c>
      <c r="AY695" s="27">
        <v>42529</v>
      </c>
      <c r="AZ695" s="686" t="s">
        <v>5226</v>
      </c>
      <c r="BA695" s="27">
        <v>42930</v>
      </c>
      <c r="BB695" s="27">
        <v>42969</v>
      </c>
      <c r="BC695" s="701" t="s">
        <v>912</v>
      </c>
      <c r="BD695" s="701" t="s">
        <v>1792</v>
      </c>
      <c r="BE695" s="686"/>
      <c r="BF695" s="690"/>
      <c r="BG695" s="690"/>
      <c r="BH695" s="690"/>
      <c r="BI695" s="690"/>
      <c r="BJ695" s="708">
        <f>+[226]MATRIZ!$J$49</f>
        <v>0</v>
      </c>
      <c r="BK695" s="696"/>
      <c r="BL695" s="697"/>
      <c r="BM695" s="27"/>
      <c r="BN695" s="689"/>
      <c r="BO695" s="699"/>
      <c r="BP695" s="700"/>
      <c r="BQ695" s="686"/>
      <c r="BR695" s="701"/>
      <c r="BS695" s="690"/>
      <c r="BT695" s="690"/>
      <c r="BU695" s="690"/>
      <c r="BV695" s="690"/>
      <c r="BW695" s="702"/>
      <c r="BX695" s="693"/>
      <c r="BY695" s="27"/>
      <c r="BZ695" s="703"/>
      <c r="CA695" s="259"/>
      <c r="CB695" s="259"/>
      <c r="CC695" s="259"/>
      <c r="CD695" s="259"/>
      <c r="CE695" s="259"/>
      <c r="CF695" s="259"/>
      <c r="CG695" s="259"/>
      <c r="CH695" s="259"/>
      <c r="CI695" s="259"/>
      <c r="CJ695" s="259"/>
      <c r="CK695" s="259"/>
      <c r="CL695" s="259"/>
      <c r="CM695" s="259"/>
      <c r="CN695" s="259"/>
      <c r="CO695" s="259"/>
      <c r="CP695" s="259"/>
      <c r="CQ695" s="259"/>
      <c r="CR695" s="259"/>
      <c r="CS695" s="259"/>
      <c r="CT695" s="259"/>
      <c r="CU695" s="259"/>
      <c r="CV695" s="259"/>
      <c r="CW695" s="259"/>
      <c r="CX695" s="259"/>
      <c r="CY695" s="259"/>
      <c r="CZ695" s="259"/>
      <c r="DA695" s="259"/>
      <c r="DB695" s="259"/>
      <c r="DC695" s="259"/>
      <c r="DD695" s="259"/>
      <c r="DE695" s="259"/>
      <c r="DF695" s="259"/>
      <c r="DG695" s="259"/>
      <c r="DH695" s="259"/>
      <c r="DI695" s="259"/>
      <c r="DJ695" s="259"/>
      <c r="DK695" s="259"/>
      <c r="DL695" s="259"/>
      <c r="DM695" s="259"/>
      <c r="DN695" s="259"/>
      <c r="DO695" s="259"/>
      <c r="DP695" s="259"/>
      <c r="DQ695" s="259"/>
      <c r="DR695" s="259"/>
      <c r="DS695" s="259"/>
      <c r="DT695" s="259"/>
      <c r="DU695" s="259"/>
      <c r="DV695" s="259"/>
      <c r="DW695" s="259"/>
      <c r="DX695" s="259"/>
      <c r="DY695" s="259"/>
      <c r="DZ695" s="259"/>
      <c r="EA695" s="259"/>
      <c r="EB695" s="259"/>
      <c r="EC695" s="259"/>
      <c r="ED695" s="259"/>
      <c r="EE695" s="259"/>
      <c r="EF695" s="259"/>
      <c r="EG695" s="259"/>
      <c r="EH695" s="259"/>
      <c r="EI695" s="259"/>
      <c r="EJ695" s="259"/>
      <c r="EK695" s="259"/>
      <c r="EL695" s="259"/>
      <c r="EM695" s="259"/>
      <c r="EN695" s="259"/>
      <c r="EO695" s="259"/>
      <c r="EP695" s="259"/>
      <c r="EQ695" s="259"/>
      <c r="ER695" s="259"/>
      <c r="ES695" s="259"/>
      <c r="ET695" s="259"/>
      <c r="EU695" s="259"/>
      <c r="EV695" s="259"/>
      <c r="EW695" s="259"/>
      <c r="EX695" s="259"/>
      <c r="EY695" s="259"/>
      <c r="EZ695" s="259"/>
      <c r="FA695" s="259"/>
      <c r="FB695" s="259"/>
      <c r="FC695" s="259"/>
      <c r="FD695" s="259"/>
      <c r="FE695" s="259"/>
      <c r="FF695" s="259"/>
      <c r="FG695" s="259"/>
      <c r="FH695" s="259"/>
      <c r="FI695" s="259"/>
      <c r="FJ695" s="259"/>
      <c r="FK695" s="259"/>
      <c r="FL695" s="259"/>
      <c r="FM695" s="259"/>
      <c r="FN695" s="259"/>
      <c r="FO695" s="259"/>
      <c r="FP695" s="259"/>
      <c r="FQ695" s="259"/>
      <c r="FR695" s="259"/>
      <c r="FS695" s="259"/>
      <c r="FT695" s="259"/>
      <c r="FU695" s="259"/>
      <c r="FV695" s="259"/>
      <c r="FW695" s="259"/>
      <c r="FX695" s="259"/>
      <c r="FY695" s="259"/>
      <c r="FZ695" s="259"/>
      <c r="GA695" s="259"/>
      <c r="GB695" s="259"/>
      <c r="GC695" s="259"/>
      <c r="GD695" s="259"/>
      <c r="GE695" s="259"/>
      <c r="GF695" s="259"/>
      <c r="GG695" s="259"/>
      <c r="GH695" s="259"/>
      <c r="GI695" s="259"/>
      <c r="GJ695" s="259"/>
      <c r="GK695" s="259"/>
      <c r="GL695" s="259"/>
      <c r="GM695" s="259"/>
      <c r="GN695" s="259"/>
      <c r="GO695" s="259"/>
      <c r="GP695" s="259"/>
      <c r="GQ695" s="259"/>
      <c r="GR695" s="259"/>
      <c r="GS695" s="259"/>
      <c r="GT695" s="259"/>
      <c r="GU695" s="259"/>
      <c r="GV695" s="259"/>
      <c r="GW695" s="259"/>
      <c r="GX695" s="259"/>
      <c r="GY695" s="259"/>
      <c r="GZ695" s="259"/>
      <c r="HA695" s="259"/>
      <c r="HB695" s="259"/>
      <c r="HC695" s="259"/>
      <c r="HD695" s="259"/>
      <c r="HE695" s="259"/>
      <c r="HF695" s="259"/>
      <c r="HG695" s="259"/>
      <c r="HH695" s="259"/>
      <c r="HI695" s="259"/>
      <c r="HJ695" s="259"/>
      <c r="HK695" s="259"/>
      <c r="HL695" s="259"/>
      <c r="HM695" s="259"/>
      <c r="HN695" s="259"/>
      <c r="HO695" s="259"/>
      <c r="HP695" s="259"/>
      <c r="HQ695" s="259"/>
      <c r="HR695" s="259"/>
      <c r="HS695" s="259"/>
      <c r="HT695" s="259"/>
      <c r="HU695" s="259"/>
      <c r="HV695" s="259"/>
      <c r="HW695" s="259"/>
      <c r="HX695" s="259"/>
      <c r="HY695" s="259"/>
      <c r="HZ695" s="259"/>
      <c r="IA695" s="259"/>
      <c r="IB695" s="259"/>
      <c r="IC695" s="259"/>
      <c r="ID695" s="259"/>
      <c r="IE695" s="259"/>
      <c r="IF695" s="259"/>
      <c r="IG695" s="259"/>
      <c r="IH695" s="259"/>
      <c r="II695" s="259"/>
      <c r="IJ695" s="259"/>
      <c r="IK695" s="259"/>
      <c r="IL695" s="259"/>
      <c r="IM695" s="259"/>
      <c r="IN695" s="259"/>
      <c r="IO695" s="259"/>
      <c r="IP695" s="259"/>
      <c r="IQ695" s="259"/>
      <c r="IR695" s="259"/>
      <c r="IS695" s="259"/>
      <c r="IT695" s="259"/>
      <c r="IU695" s="259"/>
      <c r="IV695" s="259"/>
      <c r="IW695" s="259"/>
      <c r="IX695" s="259"/>
      <c r="IY695" s="259"/>
      <c r="IZ695" s="259"/>
      <c r="JA695" s="259"/>
      <c r="JB695" s="259"/>
      <c r="JC695" s="259"/>
      <c r="JD695" s="259"/>
      <c r="JE695" s="259"/>
      <c r="JF695" s="259"/>
      <c r="JG695" s="259"/>
      <c r="JH695" s="259"/>
      <c r="JI695" s="259"/>
      <c r="JJ695" s="259"/>
      <c r="JK695" s="259"/>
      <c r="JL695" s="259"/>
      <c r="JM695" s="259"/>
      <c r="JN695" s="259"/>
      <c r="JO695" s="259"/>
      <c r="JP695" s="259"/>
      <c r="JQ695" s="259"/>
      <c r="JR695" s="259"/>
      <c r="JS695" s="259"/>
      <c r="JT695" s="259"/>
      <c r="JU695" s="259"/>
      <c r="JV695" s="259"/>
      <c r="JW695" s="259"/>
      <c r="JX695" s="259"/>
      <c r="JY695" s="259"/>
      <c r="JZ695" s="259"/>
      <c r="KA695" s="259"/>
      <c r="KB695" s="259"/>
      <c r="KC695" s="259"/>
      <c r="KD695" s="259"/>
      <c r="KE695" s="259"/>
      <c r="KF695" s="259"/>
      <c r="KG695" s="259"/>
      <c r="KH695" s="259"/>
      <c r="KI695" s="259"/>
      <c r="KJ695" s="259"/>
      <c r="KK695" s="259"/>
      <c r="KL695" s="259"/>
      <c r="KM695" s="259"/>
      <c r="KN695" s="259"/>
      <c r="KO695" s="259"/>
      <c r="KP695" s="259"/>
      <c r="KQ695" s="259"/>
      <c r="KR695" s="259"/>
      <c r="KS695" s="259"/>
      <c r="KT695" s="259"/>
      <c r="KU695" s="259"/>
      <c r="KV695" s="259"/>
      <c r="KW695" s="259"/>
      <c r="KX695" s="259"/>
      <c r="KY695" s="259"/>
      <c r="KZ695" s="259"/>
      <c r="LA695" s="259"/>
      <c r="LB695" s="259"/>
      <c r="LC695" s="259"/>
      <c r="LD695" s="259"/>
      <c r="LE695" s="259"/>
      <c r="LF695" s="259"/>
      <c r="LG695" s="259"/>
      <c r="LH695" s="259"/>
      <c r="LI695" s="259"/>
      <c r="LJ695" s="259"/>
      <c r="LK695" s="259"/>
      <c r="LL695" s="259"/>
      <c r="LM695" s="259"/>
      <c r="LN695" s="259"/>
      <c r="LO695" s="259"/>
      <c r="LP695" s="259"/>
      <c r="LQ695" s="259"/>
      <c r="LR695" s="259"/>
      <c r="LS695" s="259"/>
      <c r="LT695" s="259"/>
      <c r="LU695" s="259"/>
      <c r="LV695" s="259"/>
      <c r="LW695" s="259"/>
      <c r="LX695" s="259"/>
      <c r="LY695" s="259"/>
      <c r="LZ695" s="259"/>
      <c r="MA695" s="259"/>
      <c r="MB695" s="259"/>
      <c r="MC695" s="259"/>
      <c r="MD695" s="259"/>
      <c r="ME695" s="259"/>
      <c r="MF695" s="259"/>
      <c r="MG695" s="259"/>
      <c r="MH695" s="259"/>
      <c r="MI695" s="259"/>
      <c r="MJ695" s="259"/>
      <c r="MK695" s="259"/>
      <c r="ML695" s="259"/>
      <c r="MM695" s="259"/>
      <c r="MN695" s="259"/>
      <c r="MO695" s="259"/>
      <c r="MP695" s="259"/>
      <c r="MQ695" s="259"/>
      <c r="MR695" s="259"/>
      <c r="MS695" s="259"/>
      <c r="MT695" s="259"/>
      <c r="MU695" s="259"/>
      <c r="MV695" s="259"/>
      <c r="MW695" s="259"/>
      <c r="MX695" s="259"/>
      <c r="MY695" s="259"/>
      <c r="MZ695" s="259"/>
      <c r="NA695" s="259"/>
      <c r="NB695" s="259"/>
      <c r="NC695" s="259"/>
      <c r="ND695" s="259"/>
      <c r="NE695" s="259"/>
      <c r="NF695" s="259"/>
      <c r="NG695" s="259"/>
      <c r="NH695" s="259"/>
      <c r="NI695" s="259"/>
      <c r="NJ695" s="259"/>
      <c r="NK695" s="259"/>
      <c r="NL695" s="259"/>
      <c r="NM695" s="259"/>
      <c r="NN695" s="259"/>
      <c r="NO695" s="259"/>
      <c r="NP695" s="259"/>
      <c r="NQ695" s="259"/>
      <c r="NR695" s="259"/>
      <c r="NS695" s="259"/>
      <c r="NT695" s="259"/>
      <c r="NU695" s="259"/>
      <c r="NV695" s="259"/>
      <c r="NW695" s="259"/>
      <c r="NX695" s="259"/>
      <c r="NY695" s="259"/>
      <c r="NZ695" s="259"/>
      <c r="OA695" s="259"/>
      <c r="OB695" s="259"/>
      <c r="OC695" s="259"/>
      <c r="OD695" s="259"/>
      <c r="OE695" s="259"/>
      <c r="OF695" s="259"/>
      <c r="OG695" s="259"/>
      <c r="OH695" s="259"/>
      <c r="OI695" s="259"/>
      <c r="OJ695" s="259"/>
      <c r="OK695" s="259"/>
      <c r="OL695" s="259"/>
      <c r="OM695" s="259"/>
      <c r="ON695" s="259"/>
      <c r="OO695" s="259"/>
      <c r="OP695" s="259"/>
      <c r="OQ695" s="259"/>
      <c r="OR695" s="259"/>
      <c r="OS695" s="259"/>
      <c r="OT695" s="259"/>
      <c r="OU695" s="259"/>
      <c r="OV695" s="259"/>
      <c r="OW695" s="259"/>
      <c r="OX695" s="259"/>
      <c r="OY695" s="259"/>
      <c r="OZ695" s="259"/>
      <c r="PA695" s="259"/>
      <c r="PB695" s="259"/>
      <c r="PC695" s="259"/>
      <c r="PD695" s="259"/>
      <c r="PE695" s="259"/>
      <c r="PF695" s="259"/>
      <c r="PG695" s="259"/>
      <c r="PH695" s="259"/>
      <c r="PI695" s="259"/>
      <c r="PJ695" s="259"/>
      <c r="PK695" s="259"/>
      <c r="PL695" s="259"/>
      <c r="PM695" s="259"/>
      <c r="PN695" s="259"/>
      <c r="PO695" s="259"/>
      <c r="PP695" s="259"/>
      <c r="PQ695" s="259"/>
      <c r="PR695" s="259"/>
      <c r="PS695" s="259"/>
      <c r="PT695" s="259"/>
      <c r="PU695" s="259"/>
      <c r="PV695" s="259"/>
      <c r="PW695" s="259"/>
      <c r="PX695" s="259"/>
      <c r="PY695" s="259"/>
      <c r="PZ695" s="259"/>
      <c r="QA695" s="259"/>
      <c r="QB695" s="259"/>
      <c r="QC695" s="259"/>
      <c r="QD695" s="259"/>
      <c r="QE695" s="259"/>
      <c r="QF695" s="259"/>
      <c r="QG695" s="259"/>
      <c r="QH695" s="259"/>
      <c r="QI695" s="259"/>
      <c r="QJ695" s="259"/>
      <c r="QK695" s="259"/>
      <c r="QL695" s="259"/>
      <c r="QM695" s="259"/>
      <c r="QN695" s="259"/>
      <c r="QO695" s="259"/>
      <c r="QP695" s="259"/>
      <c r="QQ695" s="259"/>
      <c r="QR695" s="259"/>
      <c r="QS695" s="259"/>
      <c r="QT695" s="259"/>
      <c r="QU695" s="259"/>
      <c r="QV695" s="259"/>
      <c r="QW695" s="259"/>
      <c r="QX695" s="259"/>
      <c r="QY695" s="259"/>
      <c r="QZ695" s="259"/>
      <c r="RA695" s="259"/>
      <c r="RB695" s="259"/>
      <c r="RC695" s="259"/>
      <c r="RD695" s="259"/>
      <c r="RE695" s="259"/>
      <c r="RF695" s="259"/>
      <c r="RG695" s="259"/>
      <c r="RH695" s="259"/>
      <c r="RI695" s="259"/>
      <c r="RJ695" s="259"/>
      <c r="RK695" s="259"/>
      <c r="RL695" s="259"/>
      <c r="RM695" s="259"/>
      <c r="RN695" s="259"/>
      <c r="RO695" s="259"/>
      <c r="RP695" s="259"/>
      <c r="RQ695" s="259"/>
      <c r="RR695" s="259"/>
      <c r="RS695" s="259"/>
      <c r="RT695" s="259"/>
      <c r="RU695" s="259"/>
      <c r="RV695" s="259"/>
      <c r="RW695" s="259"/>
      <c r="RX695" s="259"/>
      <c r="RY695" s="259"/>
      <c r="RZ695" s="259"/>
      <c r="SA695" s="259"/>
      <c r="SB695" s="259"/>
      <c r="SC695" s="259"/>
      <c r="SD695" s="259"/>
      <c r="SE695" s="259"/>
      <c r="SF695" s="259"/>
      <c r="SG695" s="259"/>
      <c r="SH695" s="259"/>
      <c r="SI695" s="259"/>
      <c r="SJ695" s="259"/>
      <c r="SK695" s="259"/>
      <c r="SL695" s="259"/>
      <c r="SM695" s="259"/>
      <c r="SN695" s="259"/>
      <c r="SO695" s="259"/>
      <c r="SP695" s="259"/>
      <c r="SQ695" s="259"/>
      <c r="SR695" s="259"/>
      <c r="SS695" s="259"/>
      <c r="ST695" s="259"/>
      <c r="SU695" s="259"/>
      <c r="SV695" s="259"/>
      <c r="SW695" s="259"/>
      <c r="SX695" s="259"/>
      <c r="SY695" s="259"/>
      <c r="SZ695" s="259"/>
      <c r="TA695" s="259"/>
      <c r="TB695" s="259"/>
      <c r="TC695" s="259"/>
      <c r="TD695" s="259"/>
      <c r="TE695" s="259"/>
      <c r="TF695" s="259"/>
      <c r="TG695" s="259"/>
      <c r="TH695" s="259"/>
      <c r="TI695" s="259"/>
      <c r="TJ695" s="259"/>
      <c r="TK695" s="259"/>
      <c r="TL695" s="259"/>
      <c r="TM695" s="259"/>
      <c r="TN695" s="259"/>
      <c r="TO695" s="259"/>
      <c r="TP695" s="259"/>
      <c r="TQ695" s="259"/>
      <c r="TR695" s="259"/>
      <c r="TS695" s="259"/>
      <c r="TT695" s="259"/>
      <c r="TU695" s="259"/>
      <c r="TV695" s="259"/>
      <c r="TW695" s="259"/>
      <c r="TX695" s="259"/>
      <c r="TY695" s="259"/>
      <c r="TZ695" s="259"/>
      <c r="UA695" s="259"/>
      <c r="UB695" s="259"/>
      <c r="UC695" s="259"/>
      <c r="UD695" s="259"/>
      <c r="UE695" s="259"/>
      <c r="UF695" s="259"/>
      <c r="UG695" s="259"/>
      <c r="UH695" s="259"/>
      <c r="UI695" s="259"/>
    </row>
    <row r="696" spans="1:555" ht="81">
      <c r="A696" s="502">
        <v>596</v>
      </c>
      <c r="B696" s="686" t="s">
        <v>5227</v>
      </c>
      <c r="C696" s="687">
        <v>19361745</v>
      </c>
      <c r="D696" s="688" t="s">
        <v>906</v>
      </c>
      <c r="E696" s="27">
        <v>42984</v>
      </c>
      <c r="F696" s="689">
        <v>42979</v>
      </c>
      <c r="G696" s="690" t="s">
        <v>5228</v>
      </c>
      <c r="H696" s="686" t="s">
        <v>625</v>
      </c>
      <c r="I696" s="686" t="s">
        <v>4918</v>
      </c>
      <c r="J696" s="27">
        <v>42992</v>
      </c>
      <c r="K696" s="689">
        <v>42979</v>
      </c>
      <c r="L696" s="690" t="s">
        <v>5229</v>
      </c>
      <c r="M696" s="686" t="s">
        <v>198</v>
      </c>
      <c r="N696" s="686" t="s">
        <v>352</v>
      </c>
      <c r="O696" s="16">
        <v>43343</v>
      </c>
      <c r="P696" s="691">
        <v>43343</v>
      </c>
      <c r="Q696" s="706" t="s">
        <v>5230</v>
      </c>
      <c r="R696" s="686" t="s">
        <v>5</v>
      </c>
      <c r="S696" s="686" t="s">
        <v>85</v>
      </c>
      <c r="T696" s="16">
        <v>43343</v>
      </c>
      <c r="U696" s="689">
        <v>43343</v>
      </c>
      <c r="V696" s="690" t="s">
        <v>5230</v>
      </c>
      <c r="W696" s="686" t="s">
        <v>5</v>
      </c>
      <c r="X696" s="686" t="s">
        <v>85</v>
      </c>
      <c r="Y696" s="27"/>
      <c r="Z696" s="689"/>
      <c r="AA696" s="690"/>
      <c r="AB696" s="686"/>
      <c r="AC696" s="686"/>
      <c r="AD696" s="27"/>
      <c r="AE696" s="689"/>
      <c r="AF696" s="690"/>
      <c r="AG696" s="686"/>
      <c r="AH696" s="686"/>
      <c r="AI696" s="704"/>
      <c r="AJ696" s="689"/>
      <c r="AK696" s="690"/>
      <c r="AL696" s="686"/>
      <c r="AM696" s="686"/>
      <c r="AN696" s="686" t="s">
        <v>5231</v>
      </c>
      <c r="AO696" s="705"/>
      <c r="AP696" s="692" t="s">
        <v>2558</v>
      </c>
      <c r="AQ696" s="690" t="s">
        <v>5232</v>
      </c>
      <c r="AR696" s="686" t="s">
        <v>161</v>
      </c>
      <c r="AS696" s="27">
        <v>32483</v>
      </c>
      <c r="AT696" s="27">
        <v>40908</v>
      </c>
      <c r="AU696" s="686" t="s">
        <v>5233</v>
      </c>
      <c r="AV696" s="686"/>
      <c r="AW696" s="686" t="s">
        <v>69</v>
      </c>
      <c r="AX696" s="686" t="s">
        <v>5225</v>
      </c>
      <c r="AY696" s="27">
        <v>42543</v>
      </c>
      <c r="AZ696" s="686" t="s">
        <v>5234</v>
      </c>
      <c r="BA696" s="27">
        <v>42937</v>
      </c>
      <c r="BB696" s="27">
        <v>42969</v>
      </c>
      <c r="BC696" s="701" t="s">
        <v>912</v>
      </c>
      <c r="BD696" s="701" t="s">
        <v>1792</v>
      </c>
      <c r="BE696" s="686"/>
      <c r="BF696" s="690"/>
      <c r="BG696" s="690"/>
      <c r="BH696" s="690"/>
      <c r="BI696" s="690"/>
      <c r="BJ696" s="708">
        <f>+'[227]MATRIZ '!$J$64</f>
        <v>0</v>
      </c>
      <c r="BK696" s="696"/>
      <c r="BL696" s="697"/>
      <c r="BM696" s="27"/>
      <c r="BN696" s="689"/>
      <c r="BO696" s="699"/>
      <c r="BP696" s="700"/>
      <c r="BQ696" s="686"/>
      <c r="BR696" s="701"/>
      <c r="BS696" s="690"/>
      <c r="BT696" s="690"/>
      <c r="BU696" s="690"/>
      <c r="BV696" s="690"/>
      <c r="BW696" s="702"/>
      <c r="BX696" s="693"/>
      <c r="BY696" s="27"/>
      <c r="BZ696" s="703"/>
      <c r="CA696" s="259"/>
      <c r="CB696" s="259"/>
      <c r="CC696" s="259"/>
      <c r="CD696" s="259"/>
      <c r="CE696" s="259"/>
      <c r="CF696" s="259"/>
      <c r="CG696" s="259"/>
      <c r="CH696" s="259"/>
      <c r="CI696" s="259"/>
      <c r="CJ696" s="259"/>
      <c r="CK696" s="259"/>
      <c r="CL696" s="259"/>
      <c r="CM696" s="259"/>
      <c r="CN696" s="259"/>
      <c r="CO696" s="259"/>
      <c r="CP696" s="259"/>
      <c r="CQ696" s="259"/>
      <c r="CR696" s="259"/>
      <c r="CS696" s="259"/>
      <c r="CT696" s="259"/>
      <c r="CU696" s="259"/>
      <c r="CV696" s="259"/>
      <c r="CW696" s="259"/>
      <c r="CX696" s="259"/>
      <c r="CY696" s="259"/>
      <c r="CZ696" s="259"/>
      <c r="DA696" s="259"/>
      <c r="DB696" s="259"/>
      <c r="DC696" s="259"/>
      <c r="DD696" s="259"/>
      <c r="DE696" s="259"/>
      <c r="DF696" s="259"/>
      <c r="DG696" s="259"/>
      <c r="DH696" s="259"/>
      <c r="DI696" s="259"/>
      <c r="DJ696" s="259"/>
      <c r="DK696" s="259"/>
      <c r="DL696" s="259"/>
      <c r="DM696" s="259"/>
      <c r="DN696" s="259"/>
      <c r="DO696" s="259"/>
      <c r="DP696" s="259"/>
      <c r="DQ696" s="259"/>
      <c r="DR696" s="259"/>
      <c r="DS696" s="259"/>
      <c r="DT696" s="259"/>
      <c r="DU696" s="259"/>
      <c r="DV696" s="259"/>
      <c r="DW696" s="259"/>
      <c r="DX696" s="259"/>
      <c r="DY696" s="259"/>
      <c r="DZ696" s="259"/>
      <c r="EA696" s="259"/>
      <c r="EB696" s="259"/>
      <c r="EC696" s="259"/>
      <c r="ED696" s="259"/>
      <c r="EE696" s="259"/>
      <c r="EF696" s="259"/>
      <c r="EG696" s="259"/>
      <c r="EH696" s="259"/>
      <c r="EI696" s="259"/>
      <c r="EJ696" s="259"/>
      <c r="EK696" s="259"/>
      <c r="EL696" s="259"/>
      <c r="EM696" s="259"/>
      <c r="EN696" s="259"/>
      <c r="EO696" s="259"/>
      <c r="EP696" s="259"/>
      <c r="EQ696" s="259"/>
      <c r="ER696" s="259"/>
      <c r="ES696" s="259"/>
      <c r="ET696" s="259"/>
      <c r="EU696" s="259"/>
      <c r="EV696" s="259"/>
      <c r="EW696" s="259"/>
      <c r="EX696" s="259"/>
      <c r="EY696" s="259"/>
      <c r="EZ696" s="259"/>
      <c r="FA696" s="259"/>
      <c r="FB696" s="259"/>
      <c r="FC696" s="259"/>
      <c r="FD696" s="259"/>
      <c r="FE696" s="259"/>
      <c r="FF696" s="259"/>
      <c r="FG696" s="259"/>
      <c r="FH696" s="259"/>
      <c r="FI696" s="259"/>
      <c r="FJ696" s="259"/>
      <c r="FK696" s="259"/>
      <c r="FL696" s="259"/>
      <c r="FM696" s="259"/>
      <c r="FN696" s="259"/>
      <c r="FO696" s="259"/>
      <c r="FP696" s="259"/>
      <c r="FQ696" s="259"/>
      <c r="FR696" s="259"/>
      <c r="FS696" s="259"/>
      <c r="FT696" s="259"/>
      <c r="FU696" s="259"/>
      <c r="FV696" s="259"/>
      <c r="FW696" s="259"/>
      <c r="FX696" s="259"/>
      <c r="FY696" s="259"/>
      <c r="FZ696" s="259"/>
      <c r="GA696" s="259"/>
      <c r="GB696" s="259"/>
      <c r="GC696" s="259"/>
      <c r="GD696" s="259"/>
      <c r="GE696" s="259"/>
      <c r="GF696" s="259"/>
      <c r="GG696" s="259"/>
      <c r="GH696" s="259"/>
      <c r="GI696" s="259"/>
      <c r="GJ696" s="259"/>
      <c r="GK696" s="259"/>
      <c r="GL696" s="259"/>
      <c r="GM696" s="259"/>
      <c r="GN696" s="259"/>
      <c r="GO696" s="259"/>
      <c r="GP696" s="259"/>
      <c r="GQ696" s="259"/>
      <c r="GR696" s="259"/>
      <c r="GS696" s="259"/>
      <c r="GT696" s="259"/>
      <c r="GU696" s="259"/>
      <c r="GV696" s="259"/>
      <c r="GW696" s="259"/>
      <c r="GX696" s="259"/>
      <c r="GY696" s="259"/>
      <c r="GZ696" s="259"/>
      <c r="HA696" s="259"/>
      <c r="HB696" s="259"/>
      <c r="HC696" s="259"/>
      <c r="HD696" s="259"/>
      <c r="HE696" s="259"/>
      <c r="HF696" s="259"/>
      <c r="HG696" s="259"/>
      <c r="HH696" s="259"/>
      <c r="HI696" s="259"/>
      <c r="HJ696" s="259"/>
      <c r="HK696" s="259"/>
      <c r="HL696" s="259"/>
      <c r="HM696" s="259"/>
      <c r="HN696" s="259"/>
      <c r="HO696" s="259"/>
      <c r="HP696" s="259"/>
      <c r="HQ696" s="259"/>
      <c r="HR696" s="259"/>
      <c r="HS696" s="259"/>
      <c r="HT696" s="259"/>
      <c r="HU696" s="259"/>
      <c r="HV696" s="259"/>
      <c r="HW696" s="259"/>
      <c r="HX696" s="259"/>
      <c r="HY696" s="259"/>
      <c r="HZ696" s="259"/>
      <c r="IA696" s="259"/>
      <c r="IB696" s="259"/>
      <c r="IC696" s="259"/>
      <c r="ID696" s="259"/>
      <c r="IE696" s="259"/>
      <c r="IF696" s="259"/>
      <c r="IG696" s="259"/>
      <c r="IH696" s="259"/>
      <c r="II696" s="259"/>
      <c r="IJ696" s="259"/>
      <c r="IK696" s="259"/>
      <c r="IL696" s="259"/>
      <c r="IM696" s="259"/>
      <c r="IN696" s="259"/>
      <c r="IO696" s="259"/>
      <c r="IP696" s="259"/>
      <c r="IQ696" s="259"/>
      <c r="IR696" s="259"/>
      <c r="IS696" s="259"/>
      <c r="IT696" s="259"/>
      <c r="IU696" s="259"/>
      <c r="IV696" s="259"/>
      <c r="IW696" s="259"/>
      <c r="IX696" s="259"/>
      <c r="IY696" s="259"/>
      <c r="IZ696" s="259"/>
      <c r="JA696" s="259"/>
      <c r="JB696" s="259"/>
      <c r="JC696" s="259"/>
      <c r="JD696" s="259"/>
      <c r="JE696" s="259"/>
      <c r="JF696" s="259"/>
      <c r="JG696" s="259"/>
      <c r="JH696" s="259"/>
      <c r="JI696" s="259"/>
      <c r="JJ696" s="259"/>
      <c r="JK696" s="259"/>
      <c r="JL696" s="259"/>
      <c r="JM696" s="259"/>
      <c r="JN696" s="259"/>
      <c r="JO696" s="259"/>
      <c r="JP696" s="259"/>
      <c r="JQ696" s="259"/>
      <c r="JR696" s="259"/>
      <c r="JS696" s="259"/>
      <c r="JT696" s="259"/>
      <c r="JU696" s="259"/>
      <c r="JV696" s="259"/>
      <c r="JW696" s="259"/>
      <c r="JX696" s="259"/>
      <c r="JY696" s="259"/>
      <c r="JZ696" s="259"/>
      <c r="KA696" s="259"/>
      <c r="KB696" s="259"/>
      <c r="KC696" s="259"/>
      <c r="KD696" s="259"/>
      <c r="KE696" s="259"/>
      <c r="KF696" s="259"/>
      <c r="KG696" s="259"/>
      <c r="KH696" s="259"/>
      <c r="KI696" s="259"/>
      <c r="KJ696" s="259"/>
      <c r="KK696" s="259"/>
      <c r="KL696" s="259"/>
      <c r="KM696" s="259"/>
      <c r="KN696" s="259"/>
      <c r="KO696" s="259"/>
      <c r="KP696" s="259"/>
      <c r="KQ696" s="259"/>
      <c r="KR696" s="259"/>
      <c r="KS696" s="259"/>
      <c r="KT696" s="259"/>
      <c r="KU696" s="259"/>
      <c r="KV696" s="259"/>
      <c r="KW696" s="259"/>
      <c r="KX696" s="259"/>
      <c r="KY696" s="259"/>
      <c r="KZ696" s="259"/>
      <c r="LA696" s="259"/>
      <c r="LB696" s="259"/>
      <c r="LC696" s="259"/>
      <c r="LD696" s="259"/>
      <c r="LE696" s="259"/>
      <c r="LF696" s="259"/>
      <c r="LG696" s="259"/>
      <c r="LH696" s="259"/>
      <c r="LI696" s="259"/>
      <c r="LJ696" s="259"/>
      <c r="LK696" s="259"/>
      <c r="LL696" s="259"/>
      <c r="LM696" s="259"/>
      <c r="LN696" s="259"/>
      <c r="LO696" s="259"/>
      <c r="LP696" s="259"/>
      <c r="LQ696" s="259"/>
      <c r="LR696" s="259"/>
      <c r="LS696" s="259"/>
      <c r="LT696" s="259"/>
      <c r="LU696" s="259"/>
      <c r="LV696" s="259"/>
      <c r="LW696" s="259"/>
      <c r="LX696" s="259"/>
      <c r="LY696" s="259"/>
      <c r="LZ696" s="259"/>
      <c r="MA696" s="259"/>
      <c r="MB696" s="259"/>
      <c r="MC696" s="259"/>
      <c r="MD696" s="259"/>
      <c r="ME696" s="259"/>
      <c r="MF696" s="259"/>
      <c r="MG696" s="259"/>
      <c r="MH696" s="259"/>
      <c r="MI696" s="259"/>
      <c r="MJ696" s="259"/>
      <c r="MK696" s="259"/>
      <c r="ML696" s="259"/>
      <c r="MM696" s="259"/>
      <c r="MN696" s="259"/>
      <c r="MO696" s="259"/>
      <c r="MP696" s="259"/>
      <c r="MQ696" s="259"/>
      <c r="MR696" s="259"/>
      <c r="MS696" s="259"/>
      <c r="MT696" s="259"/>
      <c r="MU696" s="259"/>
      <c r="MV696" s="259"/>
      <c r="MW696" s="259"/>
      <c r="MX696" s="259"/>
      <c r="MY696" s="259"/>
      <c r="MZ696" s="259"/>
      <c r="NA696" s="259"/>
      <c r="NB696" s="259"/>
      <c r="NC696" s="259"/>
      <c r="ND696" s="259"/>
      <c r="NE696" s="259"/>
      <c r="NF696" s="259"/>
      <c r="NG696" s="259"/>
      <c r="NH696" s="259"/>
      <c r="NI696" s="259"/>
      <c r="NJ696" s="259"/>
      <c r="NK696" s="259"/>
      <c r="NL696" s="259"/>
      <c r="NM696" s="259"/>
      <c r="NN696" s="259"/>
      <c r="NO696" s="259"/>
      <c r="NP696" s="259"/>
      <c r="NQ696" s="259"/>
      <c r="NR696" s="259"/>
      <c r="NS696" s="259"/>
      <c r="NT696" s="259"/>
      <c r="NU696" s="259"/>
      <c r="NV696" s="259"/>
      <c r="NW696" s="259"/>
      <c r="NX696" s="259"/>
      <c r="NY696" s="259"/>
      <c r="NZ696" s="259"/>
      <c r="OA696" s="259"/>
      <c r="OB696" s="259"/>
      <c r="OC696" s="259"/>
      <c r="OD696" s="259"/>
      <c r="OE696" s="259"/>
      <c r="OF696" s="259"/>
      <c r="OG696" s="259"/>
      <c r="OH696" s="259"/>
      <c r="OI696" s="259"/>
      <c r="OJ696" s="259"/>
      <c r="OK696" s="259"/>
      <c r="OL696" s="259"/>
      <c r="OM696" s="259"/>
      <c r="ON696" s="259"/>
      <c r="OO696" s="259"/>
      <c r="OP696" s="259"/>
      <c r="OQ696" s="259"/>
      <c r="OR696" s="259"/>
      <c r="OS696" s="259"/>
      <c r="OT696" s="259"/>
      <c r="OU696" s="259"/>
      <c r="OV696" s="259"/>
      <c r="OW696" s="259"/>
      <c r="OX696" s="259"/>
      <c r="OY696" s="259"/>
      <c r="OZ696" s="259"/>
      <c r="PA696" s="259"/>
      <c r="PB696" s="259"/>
      <c r="PC696" s="259"/>
      <c r="PD696" s="259"/>
      <c r="PE696" s="259"/>
      <c r="PF696" s="259"/>
      <c r="PG696" s="259"/>
      <c r="PH696" s="259"/>
      <c r="PI696" s="259"/>
      <c r="PJ696" s="259"/>
      <c r="PK696" s="259"/>
      <c r="PL696" s="259"/>
      <c r="PM696" s="259"/>
      <c r="PN696" s="259"/>
      <c r="PO696" s="259"/>
      <c r="PP696" s="259"/>
      <c r="PQ696" s="259"/>
      <c r="PR696" s="259"/>
      <c r="PS696" s="259"/>
      <c r="PT696" s="259"/>
      <c r="PU696" s="259"/>
      <c r="PV696" s="259"/>
      <c r="PW696" s="259"/>
      <c r="PX696" s="259"/>
      <c r="PY696" s="259"/>
      <c r="PZ696" s="259"/>
      <c r="QA696" s="259"/>
      <c r="QB696" s="259"/>
      <c r="QC696" s="259"/>
      <c r="QD696" s="259"/>
      <c r="QE696" s="259"/>
      <c r="QF696" s="259"/>
      <c r="QG696" s="259"/>
      <c r="QH696" s="259"/>
      <c r="QI696" s="259"/>
      <c r="QJ696" s="259"/>
      <c r="QK696" s="259"/>
      <c r="QL696" s="259"/>
      <c r="QM696" s="259"/>
      <c r="QN696" s="259"/>
      <c r="QO696" s="259"/>
      <c r="QP696" s="259"/>
      <c r="QQ696" s="259"/>
      <c r="QR696" s="259"/>
      <c r="QS696" s="259"/>
      <c r="QT696" s="259"/>
      <c r="QU696" s="259"/>
      <c r="QV696" s="259"/>
      <c r="QW696" s="259"/>
      <c r="QX696" s="259"/>
      <c r="QY696" s="259"/>
      <c r="QZ696" s="259"/>
      <c r="RA696" s="259"/>
      <c r="RB696" s="259"/>
      <c r="RC696" s="259"/>
      <c r="RD696" s="259"/>
      <c r="RE696" s="259"/>
      <c r="RF696" s="259"/>
      <c r="RG696" s="259"/>
      <c r="RH696" s="259"/>
      <c r="RI696" s="259"/>
      <c r="RJ696" s="259"/>
      <c r="RK696" s="259"/>
      <c r="RL696" s="259"/>
      <c r="RM696" s="259"/>
      <c r="RN696" s="259"/>
      <c r="RO696" s="259"/>
      <c r="RP696" s="259"/>
      <c r="RQ696" s="259"/>
      <c r="RR696" s="259"/>
      <c r="RS696" s="259"/>
      <c r="RT696" s="259"/>
      <c r="RU696" s="259"/>
      <c r="RV696" s="259"/>
      <c r="RW696" s="259"/>
      <c r="RX696" s="259"/>
      <c r="RY696" s="259"/>
      <c r="RZ696" s="259"/>
      <c r="SA696" s="259"/>
      <c r="SB696" s="259"/>
      <c r="SC696" s="259"/>
      <c r="SD696" s="259"/>
      <c r="SE696" s="259"/>
      <c r="SF696" s="259"/>
      <c r="SG696" s="259"/>
      <c r="SH696" s="259"/>
      <c r="SI696" s="259"/>
      <c r="SJ696" s="259"/>
      <c r="SK696" s="259"/>
      <c r="SL696" s="259"/>
      <c r="SM696" s="259"/>
      <c r="SN696" s="259"/>
      <c r="SO696" s="259"/>
      <c r="SP696" s="259"/>
      <c r="SQ696" s="259"/>
      <c r="SR696" s="259"/>
      <c r="SS696" s="259"/>
      <c r="ST696" s="259"/>
      <c r="SU696" s="259"/>
      <c r="SV696" s="259"/>
      <c r="SW696" s="259"/>
      <c r="SX696" s="259"/>
      <c r="SY696" s="259"/>
      <c r="SZ696" s="259"/>
      <c r="TA696" s="259"/>
      <c r="TB696" s="259"/>
      <c r="TC696" s="259"/>
      <c r="TD696" s="259"/>
      <c r="TE696" s="259"/>
      <c r="TF696" s="259"/>
      <c r="TG696" s="259"/>
      <c r="TH696" s="259"/>
      <c r="TI696" s="259"/>
      <c r="TJ696" s="259"/>
      <c r="TK696" s="259"/>
      <c r="TL696" s="259"/>
      <c r="TM696" s="259"/>
      <c r="TN696" s="259"/>
      <c r="TO696" s="259"/>
      <c r="TP696" s="259"/>
      <c r="TQ696" s="259"/>
      <c r="TR696" s="259"/>
      <c r="TS696" s="259"/>
      <c r="TT696" s="259"/>
      <c r="TU696" s="259"/>
      <c r="TV696" s="259"/>
      <c r="TW696" s="259"/>
      <c r="TX696" s="259"/>
      <c r="TY696" s="259"/>
      <c r="TZ696" s="259"/>
      <c r="UA696" s="259"/>
      <c r="UB696" s="259"/>
      <c r="UC696" s="259"/>
      <c r="UD696" s="259"/>
      <c r="UE696" s="259"/>
      <c r="UF696" s="259"/>
      <c r="UG696" s="259"/>
      <c r="UH696" s="259"/>
      <c r="UI696" s="259"/>
    </row>
    <row r="697" spans="1:555" ht="216">
      <c r="A697" s="33">
        <v>597</v>
      </c>
      <c r="B697" s="42" t="s">
        <v>5235</v>
      </c>
      <c r="C697" s="136">
        <v>52974958</v>
      </c>
      <c r="D697" s="440" t="s">
        <v>906</v>
      </c>
      <c r="E697" s="49">
        <v>42984</v>
      </c>
      <c r="F697" s="45">
        <v>42979</v>
      </c>
      <c r="G697" s="46" t="s">
        <v>5236</v>
      </c>
      <c r="H697" s="42" t="s">
        <v>625</v>
      </c>
      <c r="I697" s="42" t="s">
        <v>4918</v>
      </c>
      <c r="J697" s="49"/>
      <c r="K697" s="45"/>
      <c r="L697" s="46"/>
      <c r="M697" s="42"/>
      <c r="N697" s="42"/>
      <c r="O697" s="49"/>
      <c r="P697" s="137"/>
      <c r="Q697" s="46"/>
      <c r="R697" s="42"/>
      <c r="S697" s="42"/>
      <c r="T697" s="49"/>
      <c r="U697" s="45"/>
      <c r="V697" s="46"/>
      <c r="W697" s="42"/>
      <c r="X697" s="42"/>
      <c r="Y697" s="49"/>
      <c r="Z697" s="45"/>
      <c r="AA697" s="46"/>
      <c r="AB697" s="42"/>
      <c r="AC697" s="42"/>
      <c r="AD697" s="49"/>
      <c r="AE697" s="45"/>
      <c r="AF697" s="46"/>
      <c r="AG697" s="42"/>
      <c r="AH697" s="42"/>
      <c r="AI697" s="53"/>
      <c r="AJ697" s="45"/>
      <c r="AK697" s="46"/>
      <c r="AL697" s="42"/>
      <c r="AM697" s="42"/>
      <c r="AN697" s="42" t="s">
        <v>5206</v>
      </c>
      <c r="AO697" s="474"/>
      <c r="AP697" s="42"/>
      <c r="AQ697" s="46" t="s">
        <v>5237</v>
      </c>
      <c r="AR697" s="42" t="s">
        <v>161</v>
      </c>
      <c r="AS697" s="49">
        <v>39010</v>
      </c>
      <c r="AT697" s="49">
        <v>40908</v>
      </c>
      <c r="AU697" s="42" t="s">
        <v>5238</v>
      </c>
      <c r="AV697" s="42"/>
      <c r="AW697" s="42" t="s">
        <v>69</v>
      </c>
      <c r="AX697" s="42" t="s">
        <v>5209</v>
      </c>
      <c r="AY697" s="49">
        <v>42578</v>
      </c>
      <c r="AZ697" s="42" t="s">
        <v>5239</v>
      </c>
      <c r="BA697" s="49">
        <v>42902</v>
      </c>
      <c r="BB697" s="678">
        <v>42933</v>
      </c>
      <c r="BC697" s="42" t="s">
        <v>912</v>
      </c>
      <c r="BD697" s="42"/>
      <c r="BE697" s="42"/>
      <c r="BF697" s="46"/>
      <c r="BG697" s="46"/>
      <c r="BH697" s="46"/>
      <c r="BI697" s="46"/>
      <c r="BJ697" s="209">
        <v>3850000</v>
      </c>
      <c r="BK697" s="43"/>
      <c r="BL697" s="54"/>
      <c r="BM697" s="49"/>
      <c r="BN697" s="45"/>
      <c r="BO697" s="462"/>
      <c r="BP697" s="391"/>
      <c r="BQ697" s="34"/>
      <c r="BR697" s="42"/>
      <c r="BS697" s="46"/>
      <c r="BT697" s="46"/>
      <c r="BU697" s="46"/>
      <c r="BV697" s="46"/>
      <c r="BW697" s="47"/>
      <c r="BX697" s="48"/>
      <c r="BY697" s="49"/>
      <c r="BZ697" s="50"/>
    </row>
    <row r="698" spans="1:555" ht="108">
      <c r="A698" s="33">
        <v>598</v>
      </c>
      <c r="B698" s="34" t="s">
        <v>5240</v>
      </c>
      <c r="C698" s="35">
        <v>52899384</v>
      </c>
      <c r="D698" s="440" t="s">
        <v>906</v>
      </c>
      <c r="E698" s="37">
        <v>42990</v>
      </c>
      <c r="F698" s="38">
        <v>42979</v>
      </c>
      <c r="G698" s="39" t="s">
        <v>5241</v>
      </c>
      <c r="H698" s="34" t="s">
        <v>625</v>
      </c>
      <c r="I698" s="34" t="s">
        <v>4918</v>
      </c>
      <c r="J698" s="37"/>
      <c r="K698" s="38"/>
      <c r="L698" s="39"/>
      <c r="M698" s="34"/>
      <c r="N698" s="34"/>
      <c r="O698" s="37"/>
      <c r="P698" s="40"/>
      <c r="Q698" s="39"/>
      <c r="R698" s="34"/>
      <c r="S698" s="34"/>
      <c r="T698" s="37"/>
      <c r="U698" s="38"/>
      <c r="V698" s="39"/>
      <c r="W698" s="34"/>
      <c r="X698" s="34"/>
      <c r="Y698" s="37"/>
      <c r="Z698" s="38"/>
      <c r="AA698" s="39"/>
      <c r="AB698" s="34"/>
      <c r="AC698" s="34"/>
      <c r="AD698" s="37"/>
      <c r="AE698" s="38"/>
      <c r="AF698" s="39"/>
      <c r="AG698" s="34"/>
      <c r="AH698" s="34"/>
      <c r="AI698" s="73"/>
      <c r="AJ698" s="38"/>
      <c r="AK698" s="39"/>
      <c r="AL698" s="34"/>
      <c r="AM698" s="34"/>
      <c r="AN698" s="34"/>
      <c r="AO698" s="473"/>
      <c r="AP698" s="34"/>
      <c r="AQ698" s="39" t="s">
        <v>5242</v>
      </c>
      <c r="AR698" s="34" t="s">
        <v>161</v>
      </c>
      <c r="AS698" s="37">
        <v>38040</v>
      </c>
      <c r="AT698" s="37">
        <v>40908</v>
      </c>
      <c r="AU698" s="34" t="s">
        <v>5243</v>
      </c>
      <c r="AV698" s="34"/>
      <c r="AW698" s="34" t="s">
        <v>69</v>
      </c>
      <c r="AX698" s="34" t="s">
        <v>5244</v>
      </c>
      <c r="AY698" s="37">
        <v>42521</v>
      </c>
      <c r="AZ698" s="34" t="s">
        <v>5245</v>
      </c>
      <c r="BA698" s="37">
        <v>42902</v>
      </c>
      <c r="BB698" s="382">
        <v>42930</v>
      </c>
      <c r="BC698" s="42" t="s">
        <v>912</v>
      </c>
      <c r="BD698" s="42"/>
      <c r="BE698" s="34"/>
      <c r="BF698" s="39"/>
      <c r="BG698" s="39"/>
      <c r="BH698" s="39"/>
      <c r="BI698" s="39"/>
      <c r="BJ698" s="209">
        <v>3850000</v>
      </c>
      <c r="BK698" s="74"/>
      <c r="BL698" s="44"/>
      <c r="BM698" s="37"/>
      <c r="BN698" s="38"/>
      <c r="BO698" s="462"/>
      <c r="BP698" s="391"/>
      <c r="BQ698" s="34"/>
      <c r="BR698" s="42"/>
      <c r="BS698" s="39"/>
      <c r="BT698" s="39"/>
      <c r="BU698" s="39"/>
      <c r="BV698" s="39"/>
      <c r="BW698" s="51"/>
      <c r="BX698" s="41"/>
      <c r="BY698" s="37"/>
      <c r="BZ698" s="52"/>
    </row>
    <row r="699" spans="1:555" ht="67.5">
      <c r="A699" s="57">
        <v>599</v>
      </c>
      <c r="B699" s="58" t="s">
        <v>5246</v>
      </c>
      <c r="C699" s="59">
        <v>7604356</v>
      </c>
      <c r="D699" s="170" t="s">
        <v>463</v>
      </c>
      <c r="E699" s="60">
        <v>43003</v>
      </c>
      <c r="F699" s="61">
        <v>42979</v>
      </c>
      <c r="G699" s="62" t="s">
        <v>5247</v>
      </c>
      <c r="H699" s="58" t="s">
        <v>625</v>
      </c>
      <c r="I699" s="58" t="s">
        <v>4918</v>
      </c>
      <c r="J699" s="60">
        <v>43038</v>
      </c>
      <c r="K699" s="61">
        <v>43038</v>
      </c>
      <c r="L699" s="62" t="s">
        <v>8170</v>
      </c>
      <c r="M699" s="58" t="s">
        <v>171</v>
      </c>
      <c r="N699" s="58" t="s">
        <v>3423</v>
      </c>
      <c r="O699" s="60">
        <v>43060</v>
      </c>
      <c r="P699" s="63">
        <v>43040</v>
      </c>
      <c r="Q699" s="62" t="s">
        <v>5248</v>
      </c>
      <c r="R699" s="58" t="s">
        <v>5</v>
      </c>
      <c r="S699" s="58" t="s">
        <v>79</v>
      </c>
      <c r="T699" s="60">
        <v>43703</v>
      </c>
      <c r="U699" s="61">
        <v>43703</v>
      </c>
      <c r="V699" s="62" t="s">
        <v>9138</v>
      </c>
      <c r="W699" s="58" t="s">
        <v>5</v>
      </c>
      <c r="X699" s="58" t="s">
        <v>8243</v>
      </c>
      <c r="Y699" s="60"/>
      <c r="Z699" s="61"/>
      <c r="AA699" s="62"/>
      <c r="AB699" s="58"/>
      <c r="AC699" s="58"/>
      <c r="AD699" s="60"/>
      <c r="AE699" s="61"/>
      <c r="AF699" s="62"/>
      <c r="AG699" s="58"/>
      <c r="AH699" s="58"/>
      <c r="AI699" s="117"/>
      <c r="AJ699" s="61"/>
      <c r="AK699" s="62"/>
      <c r="AL699" s="58"/>
      <c r="AM699" s="58"/>
      <c r="AN699" s="58" t="s">
        <v>5249</v>
      </c>
      <c r="AO699" s="478"/>
      <c r="AP699" s="58" t="s">
        <v>2558</v>
      </c>
      <c r="AQ699" s="62" t="s">
        <v>5250</v>
      </c>
      <c r="AR699" s="58" t="s">
        <v>161</v>
      </c>
      <c r="AS699" s="60">
        <v>39814</v>
      </c>
      <c r="AT699" s="60">
        <v>40390</v>
      </c>
      <c r="AU699" s="58" t="s">
        <v>5251</v>
      </c>
      <c r="AV699" s="58"/>
      <c r="AW699" s="58" t="s">
        <v>69</v>
      </c>
      <c r="AX699" s="58" t="s">
        <v>5252</v>
      </c>
      <c r="AY699" s="60">
        <v>42524</v>
      </c>
      <c r="AZ699" s="58" t="s">
        <v>5253</v>
      </c>
      <c r="BA699" s="60">
        <v>42942</v>
      </c>
      <c r="BB699" s="382">
        <v>43005</v>
      </c>
      <c r="BC699" s="58" t="s">
        <v>95</v>
      </c>
      <c r="BD699" s="58" t="s">
        <v>566</v>
      </c>
      <c r="BE699" s="58"/>
      <c r="BF699" s="62"/>
      <c r="BG699" s="62"/>
      <c r="BH699" s="62"/>
      <c r="BI699" s="62"/>
      <c r="BJ699" s="209">
        <f>+[228]MATRIZ!$J$57</f>
        <v>0</v>
      </c>
      <c r="BK699" s="67"/>
      <c r="BL699" s="68"/>
      <c r="BM699" s="60"/>
      <c r="BN699" s="61"/>
      <c r="BO699" s="463"/>
      <c r="BP699" s="122"/>
      <c r="BQ699" s="58"/>
      <c r="BR699" s="70"/>
      <c r="BS699" s="62"/>
      <c r="BT699" s="62"/>
      <c r="BU699" s="62"/>
      <c r="BV699" s="62"/>
      <c r="BW699" s="71"/>
      <c r="BX699" s="66"/>
      <c r="BY699" s="60"/>
      <c r="BZ699" s="72"/>
    </row>
    <row r="700" spans="1:555" ht="94.5">
      <c r="A700" s="502">
        <v>600</v>
      </c>
      <c r="B700" s="686" t="s">
        <v>7523</v>
      </c>
      <c r="C700" s="687">
        <v>19494480</v>
      </c>
      <c r="D700" s="688" t="s">
        <v>906</v>
      </c>
      <c r="E700" s="27">
        <v>42984</v>
      </c>
      <c r="F700" s="689">
        <v>42979</v>
      </c>
      <c r="G700" s="690" t="s">
        <v>5254</v>
      </c>
      <c r="H700" s="686" t="s">
        <v>625</v>
      </c>
      <c r="I700" s="686" t="s">
        <v>4918</v>
      </c>
      <c r="J700" s="27">
        <v>42963</v>
      </c>
      <c r="K700" s="689">
        <v>42948</v>
      </c>
      <c r="L700" s="690" t="s">
        <v>271</v>
      </c>
      <c r="M700" s="686" t="s">
        <v>625</v>
      </c>
      <c r="N700" s="686" t="s">
        <v>4254</v>
      </c>
      <c r="O700" s="27">
        <v>43126</v>
      </c>
      <c r="P700" s="691">
        <v>43101</v>
      </c>
      <c r="Q700" s="690" t="s">
        <v>5255</v>
      </c>
      <c r="R700" s="686" t="s">
        <v>5</v>
      </c>
      <c r="S700" s="686" t="s">
        <v>570</v>
      </c>
      <c r="T700" s="27"/>
      <c r="U700" s="689"/>
      <c r="V700" s="690"/>
      <c r="W700" s="686"/>
      <c r="X700" s="686"/>
      <c r="Y700" s="27"/>
      <c r="Z700" s="689"/>
      <c r="AA700" s="690"/>
      <c r="AB700" s="686"/>
      <c r="AC700" s="686"/>
      <c r="AD700" s="27"/>
      <c r="AE700" s="689"/>
      <c r="AF700" s="690"/>
      <c r="AG700" s="686"/>
      <c r="AH700" s="686"/>
      <c r="AI700" s="704"/>
      <c r="AJ700" s="689"/>
      <c r="AK700" s="690"/>
      <c r="AL700" s="686"/>
      <c r="AM700" s="686"/>
      <c r="AN700" s="686" t="s">
        <v>4827</v>
      </c>
      <c r="AO700" s="705"/>
      <c r="AP700" s="686"/>
      <c r="AQ700" s="690" t="s">
        <v>5256</v>
      </c>
      <c r="AR700" s="686" t="s">
        <v>161</v>
      </c>
      <c r="AS700" s="27">
        <v>32321</v>
      </c>
      <c r="AT700" s="27">
        <v>40908</v>
      </c>
      <c r="AU700" s="686" t="s">
        <v>5257</v>
      </c>
      <c r="AV700" s="686"/>
      <c r="AW700" s="686" t="s">
        <v>69</v>
      </c>
      <c r="AX700" s="686" t="s">
        <v>5258</v>
      </c>
      <c r="AY700" s="27">
        <v>42594</v>
      </c>
      <c r="AZ700" s="686" t="s">
        <v>5226</v>
      </c>
      <c r="BA700" s="27">
        <v>42930</v>
      </c>
      <c r="BB700" s="27">
        <v>42969</v>
      </c>
      <c r="BC700" s="701" t="s">
        <v>912</v>
      </c>
      <c r="BD700" s="701" t="s">
        <v>566</v>
      </c>
      <c r="BE700" s="686"/>
      <c r="BF700" s="690"/>
      <c r="BG700" s="690"/>
      <c r="BH700" s="690"/>
      <c r="BI700" s="690"/>
      <c r="BJ700" s="708">
        <f>+[229]MATRIZ!$J$76</f>
        <v>0</v>
      </c>
      <c r="BK700" s="696"/>
      <c r="BL700" s="697"/>
      <c r="BM700" s="27"/>
      <c r="BN700" s="689"/>
      <c r="BO700" s="699"/>
      <c r="BP700" s="700"/>
      <c r="BQ700" s="686"/>
      <c r="BR700" s="701"/>
      <c r="BS700" s="690"/>
      <c r="BT700" s="690"/>
      <c r="BU700" s="690"/>
      <c r="BV700" s="690"/>
      <c r="BW700" s="702"/>
      <c r="BX700" s="693"/>
      <c r="BY700" s="27"/>
      <c r="BZ700" s="703"/>
      <c r="CA700" s="259"/>
      <c r="CB700" s="259"/>
      <c r="CC700" s="259"/>
      <c r="CD700" s="259"/>
      <c r="CE700" s="259"/>
      <c r="CF700" s="259"/>
      <c r="CG700" s="259"/>
      <c r="CH700" s="259"/>
      <c r="CI700" s="259"/>
      <c r="CJ700" s="259"/>
      <c r="CK700" s="259"/>
      <c r="CL700" s="259"/>
      <c r="CM700" s="259"/>
      <c r="CN700" s="259"/>
      <c r="CO700" s="259"/>
      <c r="CP700" s="259"/>
      <c r="CQ700" s="259"/>
      <c r="CR700" s="259"/>
      <c r="CS700" s="259"/>
      <c r="CT700" s="259"/>
      <c r="CU700" s="259"/>
      <c r="CV700" s="259"/>
      <c r="CW700" s="259"/>
      <c r="CX700" s="259"/>
      <c r="CY700" s="259"/>
      <c r="CZ700" s="259"/>
      <c r="DA700" s="259"/>
      <c r="DB700" s="259"/>
      <c r="DC700" s="259"/>
      <c r="DD700" s="259"/>
      <c r="DE700" s="259"/>
      <c r="DF700" s="259"/>
      <c r="DG700" s="259"/>
      <c r="DH700" s="259"/>
      <c r="DI700" s="259"/>
      <c r="DJ700" s="259"/>
      <c r="DK700" s="259"/>
      <c r="DL700" s="259"/>
      <c r="DM700" s="259"/>
      <c r="DN700" s="259"/>
      <c r="DO700" s="259"/>
      <c r="DP700" s="259"/>
      <c r="DQ700" s="259"/>
      <c r="DR700" s="259"/>
      <c r="DS700" s="259"/>
      <c r="DT700" s="259"/>
      <c r="DU700" s="259"/>
      <c r="DV700" s="259"/>
      <c r="DW700" s="259"/>
      <c r="DX700" s="259"/>
      <c r="DY700" s="259"/>
      <c r="DZ700" s="259"/>
      <c r="EA700" s="259"/>
      <c r="EB700" s="259"/>
      <c r="EC700" s="259"/>
      <c r="ED700" s="259"/>
      <c r="EE700" s="259"/>
      <c r="EF700" s="259"/>
      <c r="EG700" s="259"/>
      <c r="EH700" s="259"/>
      <c r="EI700" s="259"/>
      <c r="EJ700" s="259"/>
      <c r="EK700" s="259"/>
      <c r="EL700" s="259"/>
      <c r="EM700" s="259"/>
      <c r="EN700" s="259"/>
      <c r="EO700" s="259"/>
      <c r="EP700" s="259"/>
      <c r="EQ700" s="259"/>
      <c r="ER700" s="259"/>
      <c r="ES700" s="259"/>
      <c r="ET700" s="259"/>
      <c r="EU700" s="259"/>
      <c r="EV700" s="259"/>
      <c r="EW700" s="259"/>
      <c r="EX700" s="259"/>
      <c r="EY700" s="259"/>
      <c r="EZ700" s="259"/>
      <c r="FA700" s="259"/>
      <c r="FB700" s="259"/>
      <c r="FC700" s="259"/>
      <c r="FD700" s="259"/>
      <c r="FE700" s="259"/>
      <c r="FF700" s="259"/>
      <c r="FG700" s="259"/>
      <c r="FH700" s="259"/>
      <c r="FI700" s="259"/>
      <c r="FJ700" s="259"/>
      <c r="FK700" s="259"/>
      <c r="FL700" s="259"/>
      <c r="FM700" s="259"/>
      <c r="FN700" s="259"/>
      <c r="FO700" s="259"/>
      <c r="FP700" s="259"/>
      <c r="FQ700" s="259"/>
      <c r="FR700" s="259"/>
      <c r="FS700" s="259"/>
      <c r="FT700" s="259"/>
      <c r="FU700" s="259"/>
      <c r="FV700" s="259"/>
      <c r="FW700" s="259"/>
      <c r="FX700" s="259"/>
      <c r="FY700" s="259"/>
      <c r="FZ700" s="259"/>
      <c r="GA700" s="259"/>
      <c r="GB700" s="259"/>
      <c r="GC700" s="259"/>
      <c r="GD700" s="259"/>
      <c r="GE700" s="259"/>
      <c r="GF700" s="259"/>
      <c r="GG700" s="259"/>
      <c r="GH700" s="259"/>
      <c r="GI700" s="259"/>
      <c r="GJ700" s="259"/>
      <c r="GK700" s="259"/>
      <c r="GL700" s="259"/>
      <c r="GM700" s="259"/>
      <c r="GN700" s="259"/>
      <c r="GO700" s="259"/>
      <c r="GP700" s="259"/>
      <c r="GQ700" s="259"/>
      <c r="GR700" s="259"/>
      <c r="GS700" s="259"/>
      <c r="GT700" s="259"/>
      <c r="GU700" s="259"/>
      <c r="GV700" s="259"/>
      <c r="GW700" s="259"/>
      <c r="GX700" s="259"/>
      <c r="GY700" s="259"/>
      <c r="GZ700" s="259"/>
      <c r="HA700" s="259"/>
      <c r="HB700" s="259"/>
      <c r="HC700" s="259"/>
      <c r="HD700" s="259"/>
      <c r="HE700" s="259"/>
      <c r="HF700" s="259"/>
      <c r="HG700" s="259"/>
      <c r="HH700" s="259"/>
      <c r="HI700" s="259"/>
      <c r="HJ700" s="259"/>
      <c r="HK700" s="259"/>
      <c r="HL700" s="259"/>
      <c r="HM700" s="259"/>
      <c r="HN700" s="259"/>
      <c r="HO700" s="259"/>
      <c r="HP700" s="259"/>
      <c r="HQ700" s="259"/>
      <c r="HR700" s="259"/>
      <c r="HS700" s="259"/>
      <c r="HT700" s="259"/>
      <c r="HU700" s="259"/>
      <c r="HV700" s="259"/>
      <c r="HW700" s="259"/>
      <c r="HX700" s="259"/>
      <c r="HY700" s="259"/>
      <c r="HZ700" s="259"/>
      <c r="IA700" s="259"/>
      <c r="IB700" s="259"/>
      <c r="IC700" s="259"/>
      <c r="ID700" s="259"/>
      <c r="IE700" s="259"/>
      <c r="IF700" s="259"/>
      <c r="IG700" s="259"/>
      <c r="IH700" s="259"/>
      <c r="II700" s="259"/>
      <c r="IJ700" s="259"/>
      <c r="IK700" s="259"/>
      <c r="IL700" s="259"/>
      <c r="IM700" s="259"/>
      <c r="IN700" s="259"/>
      <c r="IO700" s="259"/>
      <c r="IP700" s="259"/>
      <c r="IQ700" s="259"/>
      <c r="IR700" s="259"/>
      <c r="IS700" s="259"/>
      <c r="IT700" s="259"/>
      <c r="IU700" s="259"/>
      <c r="IV700" s="259"/>
      <c r="IW700" s="259"/>
      <c r="IX700" s="259"/>
      <c r="IY700" s="259"/>
      <c r="IZ700" s="259"/>
      <c r="JA700" s="259"/>
      <c r="JB700" s="259"/>
      <c r="JC700" s="259"/>
      <c r="JD700" s="259"/>
      <c r="JE700" s="259"/>
      <c r="JF700" s="259"/>
      <c r="JG700" s="259"/>
      <c r="JH700" s="259"/>
      <c r="JI700" s="259"/>
      <c r="JJ700" s="259"/>
      <c r="JK700" s="259"/>
      <c r="JL700" s="259"/>
      <c r="JM700" s="259"/>
      <c r="JN700" s="259"/>
      <c r="JO700" s="259"/>
      <c r="JP700" s="259"/>
      <c r="JQ700" s="259"/>
      <c r="JR700" s="259"/>
      <c r="JS700" s="259"/>
      <c r="JT700" s="259"/>
      <c r="JU700" s="259"/>
      <c r="JV700" s="259"/>
      <c r="JW700" s="259"/>
      <c r="JX700" s="259"/>
      <c r="JY700" s="259"/>
      <c r="JZ700" s="259"/>
      <c r="KA700" s="259"/>
      <c r="KB700" s="259"/>
      <c r="KC700" s="259"/>
      <c r="KD700" s="259"/>
      <c r="KE700" s="259"/>
      <c r="KF700" s="259"/>
      <c r="KG700" s="259"/>
      <c r="KH700" s="259"/>
      <c r="KI700" s="259"/>
      <c r="KJ700" s="259"/>
      <c r="KK700" s="259"/>
      <c r="KL700" s="259"/>
      <c r="KM700" s="259"/>
      <c r="KN700" s="259"/>
      <c r="KO700" s="259"/>
      <c r="KP700" s="259"/>
      <c r="KQ700" s="259"/>
      <c r="KR700" s="259"/>
      <c r="KS700" s="259"/>
      <c r="KT700" s="259"/>
      <c r="KU700" s="259"/>
      <c r="KV700" s="259"/>
      <c r="KW700" s="259"/>
      <c r="KX700" s="259"/>
      <c r="KY700" s="259"/>
      <c r="KZ700" s="259"/>
      <c r="LA700" s="259"/>
      <c r="LB700" s="259"/>
      <c r="LC700" s="259"/>
      <c r="LD700" s="259"/>
      <c r="LE700" s="259"/>
      <c r="LF700" s="259"/>
      <c r="LG700" s="259"/>
      <c r="LH700" s="259"/>
      <c r="LI700" s="259"/>
      <c r="LJ700" s="259"/>
      <c r="LK700" s="259"/>
      <c r="LL700" s="259"/>
      <c r="LM700" s="259"/>
      <c r="LN700" s="259"/>
      <c r="LO700" s="259"/>
      <c r="LP700" s="259"/>
      <c r="LQ700" s="259"/>
      <c r="LR700" s="259"/>
      <c r="LS700" s="259"/>
      <c r="LT700" s="259"/>
      <c r="LU700" s="259"/>
      <c r="LV700" s="259"/>
      <c r="LW700" s="259"/>
      <c r="LX700" s="259"/>
      <c r="LY700" s="259"/>
      <c r="LZ700" s="259"/>
      <c r="MA700" s="259"/>
      <c r="MB700" s="259"/>
      <c r="MC700" s="259"/>
      <c r="MD700" s="259"/>
      <c r="ME700" s="259"/>
      <c r="MF700" s="259"/>
      <c r="MG700" s="259"/>
      <c r="MH700" s="259"/>
      <c r="MI700" s="259"/>
      <c r="MJ700" s="259"/>
      <c r="MK700" s="259"/>
      <c r="ML700" s="259"/>
      <c r="MM700" s="259"/>
      <c r="MN700" s="259"/>
      <c r="MO700" s="259"/>
      <c r="MP700" s="259"/>
      <c r="MQ700" s="259"/>
      <c r="MR700" s="259"/>
      <c r="MS700" s="259"/>
      <c r="MT700" s="259"/>
      <c r="MU700" s="259"/>
      <c r="MV700" s="259"/>
      <c r="MW700" s="259"/>
      <c r="MX700" s="259"/>
      <c r="MY700" s="259"/>
      <c r="MZ700" s="259"/>
      <c r="NA700" s="259"/>
      <c r="NB700" s="259"/>
      <c r="NC700" s="259"/>
      <c r="ND700" s="259"/>
      <c r="NE700" s="259"/>
      <c r="NF700" s="259"/>
      <c r="NG700" s="259"/>
      <c r="NH700" s="259"/>
      <c r="NI700" s="259"/>
      <c r="NJ700" s="259"/>
      <c r="NK700" s="259"/>
      <c r="NL700" s="259"/>
      <c r="NM700" s="259"/>
      <c r="NN700" s="259"/>
      <c r="NO700" s="259"/>
      <c r="NP700" s="259"/>
      <c r="NQ700" s="259"/>
      <c r="NR700" s="259"/>
      <c r="NS700" s="259"/>
      <c r="NT700" s="259"/>
      <c r="NU700" s="259"/>
      <c r="NV700" s="259"/>
      <c r="NW700" s="259"/>
      <c r="NX700" s="259"/>
      <c r="NY700" s="259"/>
      <c r="NZ700" s="259"/>
      <c r="OA700" s="259"/>
      <c r="OB700" s="259"/>
      <c r="OC700" s="259"/>
      <c r="OD700" s="259"/>
      <c r="OE700" s="259"/>
      <c r="OF700" s="259"/>
      <c r="OG700" s="259"/>
      <c r="OH700" s="259"/>
      <c r="OI700" s="259"/>
      <c r="OJ700" s="259"/>
      <c r="OK700" s="259"/>
      <c r="OL700" s="259"/>
      <c r="OM700" s="259"/>
      <c r="ON700" s="259"/>
      <c r="OO700" s="259"/>
      <c r="OP700" s="259"/>
      <c r="OQ700" s="259"/>
      <c r="OR700" s="259"/>
      <c r="OS700" s="259"/>
      <c r="OT700" s="259"/>
      <c r="OU700" s="259"/>
      <c r="OV700" s="259"/>
      <c r="OW700" s="259"/>
      <c r="OX700" s="259"/>
      <c r="OY700" s="259"/>
      <c r="OZ700" s="259"/>
      <c r="PA700" s="259"/>
      <c r="PB700" s="259"/>
      <c r="PC700" s="259"/>
      <c r="PD700" s="259"/>
      <c r="PE700" s="259"/>
      <c r="PF700" s="259"/>
      <c r="PG700" s="259"/>
      <c r="PH700" s="259"/>
      <c r="PI700" s="259"/>
      <c r="PJ700" s="259"/>
      <c r="PK700" s="259"/>
      <c r="PL700" s="259"/>
      <c r="PM700" s="259"/>
      <c r="PN700" s="259"/>
      <c r="PO700" s="259"/>
      <c r="PP700" s="259"/>
      <c r="PQ700" s="259"/>
      <c r="PR700" s="259"/>
      <c r="PS700" s="259"/>
      <c r="PT700" s="259"/>
      <c r="PU700" s="259"/>
      <c r="PV700" s="259"/>
      <c r="PW700" s="259"/>
      <c r="PX700" s="259"/>
      <c r="PY700" s="259"/>
      <c r="PZ700" s="259"/>
      <c r="QA700" s="259"/>
      <c r="QB700" s="259"/>
      <c r="QC700" s="259"/>
      <c r="QD700" s="259"/>
      <c r="QE700" s="259"/>
      <c r="QF700" s="259"/>
      <c r="QG700" s="259"/>
      <c r="QH700" s="259"/>
      <c r="QI700" s="259"/>
      <c r="QJ700" s="259"/>
      <c r="QK700" s="259"/>
      <c r="QL700" s="259"/>
      <c r="QM700" s="259"/>
      <c r="QN700" s="259"/>
      <c r="QO700" s="259"/>
      <c r="QP700" s="259"/>
      <c r="QQ700" s="259"/>
      <c r="QR700" s="259"/>
      <c r="QS700" s="259"/>
      <c r="QT700" s="259"/>
      <c r="QU700" s="259"/>
      <c r="QV700" s="259"/>
      <c r="QW700" s="259"/>
      <c r="QX700" s="259"/>
      <c r="QY700" s="259"/>
      <c r="QZ700" s="259"/>
      <c r="RA700" s="259"/>
      <c r="RB700" s="259"/>
      <c r="RC700" s="259"/>
      <c r="RD700" s="259"/>
      <c r="RE700" s="259"/>
      <c r="RF700" s="259"/>
      <c r="RG700" s="259"/>
      <c r="RH700" s="259"/>
      <c r="RI700" s="259"/>
      <c r="RJ700" s="259"/>
      <c r="RK700" s="259"/>
      <c r="RL700" s="259"/>
      <c r="RM700" s="259"/>
      <c r="RN700" s="259"/>
      <c r="RO700" s="259"/>
      <c r="RP700" s="259"/>
      <c r="RQ700" s="259"/>
      <c r="RR700" s="259"/>
      <c r="RS700" s="259"/>
      <c r="RT700" s="259"/>
      <c r="RU700" s="259"/>
      <c r="RV700" s="259"/>
      <c r="RW700" s="259"/>
      <c r="RX700" s="259"/>
      <c r="RY700" s="259"/>
      <c r="RZ700" s="259"/>
      <c r="SA700" s="259"/>
      <c r="SB700" s="259"/>
      <c r="SC700" s="259"/>
      <c r="SD700" s="259"/>
      <c r="SE700" s="259"/>
      <c r="SF700" s="259"/>
      <c r="SG700" s="259"/>
      <c r="SH700" s="259"/>
      <c r="SI700" s="259"/>
      <c r="SJ700" s="259"/>
      <c r="SK700" s="259"/>
      <c r="SL700" s="259"/>
      <c r="SM700" s="259"/>
      <c r="SN700" s="259"/>
      <c r="SO700" s="259"/>
      <c r="SP700" s="259"/>
      <c r="SQ700" s="259"/>
      <c r="SR700" s="259"/>
      <c r="SS700" s="259"/>
      <c r="ST700" s="259"/>
      <c r="SU700" s="259"/>
      <c r="SV700" s="259"/>
      <c r="SW700" s="259"/>
      <c r="SX700" s="259"/>
      <c r="SY700" s="259"/>
      <c r="SZ700" s="259"/>
      <c r="TA700" s="259"/>
      <c r="TB700" s="259"/>
      <c r="TC700" s="259"/>
      <c r="TD700" s="259"/>
      <c r="TE700" s="259"/>
      <c r="TF700" s="259"/>
      <c r="TG700" s="259"/>
      <c r="TH700" s="259"/>
      <c r="TI700" s="259"/>
      <c r="TJ700" s="259"/>
      <c r="TK700" s="259"/>
      <c r="TL700" s="259"/>
      <c r="TM700" s="259"/>
      <c r="TN700" s="259"/>
      <c r="TO700" s="259"/>
      <c r="TP700" s="259"/>
      <c r="TQ700" s="259"/>
      <c r="TR700" s="259"/>
      <c r="TS700" s="259"/>
      <c r="TT700" s="259"/>
      <c r="TU700" s="259"/>
      <c r="TV700" s="259"/>
      <c r="TW700" s="259"/>
      <c r="TX700" s="259"/>
      <c r="TY700" s="259"/>
      <c r="TZ700" s="259"/>
      <c r="UA700" s="259"/>
      <c r="UB700" s="259"/>
      <c r="UC700" s="259"/>
      <c r="UD700" s="259"/>
      <c r="UE700" s="259"/>
      <c r="UF700" s="259"/>
      <c r="UG700" s="259"/>
      <c r="UH700" s="259"/>
      <c r="UI700" s="259"/>
    </row>
    <row r="701" spans="1:555" ht="94.5">
      <c r="A701" s="502">
        <v>601</v>
      </c>
      <c r="B701" s="686" t="s">
        <v>5259</v>
      </c>
      <c r="C701" s="687">
        <v>24191227</v>
      </c>
      <c r="D701" s="688" t="s">
        <v>906</v>
      </c>
      <c r="E701" s="27">
        <v>42977</v>
      </c>
      <c r="F701" s="689">
        <v>42948</v>
      </c>
      <c r="G701" s="690" t="s">
        <v>5260</v>
      </c>
      <c r="H701" s="686" t="s">
        <v>625</v>
      </c>
      <c r="I701" s="686" t="s">
        <v>4918</v>
      </c>
      <c r="J701" s="27">
        <v>43165</v>
      </c>
      <c r="K701" s="689">
        <v>43160</v>
      </c>
      <c r="L701" s="690" t="s">
        <v>5261</v>
      </c>
      <c r="M701" s="686" t="s">
        <v>5</v>
      </c>
      <c r="N701" s="686" t="s">
        <v>1189</v>
      </c>
      <c r="O701" s="27">
        <v>43207</v>
      </c>
      <c r="P701" s="691">
        <v>43191</v>
      </c>
      <c r="Q701" s="690" t="s">
        <v>5262</v>
      </c>
      <c r="R701" s="686" t="s">
        <v>5</v>
      </c>
      <c r="S701" s="686" t="s">
        <v>85</v>
      </c>
      <c r="T701" s="27"/>
      <c r="U701" s="689"/>
      <c r="V701" s="690"/>
      <c r="W701" s="686"/>
      <c r="X701" s="686"/>
      <c r="Y701" s="27"/>
      <c r="Z701" s="689"/>
      <c r="AA701" s="690"/>
      <c r="AB701" s="686"/>
      <c r="AC701" s="686"/>
      <c r="AD701" s="27"/>
      <c r="AE701" s="689"/>
      <c r="AF701" s="690"/>
      <c r="AG701" s="686"/>
      <c r="AH701" s="686"/>
      <c r="AI701" s="704"/>
      <c r="AJ701" s="689"/>
      <c r="AK701" s="690"/>
      <c r="AL701" s="686"/>
      <c r="AM701" s="686"/>
      <c r="AN701" s="686" t="s">
        <v>3671</v>
      </c>
      <c r="AO701" s="705"/>
      <c r="AP701" s="686"/>
      <c r="AQ701" s="690" t="s">
        <v>5263</v>
      </c>
      <c r="AR701" s="686" t="s">
        <v>161</v>
      </c>
      <c r="AS701" s="27">
        <v>34365</v>
      </c>
      <c r="AT701" s="27">
        <v>40908</v>
      </c>
      <c r="AU701" s="686" t="s">
        <v>5264</v>
      </c>
      <c r="AV701" s="686"/>
      <c r="AW701" s="686" t="s">
        <v>69</v>
      </c>
      <c r="AX701" s="686" t="s">
        <v>5258</v>
      </c>
      <c r="AY701" s="27">
        <v>42594</v>
      </c>
      <c r="AZ701" s="686" t="s">
        <v>5265</v>
      </c>
      <c r="BA701" s="27">
        <v>42916</v>
      </c>
      <c r="BB701" s="27">
        <v>42941</v>
      </c>
      <c r="BC701" s="701" t="s">
        <v>912</v>
      </c>
      <c r="BD701" s="701" t="s">
        <v>566</v>
      </c>
      <c r="BE701" s="686"/>
      <c r="BF701" s="690"/>
      <c r="BG701" s="690"/>
      <c r="BH701" s="690"/>
      <c r="BI701" s="690"/>
      <c r="BJ701" s="708">
        <f>+[230]MATRIZ!$J$69</f>
        <v>0</v>
      </c>
      <c r="BK701" s="696"/>
      <c r="BL701" s="697"/>
      <c r="BM701" s="27"/>
      <c r="BN701" s="689"/>
      <c r="BO701" s="699"/>
      <c r="BP701" s="700"/>
      <c r="BQ701" s="686"/>
      <c r="BR701" s="701"/>
      <c r="BS701" s="690"/>
      <c r="BT701" s="690"/>
      <c r="BU701" s="690"/>
      <c r="BV701" s="690"/>
      <c r="BW701" s="702"/>
      <c r="BX701" s="693"/>
      <c r="BY701" s="27"/>
      <c r="BZ701" s="703"/>
      <c r="CA701" s="259"/>
      <c r="CB701" s="259"/>
      <c r="CC701" s="259"/>
      <c r="CD701" s="259"/>
      <c r="CE701" s="259"/>
      <c r="CF701" s="259"/>
      <c r="CG701" s="259"/>
      <c r="CH701" s="259"/>
      <c r="CI701" s="259"/>
      <c r="CJ701" s="259"/>
      <c r="CK701" s="259"/>
      <c r="CL701" s="259"/>
      <c r="CM701" s="259"/>
      <c r="CN701" s="259"/>
      <c r="CO701" s="259"/>
      <c r="CP701" s="259"/>
      <c r="CQ701" s="259"/>
      <c r="CR701" s="259"/>
      <c r="CS701" s="259"/>
      <c r="CT701" s="259"/>
      <c r="CU701" s="259"/>
      <c r="CV701" s="259"/>
      <c r="CW701" s="259"/>
      <c r="CX701" s="259"/>
      <c r="CY701" s="259"/>
      <c r="CZ701" s="259"/>
      <c r="DA701" s="259"/>
      <c r="DB701" s="259"/>
      <c r="DC701" s="259"/>
      <c r="DD701" s="259"/>
      <c r="DE701" s="259"/>
      <c r="DF701" s="259"/>
      <c r="DG701" s="259"/>
      <c r="DH701" s="259"/>
      <c r="DI701" s="259"/>
      <c r="DJ701" s="259"/>
      <c r="DK701" s="259"/>
      <c r="DL701" s="259"/>
      <c r="DM701" s="259"/>
      <c r="DN701" s="259"/>
      <c r="DO701" s="259"/>
      <c r="DP701" s="259"/>
      <c r="DQ701" s="259"/>
      <c r="DR701" s="259"/>
      <c r="DS701" s="259"/>
      <c r="DT701" s="259"/>
      <c r="DU701" s="259"/>
      <c r="DV701" s="259"/>
      <c r="DW701" s="259"/>
      <c r="DX701" s="259"/>
      <c r="DY701" s="259"/>
      <c r="DZ701" s="259"/>
      <c r="EA701" s="259"/>
      <c r="EB701" s="259"/>
      <c r="EC701" s="259"/>
      <c r="ED701" s="259"/>
      <c r="EE701" s="259"/>
      <c r="EF701" s="259"/>
      <c r="EG701" s="259"/>
      <c r="EH701" s="259"/>
      <c r="EI701" s="259"/>
      <c r="EJ701" s="259"/>
      <c r="EK701" s="259"/>
      <c r="EL701" s="259"/>
      <c r="EM701" s="259"/>
      <c r="EN701" s="259"/>
      <c r="EO701" s="259"/>
      <c r="EP701" s="259"/>
      <c r="EQ701" s="259"/>
      <c r="ER701" s="259"/>
      <c r="ES701" s="259"/>
      <c r="ET701" s="259"/>
      <c r="EU701" s="259"/>
      <c r="EV701" s="259"/>
      <c r="EW701" s="259"/>
      <c r="EX701" s="259"/>
      <c r="EY701" s="259"/>
      <c r="EZ701" s="259"/>
      <c r="FA701" s="259"/>
      <c r="FB701" s="259"/>
      <c r="FC701" s="259"/>
      <c r="FD701" s="259"/>
      <c r="FE701" s="259"/>
      <c r="FF701" s="259"/>
      <c r="FG701" s="259"/>
      <c r="FH701" s="259"/>
      <c r="FI701" s="259"/>
      <c r="FJ701" s="259"/>
      <c r="FK701" s="259"/>
      <c r="FL701" s="259"/>
      <c r="FM701" s="259"/>
      <c r="FN701" s="259"/>
      <c r="FO701" s="259"/>
      <c r="FP701" s="259"/>
      <c r="FQ701" s="259"/>
      <c r="FR701" s="259"/>
      <c r="FS701" s="259"/>
      <c r="FT701" s="259"/>
      <c r="FU701" s="259"/>
      <c r="FV701" s="259"/>
      <c r="FW701" s="259"/>
      <c r="FX701" s="259"/>
      <c r="FY701" s="259"/>
      <c r="FZ701" s="259"/>
      <c r="GA701" s="259"/>
      <c r="GB701" s="259"/>
      <c r="GC701" s="259"/>
      <c r="GD701" s="259"/>
      <c r="GE701" s="259"/>
      <c r="GF701" s="259"/>
      <c r="GG701" s="259"/>
      <c r="GH701" s="259"/>
      <c r="GI701" s="259"/>
      <c r="GJ701" s="259"/>
      <c r="GK701" s="259"/>
      <c r="GL701" s="259"/>
      <c r="GM701" s="259"/>
      <c r="GN701" s="259"/>
      <c r="GO701" s="259"/>
      <c r="GP701" s="259"/>
      <c r="GQ701" s="259"/>
      <c r="GR701" s="259"/>
      <c r="GS701" s="259"/>
      <c r="GT701" s="259"/>
      <c r="GU701" s="259"/>
      <c r="GV701" s="259"/>
      <c r="GW701" s="259"/>
      <c r="GX701" s="259"/>
      <c r="GY701" s="259"/>
      <c r="GZ701" s="259"/>
      <c r="HA701" s="259"/>
      <c r="HB701" s="259"/>
      <c r="HC701" s="259"/>
      <c r="HD701" s="259"/>
      <c r="HE701" s="259"/>
      <c r="HF701" s="259"/>
      <c r="HG701" s="259"/>
      <c r="HH701" s="259"/>
      <c r="HI701" s="259"/>
      <c r="HJ701" s="259"/>
      <c r="HK701" s="259"/>
      <c r="HL701" s="259"/>
      <c r="HM701" s="259"/>
      <c r="HN701" s="259"/>
      <c r="HO701" s="259"/>
      <c r="HP701" s="259"/>
      <c r="HQ701" s="259"/>
      <c r="HR701" s="259"/>
      <c r="HS701" s="259"/>
      <c r="HT701" s="259"/>
      <c r="HU701" s="259"/>
      <c r="HV701" s="259"/>
      <c r="HW701" s="259"/>
      <c r="HX701" s="259"/>
      <c r="HY701" s="259"/>
      <c r="HZ701" s="259"/>
      <c r="IA701" s="259"/>
      <c r="IB701" s="259"/>
      <c r="IC701" s="259"/>
      <c r="ID701" s="259"/>
      <c r="IE701" s="259"/>
      <c r="IF701" s="259"/>
      <c r="IG701" s="259"/>
      <c r="IH701" s="259"/>
      <c r="II701" s="259"/>
      <c r="IJ701" s="259"/>
      <c r="IK701" s="259"/>
      <c r="IL701" s="259"/>
      <c r="IM701" s="259"/>
      <c r="IN701" s="259"/>
      <c r="IO701" s="259"/>
      <c r="IP701" s="259"/>
      <c r="IQ701" s="259"/>
      <c r="IR701" s="259"/>
      <c r="IS701" s="259"/>
      <c r="IT701" s="259"/>
      <c r="IU701" s="259"/>
      <c r="IV701" s="259"/>
      <c r="IW701" s="259"/>
      <c r="IX701" s="259"/>
      <c r="IY701" s="259"/>
      <c r="IZ701" s="259"/>
      <c r="JA701" s="259"/>
      <c r="JB701" s="259"/>
      <c r="JC701" s="259"/>
      <c r="JD701" s="259"/>
      <c r="JE701" s="259"/>
      <c r="JF701" s="259"/>
      <c r="JG701" s="259"/>
      <c r="JH701" s="259"/>
      <c r="JI701" s="259"/>
      <c r="JJ701" s="259"/>
      <c r="JK701" s="259"/>
      <c r="JL701" s="259"/>
      <c r="JM701" s="259"/>
      <c r="JN701" s="259"/>
      <c r="JO701" s="259"/>
      <c r="JP701" s="259"/>
      <c r="JQ701" s="259"/>
      <c r="JR701" s="259"/>
      <c r="JS701" s="259"/>
      <c r="JT701" s="259"/>
      <c r="JU701" s="259"/>
      <c r="JV701" s="259"/>
      <c r="JW701" s="259"/>
      <c r="JX701" s="259"/>
      <c r="JY701" s="259"/>
      <c r="JZ701" s="259"/>
      <c r="KA701" s="259"/>
      <c r="KB701" s="259"/>
      <c r="KC701" s="259"/>
      <c r="KD701" s="259"/>
      <c r="KE701" s="259"/>
      <c r="KF701" s="259"/>
      <c r="KG701" s="259"/>
      <c r="KH701" s="259"/>
      <c r="KI701" s="259"/>
      <c r="KJ701" s="259"/>
      <c r="KK701" s="259"/>
      <c r="KL701" s="259"/>
      <c r="KM701" s="259"/>
      <c r="KN701" s="259"/>
      <c r="KO701" s="259"/>
      <c r="KP701" s="259"/>
      <c r="KQ701" s="259"/>
      <c r="KR701" s="259"/>
      <c r="KS701" s="259"/>
      <c r="KT701" s="259"/>
      <c r="KU701" s="259"/>
      <c r="KV701" s="259"/>
      <c r="KW701" s="259"/>
      <c r="KX701" s="259"/>
      <c r="KY701" s="259"/>
      <c r="KZ701" s="259"/>
      <c r="LA701" s="259"/>
      <c r="LB701" s="259"/>
      <c r="LC701" s="259"/>
      <c r="LD701" s="259"/>
      <c r="LE701" s="259"/>
      <c r="LF701" s="259"/>
      <c r="LG701" s="259"/>
      <c r="LH701" s="259"/>
      <c r="LI701" s="259"/>
      <c r="LJ701" s="259"/>
      <c r="LK701" s="259"/>
      <c r="LL701" s="259"/>
      <c r="LM701" s="259"/>
      <c r="LN701" s="259"/>
      <c r="LO701" s="259"/>
      <c r="LP701" s="259"/>
      <c r="LQ701" s="259"/>
      <c r="LR701" s="259"/>
      <c r="LS701" s="259"/>
      <c r="LT701" s="259"/>
      <c r="LU701" s="259"/>
      <c r="LV701" s="259"/>
      <c r="LW701" s="259"/>
      <c r="LX701" s="259"/>
      <c r="LY701" s="259"/>
      <c r="LZ701" s="259"/>
      <c r="MA701" s="259"/>
      <c r="MB701" s="259"/>
      <c r="MC701" s="259"/>
      <c r="MD701" s="259"/>
      <c r="ME701" s="259"/>
      <c r="MF701" s="259"/>
      <c r="MG701" s="259"/>
      <c r="MH701" s="259"/>
      <c r="MI701" s="259"/>
      <c r="MJ701" s="259"/>
      <c r="MK701" s="259"/>
      <c r="ML701" s="259"/>
      <c r="MM701" s="259"/>
      <c r="MN701" s="259"/>
      <c r="MO701" s="259"/>
      <c r="MP701" s="259"/>
      <c r="MQ701" s="259"/>
      <c r="MR701" s="259"/>
      <c r="MS701" s="259"/>
      <c r="MT701" s="259"/>
      <c r="MU701" s="259"/>
      <c r="MV701" s="259"/>
      <c r="MW701" s="259"/>
      <c r="MX701" s="259"/>
      <c r="MY701" s="259"/>
      <c r="MZ701" s="259"/>
      <c r="NA701" s="259"/>
      <c r="NB701" s="259"/>
      <c r="NC701" s="259"/>
      <c r="ND701" s="259"/>
      <c r="NE701" s="259"/>
      <c r="NF701" s="259"/>
      <c r="NG701" s="259"/>
      <c r="NH701" s="259"/>
      <c r="NI701" s="259"/>
      <c r="NJ701" s="259"/>
      <c r="NK701" s="259"/>
      <c r="NL701" s="259"/>
      <c r="NM701" s="259"/>
      <c r="NN701" s="259"/>
      <c r="NO701" s="259"/>
      <c r="NP701" s="259"/>
      <c r="NQ701" s="259"/>
      <c r="NR701" s="259"/>
      <c r="NS701" s="259"/>
      <c r="NT701" s="259"/>
      <c r="NU701" s="259"/>
      <c r="NV701" s="259"/>
      <c r="NW701" s="259"/>
      <c r="NX701" s="259"/>
      <c r="NY701" s="259"/>
      <c r="NZ701" s="259"/>
      <c r="OA701" s="259"/>
      <c r="OB701" s="259"/>
      <c r="OC701" s="259"/>
      <c r="OD701" s="259"/>
      <c r="OE701" s="259"/>
      <c r="OF701" s="259"/>
      <c r="OG701" s="259"/>
      <c r="OH701" s="259"/>
      <c r="OI701" s="259"/>
      <c r="OJ701" s="259"/>
      <c r="OK701" s="259"/>
      <c r="OL701" s="259"/>
      <c r="OM701" s="259"/>
      <c r="ON701" s="259"/>
      <c r="OO701" s="259"/>
      <c r="OP701" s="259"/>
      <c r="OQ701" s="259"/>
      <c r="OR701" s="259"/>
      <c r="OS701" s="259"/>
      <c r="OT701" s="259"/>
      <c r="OU701" s="259"/>
      <c r="OV701" s="259"/>
      <c r="OW701" s="259"/>
      <c r="OX701" s="259"/>
      <c r="OY701" s="259"/>
      <c r="OZ701" s="259"/>
      <c r="PA701" s="259"/>
      <c r="PB701" s="259"/>
      <c r="PC701" s="259"/>
      <c r="PD701" s="259"/>
      <c r="PE701" s="259"/>
      <c r="PF701" s="259"/>
      <c r="PG701" s="259"/>
      <c r="PH701" s="259"/>
      <c r="PI701" s="259"/>
      <c r="PJ701" s="259"/>
      <c r="PK701" s="259"/>
      <c r="PL701" s="259"/>
      <c r="PM701" s="259"/>
      <c r="PN701" s="259"/>
      <c r="PO701" s="259"/>
      <c r="PP701" s="259"/>
      <c r="PQ701" s="259"/>
      <c r="PR701" s="259"/>
      <c r="PS701" s="259"/>
      <c r="PT701" s="259"/>
      <c r="PU701" s="259"/>
      <c r="PV701" s="259"/>
      <c r="PW701" s="259"/>
      <c r="PX701" s="259"/>
      <c r="PY701" s="259"/>
      <c r="PZ701" s="259"/>
      <c r="QA701" s="259"/>
      <c r="QB701" s="259"/>
      <c r="QC701" s="259"/>
      <c r="QD701" s="259"/>
      <c r="QE701" s="259"/>
      <c r="QF701" s="259"/>
      <c r="QG701" s="259"/>
      <c r="QH701" s="259"/>
      <c r="QI701" s="259"/>
      <c r="QJ701" s="259"/>
      <c r="QK701" s="259"/>
      <c r="QL701" s="259"/>
      <c r="QM701" s="259"/>
      <c r="QN701" s="259"/>
      <c r="QO701" s="259"/>
      <c r="QP701" s="259"/>
      <c r="QQ701" s="259"/>
      <c r="QR701" s="259"/>
      <c r="QS701" s="259"/>
      <c r="QT701" s="259"/>
      <c r="QU701" s="259"/>
      <c r="QV701" s="259"/>
      <c r="QW701" s="259"/>
      <c r="QX701" s="259"/>
      <c r="QY701" s="259"/>
      <c r="QZ701" s="259"/>
      <c r="RA701" s="259"/>
      <c r="RB701" s="259"/>
      <c r="RC701" s="259"/>
      <c r="RD701" s="259"/>
      <c r="RE701" s="259"/>
      <c r="RF701" s="259"/>
      <c r="RG701" s="259"/>
      <c r="RH701" s="259"/>
      <c r="RI701" s="259"/>
      <c r="RJ701" s="259"/>
      <c r="RK701" s="259"/>
      <c r="RL701" s="259"/>
      <c r="RM701" s="259"/>
      <c r="RN701" s="259"/>
      <c r="RO701" s="259"/>
      <c r="RP701" s="259"/>
      <c r="RQ701" s="259"/>
      <c r="RR701" s="259"/>
      <c r="RS701" s="259"/>
      <c r="RT701" s="259"/>
      <c r="RU701" s="259"/>
      <c r="RV701" s="259"/>
      <c r="RW701" s="259"/>
      <c r="RX701" s="259"/>
      <c r="RY701" s="259"/>
      <c r="RZ701" s="259"/>
      <c r="SA701" s="259"/>
      <c r="SB701" s="259"/>
      <c r="SC701" s="259"/>
      <c r="SD701" s="259"/>
      <c r="SE701" s="259"/>
      <c r="SF701" s="259"/>
      <c r="SG701" s="259"/>
      <c r="SH701" s="259"/>
      <c r="SI701" s="259"/>
      <c r="SJ701" s="259"/>
      <c r="SK701" s="259"/>
      <c r="SL701" s="259"/>
      <c r="SM701" s="259"/>
      <c r="SN701" s="259"/>
      <c r="SO701" s="259"/>
      <c r="SP701" s="259"/>
      <c r="SQ701" s="259"/>
      <c r="SR701" s="259"/>
      <c r="SS701" s="259"/>
      <c r="ST701" s="259"/>
      <c r="SU701" s="259"/>
      <c r="SV701" s="259"/>
      <c r="SW701" s="259"/>
      <c r="SX701" s="259"/>
      <c r="SY701" s="259"/>
      <c r="SZ701" s="259"/>
      <c r="TA701" s="259"/>
      <c r="TB701" s="259"/>
      <c r="TC701" s="259"/>
      <c r="TD701" s="259"/>
      <c r="TE701" s="259"/>
      <c r="TF701" s="259"/>
      <c r="TG701" s="259"/>
      <c r="TH701" s="259"/>
      <c r="TI701" s="259"/>
      <c r="TJ701" s="259"/>
      <c r="TK701" s="259"/>
      <c r="TL701" s="259"/>
      <c r="TM701" s="259"/>
      <c r="TN701" s="259"/>
      <c r="TO701" s="259"/>
      <c r="TP701" s="259"/>
      <c r="TQ701" s="259"/>
      <c r="TR701" s="259"/>
      <c r="TS701" s="259"/>
      <c r="TT701" s="259"/>
      <c r="TU701" s="259"/>
      <c r="TV701" s="259"/>
      <c r="TW701" s="259"/>
      <c r="TX701" s="259"/>
      <c r="TY701" s="259"/>
      <c r="TZ701" s="259"/>
      <c r="UA701" s="259"/>
      <c r="UB701" s="259"/>
      <c r="UC701" s="259"/>
      <c r="UD701" s="259"/>
      <c r="UE701" s="259"/>
      <c r="UF701" s="259"/>
      <c r="UG701" s="259"/>
      <c r="UH701" s="259"/>
      <c r="UI701" s="259"/>
    </row>
    <row r="702" spans="1:555" ht="135">
      <c r="A702" s="57">
        <v>602</v>
      </c>
      <c r="B702" s="58" t="s">
        <v>5266</v>
      </c>
      <c r="C702" s="59">
        <v>79720302</v>
      </c>
      <c r="D702" s="170" t="s">
        <v>2931</v>
      </c>
      <c r="E702" s="60">
        <v>42977</v>
      </c>
      <c r="F702" s="61">
        <v>42948</v>
      </c>
      <c r="G702" s="62" t="s">
        <v>5267</v>
      </c>
      <c r="H702" s="58" t="s">
        <v>625</v>
      </c>
      <c r="I702" s="58" t="s">
        <v>4918</v>
      </c>
      <c r="J702" s="60">
        <v>43096</v>
      </c>
      <c r="K702" s="61">
        <v>43070</v>
      </c>
      <c r="L702" s="62" t="s">
        <v>5268</v>
      </c>
      <c r="M702" s="58" t="s">
        <v>63</v>
      </c>
      <c r="N702" s="58" t="s">
        <v>79</v>
      </c>
      <c r="O702" s="60">
        <v>43244</v>
      </c>
      <c r="P702" s="63">
        <v>43244</v>
      </c>
      <c r="Q702" s="66" t="s">
        <v>2935</v>
      </c>
      <c r="R702" s="66" t="s">
        <v>63</v>
      </c>
      <c r="S702" s="58" t="s">
        <v>79</v>
      </c>
      <c r="T702" s="60">
        <v>43349</v>
      </c>
      <c r="U702" s="61">
        <v>43349</v>
      </c>
      <c r="V702" s="66" t="s">
        <v>2937</v>
      </c>
      <c r="W702" s="58" t="s">
        <v>63</v>
      </c>
      <c r="X702" s="58" t="s">
        <v>2161</v>
      </c>
      <c r="Y702" s="60">
        <v>43613</v>
      </c>
      <c r="Z702" s="61">
        <v>43613</v>
      </c>
      <c r="AA702" s="62" t="s">
        <v>8776</v>
      </c>
      <c r="AB702" s="58" t="s">
        <v>63</v>
      </c>
      <c r="AC702" s="58" t="s">
        <v>8243</v>
      </c>
      <c r="AD702" s="60">
        <v>43843</v>
      </c>
      <c r="AE702" s="61">
        <v>43843</v>
      </c>
      <c r="AF702" s="62" t="s">
        <v>9440</v>
      </c>
      <c r="AG702" s="58" t="s">
        <v>9441</v>
      </c>
      <c r="AH702" s="58" t="s">
        <v>8243</v>
      </c>
      <c r="AI702" s="60" t="s">
        <v>10515</v>
      </c>
      <c r="AJ702" s="61" t="s">
        <v>10516</v>
      </c>
      <c r="AK702" s="690" t="s">
        <v>10514</v>
      </c>
      <c r="AL702" s="58" t="s">
        <v>2048</v>
      </c>
      <c r="AM702" s="58" t="s">
        <v>9373</v>
      </c>
      <c r="AN702" s="58" t="s">
        <v>3671</v>
      </c>
      <c r="AO702" s="478"/>
      <c r="AP702" s="58"/>
      <c r="AQ702" s="62" t="s">
        <v>5269</v>
      </c>
      <c r="AR702" s="58" t="s">
        <v>161</v>
      </c>
      <c r="AS702" s="60">
        <v>37992</v>
      </c>
      <c r="AT702" s="60">
        <v>39994</v>
      </c>
      <c r="AU702" s="58" t="s">
        <v>5270</v>
      </c>
      <c r="AV702" s="58"/>
      <c r="AW702" s="58" t="s">
        <v>92</v>
      </c>
      <c r="AX702" s="58" t="s">
        <v>5271</v>
      </c>
      <c r="AY702" s="60">
        <v>41719</v>
      </c>
      <c r="AZ702" s="58" t="s">
        <v>5272</v>
      </c>
      <c r="BA702" s="60">
        <v>42825</v>
      </c>
      <c r="BB702" s="382">
        <v>42878</v>
      </c>
      <c r="BC702" s="58" t="s">
        <v>95</v>
      </c>
      <c r="BD702" s="58" t="s">
        <v>566</v>
      </c>
      <c r="BE702" s="58"/>
      <c r="BF702" s="62" t="s">
        <v>5273</v>
      </c>
      <c r="BG702" s="62"/>
      <c r="BH702" s="62"/>
      <c r="BI702" s="62"/>
      <c r="BJ702" s="209">
        <f>+[231]MATRIZ!$J$72</f>
        <v>0</v>
      </c>
      <c r="BK702" s="67"/>
      <c r="BL702" s="68"/>
      <c r="BM702" s="60"/>
      <c r="BN702" s="61"/>
      <c r="BO702" s="463"/>
      <c r="BP702" s="122"/>
      <c r="BQ702" s="58"/>
      <c r="BR702" s="70"/>
      <c r="BS702" s="62"/>
      <c r="BT702" s="62"/>
      <c r="BU702" s="62"/>
      <c r="BV702" s="62"/>
      <c r="BW702" s="71"/>
      <c r="BX702" s="66"/>
      <c r="BY702" s="60"/>
      <c r="BZ702" s="72"/>
    </row>
    <row r="703" spans="1:555" ht="121.5">
      <c r="A703" s="502">
        <v>603</v>
      </c>
      <c r="B703" s="686" t="s">
        <v>5274</v>
      </c>
      <c r="C703" s="687">
        <v>80747050</v>
      </c>
      <c r="D703" s="688" t="s">
        <v>667</v>
      </c>
      <c r="E703" s="27" t="s">
        <v>9607</v>
      </c>
      <c r="F703" s="689" t="s">
        <v>9608</v>
      </c>
      <c r="G703" s="690" t="s">
        <v>9609</v>
      </c>
      <c r="H703" s="686" t="s">
        <v>9610</v>
      </c>
      <c r="I703" s="686" t="s">
        <v>9606</v>
      </c>
      <c r="J703" s="27">
        <v>43173</v>
      </c>
      <c r="K703" s="689">
        <v>43160</v>
      </c>
      <c r="L703" s="690" t="s">
        <v>5276</v>
      </c>
      <c r="M703" s="686" t="s">
        <v>208</v>
      </c>
      <c r="N703" s="686" t="s">
        <v>79</v>
      </c>
      <c r="O703" s="16">
        <v>43276</v>
      </c>
      <c r="P703" s="691">
        <v>43252</v>
      </c>
      <c r="Q703" s="781" t="s">
        <v>5277</v>
      </c>
      <c r="R703" s="686" t="s">
        <v>63</v>
      </c>
      <c r="S703" s="701" t="s">
        <v>2556</v>
      </c>
      <c r="T703" s="27">
        <v>43363</v>
      </c>
      <c r="U703" s="689">
        <v>43363</v>
      </c>
      <c r="V703" s="693" t="s">
        <v>5278</v>
      </c>
      <c r="W703" s="686" t="s">
        <v>208</v>
      </c>
      <c r="X703" s="686" t="s">
        <v>2161</v>
      </c>
      <c r="Y703" s="27">
        <v>43683</v>
      </c>
      <c r="Z703" s="689">
        <v>43683</v>
      </c>
      <c r="AA703" s="690" t="s">
        <v>9064</v>
      </c>
      <c r="AB703" s="686" t="s">
        <v>9065</v>
      </c>
      <c r="AC703" s="686" t="s">
        <v>1114</v>
      </c>
      <c r="AD703" s="27">
        <v>43892</v>
      </c>
      <c r="AE703" s="689">
        <v>43892</v>
      </c>
      <c r="AF703" s="690" t="s">
        <v>9487</v>
      </c>
      <c r="AG703" s="686" t="s">
        <v>208</v>
      </c>
      <c r="AH703" s="686" t="s">
        <v>8255</v>
      </c>
      <c r="AI703" s="27" t="s">
        <v>9764</v>
      </c>
      <c r="AJ703" s="689" t="s">
        <v>9764</v>
      </c>
      <c r="AK703" s="690" t="s">
        <v>9763</v>
      </c>
      <c r="AL703" s="686" t="s">
        <v>9765</v>
      </c>
      <c r="AM703" s="686" t="s">
        <v>9373</v>
      </c>
      <c r="AN703" s="686" t="s">
        <v>5279</v>
      </c>
      <c r="AO703" s="705"/>
      <c r="AP703" s="686"/>
      <c r="AQ703" s="690" t="s">
        <v>5280</v>
      </c>
      <c r="AR703" s="686" t="s">
        <v>161</v>
      </c>
      <c r="AS703" s="27">
        <v>38412</v>
      </c>
      <c r="AT703" s="27">
        <v>39860</v>
      </c>
      <c r="AU703" s="686" t="s">
        <v>5281</v>
      </c>
      <c r="AV703" s="686"/>
      <c r="AW703" s="686" t="s">
        <v>92</v>
      </c>
      <c r="AX703" s="686" t="s">
        <v>5282</v>
      </c>
      <c r="AY703" s="27">
        <v>42185</v>
      </c>
      <c r="AZ703" s="686" t="s">
        <v>5283</v>
      </c>
      <c r="BA703" s="27">
        <v>42825</v>
      </c>
      <c r="BB703" s="27">
        <v>42878</v>
      </c>
      <c r="BC703" s="686" t="s">
        <v>95</v>
      </c>
      <c r="BD703" s="686" t="s">
        <v>4604</v>
      </c>
      <c r="BE703" s="686"/>
      <c r="BF703" s="690" t="s">
        <v>5284</v>
      </c>
      <c r="BG703" s="690"/>
      <c r="BH703" s="690"/>
      <c r="BI703" s="690"/>
      <c r="BJ703" s="708">
        <f>+[232]MATRIZ!$J$66</f>
        <v>0</v>
      </c>
      <c r="BK703" s="696"/>
      <c r="BL703" s="697"/>
      <c r="BM703" s="27"/>
      <c r="BN703" s="689"/>
      <c r="BO703" s="699"/>
      <c r="BP703" s="700"/>
      <c r="BQ703" s="686"/>
      <c r="BR703" s="701"/>
      <c r="BS703" s="690"/>
      <c r="BT703" s="690"/>
      <c r="BU703" s="690"/>
      <c r="BV703" s="690"/>
      <c r="BW703" s="702"/>
      <c r="BX703" s="693"/>
      <c r="BY703" s="27"/>
      <c r="BZ703" s="703"/>
      <c r="CA703" s="259"/>
      <c r="CB703" s="259"/>
      <c r="CC703" s="259"/>
      <c r="CD703" s="259"/>
      <c r="CE703" s="259"/>
      <c r="CF703" s="259"/>
      <c r="CG703" s="259"/>
      <c r="CH703" s="259"/>
      <c r="CI703" s="259"/>
      <c r="CJ703" s="259"/>
      <c r="CK703" s="259"/>
      <c r="CL703" s="259"/>
      <c r="CM703" s="259"/>
      <c r="CN703" s="259"/>
      <c r="CO703" s="259"/>
      <c r="CP703" s="259"/>
      <c r="CQ703" s="259"/>
      <c r="CR703" s="259"/>
      <c r="CS703" s="259"/>
      <c r="CT703" s="259"/>
      <c r="CU703" s="259"/>
      <c r="CV703" s="259"/>
      <c r="CW703" s="259"/>
      <c r="CX703" s="259"/>
      <c r="CY703" s="259"/>
      <c r="CZ703" s="259"/>
      <c r="DA703" s="259"/>
      <c r="DB703" s="259"/>
      <c r="DC703" s="259"/>
      <c r="DD703" s="259"/>
      <c r="DE703" s="259"/>
      <c r="DF703" s="259"/>
      <c r="DG703" s="259"/>
      <c r="DH703" s="259"/>
      <c r="DI703" s="259"/>
      <c r="DJ703" s="259"/>
      <c r="DK703" s="259"/>
      <c r="DL703" s="259"/>
      <c r="DM703" s="259"/>
      <c r="DN703" s="259"/>
      <c r="DO703" s="259"/>
      <c r="DP703" s="259"/>
      <c r="DQ703" s="259"/>
      <c r="DR703" s="259"/>
      <c r="DS703" s="259"/>
      <c r="DT703" s="259"/>
      <c r="DU703" s="259"/>
      <c r="DV703" s="259"/>
      <c r="DW703" s="259"/>
      <c r="DX703" s="259"/>
      <c r="DY703" s="259"/>
      <c r="DZ703" s="259"/>
      <c r="EA703" s="259"/>
      <c r="EB703" s="259"/>
      <c r="EC703" s="259"/>
      <c r="ED703" s="259"/>
      <c r="EE703" s="259"/>
      <c r="EF703" s="259"/>
      <c r="EG703" s="259"/>
      <c r="EH703" s="259"/>
      <c r="EI703" s="259"/>
      <c r="EJ703" s="259"/>
      <c r="EK703" s="259"/>
      <c r="EL703" s="259"/>
      <c r="EM703" s="259"/>
      <c r="EN703" s="259"/>
      <c r="EO703" s="259"/>
      <c r="EP703" s="259"/>
      <c r="EQ703" s="259"/>
      <c r="ER703" s="259"/>
      <c r="ES703" s="259"/>
      <c r="ET703" s="259"/>
      <c r="EU703" s="259"/>
      <c r="EV703" s="259"/>
      <c r="EW703" s="259"/>
      <c r="EX703" s="259"/>
      <c r="EY703" s="259"/>
      <c r="EZ703" s="259"/>
      <c r="FA703" s="259"/>
      <c r="FB703" s="259"/>
      <c r="FC703" s="259"/>
      <c r="FD703" s="259"/>
      <c r="FE703" s="259"/>
      <c r="FF703" s="259"/>
      <c r="FG703" s="259"/>
      <c r="FH703" s="259"/>
      <c r="FI703" s="259"/>
      <c r="FJ703" s="259"/>
      <c r="FK703" s="259"/>
      <c r="FL703" s="259"/>
      <c r="FM703" s="259"/>
      <c r="FN703" s="259"/>
      <c r="FO703" s="259"/>
      <c r="FP703" s="259"/>
      <c r="FQ703" s="259"/>
      <c r="FR703" s="259"/>
      <c r="FS703" s="259"/>
      <c r="FT703" s="259"/>
      <c r="FU703" s="259"/>
      <c r="FV703" s="259"/>
      <c r="FW703" s="259"/>
      <c r="FX703" s="259"/>
      <c r="FY703" s="259"/>
      <c r="FZ703" s="259"/>
      <c r="GA703" s="259"/>
      <c r="GB703" s="259"/>
      <c r="GC703" s="259"/>
      <c r="GD703" s="259"/>
      <c r="GE703" s="259"/>
      <c r="GF703" s="259"/>
      <c r="GG703" s="259"/>
      <c r="GH703" s="259"/>
      <c r="GI703" s="259"/>
      <c r="GJ703" s="259"/>
      <c r="GK703" s="259"/>
      <c r="GL703" s="259"/>
      <c r="GM703" s="259"/>
      <c r="GN703" s="259"/>
      <c r="GO703" s="259"/>
      <c r="GP703" s="259"/>
      <c r="GQ703" s="259"/>
      <c r="GR703" s="259"/>
      <c r="GS703" s="259"/>
      <c r="GT703" s="259"/>
      <c r="GU703" s="259"/>
      <c r="GV703" s="259"/>
      <c r="GW703" s="259"/>
      <c r="GX703" s="259"/>
      <c r="GY703" s="259"/>
      <c r="GZ703" s="259"/>
      <c r="HA703" s="259"/>
      <c r="HB703" s="259"/>
      <c r="HC703" s="259"/>
      <c r="HD703" s="259"/>
      <c r="HE703" s="259"/>
      <c r="HF703" s="259"/>
      <c r="HG703" s="259"/>
      <c r="HH703" s="259"/>
      <c r="HI703" s="259"/>
      <c r="HJ703" s="259"/>
      <c r="HK703" s="259"/>
      <c r="HL703" s="259"/>
      <c r="HM703" s="259"/>
      <c r="HN703" s="259"/>
      <c r="HO703" s="259"/>
      <c r="HP703" s="259"/>
      <c r="HQ703" s="259"/>
      <c r="HR703" s="259"/>
      <c r="HS703" s="259"/>
      <c r="HT703" s="259"/>
      <c r="HU703" s="259"/>
      <c r="HV703" s="259"/>
      <c r="HW703" s="259"/>
      <c r="HX703" s="259"/>
      <c r="HY703" s="259"/>
      <c r="HZ703" s="259"/>
      <c r="IA703" s="259"/>
      <c r="IB703" s="259"/>
      <c r="IC703" s="259"/>
      <c r="ID703" s="259"/>
      <c r="IE703" s="259"/>
      <c r="IF703" s="259"/>
      <c r="IG703" s="259"/>
      <c r="IH703" s="259"/>
      <c r="II703" s="259"/>
      <c r="IJ703" s="259"/>
      <c r="IK703" s="259"/>
      <c r="IL703" s="259"/>
      <c r="IM703" s="259"/>
      <c r="IN703" s="259"/>
      <c r="IO703" s="259"/>
      <c r="IP703" s="259"/>
      <c r="IQ703" s="259"/>
      <c r="IR703" s="259"/>
      <c r="IS703" s="259"/>
      <c r="IT703" s="259"/>
      <c r="IU703" s="259"/>
      <c r="IV703" s="259"/>
      <c r="IW703" s="259"/>
      <c r="IX703" s="259"/>
      <c r="IY703" s="259"/>
      <c r="IZ703" s="259"/>
      <c r="JA703" s="259"/>
      <c r="JB703" s="259"/>
      <c r="JC703" s="259"/>
      <c r="JD703" s="259"/>
      <c r="JE703" s="259"/>
      <c r="JF703" s="259"/>
      <c r="JG703" s="259"/>
      <c r="JH703" s="259"/>
      <c r="JI703" s="259"/>
      <c r="JJ703" s="259"/>
      <c r="JK703" s="259"/>
      <c r="JL703" s="259"/>
      <c r="JM703" s="259"/>
      <c r="JN703" s="259"/>
      <c r="JO703" s="259"/>
      <c r="JP703" s="259"/>
      <c r="JQ703" s="259"/>
      <c r="JR703" s="259"/>
      <c r="JS703" s="259"/>
      <c r="JT703" s="259"/>
      <c r="JU703" s="259"/>
      <c r="JV703" s="259"/>
      <c r="JW703" s="259"/>
      <c r="JX703" s="259"/>
      <c r="JY703" s="259"/>
      <c r="JZ703" s="259"/>
      <c r="KA703" s="259"/>
      <c r="KB703" s="259"/>
      <c r="KC703" s="259"/>
      <c r="KD703" s="259"/>
      <c r="KE703" s="259"/>
      <c r="KF703" s="259"/>
      <c r="KG703" s="259"/>
      <c r="KH703" s="259"/>
      <c r="KI703" s="259"/>
      <c r="KJ703" s="259"/>
      <c r="KK703" s="259"/>
      <c r="KL703" s="259"/>
      <c r="KM703" s="259"/>
      <c r="KN703" s="259"/>
      <c r="KO703" s="259"/>
      <c r="KP703" s="259"/>
      <c r="KQ703" s="259"/>
      <c r="KR703" s="259"/>
      <c r="KS703" s="259"/>
      <c r="KT703" s="259"/>
      <c r="KU703" s="259"/>
      <c r="KV703" s="259"/>
      <c r="KW703" s="259"/>
      <c r="KX703" s="259"/>
      <c r="KY703" s="259"/>
      <c r="KZ703" s="259"/>
      <c r="LA703" s="259"/>
      <c r="LB703" s="259"/>
      <c r="LC703" s="259"/>
      <c r="LD703" s="259"/>
      <c r="LE703" s="259"/>
      <c r="LF703" s="259"/>
      <c r="LG703" s="259"/>
      <c r="LH703" s="259"/>
      <c r="LI703" s="259"/>
      <c r="LJ703" s="259"/>
      <c r="LK703" s="259"/>
      <c r="LL703" s="259"/>
      <c r="LM703" s="259"/>
      <c r="LN703" s="259"/>
      <c r="LO703" s="259"/>
      <c r="LP703" s="259"/>
      <c r="LQ703" s="259"/>
      <c r="LR703" s="259"/>
      <c r="LS703" s="259"/>
      <c r="LT703" s="259"/>
      <c r="LU703" s="259"/>
      <c r="LV703" s="259"/>
      <c r="LW703" s="259"/>
      <c r="LX703" s="259"/>
      <c r="LY703" s="259"/>
      <c r="LZ703" s="259"/>
      <c r="MA703" s="259"/>
      <c r="MB703" s="259"/>
      <c r="MC703" s="259"/>
      <c r="MD703" s="259"/>
      <c r="ME703" s="259"/>
      <c r="MF703" s="259"/>
      <c r="MG703" s="259"/>
      <c r="MH703" s="259"/>
      <c r="MI703" s="259"/>
      <c r="MJ703" s="259"/>
      <c r="MK703" s="259"/>
      <c r="ML703" s="259"/>
      <c r="MM703" s="259"/>
      <c r="MN703" s="259"/>
      <c r="MO703" s="259"/>
      <c r="MP703" s="259"/>
      <c r="MQ703" s="259"/>
      <c r="MR703" s="259"/>
      <c r="MS703" s="259"/>
      <c r="MT703" s="259"/>
      <c r="MU703" s="259"/>
      <c r="MV703" s="259"/>
      <c r="MW703" s="259"/>
      <c r="MX703" s="259"/>
      <c r="MY703" s="259"/>
      <c r="MZ703" s="259"/>
      <c r="NA703" s="259"/>
      <c r="NB703" s="259"/>
      <c r="NC703" s="259"/>
      <c r="ND703" s="259"/>
      <c r="NE703" s="259"/>
      <c r="NF703" s="259"/>
      <c r="NG703" s="259"/>
      <c r="NH703" s="259"/>
      <c r="NI703" s="259"/>
      <c r="NJ703" s="259"/>
      <c r="NK703" s="259"/>
      <c r="NL703" s="259"/>
      <c r="NM703" s="259"/>
      <c r="NN703" s="259"/>
      <c r="NO703" s="259"/>
      <c r="NP703" s="259"/>
      <c r="NQ703" s="259"/>
      <c r="NR703" s="259"/>
      <c r="NS703" s="259"/>
      <c r="NT703" s="259"/>
      <c r="NU703" s="259"/>
      <c r="NV703" s="259"/>
      <c r="NW703" s="259"/>
      <c r="NX703" s="259"/>
      <c r="NY703" s="259"/>
      <c r="NZ703" s="259"/>
      <c r="OA703" s="259"/>
      <c r="OB703" s="259"/>
      <c r="OC703" s="259"/>
      <c r="OD703" s="259"/>
      <c r="OE703" s="259"/>
      <c r="OF703" s="259"/>
      <c r="OG703" s="259"/>
      <c r="OH703" s="259"/>
      <c r="OI703" s="259"/>
      <c r="OJ703" s="259"/>
      <c r="OK703" s="259"/>
      <c r="OL703" s="259"/>
      <c r="OM703" s="259"/>
      <c r="ON703" s="259"/>
      <c r="OO703" s="259"/>
      <c r="OP703" s="259"/>
      <c r="OQ703" s="259"/>
      <c r="OR703" s="259"/>
      <c r="OS703" s="259"/>
      <c r="OT703" s="259"/>
      <c r="OU703" s="259"/>
      <c r="OV703" s="259"/>
      <c r="OW703" s="259"/>
      <c r="OX703" s="259"/>
      <c r="OY703" s="259"/>
      <c r="OZ703" s="259"/>
      <c r="PA703" s="259"/>
      <c r="PB703" s="259"/>
      <c r="PC703" s="259"/>
      <c r="PD703" s="259"/>
      <c r="PE703" s="259"/>
      <c r="PF703" s="259"/>
      <c r="PG703" s="259"/>
      <c r="PH703" s="259"/>
      <c r="PI703" s="259"/>
      <c r="PJ703" s="259"/>
      <c r="PK703" s="259"/>
      <c r="PL703" s="259"/>
      <c r="PM703" s="259"/>
      <c r="PN703" s="259"/>
      <c r="PO703" s="259"/>
      <c r="PP703" s="259"/>
      <c r="PQ703" s="259"/>
      <c r="PR703" s="259"/>
      <c r="PS703" s="259"/>
      <c r="PT703" s="259"/>
      <c r="PU703" s="259"/>
      <c r="PV703" s="259"/>
      <c r="PW703" s="259"/>
      <c r="PX703" s="259"/>
      <c r="PY703" s="259"/>
      <c r="PZ703" s="259"/>
      <c r="QA703" s="259"/>
      <c r="QB703" s="259"/>
      <c r="QC703" s="259"/>
      <c r="QD703" s="259"/>
      <c r="QE703" s="259"/>
      <c r="QF703" s="259"/>
      <c r="QG703" s="259"/>
      <c r="QH703" s="259"/>
      <c r="QI703" s="259"/>
      <c r="QJ703" s="259"/>
      <c r="QK703" s="259"/>
      <c r="QL703" s="259"/>
      <c r="QM703" s="259"/>
      <c r="QN703" s="259"/>
      <c r="QO703" s="259"/>
      <c r="QP703" s="259"/>
      <c r="QQ703" s="259"/>
      <c r="QR703" s="259"/>
      <c r="QS703" s="259"/>
      <c r="QT703" s="259"/>
      <c r="QU703" s="259"/>
      <c r="QV703" s="259"/>
      <c r="QW703" s="259"/>
      <c r="QX703" s="259"/>
      <c r="QY703" s="259"/>
      <c r="QZ703" s="259"/>
      <c r="RA703" s="259"/>
      <c r="RB703" s="259"/>
      <c r="RC703" s="259"/>
      <c r="RD703" s="259"/>
      <c r="RE703" s="259"/>
      <c r="RF703" s="259"/>
      <c r="RG703" s="259"/>
      <c r="RH703" s="259"/>
      <c r="RI703" s="259"/>
      <c r="RJ703" s="259"/>
      <c r="RK703" s="259"/>
      <c r="RL703" s="259"/>
      <c r="RM703" s="259"/>
      <c r="RN703" s="259"/>
      <c r="RO703" s="259"/>
      <c r="RP703" s="259"/>
      <c r="RQ703" s="259"/>
      <c r="RR703" s="259"/>
      <c r="RS703" s="259"/>
      <c r="RT703" s="259"/>
      <c r="RU703" s="259"/>
      <c r="RV703" s="259"/>
      <c r="RW703" s="259"/>
      <c r="RX703" s="259"/>
      <c r="RY703" s="259"/>
      <c r="RZ703" s="259"/>
      <c r="SA703" s="259"/>
      <c r="SB703" s="259"/>
      <c r="SC703" s="259"/>
      <c r="SD703" s="259"/>
      <c r="SE703" s="259"/>
      <c r="SF703" s="259"/>
      <c r="SG703" s="259"/>
      <c r="SH703" s="259"/>
      <c r="SI703" s="259"/>
      <c r="SJ703" s="259"/>
      <c r="SK703" s="259"/>
      <c r="SL703" s="259"/>
      <c r="SM703" s="259"/>
      <c r="SN703" s="259"/>
      <c r="SO703" s="259"/>
      <c r="SP703" s="259"/>
      <c r="SQ703" s="259"/>
      <c r="SR703" s="259"/>
      <c r="SS703" s="259"/>
      <c r="ST703" s="259"/>
      <c r="SU703" s="259"/>
      <c r="SV703" s="259"/>
      <c r="SW703" s="259"/>
      <c r="SX703" s="259"/>
      <c r="SY703" s="259"/>
      <c r="SZ703" s="259"/>
      <c r="TA703" s="259"/>
      <c r="TB703" s="259"/>
      <c r="TC703" s="259"/>
      <c r="TD703" s="259"/>
      <c r="TE703" s="259"/>
      <c r="TF703" s="259"/>
      <c r="TG703" s="259"/>
      <c r="TH703" s="259"/>
      <c r="TI703" s="259"/>
      <c r="TJ703" s="259"/>
      <c r="TK703" s="259"/>
      <c r="TL703" s="259"/>
      <c r="TM703" s="259"/>
      <c r="TN703" s="259"/>
      <c r="TO703" s="259"/>
      <c r="TP703" s="259"/>
      <c r="TQ703" s="259"/>
      <c r="TR703" s="259"/>
      <c r="TS703" s="259"/>
      <c r="TT703" s="259"/>
      <c r="TU703" s="259"/>
      <c r="TV703" s="259"/>
      <c r="TW703" s="259"/>
      <c r="TX703" s="259"/>
      <c r="TY703" s="259"/>
      <c r="TZ703" s="259"/>
      <c r="UA703" s="259"/>
      <c r="UB703" s="259"/>
      <c r="UC703" s="259"/>
      <c r="UD703" s="259"/>
      <c r="UE703" s="259"/>
      <c r="UF703" s="259"/>
      <c r="UG703" s="259"/>
      <c r="UH703" s="259"/>
      <c r="UI703" s="259"/>
    </row>
    <row r="704" spans="1:555" ht="68.25" thickBot="1">
      <c r="A704" s="57">
        <v>604</v>
      </c>
      <c r="B704" s="58" t="s">
        <v>5285</v>
      </c>
      <c r="C704" s="59">
        <v>7140935</v>
      </c>
      <c r="D704" s="170" t="s">
        <v>463</v>
      </c>
      <c r="E704" s="60">
        <v>43003</v>
      </c>
      <c r="F704" s="61">
        <v>42979</v>
      </c>
      <c r="G704" s="62" t="s">
        <v>271</v>
      </c>
      <c r="H704" s="58" t="s">
        <v>625</v>
      </c>
      <c r="I704" s="58" t="s">
        <v>1167</v>
      </c>
      <c r="J704" s="60">
        <v>43060</v>
      </c>
      <c r="K704" s="61">
        <v>43040</v>
      </c>
      <c r="L704" s="62" t="s">
        <v>5286</v>
      </c>
      <c r="M704" s="58" t="s">
        <v>5</v>
      </c>
      <c r="N704" s="58" t="s">
        <v>79</v>
      </c>
      <c r="O704" s="60">
        <v>43703</v>
      </c>
      <c r="P704" s="63">
        <v>43703</v>
      </c>
      <c r="Q704" s="62" t="s">
        <v>9138</v>
      </c>
      <c r="R704" s="58" t="s">
        <v>5</v>
      </c>
      <c r="S704" s="58" t="s">
        <v>8243</v>
      </c>
      <c r="T704" s="60"/>
      <c r="U704" s="61"/>
      <c r="V704" s="62"/>
      <c r="W704" s="58"/>
      <c r="X704" s="58"/>
      <c r="Y704" s="60"/>
      <c r="Z704" s="61"/>
      <c r="AA704" s="62"/>
      <c r="AB704" s="58"/>
      <c r="AC704" s="58"/>
      <c r="AD704" s="60"/>
      <c r="AE704" s="61"/>
      <c r="AF704" s="62"/>
      <c r="AG704" s="58"/>
      <c r="AH704" s="58"/>
      <c r="AI704" s="117"/>
      <c r="AJ704" s="61"/>
      <c r="AK704" s="501"/>
      <c r="AL704" s="58"/>
      <c r="AM704" s="58"/>
      <c r="AN704" s="58" t="s">
        <v>5287</v>
      </c>
      <c r="AO704" s="478"/>
      <c r="AP704" s="58" t="s">
        <v>2558</v>
      </c>
      <c r="AQ704" s="62" t="s">
        <v>5288</v>
      </c>
      <c r="AR704" s="58" t="s">
        <v>161</v>
      </c>
      <c r="AS704" s="60">
        <v>39270</v>
      </c>
      <c r="AT704" s="60">
        <v>40543</v>
      </c>
      <c r="AU704" s="58" t="s">
        <v>5289</v>
      </c>
      <c r="AV704" s="58"/>
      <c r="AW704" s="58" t="s">
        <v>69</v>
      </c>
      <c r="AX704" s="58" t="s">
        <v>5290</v>
      </c>
      <c r="AY704" s="60">
        <v>42508</v>
      </c>
      <c r="AZ704" s="58" t="s">
        <v>5291</v>
      </c>
      <c r="BA704" s="60">
        <v>42935</v>
      </c>
      <c r="BB704" s="382">
        <v>43006</v>
      </c>
      <c r="BC704" s="58" t="s">
        <v>95</v>
      </c>
      <c r="BD704" s="58" t="s">
        <v>566</v>
      </c>
      <c r="BE704" s="58"/>
      <c r="BF704" s="62" t="s">
        <v>5292</v>
      </c>
      <c r="BG704" s="62"/>
      <c r="BH704" s="62"/>
      <c r="BI704" s="62"/>
      <c r="BJ704" s="209">
        <f>+[233]MATRIZ!$J$65</f>
        <v>0</v>
      </c>
      <c r="BK704" s="67"/>
      <c r="BL704" s="68"/>
      <c r="BM704" s="60"/>
      <c r="BN704" s="61"/>
      <c r="BO704" s="868"/>
      <c r="BP704" s="122"/>
      <c r="BQ704" s="58"/>
      <c r="BR704" s="70"/>
      <c r="BS704" s="62"/>
      <c r="BT704" s="62"/>
      <c r="BU704" s="62"/>
      <c r="BV704" s="62"/>
      <c r="BW704" s="71"/>
      <c r="BX704" s="66"/>
      <c r="BY704" s="60"/>
      <c r="BZ704" s="72"/>
    </row>
    <row r="705" spans="1:555" ht="108">
      <c r="A705" s="502">
        <v>605</v>
      </c>
      <c r="B705" s="686" t="s">
        <v>5293</v>
      </c>
      <c r="C705" s="687">
        <v>4080920</v>
      </c>
      <c r="D705" s="688" t="s">
        <v>906</v>
      </c>
      <c r="E705" s="27">
        <v>42997</v>
      </c>
      <c r="F705" s="689">
        <v>42979</v>
      </c>
      <c r="G705" s="690" t="s">
        <v>5294</v>
      </c>
      <c r="H705" s="686" t="s">
        <v>625</v>
      </c>
      <c r="I705" s="686" t="s">
        <v>4918</v>
      </c>
      <c r="J705" s="16">
        <v>43325</v>
      </c>
      <c r="K705" s="689">
        <v>43325</v>
      </c>
      <c r="L705" s="706" t="s">
        <v>5295</v>
      </c>
      <c r="M705" s="686" t="s">
        <v>5</v>
      </c>
      <c r="N705" s="686" t="s">
        <v>570</v>
      </c>
      <c r="O705" s="27">
        <v>43395</v>
      </c>
      <c r="P705" s="691">
        <v>43395</v>
      </c>
      <c r="Q705" s="690" t="s">
        <v>7332</v>
      </c>
      <c r="R705" s="686" t="s">
        <v>5</v>
      </c>
      <c r="S705" s="686" t="s">
        <v>85</v>
      </c>
      <c r="T705" s="27"/>
      <c r="U705" s="689"/>
      <c r="V705" s="690"/>
      <c r="W705" s="686"/>
      <c r="X705" s="686"/>
      <c r="Y705" s="27"/>
      <c r="Z705" s="689"/>
      <c r="AA705" s="690"/>
      <c r="AB705" s="686"/>
      <c r="AC705" s="686"/>
      <c r="AD705" s="27"/>
      <c r="AE705" s="689"/>
      <c r="AF705" s="690"/>
      <c r="AG705" s="686"/>
      <c r="AH705" s="686"/>
      <c r="AI705" s="704"/>
      <c r="AJ705" s="689"/>
      <c r="AK705" s="690"/>
      <c r="AL705" s="686"/>
      <c r="AM705" s="686"/>
      <c r="AN705" s="686" t="s">
        <v>3671</v>
      </c>
      <c r="AO705" s="705"/>
      <c r="AP705" s="686"/>
      <c r="AQ705" s="690" t="s">
        <v>5296</v>
      </c>
      <c r="AR705" s="686" t="s">
        <v>161</v>
      </c>
      <c r="AS705" s="27">
        <v>32905</v>
      </c>
      <c r="AT705" s="27">
        <v>40908</v>
      </c>
      <c r="AU705" s="686" t="s">
        <v>7528</v>
      </c>
      <c r="AV705" s="686"/>
      <c r="AW705" s="686" t="s">
        <v>69</v>
      </c>
      <c r="AX705" s="686" t="s">
        <v>5297</v>
      </c>
      <c r="AY705" s="27">
        <v>42216</v>
      </c>
      <c r="AZ705" s="686" t="s">
        <v>5298</v>
      </c>
      <c r="BA705" s="27">
        <v>42894</v>
      </c>
      <c r="BB705" s="27">
        <v>42914</v>
      </c>
      <c r="BC705" s="701" t="s">
        <v>912</v>
      </c>
      <c r="BD705" s="701" t="s">
        <v>566</v>
      </c>
      <c r="BE705" s="686"/>
      <c r="BF705" s="690"/>
      <c r="BG705" s="690"/>
      <c r="BH705" s="690"/>
      <c r="BI705" s="690"/>
      <c r="BJ705" s="708">
        <f>+[234]MATRIZ!$J$45</f>
        <v>0</v>
      </c>
      <c r="BK705" s="696"/>
      <c r="BL705" s="697"/>
      <c r="BM705" s="27"/>
      <c r="BN705" s="689"/>
      <c r="BO705" s="699"/>
      <c r="BP705" s="700"/>
      <c r="BQ705" s="686"/>
      <c r="BR705" s="701"/>
      <c r="BS705" s="690"/>
      <c r="BT705" s="690"/>
      <c r="BU705" s="690"/>
      <c r="BV705" s="690"/>
      <c r="BW705" s="702"/>
      <c r="BX705" s="693"/>
      <c r="BY705" s="27"/>
      <c r="BZ705" s="703"/>
      <c r="CA705" s="259"/>
      <c r="CB705" s="259"/>
      <c r="CC705" s="259"/>
      <c r="CD705" s="259"/>
      <c r="CE705" s="259"/>
      <c r="CF705" s="259"/>
      <c r="CG705" s="259"/>
      <c r="CH705" s="259"/>
      <c r="CI705" s="259"/>
      <c r="CJ705" s="259"/>
      <c r="CK705" s="259"/>
      <c r="CL705" s="259"/>
      <c r="CM705" s="259"/>
      <c r="CN705" s="259"/>
      <c r="CO705" s="259"/>
      <c r="CP705" s="259"/>
      <c r="CQ705" s="259"/>
      <c r="CR705" s="259"/>
      <c r="CS705" s="259"/>
      <c r="CT705" s="259"/>
      <c r="CU705" s="259"/>
      <c r="CV705" s="259"/>
      <c r="CW705" s="259"/>
      <c r="CX705" s="259"/>
      <c r="CY705" s="259"/>
      <c r="CZ705" s="259"/>
      <c r="DA705" s="259"/>
      <c r="DB705" s="259"/>
      <c r="DC705" s="259"/>
      <c r="DD705" s="259"/>
      <c r="DE705" s="259"/>
      <c r="DF705" s="259"/>
      <c r="DG705" s="259"/>
      <c r="DH705" s="259"/>
      <c r="DI705" s="259"/>
      <c r="DJ705" s="259"/>
      <c r="DK705" s="259"/>
      <c r="DL705" s="259"/>
      <c r="DM705" s="259"/>
      <c r="DN705" s="259"/>
      <c r="DO705" s="259"/>
      <c r="DP705" s="259"/>
      <c r="DQ705" s="259"/>
      <c r="DR705" s="259"/>
      <c r="DS705" s="259"/>
      <c r="DT705" s="259"/>
      <c r="DU705" s="259"/>
      <c r="DV705" s="259"/>
      <c r="DW705" s="259"/>
      <c r="DX705" s="259"/>
      <c r="DY705" s="259"/>
      <c r="DZ705" s="259"/>
      <c r="EA705" s="259"/>
      <c r="EB705" s="259"/>
      <c r="EC705" s="259"/>
      <c r="ED705" s="259"/>
      <c r="EE705" s="259"/>
      <c r="EF705" s="259"/>
      <c r="EG705" s="259"/>
      <c r="EH705" s="259"/>
      <c r="EI705" s="259"/>
      <c r="EJ705" s="259"/>
      <c r="EK705" s="259"/>
      <c r="EL705" s="259"/>
      <c r="EM705" s="259"/>
      <c r="EN705" s="259"/>
      <c r="EO705" s="259"/>
      <c r="EP705" s="259"/>
      <c r="EQ705" s="259"/>
      <c r="ER705" s="259"/>
      <c r="ES705" s="259"/>
      <c r="ET705" s="259"/>
      <c r="EU705" s="259"/>
      <c r="EV705" s="259"/>
      <c r="EW705" s="259"/>
      <c r="EX705" s="259"/>
      <c r="EY705" s="259"/>
      <c r="EZ705" s="259"/>
      <c r="FA705" s="259"/>
      <c r="FB705" s="259"/>
      <c r="FC705" s="259"/>
      <c r="FD705" s="259"/>
      <c r="FE705" s="259"/>
      <c r="FF705" s="259"/>
      <c r="FG705" s="259"/>
      <c r="FH705" s="259"/>
      <c r="FI705" s="259"/>
      <c r="FJ705" s="259"/>
      <c r="FK705" s="259"/>
      <c r="FL705" s="259"/>
      <c r="FM705" s="259"/>
      <c r="FN705" s="259"/>
      <c r="FO705" s="259"/>
      <c r="FP705" s="259"/>
      <c r="FQ705" s="259"/>
      <c r="FR705" s="259"/>
      <c r="FS705" s="259"/>
      <c r="FT705" s="259"/>
      <c r="FU705" s="259"/>
      <c r="FV705" s="259"/>
      <c r="FW705" s="259"/>
      <c r="FX705" s="259"/>
      <c r="FY705" s="259"/>
      <c r="FZ705" s="259"/>
      <c r="GA705" s="259"/>
      <c r="GB705" s="259"/>
      <c r="GC705" s="259"/>
      <c r="GD705" s="259"/>
      <c r="GE705" s="259"/>
      <c r="GF705" s="259"/>
      <c r="GG705" s="259"/>
      <c r="GH705" s="259"/>
      <c r="GI705" s="259"/>
      <c r="GJ705" s="259"/>
      <c r="GK705" s="259"/>
      <c r="GL705" s="259"/>
      <c r="GM705" s="259"/>
      <c r="GN705" s="259"/>
      <c r="GO705" s="259"/>
      <c r="GP705" s="259"/>
      <c r="GQ705" s="259"/>
      <c r="GR705" s="259"/>
      <c r="GS705" s="259"/>
      <c r="GT705" s="259"/>
      <c r="GU705" s="259"/>
      <c r="GV705" s="259"/>
      <c r="GW705" s="259"/>
      <c r="GX705" s="259"/>
      <c r="GY705" s="259"/>
      <c r="GZ705" s="259"/>
      <c r="HA705" s="259"/>
      <c r="HB705" s="259"/>
      <c r="HC705" s="259"/>
      <c r="HD705" s="259"/>
      <c r="HE705" s="259"/>
      <c r="HF705" s="259"/>
      <c r="HG705" s="259"/>
      <c r="HH705" s="259"/>
      <c r="HI705" s="259"/>
      <c r="HJ705" s="259"/>
      <c r="HK705" s="259"/>
      <c r="HL705" s="259"/>
      <c r="HM705" s="259"/>
      <c r="HN705" s="259"/>
      <c r="HO705" s="259"/>
      <c r="HP705" s="259"/>
      <c r="HQ705" s="259"/>
      <c r="HR705" s="259"/>
      <c r="HS705" s="259"/>
      <c r="HT705" s="259"/>
      <c r="HU705" s="259"/>
      <c r="HV705" s="259"/>
      <c r="HW705" s="259"/>
      <c r="HX705" s="259"/>
      <c r="HY705" s="259"/>
      <c r="HZ705" s="259"/>
      <c r="IA705" s="259"/>
      <c r="IB705" s="259"/>
      <c r="IC705" s="259"/>
      <c r="ID705" s="259"/>
      <c r="IE705" s="259"/>
      <c r="IF705" s="259"/>
      <c r="IG705" s="259"/>
      <c r="IH705" s="259"/>
      <c r="II705" s="259"/>
      <c r="IJ705" s="259"/>
      <c r="IK705" s="259"/>
      <c r="IL705" s="259"/>
      <c r="IM705" s="259"/>
      <c r="IN705" s="259"/>
      <c r="IO705" s="259"/>
      <c r="IP705" s="259"/>
      <c r="IQ705" s="259"/>
      <c r="IR705" s="259"/>
      <c r="IS705" s="259"/>
      <c r="IT705" s="259"/>
      <c r="IU705" s="259"/>
      <c r="IV705" s="259"/>
      <c r="IW705" s="259"/>
      <c r="IX705" s="259"/>
      <c r="IY705" s="259"/>
      <c r="IZ705" s="259"/>
      <c r="JA705" s="259"/>
      <c r="JB705" s="259"/>
      <c r="JC705" s="259"/>
      <c r="JD705" s="259"/>
      <c r="JE705" s="259"/>
      <c r="JF705" s="259"/>
      <c r="JG705" s="259"/>
      <c r="JH705" s="259"/>
      <c r="JI705" s="259"/>
      <c r="JJ705" s="259"/>
      <c r="JK705" s="259"/>
      <c r="JL705" s="259"/>
      <c r="JM705" s="259"/>
      <c r="JN705" s="259"/>
      <c r="JO705" s="259"/>
      <c r="JP705" s="259"/>
      <c r="JQ705" s="259"/>
      <c r="JR705" s="259"/>
      <c r="JS705" s="259"/>
      <c r="JT705" s="259"/>
      <c r="JU705" s="259"/>
      <c r="JV705" s="259"/>
      <c r="JW705" s="259"/>
      <c r="JX705" s="259"/>
      <c r="JY705" s="259"/>
      <c r="JZ705" s="259"/>
      <c r="KA705" s="259"/>
      <c r="KB705" s="259"/>
      <c r="KC705" s="259"/>
      <c r="KD705" s="259"/>
      <c r="KE705" s="259"/>
      <c r="KF705" s="259"/>
      <c r="KG705" s="259"/>
      <c r="KH705" s="259"/>
      <c r="KI705" s="259"/>
      <c r="KJ705" s="259"/>
      <c r="KK705" s="259"/>
      <c r="KL705" s="259"/>
      <c r="KM705" s="259"/>
      <c r="KN705" s="259"/>
      <c r="KO705" s="259"/>
      <c r="KP705" s="259"/>
      <c r="KQ705" s="259"/>
      <c r="KR705" s="259"/>
      <c r="KS705" s="259"/>
      <c r="KT705" s="259"/>
      <c r="KU705" s="259"/>
      <c r="KV705" s="259"/>
      <c r="KW705" s="259"/>
      <c r="KX705" s="259"/>
      <c r="KY705" s="259"/>
      <c r="KZ705" s="259"/>
      <c r="LA705" s="259"/>
      <c r="LB705" s="259"/>
      <c r="LC705" s="259"/>
      <c r="LD705" s="259"/>
      <c r="LE705" s="259"/>
      <c r="LF705" s="259"/>
      <c r="LG705" s="259"/>
      <c r="LH705" s="259"/>
      <c r="LI705" s="259"/>
      <c r="LJ705" s="259"/>
      <c r="LK705" s="259"/>
      <c r="LL705" s="259"/>
      <c r="LM705" s="259"/>
      <c r="LN705" s="259"/>
      <c r="LO705" s="259"/>
      <c r="LP705" s="259"/>
      <c r="LQ705" s="259"/>
      <c r="LR705" s="259"/>
      <c r="LS705" s="259"/>
      <c r="LT705" s="259"/>
      <c r="LU705" s="259"/>
      <c r="LV705" s="259"/>
      <c r="LW705" s="259"/>
      <c r="LX705" s="259"/>
      <c r="LY705" s="259"/>
      <c r="LZ705" s="259"/>
      <c r="MA705" s="259"/>
      <c r="MB705" s="259"/>
      <c r="MC705" s="259"/>
      <c r="MD705" s="259"/>
      <c r="ME705" s="259"/>
      <c r="MF705" s="259"/>
      <c r="MG705" s="259"/>
      <c r="MH705" s="259"/>
      <c r="MI705" s="259"/>
      <c r="MJ705" s="259"/>
      <c r="MK705" s="259"/>
      <c r="ML705" s="259"/>
      <c r="MM705" s="259"/>
      <c r="MN705" s="259"/>
      <c r="MO705" s="259"/>
      <c r="MP705" s="259"/>
      <c r="MQ705" s="259"/>
      <c r="MR705" s="259"/>
      <c r="MS705" s="259"/>
      <c r="MT705" s="259"/>
      <c r="MU705" s="259"/>
      <c r="MV705" s="259"/>
      <c r="MW705" s="259"/>
      <c r="MX705" s="259"/>
      <c r="MY705" s="259"/>
      <c r="MZ705" s="259"/>
      <c r="NA705" s="259"/>
      <c r="NB705" s="259"/>
      <c r="NC705" s="259"/>
      <c r="ND705" s="259"/>
      <c r="NE705" s="259"/>
      <c r="NF705" s="259"/>
      <c r="NG705" s="259"/>
      <c r="NH705" s="259"/>
      <c r="NI705" s="259"/>
      <c r="NJ705" s="259"/>
      <c r="NK705" s="259"/>
      <c r="NL705" s="259"/>
      <c r="NM705" s="259"/>
      <c r="NN705" s="259"/>
      <c r="NO705" s="259"/>
      <c r="NP705" s="259"/>
      <c r="NQ705" s="259"/>
      <c r="NR705" s="259"/>
      <c r="NS705" s="259"/>
      <c r="NT705" s="259"/>
      <c r="NU705" s="259"/>
      <c r="NV705" s="259"/>
      <c r="NW705" s="259"/>
      <c r="NX705" s="259"/>
      <c r="NY705" s="259"/>
      <c r="NZ705" s="259"/>
      <c r="OA705" s="259"/>
      <c r="OB705" s="259"/>
      <c r="OC705" s="259"/>
      <c r="OD705" s="259"/>
      <c r="OE705" s="259"/>
      <c r="OF705" s="259"/>
      <c r="OG705" s="259"/>
      <c r="OH705" s="259"/>
      <c r="OI705" s="259"/>
      <c r="OJ705" s="259"/>
      <c r="OK705" s="259"/>
      <c r="OL705" s="259"/>
      <c r="OM705" s="259"/>
      <c r="ON705" s="259"/>
      <c r="OO705" s="259"/>
      <c r="OP705" s="259"/>
      <c r="OQ705" s="259"/>
      <c r="OR705" s="259"/>
      <c r="OS705" s="259"/>
      <c r="OT705" s="259"/>
      <c r="OU705" s="259"/>
      <c r="OV705" s="259"/>
      <c r="OW705" s="259"/>
      <c r="OX705" s="259"/>
      <c r="OY705" s="259"/>
      <c r="OZ705" s="259"/>
      <c r="PA705" s="259"/>
      <c r="PB705" s="259"/>
      <c r="PC705" s="259"/>
      <c r="PD705" s="259"/>
      <c r="PE705" s="259"/>
      <c r="PF705" s="259"/>
      <c r="PG705" s="259"/>
      <c r="PH705" s="259"/>
      <c r="PI705" s="259"/>
      <c r="PJ705" s="259"/>
      <c r="PK705" s="259"/>
      <c r="PL705" s="259"/>
      <c r="PM705" s="259"/>
      <c r="PN705" s="259"/>
      <c r="PO705" s="259"/>
      <c r="PP705" s="259"/>
      <c r="PQ705" s="259"/>
      <c r="PR705" s="259"/>
      <c r="PS705" s="259"/>
      <c r="PT705" s="259"/>
      <c r="PU705" s="259"/>
      <c r="PV705" s="259"/>
      <c r="PW705" s="259"/>
      <c r="PX705" s="259"/>
      <c r="PY705" s="259"/>
      <c r="PZ705" s="259"/>
      <c r="QA705" s="259"/>
      <c r="QB705" s="259"/>
      <c r="QC705" s="259"/>
      <c r="QD705" s="259"/>
      <c r="QE705" s="259"/>
      <c r="QF705" s="259"/>
      <c r="QG705" s="259"/>
      <c r="QH705" s="259"/>
      <c r="QI705" s="259"/>
      <c r="QJ705" s="259"/>
      <c r="QK705" s="259"/>
      <c r="QL705" s="259"/>
      <c r="QM705" s="259"/>
      <c r="QN705" s="259"/>
      <c r="QO705" s="259"/>
      <c r="QP705" s="259"/>
      <c r="QQ705" s="259"/>
      <c r="QR705" s="259"/>
      <c r="QS705" s="259"/>
      <c r="QT705" s="259"/>
      <c r="QU705" s="259"/>
      <c r="QV705" s="259"/>
      <c r="QW705" s="259"/>
      <c r="QX705" s="259"/>
      <c r="QY705" s="259"/>
      <c r="QZ705" s="259"/>
      <c r="RA705" s="259"/>
      <c r="RB705" s="259"/>
      <c r="RC705" s="259"/>
      <c r="RD705" s="259"/>
      <c r="RE705" s="259"/>
      <c r="RF705" s="259"/>
      <c r="RG705" s="259"/>
      <c r="RH705" s="259"/>
      <c r="RI705" s="259"/>
      <c r="RJ705" s="259"/>
      <c r="RK705" s="259"/>
      <c r="RL705" s="259"/>
      <c r="RM705" s="259"/>
      <c r="RN705" s="259"/>
      <c r="RO705" s="259"/>
      <c r="RP705" s="259"/>
      <c r="RQ705" s="259"/>
      <c r="RR705" s="259"/>
      <c r="RS705" s="259"/>
      <c r="RT705" s="259"/>
      <c r="RU705" s="259"/>
      <c r="RV705" s="259"/>
      <c r="RW705" s="259"/>
      <c r="RX705" s="259"/>
      <c r="RY705" s="259"/>
      <c r="RZ705" s="259"/>
      <c r="SA705" s="259"/>
      <c r="SB705" s="259"/>
      <c r="SC705" s="259"/>
      <c r="SD705" s="259"/>
      <c r="SE705" s="259"/>
      <c r="SF705" s="259"/>
      <c r="SG705" s="259"/>
      <c r="SH705" s="259"/>
      <c r="SI705" s="259"/>
      <c r="SJ705" s="259"/>
      <c r="SK705" s="259"/>
      <c r="SL705" s="259"/>
      <c r="SM705" s="259"/>
      <c r="SN705" s="259"/>
      <c r="SO705" s="259"/>
      <c r="SP705" s="259"/>
      <c r="SQ705" s="259"/>
      <c r="SR705" s="259"/>
      <c r="SS705" s="259"/>
      <c r="ST705" s="259"/>
      <c r="SU705" s="259"/>
      <c r="SV705" s="259"/>
      <c r="SW705" s="259"/>
      <c r="SX705" s="259"/>
      <c r="SY705" s="259"/>
      <c r="SZ705" s="259"/>
      <c r="TA705" s="259"/>
      <c r="TB705" s="259"/>
      <c r="TC705" s="259"/>
      <c r="TD705" s="259"/>
      <c r="TE705" s="259"/>
      <c r="TF705" s="259"/>
      <c r="TG705" s="259"/>
      <c r="TH705" s="259"/>
      <c r="TI705" s="259"/>
      <c r="TJ705" s="259"/>
      <c r="TK705" s="259"/>
      <c r="TL705" s="259"/>
      <c r="TM705" s="259"/>
      <c r="TN705" s="259"/>
      <c r="TO705" s="259"/>
      <c r="TP705" s="259"/>
      <c r="TQ705" s="259"/>
      <c r="TR705" s="259"/>
      <c r="TS705" s="259"/>
      <c r="TT705" s="259"/>
      <c r="TU705" s="259"/>
      <c r="TV705" s="259"/>
      <c r="TW705" s="259"/>
      <c r="TX705" s="259"/>
      <c r="TY705" s="259"/>
      <c r="TZ705" s="259"/>
      <c r="UA705" s="259"/>
      <c r="UB705" s="259"/>
      <c r="UC705" s="259"/>
      <c r="UD705" s="259"/>
      <c r="UE705" s="259"/>
      <c r="UF705" s="259"/>
      <c r="UG705" s="259"/>
      <c r="UH705" s="259"/>
      <c r="UI705" s="259"/>
    </row>
    <row r="706" spans="1:555" ht="121.5">
      <c r="A706" s="502">
        <v>610</v>
      </c>
      <c r="B706" s="686" t="s">
        <v>5312</v>
      </c>
      <c r="C706" s="687">
        <v>9272635</v>
      </c>
      <c r="D706" s="688" t="s">
        <v>5313</v>
      </c>
      <c r="E706" s="27">
        <v>42999</v>
      </c>
      <c r="F706" s="689">
        <v>42979</v>
      </c>
      <c r="G706" s="690" t="s">
        <v>5314</v>
      </c>
      <c r="H706" s="686" t="s">
        <v>5</v>
      </c>
      <c r="I706" s="686" t="s">
        <v>582</v>
      </c>
      <c r="J706" s="27">
        <v>43021</v>
      </c>
      <c r="K706" s="689">
        <v>43009</v>
      </c>
      <c r="L706" s="690" t="s">
        <v>5315</v>
      </c>
      <c r="M706" s="686" t="s">
        <v>5</v>
      </c>
      <c r="N706" s="686" t="s">
        <v>5316</v>
      </c>
      <c r="O706" s="16">
        <v>43300</v>
      </c>
      <c r="P706" s="691">
        <v>43300</v>
      </c>
      <c r="Q706" s="706" t="s">
        <v>5317</v>
      </c>
      <c r="R706" s="706" t="s">
        <v>5</v>
      </c>
      <c r="S706" s="706" t="s">
        <v>107</v>
      </c>
      <c r="T706" s="27">
        <v>43385</v>
      </c>
      <c r="U706" s="689">
        <v>43385</v>
      </c>
      <c r="V706" s="693" t="s">
        <v>7289</v>
      </c>
      <c r="W706" s="686" t="s">
        <v>5</v>
      </c>
      <c r="X706" s="686" t="s">
        <v>85</v>
      </c>
      <c r="Y706" s="27">
        <v>43451</v>
      </c>
      <c r="Z706" s="689">
        <v>43451</v>
      </c>
      <c r="AA706" s="706" t="s">
        <v>7978</v>
      </c>
      <c r="AB706" s="706" t="s">
        <v>5</v>
      </c>
      <c r="AC706" s="706" t="s">
        <v>85</v>
      </c>
      <c r="AD706" s="27">
        <v>43844</v>
      </c>
      <c r="AE706" s="689">
        <v>43844</v>
      </c>
      <c r="AF706" s="690" t="s">
        <v>9377</v>
      </c>
      <c r="AG706" s="686" t="s">
        <v>5</v>
      </c>
      <c r="AH706" s="686" t="s">
        <v>8243</v>
      </c>
      <c r="AI706" s="27">
        <v>44133</v>
      </c>
      <c r="AJ706" s="689">
        <v>44124</v>
      </c>
      <c r="AK706" s="690" t="s">
        <v>9759</v>
      </c>
      <c r="AL706" s="686" t="s">
        <v>5</v>
      </c>
      <c r="AM706" s="686" t="s">
        <v>9760</v>
      </c>
      <c r="AN706" s="686" t="s">
        <v>4690</v>
      </c>
      <c r="AO706" s="705"/>
      <c r="AP706" s="686"/>
      <c r="AQ706" s="690" t="s">
        <v>5318</v>
      </c>
      <c r="AR706" s="686" t="s">
        <v>2080</v>
      </c>
      <c r="AS706" s="27">
        <v>37987</v>
      </c>
      <c r="AT706" s="27">
        <v>40145</v>
      </c>
      <c r="AU706" s="686" t="s">
        <v>7984</v>
      </c>
      <c r="AV706" s="686"/>
      <c r="AW706" s="686" t="s">
        <v>69</v>
      </c>
      <c r="AX706" s="686" t="s">
        <v>5319</v>
      </c>
      <c r="AY706" s="27">
        <v>42964</v>
      </c>
      <c r="AZ706" s="686" t="s">
        <v>67</v>
      </c>
      <c r="BA706" s="686" t="s">
        <v>67</v>
      </c>
      <c r="BB706" s="27">
        <v>42886</v>
      </c>
      <c r="BC706" s="686" t="s">
        <v>95</v>
      </c>
      <c r="BD706" s="686" t="s">
        <v>566</v>
      </c>
      <c r="BE706" s="686"/>
      <c r="BF706" s="690" t="s">
        <v>5320</v>
      </c>
      <c r="BG706" s="690"/>
      <c r="BH706" s="690"/>
      <c r="BI706" s="690"/>
      <c r="BJ706" s="696">
        <f>+[235]MATRIZ!$J$74</f>
        <v>0</v>
      </c>
      <c r="BK706" s="696"/>
      <c r="BL706" s="697"/>
      <c r="BM706" s="27"/>
      <c r="BN706" s="689"/>
      <c r="BO706" s="699"/>
      <c r="BP706" s="700"/>
      <c r="BQ706" s="686"/>
      <c r="BR706" s="701"/>
      <c r="BS706" s="690"/>
      <c r="BT706" s="690"/>
      <c r="BU706" s="690"/>
      <c r="BV706" s="690"/>
      <c r="BW706" s="702"/>
      <c r="BX706" s="693"/>
      <c r="BY706" s="27"/>
      <c r="BZ706" s="703"/>
      <c r="CA706" s="259"/>
      <c r="CB706" s="259"/>
      <c r="CC706" s="259"/>
      <c r="CD706" s="259"/>
      <c r="CE706" s="259"/>
      <c r="CF706" s="259"/>
      <c r="CG706" s="259"/>
      <c r="CH706" s="259"/>
      <c r="CI706" s="259"/>
      <c r="CJ706" s="259"/>
      <c r="CK706" s="259"/>
      <c r="CL706" s="259"/>
      <c r="CM706" s="259"/>
      <c r="CN706" s="259"/>
      <c r="CO706" s="259"/>
      <c r="CP706" s="259"/>
      <c r="CQ706" s="259"/>
      <c r="CR706" s="259"/>
      <c r="CS706" s="259"/>
      <c r="CT706" s="259"/>
      <c r="CU706" s="259"/>
      <c r="CV706" s="259"/>
      <c r="CW706" s="259"/>
      <c r="CX706" s="259"/>
      <c r="CY706" s="259"/>
      <c r="CZ706" s="259"/>
      <c r="DA706" s="259"/>
      <c r="DB706" s="259"/>
      <c r="DC706" s="259"/>
      <c r="DD706" s="259"/>
      <c r="DE706" s="259"/>
      <c r="DF706" s="259"/>
      <c r="DG706" s="259"/>
      <c r="DH706" s="259"/>
      <c r="DI706" s="259"/>
      <c r="DJ706" s="259"/>
      <c r="DK706" s="259"/>
      <c r="DL706" s="259"/>
      <c r="DM706" s="259"/>
      <c r="DN706" s="259"/>
      <c r="DO706" s="259"/>
      <c r="DP706" s="259"/>
      <c r="DQ706" s="259"/>
      <c r="DR706" s="259"/>
      <c r="DS706" s="259"/>
      <c r="DT706" s="259"/>
      <c r="DU706" s="259"/>
      <c r="DV706" s="259"/>
      <c r="DW706" s="259"/>
      <c r="DX706" s="259"/>
      <c r="DY706" s="259"/>
      <c r="DZ706" s="259"/>
      <c r="EA706" s="259"/>
      <c r="EB706" s="259"/>
      <c r="EC706" s="259"/>
      <c r="ED706" s="259"/>
      <c r="EE706" s="259"/>
      <c r="EF706" s="259"/>
      <c r="EG706" s="259"/>
      <c r="EH706" s="259"/>
      <c r="EI706" s="259"/>
      <c r="EJ706" s="259"/>
      <c r="EK706" s="259"/>
      <c r="EL706" s="259"/>
      <c r="EM706" s="259"/>
      <c r="EN706" s="259"/>
      <c r="EO706" s="259"/>
      <c r="EP706" s="259"/>
      <c r="EQ706" s="259"/>
      <c r="ER706" s="259"/>
      <c r="ES706" s="259"/>
      <c r="ET706" s="259"/>
      <c r="EU706" s="259"/>
      <c r="EV706" s="259"/>
      <c r="EW706" s="259"/>
      <c r="EX706" s="259"/>
      <c r="EY706" s="259"/>
      <c r="EZ706" s="259"/>
      <c r="FA706" s="259"/>
      <c r="FB706" s="259"/>
      <c r="FC706" s="259"/>
      <c r="FD706" s="259"/>
      <c r="FE706" s="259"/>
      <c r="FF706" s="259"/>
      <c r="FG706" s="259"/>
      <c r="FH706" s="259"/>
      <c r="FI706" s="259"/>
      <c r="FJ706" s="259"/>
      <c r="FK706" s="259"/>
      <c r="FL706" s="259"/>
      <c r="FM706" s="259"/>
      <c r="FN706" s="259"/>
      <c r="FO706" s="259"/>
      <c r="FP706" s="259"/>
      <c r="FQ706" s="259"/>
      <c r="FR706" s="259"/>
      <c r="FS706" s="259"/>
      <c r="FT706" s="259"/>
      <c r="FU706" s="259"/>
      <c r="FV706" s="259"/>
      <c r="FW706" s="259"/>
      <c r="FX706" s="259"/>
      <c r="FY706" s="259"/>
      <c r="FZ706" s="259"/>
      <c r="GA706" s="259"/>
      <c r="GB706" s="259"/>
      <c r="GC706" s="259"/>
      <c r="GD706" s="259"/>
      <c r="GE706" s="259"/>
      <c r="GF706" s="259"/>
      <c r="GG706" s="259"/>
      <c r="GH706" s="259"/>
      <c r="GI706" s="259"/>
      <c r="GJ706" s="259"/>
      <c r="GK706" s="259"/>
      <c r="GL706" s="259"/>
      <c r="GM706" s="259"/>
      <c r="GN706" s="259"/>
      <c r="GO706" s="259"/>
      <c r="GP706" s="259"/>
      <c r="GQ706" s="259"/>
      <c r="GR706" s="259"/>
      <c r="GS706" s="259"/>
      <c r="GT706" s="259"/>
      <c r="GU706" s="259"/>
      <c r="GV706" s="259"/>
      <c r="GW706" s="259"/>
      <c r="GX706" s="259"/>
      <c r="GY706" s="259"/>
      <c r="GZ706" s="259"/>
      <c r="HA706" s="259"/>
      <c r="HB706" s="259"/>
      <c r="HC706" s="259"/>
      <c r="HD706" s="259"/>
      <c r="HE706" s="259"/>
      <c r="HF706" s="259"/>
      <c r="HG706" s="259"/>
      <c r="HH706" s="259"/>
      <c r="HI706" s="259"/>
      <c r="HJ706" s="259"/>
      <c r="HK706" s="259"/>
      <c r="HL706" s="259"/>
      <c r="HM706" s="259"/>
      <c r="HN706" s="259"/>
      <c r="HO706" s="259"/>
      <c r="HP706" s="259"/>
      <c r="HQ706" s="259"/>
      <c r="HR706" s="259"/>
      <c r="HS706" s="259"/>
      <c r="HT706" s="259"/>
      <c r="HU706" s="259"/>
      <c r="HV706" s="259"/>
      <c r="HW706" s="259"/>
      <c r="HX706" s="259"/>
      <c r="HY706" s="259"/>
      <c r="HZ706" s="259"/>
      <c r="IA706" s="259"/>
      <c r="IB706" s="259"/>
      <c r="IC706" s="259"/>
      <c r="ID706" s="259"/>
      <c r="IE706" s="259"/>
      <c r="IF706" s="259"/>
      <c r="IG706" s="259"/>
      <c r="IH706" s="259"/>
      <c r="II706" s="259"/>
      <c r="IJ706" s="259"/>
      <c r="IK706" s="259"/>
      <c r="IL706" s="259"/>
      <c r="IM706" s="259"/>
      <c r="IN706" s="259"/>
      <c r="IO706" s="259"/>
      <c r="IP706" s="259"/>
      <c r="IQ706" s="259"/>
      <c r="IR706" s="259"/>
      <c r="IS706" s="259"/>
      <c r="IT706" s="259"/>
      <c r="IU706" s="259"/>
      <c r="IV706" s="259"/>
      <c r="IW706" s="259"/>
      <c r="IX706" s="259"/>
      <c r="IY706" s="259"/>
      <c r="IZ706" s="259"/>
      <c r="JA706" s="259"/>
      <c r="JB706" s="259"/>
      <c r="JC706" s="259"/>
      <c r="JD706" s="259"/>
      <c r="JE706" s="259"/>
      <c r="JF706" s="259"/>
      <c r="JG706" s="259"/>
      <c r="JH706" s="259"/>
      <c r="JI706" s="259"/>
      <c r="JJ706" s="259"/>
      <c r="JK706" s="259"/>
      <c r="JL706" s="259"/>
      <c r="JM706" s="259"/>
      <c r="JN706" s="259"/>
      <c r="JO706" s="259"/>
      <c r="JP706" s="259"/>
      <c r="JQ706" s="259"/>
      <c r="JR706" s="259"/>
      <c r="JS706" s="259"/>
      <c r="JT706" s="259"/>
      <c r="JU706" s="259"/>
      <c r="JV706" s="259"/>
      <c r="JW706" s="259"/>
      <c r="JX706" s="259"/>
      <c r="JY706" s="259"/>
      <c r="JZ706" s="259"/>
      <c r="KA706" s="259"/>
      <c r="KB706" s="259"/>
      <c r="KC706" s="259"/>
      <c r="KD706" s="259"/>
      <c r="KE706" s="259"/>
      <c r="KF706" s="259"/>
      <c r="KG706" s="259"/>
      <c r="KH706" s="259"/>
      <c r="KI706" s="259"/>
      <c r="KJ706" s="259"/>
      <c r="KK706" s="259"/>
      <c r="KL706" s="259"/>
      <c r="KM706" s="259"/>
      <c r="KN706" s="259"/>
      <c r="KO706" s="259"/>
      <c r="KP706" s="259"/>
      <c r="KQ706" s="259"/>
      <c r="KR706" s="259"/>
      <c r="KS706" s="259"/>
      <c r="KT706" s="259"/>
      <c r="KU706" s="259"/>
      <c r="KV706" s="259"/>
      <c r="KW706" s="259"/>
      <c r="KX706" s="259"/>
      <c r="KY706" s="259"/>
      <c r="KZ706" s="259"/>
      <c r="LA706" s="259"/>
      <c r="LB706" s="259"/>
      <c r="LC706" s="259"/>
      <c r="LD706" s="259"/>
      <c r="LE706" s="259"/>
      <c r="LF706" s="259"/>
      <c r="LG706" s="259"/>
      <c r="LH706" s="259"/>
      <c r="LI706" s="259"/>
      <c r="LJ706" s="259"/>
      <c r="LK706" s="259"/>
      <c r="LL706" s="259"/>
      <c r="LM706" s="259"/>
      <c r="LN706" s="259"/>
      <c r="LO706" s="259"/>
      <c r="LP706" s="259"/>
      <c r="LQ706" s="259"/>
      <c r="LR706" s="259"/>
      <c r="LS706" s="259"/>
      <c r="LT706" s="259"/>
      <c r="LU706" s="259"/>
      <c r="LV706" s="259"/>
      <c r="LW706" s="259"/>
      <c r="LX706" s="259"/>
      <c r="LY706" s="259"/>
      <c r="LZ706" s="259"/>
      <c r="MA706" s="259"/>
      <c r="MB706" s="259"/>
      <c r="MC706" s="259"/>
      <c r="MD706" s="259"/>
      <c r="ME706" s="259"/>
      <c r="MF706" s="259"/>
      <c r="MG706" s="259"/>
      <c r="MH706" s="259"/>
      <c r="MI706" s="259"/>
      <c r="MJ706" s="259"/>
      <c r="MK706" s="259"/>
      <c r="ML706" s="259"/>
      <c r="MM706" s="259"/>
      <c r="MN706" s="259"/>
      <c r="MO706" s="259"/>
      <c r="MP706" s="259"/>
      <c r="MQ706" s="259"/>
      <c r="MR706" s="259"/>
      <c r="MS706" s="259"/>
      <c r="MT706" s="259"/>
      <c r="MU706" s="259"/>
      <c r="MV706" s="259"/>
      <c r="MW706" s="259"/>
      <c r="MX706" s="259"/>
      <c r="MY706" s="259"/>
      <c r="MZ706" s="259"/>
      <c r="NA706" s="259"/>
      <c r="NB706" s="259"/>
      <c r="NC706" s="259"/>
      <c r="ND706" s="259"/>
      <c r="NE706" s="259"/>
      <c r="NF706" s="259"/>
      <c r="NG706" s="259"/>
      <c r="NH706" s="259"/>
      <c r="NI706" s="259"/>
      <c r="NJ706" s="259"/>
      <c r="NK706" s="259"/>
      <c r="NL706" s="259"/>
      <c r="NM706" s="259"/>
      <c r="NN706" s="259"/>
      <c r="NO706" s="259"/>
      <c r="NP706" s="259"/>
      <c r="NQ706" s="259"/>
      <c r="NR706" s="259"/>
      <c r="NS706" s="259"/>
      <c r="NT706" s="259"/>
      <c r="NU706" s="259"/>
      <c r="NV706" s="259"/>
      <c r="NW706" s="259"/>
      <c r="NX706" s="259"/>
      <c r="NY706" s="259"/>
      <c r="NZ706" s="259"/>
      <c r="OA706" s="259"/>
      <c r="OB706" s="259"/>
      <c r="OC706" s="259"/>
      <c r="OD706" s="259"/>
      <c r="OE706" s="259"/>
      <c r="OF706" s="259"/>
      <c r="OG706" s="259"/>
      <c r="OH706" s="259"/>
      <c r="OI706" s="259"/>
      <c r="OJ706" s="259"/>
      <c r="OK706" s="259"/>
      <c r="OL706" s="259"/>
      <c r="OM706" s="259"/>
      <c r="ON706" s="259"/>
      <c r="OO706" s="259"/>
      <c r="OP706" s="259"/>
      <c r="OQ706" s="259"/>
      <c r="OR706" s="259"/>
      <c r="OS706" s="259"/>
      <c r="OT706" s="259"/>
      <c r="OU706" s="259"/>
      <c r="OV706" s="259"/>
      <c r="OW706" s="259"/>
      <c r="OX706" s="259"/>
      <c r="OY706" s="259"/>
      <c r="OZ706" s="259"/>
      <c r="PA706" s="259"/>
      <c r="PB706" s="259"/>
      <c r="PC706" s="259"/>
      <c r="PD706" s="259"/>
      <c r="PE706" s="259"/>
      <c r="PF706" s="259"/>
      <c r="PG706" s="259"/>
      <c r="PH706" s="259"/>
      <c r="PI706" s="259"/>
      <c r="PJ706" s="259"/>
      <c r="PK706" s="259"/>
      <c r="PL706" s="259"/>
      <c r="PM706" s="259"/>
      <c r="PN706" s="259"/>
      <c r="PO706" s="259"/>
      <c r="PP706" s="259"/>
      <c r="PQ706" s="259"/>
      <c r="PR706" s="259"/>
      <c r="PS706" s="259"/>
      <c r="PT706" s="259"/>
      <c r="PU706" s="259"/>
      <c r="PV706" s="259"/>
      <c r="PW706" s="259"/>
      <c r="PX706" s="259"/>
      <c r="PY706" s="259"/>
      <c r="PZ706" s="259"/>
      <c r="QA706" s="259"/>
      <c r="QB706" s="259"/>
      <c r="QC706" s="259"/>
      <c r="QD706" s="259"/>
      <c r="QE706" s="259"/>
      <c r="QF706" s="259"/>
      <c r="QG706" s="259"/>
      <c r="QH706" s="259"/>
      <c r="QI706" s="259"/>
      <c r="QJ706" s="259"/>
      <c r="QK706" s="259"/>
      <c r="QL706" s="259"/>
      <c r="QM706" s="259"/>
      <c r="QN706" s="259"/>
      <c r="QO706" s="259"/>
      <c r="QP706" s="259"/>
      <c r="QQ706" s="259"/>
      <c r="QR706" s="259"/>
      <c r="QS706" s="259"/>
      <c r="QT706" s="259"/>
      <c r="QU706" s="259"/>
      <c r="QV706" s="259"/>
      <c r="QW706" s="259"/>
      <c r="QX706" s="259"/>
      <c r="QY706" s="259"/>
      <c r="QZ706" s="259"/>
      <c r="RA706" s="259"/>
      <c r="RB706" s="259"/>
      <c r="RC706" s="259"/>
      <c r="RD706" s="259"/>
      <c r="RE706" s="259"/>
      <c r="RF706" s="259"/>
      <c r="RG706" s="259"/>
      <c r="RH706" s="259"/>
      <c r="RI706" s="259"/>
      <c r="RJ706" s="259"/>
      <c r="RK706" s="259"/>
      <c r="RL706" s="259"/>
      <c r="RM706" s="259"/>
      <c r="RN706" s="259"/>
      <c r="RO706" s="259"/>
      <c r="RP706" s="259"/>
      <c r="RQ706" s="259"/>
      <c r="RR706" s="259"/>
      <c r="RS706" s="259"/>
      <c r="RT706" s="259"/>
      <c r="RU706" s="259"/>
      <c r="RV706" s="259"/>
      <c r="RW706" s="259"/>
      <c r="RX706" s="259"/>
      <c r="RY706" s="259"/>
      <c r="RZ706" s="259"/>
      <c r="SA706" s="259"/>
      <c r="SB706" s="259"/>
      <c r="SC706" s="259"/>
      <c r="SD706" s="259"/>
      <c r="SE706" s="259"/>
      <c r="SF706" s="259"/>
      <c r="SG706" s="259"/>
      <c r="SH706" s="259"/>
      <c r="SI706" s="259"/>
      <c r="SJ706" s="259"/>
      <c r="SK706" s="259"/>
      <c r="SL706" s="259"/>
      <c r="SM706" s="259"/>
      <c r="SN706" s="259"/>
      <c r="SO706" s="259"/>
      <c r="SP706" s="259"/>
      <c r="SQ706" s="259"/>
      <c r="SR706" s="259"/>
      <c r="SS706" s="259"/>
      <c r="ST706" s="259"/>
      <c r="SU706" s="259"/>
      <c r="SV706" s="259"/>
      <c r="SW706" s="259"/>
      <c r="SX706" s="259"/>
      <c r="SY706" s="259"/>
      <c r="SZ706" s="259"/>
      <c r="TA706" s="259"/>
      <c r="TB706" s="259"/>
      <c r="TC706" s="259"/>
      <c r="TD706" s="259"/>
      <c r="TE706" s="259"/>
      <c r="TF706" s="259"/>
      <c r="TG706" s="259"/>
      <c r="TH706" s="259"/>
      <c r="TI706" s="259"/>
      <c r="TJ706" s="259"/>
      <c r="TK706" s="259"/>
      <c r="TL706" s="259"/>
      <c r="TM706" s="259"/>
      <c r="TN706" s="259"/>
      <c r="TO706" s="259"/>
      <c r="TP706" s="259"/>
      <c r="TQ706" s="259"/>
      <c r="TR706" s="259"/>
      <c r="TS706" s="259"/>
      <c r="TT706" s="259"/>
      <c r="TU706" s="259"/>
      <c r="TV706" s="259"/>
      <c r="TW706" s="259"/>
      <c r="TX706" s="259"/>
      <c r="TY706" s="259"/>
      <c r="TZ706" s="259"/>
      <c r="UA706" s="259"/>
      <c r="UB706" s="259"/>
      <c r="UC706" s="259"/>
      <c r="UD706" s="259"/>
      <c r="UE706" s="259"/>
      <c r="UF706" s="259"/>
      <c r="UG706" s="259"/>
      <c r="UH706" s="259"/>
      <c r="UI706" s="259"/>
    </row>
    <row r="707" spans="1:555" ht="148.5">
      <c r="A707" s="502">
        <v>611</v>
      </c>
      <c r="B707" s="686" t="s">
        <v>5321</v>
      </c>
      <c r="C707" s="687">
        <v>18143652</v>
      </c>
      <c r="D707" s="688" t="s">
        <v>4983</v>
      </c>
      <c r="E707" s="27">
        <v>42971</v>
      </c>
      <c r="F707" s="689">
        <v>42948</v>
      </c>
      <c r="G707" s="690" t="s">
        <v>5322</v>
      </c>
      <c r="H707" s="686" t="s">
        <v>63</v>
      </c>
      <c r="I707" s="686" t="s">
        <v>85</v>
      </c>
      <c r="J707" s="27">
        <v>42885</v>
      </c>
      <c r="K707" s="689">
        <v>42856</v>
      </c>
      <c r="L707" s="690" t="s">
        <v>5323</v>
      </c>
      <c r="M707" s="686" t="s">
        <v>63</v>
      </c>
      <c r="N707" s="686" t="s">
        <v>79</v>
      </c>
      <c r="O707" s="27">
        <v>43201</v>
      </c>
      <c r="P707" s="691">
        <v>43191</v>
      </c>
      <c r="Q707" s="690" t="s">
        <v>4988</v>
      </c>
      <c r="R707" s="686" t="s">
        <v>2743</v>
      </c>
      <c r="S707" s="686" t="s">
        <v>1491</v>
      </c>
      <c r="T707" s="27">
        <v>43396</v>
      </c>
      <c r="U707" s="689">
        <v>43396</v>
      </c>
      <c r="V707" s="690" t="s">
        <v>7347</v>
      </c>
      <c r="W707" s="686" t="s">
        <v>63</v>
      </c>
      <c r="X707" s="686" t="s">
        <v>85</v>
      </c>
      <c r="Y707" s="27"/>
      <c r="Z707" s="689"/>
      <c r="AA707" s="690"/>
      <c r="AB707" s="686"/>
      <c r="AC707" s="686"/>
      <c r="AD707" s="27"/>
      <c r="AE707" s="689"/>
      <c r="AF707" s="690"/>
      <c r="AG707" s="686"/>
      <c r="AH707" s="686"/>
      <c r="AI707" s="704"/>
      <c r="AJ707" s="689"/>
      <c r="AK707" s="690"/>
      <c r="AL707" s="686"/>
      <c r="AM707" s="686"/>
      <c r="AN707" s="686" t="s">
        <v>3671</v>
      </c>
      <c r="AO707" s="705"/>
      <c r="AP707" s="686"/>
      <c r="AQ707" s="690" t="s">
        <v>5324</v>
      </c>
      <c r="AR707" s="686" t="s">
        <v>161</v>
      </c>
      <c r="AS707" s="27">
        <v>37956</v>
      </c>
      <c r="AT707" s="27">
        <v>39794</v>
      </c>
      <c r="AU707" s="686" t="s">
        <v>7527</v>
      </c>
      <c r="AV707" s="686"/>
      <c r="AW707" s="686" t="s">
        <v>92</v>
      </c>
      <c r="AX707" s="686" t="s">
        <v>5325</v>
      </c>
      <c r="AY707" s="27">
        <v>42307</v>
      </c>
      <c r="AZ707" s="686" t="s">
        <v>67</v>
      </c>
      <c r="BA707" s="686" t="s">
        <v>67</v>
      </c>
      <c r="BB707" s="27">
        <v>42335</v>
      </c>
      <c r="BC707" s="686" t="s">
        <v>95</v>
      </c>
      <c r="BD707" s="686" t="s">
        <v>566</v>
      </c>
      <c r="BE707" s="686"/>
      <c r="BF707" s="690" t="s">
        <v>5284</v>
      </c>
      <c r="BG707" s="690"/>
      <c r="BH707" s="690"/>
      <c r="BI707" s="690"/>
      <c r="BJ707" s="696">
        <f>+[236]MATRIZ!$J$70</f>
        <v>0</v>
      </c>
      <c r="BK707" s="696"/>
      <c r="BL707" s="697"/>
      <c r="BM707" s="27"/>
      <c r="BN707" s="689"/>
      <c r="BO707" s="699"/>
      <c r="BP707" s="700"/>
      <c r="BQ707" s="686"/>
      <c r="BR707" s="701"/>
      <c r="BS707" s="690"/>
      <c r="BT707" s="690"/>
      <c r="BU707" s="690"/>
      <c r="BV707" s="690"/>
      <c r="BW707" s="702"/>
      <c r="BX707" s="693"/>
      <c r="BY707" s="27"/>
      <c r="BZ707" s="703"/>
      <c r="CA707" s="259"/>
      <c r="CB707" s="259"/>
      <c r="CC707" s="259"/>
      <c r="CD707" s="259"/>
      <c r="CE707" s="259"/>
      <c r="CF707" s="259"/>
      <c r="CG707" s="259"/>
      <c r="CH707" s="259"/>
      <c r="CI707" s="259"/>
      <c r="CJ707" s="259"/>
      <c r="CK707" s="259"/>
      <c r="CL707" s="259"/>
      <c r="CM707" s="259"/>
      <c r="CN707" s="259"/>
      <c r="CO707" s="259"/>
      <c r="CP707" s="259"/>
      <c r="CQ707" s="259"/>
      <c r="CR707" s="259"/>
      <c r="CS707" s="259"/>
      <c r="CT707" s="259"/>
      <c r="CU707" s="259"/>
      <c r="CV707" s="259"/>
      <c r="CW707" s="259"/>
      <c r="CX707" s="259"/>
      <c r="CY707" s="259"/>
      <c r="CZ707" s="259"/>
      <c r="DA707" s="259"/>
      <c r="DB707" s="259"/>
      <c r="DC707" s="259"/>
      <c r="DD707" s="259"/>
      <c r="DE707" s="259"/>
      <c r="DF707" s="259"/>
      <c r="DG707" s="259"/>
      <c r="DH707" s="259"/>
      <c r="DI707" s="259"/>
      <c r="DJ707" s="259"/>
      <c r="DK707" s="259"/>
      <c r="DL707" s="259"/>
      <c r="DM707" s="259"/>
      <c r="DN707" s="259"/>
      <c r="DO707" s="259"/>
      <c r="DP707" s="259"/>
      <c r="DQ707" s="259"/>
      <c r="DR707" s="259"/>
      <c r="DS707" s="259"/>
      <c r="DT707" s="259"/>
      <c r="DU707" s="259"/>
      <c r="DV707" s="259"/>
      <c r="DW707" s="259"/>
      <c r="DX707" s="259"/>
      <c r="DY707" s="259"/>
      <c r="DZ707" s="259"/>
      <c r="EA707" s="259"/>
      <c r="EB707" s="259"/>
      <c r="EC707" s="259"/>
      <c r="ED707" s="259"/>
      <c r="EE707" s="259"/>
      <c r="EF707" s="259"/>
      <c r="EG707" s="259"/>
      <c r="EH707" s="259"/>
      <c r="EI707" s="259"/>
      <c r="EJ707" s="259"/>
      <c r="EK707" s="259"/>
      <c r="EL707" s="259"/>
      <c r="EM707" s="259"/>
      <c r="EN707" s="259"/>
      <c r="EO707" s="259"/>
      <c r="EP707" s="259"/>
      <c r="EQ707" s="259"/>
      <c r="ER707" s="259"/>
      <c r="ES707" s="259"/>
      <c r="ET707" s="259"/>
      <c r="EU707" s="259"/>
      <c r="EV707" s="259"/>
      <c r="EW707" s="259"/>
      <c r="EX707" s="259"/>
      <c r="EY707" s="259"/>
      <c r="EZ707" s="259"/>
      <c r="FA707" s="259"/>
      <c r="FB707" s="259"/>
      <c r="FC707" s="259"/>
      <c r="FD707" s="259"/>
      <c r="FE707" s="259"/>
      <c r="FF707" s="259"/>
      <c r="FG707" s="259"/>
      <c r="FH707" s="259"/>
      <c r="FI707" s="259"/>
      <c r="FJ707" s="259"/>
      <c r="FK707" s="259"/>
      <c r="FL707" s="259"/>
      <c r="FM707" s="259"/>
      <c r="FN707" s="259"/>
      <c r="FO707" s="259"/>
      <c r="FP707" s="259"/>
      <c r="FQ707" s="259"/>
      <c r="FR707" s="259"/>
      <c r="FS707" s="259"/>
      <c r="FT707" s="259"/>
      <c r="FU707" s="259"/>
      <c r="FV707" s="259"/>
      <c r="FW707" s="259"/>
      <c r="FX707" s="259"/>
      <c r="FY707" s="259"/>
      <c r="FZ707" s="259"/>
      <c r="GA707" s="259"/>
      <c r="GB707" s="259"/>
      <c r="GC707" s="259"/>
      <c r="GD707" s="259"/>
      <c r="GE707" s="259"/>
      <c r="GF707" s="259"/>
      <c r="GG707" s="259"/>
      <c r="GH707" s="259"/>
      <c r="GI707" s="259"/>
      <c r="GJ707" s="259"/>
      <c r="GK707" s="259"/>
      <c r="GL707" s="259"/>
      <c r="GM707" s="259"/>
      <c r="GN707" s="259"/>
      <c r="GO707" s="259"/>
      <c r="GP707" s="259"/>
      <c r="GQ707" s="259"/>
      <c r="GR707" s="259"/>
      <c r="GS707" s="259"/>
      <c r="GT707" s="259"/>
      <c r="GU707" s="259"/>
      <c r="GV707" s="259"/>
      <c r="GW707" s="259"/>
      <c r="GX707" s="259"/>
      <c r="GY707" s="259"/>
      <c r="GZ707" s="259"/>
      <c r="HA707" s="259"/>
      <c r="HB707" s="259"/>
      <c r="HC707" s="259"/>
      <c r="HD707" s="259"/>
      <c r="HE707" s="259"/>
      <c r="HF707" s="259"/>
      <c r="HG707" s="259"/>
      <c r="HH707" s="259"/>
      <c r="HI707" s="259"/>
      <c r="HJ707" s="259"/>
      <c r="HK707" s="259"/>
      <c r="HL707" s="259"/>
      <c r="HM707" s="259"/>
      <c r="HN707" s="259"/>
      <c r="HO707" s="259"/>
      <c r="HP707" s="259"/>
      <c r="HQ707" s="259"/>
      <c r="HR707" s="259"/>
      <c r="HS707" s="259"/>
      <c r="HT707" s="259"/>
      <c r="HU707" s="259"/>
      <c r="HV707" s="259"/>
      <c r="HW707" s="259"/>
      <c r="HX707" s="259"/>
      <c r="HY707" s="259"/>
      <c r="HZ707" s="259"/>
      <c r="IA707" s="259"/>
      <c r="IB707" s="259"/>
      <c r="IC707" s="259"/>
      <c r="ID707" s="259"/>
      <c r="IE707" s="259"/>
      <c r="IF707" s="259"/>
      <c r="IG707" s="259"/>
      <c r="IH707" s="259"/>
      <c r="II707" s="259"/>
      <c r="IJ707" s="259"/>
      <c r="IK707" s="259"/>
      <c r="IL707" s="259"/>
      <c r="IM707" s="259"/>
      <c r="IN707" s="259"/>
      <c r="IO707" s="259"/>
      <c r="IP707" s="259"/>
      <c r="IQ707" s="259"/>
      <c r="IR707" s="259"/>
      <c r="IS707" s="259"/>
      <c r="IT707" s="259"/>
      <c r="IU707" s="259"/>
      <c r="IV707" s="259"/>
      <c r="IW707" s="259"/>
      <c r="IX707" s="259"/>
      <c r="IY707" s="259"/>
      <c r="IZ707" s="259"/>
      <c r="JA707" s="259"/>
      <c r="JB707" s="259"/>
      <c r="JC707" s="259"/>
      <c r="JD707" s="259"/>
      <c r="JE707" s="259"/>
      <c r="JF707" s="259"/>
      <c r="JG707" s="259"/>
      <c r="JH707" s="259"/>
      <c r="JI707" s="259"/>
      <c r="JJ707" s="259"/>
      <c r="JK707" s="259"/>
      <c r="JL707" s="259"/>
      <c r="JM707" s="259"/>
      <c r="JN707" s="259"/>
      <c r="JO707" s="259"/>
      <c r="JP707" s="259"/>
      <c r="JQ707" s="259"/>
      <c r="JR707" s="259"/>
      <c r="JS707" s="259"/>
      <c r="JT707" s="259"/>
      <c r="JU707" s="259"/>
      <c r="JV707" s="259"/>
      <c r="JW707" s="259"/>
      <c r="JX707" s="259"/>
      <c r="JY707" s="259"/>
      <c r="JZ707" s="259"/>
      <c r="KA707" s="259"/>
      <c r="KB707" s="259"/>
      <c r="KC707" s="259"/>
      <c r="KD707" s="259"/>
      <c r="KE707" s="259"/>
      <c r="KF707" s="259"/>
      <c r="KG707" s="259"/>
      <c r="KH707" s="259"/>
      <c r="KI707" s="259"/>
      <c r="KJ707" s="259"/>
      <c r="KK707" s="259"/>
      <c r="KL707" s="259"/>
      <c r="KM707" s="259"/>
      <c r="KN707" s="259"/>
      <c r="KO707" s="259"/>
      <c r="KP707" s="259"/>
      <c r="KQ707" s="259"/>
      <c r="KR707" s="259"/>
      <c r="KS707" s="259"/>
      <c r="KT707" s="259"/>
      <c r="KU707" s="259"/>
      <c r="KV707" s="259"/>
      <c r="KW707" s="259"/>
      <c r="KX707" s="259"/>
      <c r="KY707" s="259"/>
      <c r="KZ707" s="259"/>
      <c r="LA707" s="259"/>
      <c r="LB707" s="259"/>
      <c r="LC707" s="259"/>
      <c r="LD707" s="259"/>
      <c r="LE707" s="259"/>
      <c r="LF707" s="259"/>
      <c r="LG707" s="259"/>
      <c r="LH707" s="259"/>
      <c r="LI707" s="259"/>
      <c r="LJ707" s="259"/>
      <c r="LK707" s="259"/>
      <c r="LL707" s="259"/>
      <c r="LM707" s="259"/>
      <c r="LN707" s="259"/>
      <c r="LO707" s="259"/>
      <c r="LP707" s="259"/>
      <c r="LQ707" s="259"/>
      <c r="LR707" s="259"/>
      <c r="LS707" s="259"/>
      <c r="LT707" s="259"/>
      <c r="LU707" s="259"/>
      <c r="LV707" s="259"/>
      <c r="LW707" s="259"/>
      <c r="LX707" s="259"/>
      <c r="LY707" s="259"/>
      <c r="LZ707" s="259"/>
      <c r="MA707" s="259"/>
      <c r="MB707" s="259"/>
      <c r="MC707" s="259"/>
      <c r="MD707" s="259"/>
      <c r="ME707" s="259"/>
      <c r="MF707" s="259"/>
      <c r="MG707" s="259"/>
      <c r="MH707" s="259"/>
      <c r="MI707" s="259"/>
      <c r="MJ707" s="259"/>
      <c r="MK707" s="259"/>
      <c r="ML707" s="259"/>
      <c r="MM707" s="259"/>
      <c r="MN707" s="259"/>
      <c r="MO707" s="259"/>
      <c r="MP707" s="259"/>
      <c r="MQ707" s="259"/>
      <c r="MR707" s="259"/>
      <c r="MS707" s="259"/>
      <c r="MT707" s="259"/>
      <c r="MU707" s="259"/>
      <c r="MV707" s="259"/>
      <c r="MW707" s="259"/>
      <c r="MX707" s="259"/>
      <c r="MY707" s="259"/>
      <c r="MZ707" s="259"/>
      <c r="NA707" s="259"/>
      <c r="NB707" s="259"/>
      <c r="NC707" s="259"/>
      <c r="ND707" s="259"/>
      <c r="NE707" s="259"/>
      <c r="NF707" s="259"/>
      <c r="NG707" s="259"/>
      <c r="NH707" s="259"/>
      <c r="NI707" s="259"/>
      <c r="NJ707" s="259"/>
      <c r="NK707" s="259"/>
      <c r="NL707" s="259"/>
      <c r="NM707" s="259"/>
      <c r="NN707" s="259"/>
      <c r="NO707" s="259"/>
      <c r="NP707" s="259"/>
      <c r="NQ707" s="259"/>
      <c r="NR707" s="259"/>
      <c r="NS707" s="259"/>
      <c r="NT707" s="259"/>
      <c r="NU707" s="259"/>
      <c r="NV707" s="259"/>
      <c r="NW707" s="259"/>
      <c r="NX707" s="259"/>
      <c r="NY707" s="259"/>
      <c r="NZ707" s="259"/>
      <c r="OA707" s="259"/>
      <c r="OB707" s="259"/>
      <c r="OC707" s="259"/>
      <c r="OD707" s="259"/>
      <c r="OE707" s="259"/>
      <c r="OF707" s="259"/>
      <c r="OG707" s="259"/>
      <c r="OH707" s="259"/>
      <c r="OI707" s="259"/>
      <c r="OJ707" s="259"/>
      <c r="OK707" s="259"/>
      <c r="OL707" s="259"/>
      <c r="OM707" s="259"/>
      <c r="ON707" s="259"/>
      <c r="OO707" s="259"/>
      <c r="OP707" s="259"/>
      <c r="OQ707" s="259"/>
      <c r="OR707" s="259"/>
      <c r="OS707" s="259"/>
      <c r="OT707" s="259"/>
      <c r="OU707" s="259"/>
      <c r="OV707" s="259"/>
      <c r="OW707" s="259"/>
      <c r="OX707" s="259"/>
      <c r="OY707" s="259"/>
      <c r="OZ707" s="259"/>
      <c r="PA707" s="259"/>
      <c r="PB707" s="259"/>
      <c r="PC707" s="259"/>
      <c r="PD707" s="259"/>
      <c r="PE707" s="259"/>
      <c r="PF707" s="259"/>
      <c r="PG707" s="259"/>
      <c r="PH707" s="259"/>
      <c r="PI707" s="259"/>
      <c r="PJ707" s="259"/>
      <c r="PK707" s="259"/>
      <c r="PL707" s="259"/>
      <c r="PM707" s="259"/>
      <c r="PN707" s="259"/>
      <c r="PO707" s="259"/>
      <c r="PP707" s="259"/>
      <c r="PQ707" s="259"/>
      <c r="PR707" s="259"/>
      <c r="PS707" s="259"/>
      <c r="PT707" s="259"/>
      <c r="PU707" s="259"/>
      <c r="PV707" s="259"/>
      <c r="PW707" s="259"/>
      <c r="PX707" s="259"/>
      <c r="PY707" s="259"/>
      <c r="PZ707" s="259"/>
      <c r="QA707" s="259"/>
      <c r="QB707" s="259"/>
      <c r="QC707" s="259"/>
      <c r="QD707" s="259"/>
      <c r="QE707" s="259"/>
      <c r="QF707" s="259"/>
      <c r="QG707" s="259"/>
      <c r="QH707" s="259"/>
      <c r="QI707" s="259"/>
      <c r="QJ707" s="259"/>
      <c r="QK707" s="259"/>
      <c r="QL707" s="259"/>
      <c r="QM707" s="259"/>
      <c r="QN707" s="259"/>
      <c r="QO707" s="259"/>
      <c r="QP707" s="259"/>
      <c r="QQ707" s="259"/>
      <c r="QR707" s="259"/>
      <c r="QS707" s="259"/>
      <c r="QT707" s="259"/>
      <c r="QU707" s="259"/>
      <c r="QV707" s="259"/>
      <c r="QW707" s="259"/>
      <c r="QX707" s="259"/>
      <c r="QY707" s="259"/>
      <c r="QZ707" s="259"/>
      <c r="RA707" s="259"/>
      <c r="RB707" s="259"/>
      <c r="RC707" s="259"/>
      <c r="RD707" s="259"/>
      <c r="RE707" s="259"/>
      <c r="RF707" s="259"/>
      <c r="RG707" s="259"/>
      <c r="RH707" s="259"/>
      <c r="RI707" s="259"/>
      <c r="RJ707" s="259"/>
      <c r="RK707" s="259"/>
      <c r="RL707" s="259"/>
      <c r="RM707" s="259"/>
      <c r="RN707" s="259"/>
      <c r="RO707" s="259"/>
      <c r="RP707" s="259"/>
      <c r="RQ707" s="259"/>
      <c r="RR707" s="259"/>
      <c r="RS707" s="259"/>
      <c r="RT707" s="259"/>
      <c r="RU707" s="259"/>
      <c r="RV707" s="259"/>
      <c r="RW707" s="259"/>
      <c r="RX707" s="259"/>
      <c r="RY707" s="259"/>
      <c r="RZ707" s="259"/>
      <c r="SA707" s="259"/>
      <c r="SB707" s="259"/>
      <c r="SC707" s="259"/>
      <c r="SD707" s="259"/>
      <c r="SE707" s="259"/>
      <c r="SF707" s="259"/>
      <c r="SG707" s="259"/>
      <c r="SH707" s="259"/>
      <c r="SI707" s="259"/>
      <c r="SJ707" s="259"/>
      <c r="SK707" s="259"/>
      <c r="SL707" s="259"/>
      <c r="SM707" s="259"/>
      <c r="SN707" s="259"/>
      <c r="SO707" s="259"/>
      <c r="SP707" s="259"/>
      <c r="SQ707" s="259"/>
      <c r="SR707" s="259"/>
      <c r="SS707" s="259"/>
      <c r="ST707" s="259"/>
      <c r="SU707" s="259"/>
      <c r="SV707" s="259"/>
      <c r="SW707" s="259"/>
      <c r="SX707" s="259"/>
      <c r="SY707" s="259"/>
      <c r="SZ707" s="259"/>
      <c r="TA707" s="259"/>
      <c r="TB707" s="259"/>
      <c r="TC707" s="259"/>
      <c r="TD707" s="259"/>
      <c r="TE707" s="259"/>
      <c r="TF707" s="259"/>
      <c r="TG707" s="259"/>
      <c r="TH707" s="259"/>
      <c r="TI707" s="259"/>
      <c r="TJ707" s="259"/>
      <c r="TK707" s="259"/>
      <c r="TL707" s="259"/>
      <c r="TM707" s="259"/>
      <c r="TN707" s="259"/>
      <c r="TO707" s="259"/>
      <c r="TP707" s="259"/>
      <c r="TQ707" s="259"/>
      <c r="TR707" s="259"/>
      <c r="TS707" s="259"/>
      <c r="TT707" s="259"/>
      <c r="TU707" s="259"/>
      <c r="TV707" s="259"/>
      <c r="TW707" s="259"/>
      <c r="TX707" s="259"/>
      <c r="TY707" s="259"/>
      <c r="TZ707" s="259"/>
      <c r="UA707" s="259"/>
      <c r="UB707" s="259"/>
      <c r="UC707" s="259"/>
      <c r="UD707" s="259"/>
      <c r="UE707" s="259"/>
      <c r="UF707" s="259"/>
      <c r="UG707" s="259"/>
      <c r="UH707" s="259"/>
      <c r="UI707" s="259"/>
    </row>
    <row r="708" spans="1:555" ht="40.5">
      <c r="A708" s="729">
        <v>612</v>
      </c>
      <c r="B708" s="381" t="s">
        <v>5326</v>
      </c>
      <c r="C708" s="730"/>
      <c r="D708" s="731"/>
      <c r="E708" s="382"/>
      <c r="F708" s="379"/>
      <c r="G708" s="383"/>
      <c r="H708" s="381"/>
      <c r="I708" s="381"/>
      <c r="J708" s="382"/>
      <c r="K708" s="379"/>
      <c r="L708" s="383"/>
      <c r="M708" s="381"/>
      <c r="N708" s="381"/>
      <c r="O708" s="382"/>
      <c r="P708" s="732"/>
      <c r="Q708" s="383"/>
      <c r="R708" s="381"/>
      <c r="S708" s="381"/>
      <c r="T708" s="382"/>
      <c r="U708" s="379"/>
      <c r="V708" s="383"/>
      <c r="W708" s="381"/>
      <c r="X708" s="381"/>
      <c r="Y708" s="382"/>
      <c r="Z708" s="379"/>
      <c r="AA708" s="383"/>
      <c r="AB708" s="381"/>
      <c r="AC708" s="381"/>
      <c r="AD708" s="382"/>
      <c r="AE708" s="379"/>
      <c r="AF708" s="383"/>
      <c r="AG708" s="381"/>
      <c r="AH708" s="381"/>
      <c r="AI708" s="745"/>
      <c r="AJ708" s="379"/>
      <c r="AK708" s="383"/>
      <c r="AL708" s="381"/>
      <c r="AM708" s="381"/>
      <c r="AN708" s="381"/>
      <c r="AO708" s="381"/>
      <c r="AP708" s="381"/>
      <c r="AQ708" s="383"/>
      <c r="AR708" s="381"/>
      <c r="AS708" s="382"/>
      <c r="AT708" s="382"/>
      <c r="AU708" s="381"/>
      <c r="AV708" s="381"/>
      <c r="AW708" s="381"/>
      <c r="AX708" s="381"/>
      <c r="AY708" s="382"/>
      <c r="AZ708" s="381"/>
      <c r="BA708" s="382"/>
      <c r="BB708" s="382"/>
      <c r="BC708" s="381"/>
      <c r="BD708" s="381"/>
      <c r="BE708" s="381"/>
      <c r="BF708" s="383"/>
      <c r="BG708" s="383"/>
      <c r="BH708" s="383"/>
      <c r="BI708" s="383"/>
      <c r="BJ708" s="737"/>
      <c r="BK708" s="737"/>
      <c r="BL708" s="738"/>
      <c r="BM708" s="382"/>
      <c r="BN708" s="379"/>
      <c r="BO708" s="740"/>
      <c r="BP708" s="741"/>
      <c r="BQ708" s="381"/>
      <c r="BR708" s="742"/>
      <c r="BS708" s="383"/>
      <c r="BT708" s="383"/>
      <c r="BU708" s="383"/>
      <c r="BV708" s="383"/>
      <c r="BW708" s="743"/>
      <c r="BX708" s="733"/>
      <c r="BY708" s="382"/>
      <c r="BZ708" s="744"/>
      <c r="CA708" s="685"/>
      <c r="CB708" s="685"/>
      <c r="CC708" s="685"/>
      <c r="CD708" s="685"/>
      <c r="CE708" s="685"/>
      <c r="CF708" s="685"/>
      <c r="CG708" s="685"/>
      <c r="CH708" s="685"/>
      <c r="CI708" s="685"/>
      <c r="CJ708" s="685"/>
      <c r="CK708" s="685"/>
      <c r="CL708" s="685"/>
      <c r="CM708" s="685"/>
      <c r="CN708" s="685"/>
      <c r="CO708" s="685"/>
      <c r="CP708" s="685"/>
      <c r="CQ708" s="685"/>
      <c r="CR708" s="685"/>
      <c r="CS708" s="685"/>
      <c r="CT708" s="685"/>
      <c r="CU708" s="685"/>
      <c r="CV708" s="685"/>
      <c r="CW708" s="685"/>
      <c r="CX708" s="685"/>
      <c r="CY708" s="685"/>
      <c r="CZ708" s="685"/>
      <c r="DA708" s="685"/>
      <c r="DB708" s="685"/>
      <c r="DC708" s="685"/>
      <c r="DD708" s="685"/>
      <c r="DE708" s="685"/>
      <c r="DF708" s="685"/>
      <c r="DG708" s="685"/>
      <c r="DH708" s="685"/>
      <c r="DI708" s="685"/>
      <c r="DJ708" s="685"/>
      <c r="DK708" s="685"/>
      <c r="DL708" s="685"/>
      <c r="DM708" s="685"/>
      <c r="DN708" s="685"/>
      <c r="DO708" s="685"/>
      <c r="DP708" s="685"/>
      <c r="DQ708" s="685"/>
      <c r="DR708" s="685"/>
      <c r="DS708" s="685"/>
      <c r="DT708" s="685"/>
      <c r="DU708" s="685"/>
      <c r="DV708" s="685"/>
      <c r="DW708" s="685"/>
      <c r="DX708" s="685"/>
      <c r="DY708" s="685"/>
      <c r="DZ708" s="685"/>
      <c r="EA708" s="685"/>
      <c r="EB708" s="685"/>
      <c r="EC708" s="685"/>
      <c r="ED708" s="685"/>
      <c r="EE708" s="685"/>
      <c r="EF708" s="685"/>
      <c r="EG708" s="685"/>
      <c r="EH708" s="685"/>
      <c r="EI708" s="685"/>
      <c r="EJ708" s="685"/>
      <c r="EK708" s="685"/>
      <c r="EL708" s="685"/>
      <c r="EM708" s="685"/>
      <c r="EN708" s="685"/>
      <c r="EO708" s="685"/>
      <c r="EP708" s="685"/>
      <c r="EQ708" s="685"/>
      <c r="ER708" s="685"/>
      <c r="ES708" s="685"/>
      <c r="ET708" s="685"/>
      <c r="EU708" s="685"/>
      <c r="EV708" s="685"/>
      <c r="EW708" s="685"/>
      <c r="EX708" s="685"/>
      <c r="EY708" s="685"/>
      <c r="EZ708" s="685"/>
      <c r="FA708" s="685"/>
      <c r="FB708" s="685"/>
      <c r="FC708" s="685"/>
      <c r="FD708" s="685"/>
      <c r="FE708" s="685"/>
      <c r="FF708" s="685"/>
      <c r="FG708" s="685"/>
      <c r="FH708" s="685"/>
      <c r="FI708" s="685"/>
      <c r="FJ708" s="685"/>
      <c r="FK708" s="685"/>
      <c r="FL708" s="685"/>
      <c r="FM708" s="685"/>
      <c r="FN708" s="685"/>
      <c r="FO708" s="685"/>
      <c r="FP708" s="685"/>
      <c r="FQ708" s="685"/>
      <c r="FR708" s="685"/>
      <c r="FS708" s="685"/>
      <c r="FT708" s="685"/>
      <c r="FU708" s="685"/>
      <c r="FV708" s="685"/>
      <c r="FW708" s="685"/>
      <c r="FX708" s="685"/>
      <c r="FY708" s="685"/>
      <c r="FZ708" s="685"/>
      <c r="GA708" s="685"/>
      <c r="GB708" s="685"/>
      <c r="GC708" s="685"/>
      <c r="GD708" s="685"/>
      <c r="GE708" s="685"/>
      <c r="GF708" s="685"/>
      <c r="GG708" s="685"/>
      <c r="GH708" s="685"/>
      <c r="GI708" s="685"/>
      <c r="GJ708" s="685"/>
      <c r="GK708" s="685"/>
      <c r="GL708" s="685"/>
      <c r="GM708" s="685"/>
      <c r="GN708" s="685"/>
      <c r="GO708" s="685"/>
      <c r="GP708" s="685"/>
      <c r="GQ708" s="685"/>
      <c r="GR708" s="685"/>
      <c r="GS708" s="685"/>
      <c r="GT708" s="685"/>
      <c r="GU708" s="685"/>
      <c r="GV708" s="685"/>
      <c r="GW708" s="685"/>
      <c r="GX708" s="685"/>
      <c r="GY708" s="685"/>
      <c r="GZ708" s="685"/>
      <c r="HA708" s="685"/>
      <c r="HB708" s="685"/>
      <c r="HC708" s="685"/>
      <c r="HD708" s="685"/>
      <c r="HE708" s="685"/>
      <c r="HF708" s="685"/>
      <c r="HG708" s="685"/>
      <c r="HH708" s="685"/>
      <c r="HI708" s="685"/>
      <c r="HJ708" s="685"/>
      <c r="HK708" s="685"/>
      <c r="HL708" s="685"/>
      <c r="HM708" s="685"/>
      <c r="HN708" s="685"/>
      <c r="HO708" s="685"/>
      <c r="HP708" s="685"/>
      <c r="HQ708" s="685"/>
      <c r="HR708" s="685"/>
      <c r="HS708" s="685"/>
      <c r="HT708" s="685"/>
      <c r="HU708" s="685"/>
      <c r="HV708" s="685"/>
      <c r="HW708" s="685"/>
      <c r="HX708" s="685"/>
      <c r="HY708" s="685"/>
      <c r="HZ708" s="685"/>
      <c r="IA708" s="685"/>
      <c r="IB708" s="685"/>
      <c r="IC708" s="685"/>
      <c r="ID708" s="685"/>
      <c r="IE708" s="685"/>
      <c r="IF708" s="685"/>
      <c r="IG708" s="685"/>
      <c r="IH708" s="685"/>
      <c r="II708" s="685"/>
      <c r="IJ708" s="685"/>
      <c r="IK708" s="685"/>
      <c r="IL708" s="685"/>
      <c r="IM708" s="685"/>
      <c r="IN708" s="685"/>
      <c r="IO708" s="685"/>
      <c r="IP708" s="685"/>
      <c r="IQ708" s="685"/>
      <c r="IR708" s="685"/>
      <c r="IS708" s="685"/>
      <c r="IT708" s="685"/>
      <c r="IU708" s="685"/>
      <c r="IV708" s="685"/>
      <c r="IW708" s="685"/>
      <c r="IX708" s="685"/>
      <c r="IY708" s="685"/>
      <c r="IZ708" s="685"/>
      <c r="JA708" s="685"/>
      <c r="JB708" s="685"/>
      <c r="JC708" s="685"/>
      <c r="JD708" s="685"/>
      <c r="JE708" s="685"/>
      <c r="JF708" s="685"/>
      <c r="JG708" s="685"/>
      <c r="JH708" s="685"/>
      <c r="JI708" s="685"/>
      <c r="JJ708" s="685"/>
      <c r="JK708" s="685"/>
      <c r="JL708" s="685"/>
      <c r="JM708" s="685"/>
      <c r="JN708" s="685"/>
      <c r="JO708" s="685"/>
      <c r="JP708" s="685"/>
      <c r="JQ708" s="685"/>
      <c r="JR708" s="685"/>
      <c r="JS708" s="685"/>
      <c r="JT708" s="685"/>
      <c r="JU708" s="685"/>
      <c r="JV708" s="685"/>
      <c r="JW708" s="685"/>
      <c r="JX708" s="685"/>
      <c r="JY708" s="685"/>
      <c r="JZ708" s="685"/>
      <c r="KA708" s="685"/>
      <c r="KB708" s="685"/>
      <c r="KC708" s="685"/>
      <c r="KD708" s="685"/>
      <c r="KE708" s="685"/>
      <c r="KF708" s="685"/>
      <c r="KG708" s="685"/>
      <c r="KH708" s="685"/>
      <c r="KI708" s="685"/>
      <c r="KJ708" s="685"/>
      <c r="KK708" s="685"/>
      <c r="KL708" s="685"/>
      <c r="KM708" s="685"/>
      <c r="KN708" s="685"/>
      <c r="KO708" s="685"/>
      <c r="KP708" s="685"/>
      <c r="KQ708" s="685"/>
      <c r="KR708" s="685"/>
      <c r="KS708" s="685"/>
      <c r="KT708" s="685"/>
      <c r="KU708" s="685"/>
      <c r="KV708" s="685"/>
      <c r="KW708" s="685"/>
      <c r="KX708" s="685"/>
      <c r="KY708" s="685"/>
      <c r="KZ708" s="685"/>
      <c r="LA708" s="685"/>
      <c r="LB708" s="685"/>
      <c r="LC708" s="685"/>
      <c r="LD708" s="685"/>
      <c r="LE708" s="685"/>
      <c r="LF708" s="685"/>
      <c r="LG708" s="685"/>
      <c r="LH708" s="685"/>
      <c r="LI708" s="685"/>
      <c r="LJ708" s="685"/>
      <c r="LK708" s="685"/>
      <c r="LL708" s="685"/>
      <c r="LM708" s="685"/>
      <c r="LN708" s="685"/>
      <c r="LO708" s="685"/>
      <c r="LP708" s="685"/>
      <c r="LQ708" s="685"/>
      <c r="LR708" s="685"/>
      <c r="LS708" s="685"/>
      <c r="LT708" s="685"/>
      <c r="LU708" s="685"/>
      <c r="LV708" s="685"/>
      <c r="LW708" s="685"/>
      <c r="LX708" s="685"/>
      <c r="LY708" s="685"/>
      <c r="LZ708" s="685"/>
      <c r="MA708" s="685"/>
      <c r="MB708" s="685"/>
      <c r="MC708" s="685"/>
      <c r="MD708" s="685"/>
      <c r="ME708" s="685"/>
      <c r="MF708" s="685"/>
      <c r="MG708" s="685"/>
      <c r="MH708" s="685"/>
      <c r="MI708" s="685"/>
      <c r="MJ708" s="685"/>
      <c r="MK708" s="685"/>
      <c r="ML708" s="685"/>
      <c r="MM708" s="685"/>
      <c r="MN708" s="685"/>
      <c r="MO708" s="685"/>
      <c r="MP708" s="685"/>
      <c r="MQ708" s="685"/>
      <c r="MR708" s="685"/>
      <c r="MS708" s="685"/>
      <c r="MT708" s="685"/>
      <c r="MU708" s="685"/>
      <c r="MV708" s="685"/>
      <c r="MW708" s="685"/>
      <c r="MX708" s="685"/>
      <c r="MY708" s="685"/>
      <c r="MZ708" s="685"/>
      <c r="NA708" s="685"/>
      <c r="NB708" s="685"/>
      <c r="NC708" s="685"/>
      <c r="ND708" s="685"/>
      <c r="NE708" s="685"/>
      <c r="NF708" s="685"/>
      <c r="NG708" s="685"/>
      <c r="NH708" s="685"/>
      <c r="NI708" s="685"/>
      <c r="NJ708" s="685"/>
      <c r="NK708" s="685"/>
      <c r="NL708" s="685"/>
      <c r="NM708" s="685"/>
      <c r="NN708" s="685"/>
      <c r="NO708" s="685"/>
      <c r="NP708" s="685"/>
      <c r="NQ708" s="685"/>
      <c r="NR708" s="685"/>
      <c r="NS708" s="685"/>
      <c r="NT708" s="685"/>
      <c r="NU708" s="685"/>
      <c r="NV708" s="685"/>
      <c r="NW708" s="685"/>
      <c r="NX708" s="685"/>
      <c r="NY708" s="685"/>
      <c r="NZ708" s="685"/>
      <c r="OA708" s="685"/>
      <c r="OB708" s="685"/>
      <c r="OC708" s="685"/>
      <c r="OD708" s="685"/>
      <c r="OE708" s="685"/>
      <c r="OF708" s="685"/>
      <c r="OG708" s="685"/>
      <c r="OH708" s="685"/>
      <c r="OI708" s="685"/>
      <c r="OJ708" s="685"/>
      <c r="OK708" s="685"/>
      <c r="OL708" s="685"/>
      <c r="OM708" s="685"/>
      <c r="ON708" s="685"/>
      <c r="OO708" s="685"/>
      <c r="OP708" s="685"/>
      <c r="OQ708" s="685"/>
      <c r="OR708" s="685"/>
      <c r="OS708" s="685"/>
      <c r="OT708" s="685"/>
      <c r="OU708" s="685"/>
      <c r="OV708" s="685"/>
      <c r="OW708" s="685"/>
      <c r="OX708" s="685"/>
      <c r="OY708" s="685"/>
      <c r="OZ708" s="685"/>
      <c r="PA708" s="685"/>
      <c r="PB708" s="685"/>
      <c r="PC708" s="685"/>
      <c r="PD708" s="685"/>
      <c r="PE708" s="685"/>
      <c r="PF708" s="685"/>
      <c r="PG708" s="685"/>
      <c r="PH708" s="685"/>
      <c r="PI708" s="685"/>
      <c r="PJ708" s="685"/>
      <c r="PK708" s="685"/>
      <c r="PL708" s="685"/>
      <c r="PM708" s="685"/>
      <c r="PN708" s="685"/>
      <c r="PO708" s="685"/>
      <c r="PP708" s="685"/>
      <c r="PQ708" s="685"/>
      <c r="PR708" s="685"/>
      <c r="PS708" s="685"/>
      <c r="PT708" s="685"/>
      <c r="PU708" s="685"/>
      <c r="PV708" s="685"/>
      <c r="PW708" s="685"/>
      <c r="PX708" s="685"/>
      <c r="PY708" s="685"/>
      <c r="PZ708" s="685"/>
      <c r="QA708" s="685"/>
      <c r="QB708" s="685"/>
      <c r="QC708" s="685"/>
      <c r="QD708" s="685"/>
      <c r="QE708" s="685"/>
      <c r="QF708" s="685"/>
      <c r="QG708" s="685"/>
      <c r="QH708" s="685"/>
      <c r="QI708" s="685"/>
      <c r="QJ708" s="685"/>
      <c r="QK708" s="685"/>
      <c r="QL708" s="685"/>
      <c r="QM708" s="685"/>
      <c r="QN708" s="685"/>
      <c r="QO708" s="685"/>
      <c r="QP708" s="685"/>
      <c r="QQ708" s="685"/>
      <c r="QR708" s="685"/>
      <c r="QS708" s="685"/>
      <c r="QT708" s="685"/>
      <c r="QU708" s="685"/>
      <c r="QV708" s="685"/>
      <c r="QW708" s="685"/>
      <c r="QX708" s="685"/>
      <c r="QY708" s="685"/>
      <c r="QZ708" s="685"/>
      <c r="RA708" s="685"/>
      <c r="RB708" s="685"/>
      <c r="RC708" s="685"/>
      <c r="RD708" s="685"/>
      <c r="RE708" s="685"/>
      <c r="RF708" s="685"/>
      <c r="RG708" s="685"/>
      <c r="RH708" s="685"/>
      <c r="RI708" s="685"/>
      <c r="RJ708" s="685"/>
      <c r="RK708" s="685"/>
      <c r="RL708" s="685"/>
      <c r="RM708" s="685"/>
      <c r="RN708" s="685"/>
      <c r="RO708" s="685"/>
      <c r="RP708" s="685"/>
      <c r="RQ708" s="685"/>
      <c r="RR708" s="685"/>
      <c r="RS708" s="685"/>
      <c r="RT708" s="685"/>
      <c r="RU708" s="685"/>
      <c r="RV708" s="685"/>
      <c r="RW708" s="685"/>
      <c r="RX708" s="685"/>
      <c r="RY708" s="685"/>
      <c r="RZ708" s="685"/>
      <c r="SA708" s="685"/>
      <c r="SB708" s="685"/>
      <c r="SC708" s="685"/>
      <c r="SD708" s="685"/>
      <c r="SE708" s="685"/>
      <c r="SF708" s="685"/>
      <c r="SG708" s="685"/>
      <c r="SH708" s="685"/>
      <c r="SI708" s="685"/>
      <c r="SJ708" s="685"/>
      <c r="SK708" s="685"/>
      <c r="SL708" s="685"/>
      <c r="SM708" s="685"/>
      <c r="SN708" s="685"/>
      <c r="SO708" s="685"/>
      <c r="SP708" s="685"/>
      <c r="SQ708" s="685"/>
      <c r="SR708" s="685"/>
      <c r="SS708" s="685"/>
      <c r="ST708" s="685"/>
      <c r="SU708" s="685"/>
      <c r="SV708" s="685"/>
      <c r="SW708" s="685"/>
      <c r="SX708" s="685"/>
      <c r="SY708" s="685"/>
      <c r="SZ708" s="685"/>
      <c r="TA708" s="685"/>
      <c r="TB708" s="685"/>
      <c r="TC708" s="685"/>
      <c r="TD708" s="685"/>
      <c r="TE708" s="685"/>
      <c r="TF708" s="685"/>
      <c r="TG708" s="685"/>
      <c r="TH708" s="685"/>
      <c r="TI708" s="685"/>
      <c r="TJ708" s="685"/>
      <c r="TK708" s="685"/>
      <c r="TL708" s="685"/>
      <c r="TM708" s="685"/>
      <c r="TN708" s="685"/>
      <c r="TO708" s="685"/>
      <c r="TP708" s="685"/>
      <c r="TQ708" s="685"/>
      <c r="TR708" s="685"/>
      <c r="TS708" s="685"/>
      <c r="TT708" s="685"/>
      <c r="TU708" s="685"/>
      <c r="TV708" s="685"/>
      <c r="TW708" s="685"/>
      <c r="TX708" s="685"/>
      <c r="TY708" s="685"/>
      <c r="TZ708" s="685"/>
      <c r="UA708" s="685"/>
      <c r="UB708" s="685"/>
      <c r="UC708" s="685"/>
      <c r="UD708" s="685"/>
      <c r="UE708" s="685"/>
      <c r="UF708" s="685"/>
      <c r="UG708" s="685"/>
      <c r="UH708" s="685"/>
      <c r="UI708" s="685"/>
    </row>
    <row r="709" spans="1:555" ht="135">
      <c r="A709" s="57">
        <v>613</v>
      </c>
      <c r="B709" s="58" t="s">
        <v>5327</v>
      </c>
      <c r="C709" s="59">
        <v>79636351</v>
      </c>
      <c r="D709" s="70" t="s">
        <v>5328</v>
      </c>
      <c r="E709" s="60">
        <v>42922</v>
      </c>
      <c r="F709" s="61">
        <v>42917</v>
      </c>
      <c r="G709" s="62" t="s">
        <v>271</v>
      </c>
      <c r="H709" s="58" t="s">
        <v>171</v>
      </c>
      <c r="I709" s="58" t="s">
        <v>4918</v>
      </c>
      <c r="J709" s="60">
        <v>43181</v>
      </c>
      <c r="K709" s="61">
        <v>43160</v>
      </c>
      <c r="L709" s="62" t="s">
        <v>5329</v>
      </c>
      <c r="M709" s="58" t="s">
        <v>63</v>
      </c>
      <c r="N709" s="58" t="s">
        <v>1189</v>
      </c>
      <c r="O709" s="64">
        <v>43284</v>
      </c>
      <c r="P709" s="63">
        <v>43284</v>
      </c>
      <c r="Q709" s="92" t="s">
        <v>5330</v>
      </c>
      <c r="R709" s="58" t="s">
        <v>5</v>
      </c>
      <c r="S709" s="58" t="s">
        <v>79</v>
      </c>
      <c r="T709" s="64">
        <v>43378</v>
      </c>
      <c r="U709" s="61">
        <v>43378</v>
      </c>
      <c r="V709" s="62" t="s">
        <v>5331</v>
      </c>
      <c r="W709" s="58" t="s">
        <v>63</v>
      </c>
      <c r="X709" s="58" t="s">
        <v>5332</v>
      </c>
      <c r="Y709" s="60"/>
      <c r="Z709" s="61"/>
      <c r="AA709" s="62"/>
      <c r="AB709" s="58"/>
      <c r="AC709" s="58"/>
      <c r="AD709" s="60"/>
      <c r="AE709" s="61"/>
      <c r="AF709" s="62"/>
      <c r="AG709" s="58"/>
      <c r="AH709" s="58"/>
      <c r="AI709" s="117"/>
      <c r="AJ709" s="61"/>
      <c r="AK709" s="62"/>
      <c r="AL709" s="58"/>
      <c r="AM709" s="58"/>
      <c r="AN709" s="58" t="s">
        <v>5333</v>
      </c>
      <c r="AO709" s="478"/>
      <c r="AP709" s="58" t="s">
        <v>2558</v>
      </c>
      <c r="AQ709" s="62" t="s">
        <v>5334</v>
      </c>
      <c r="AR709" s="58" t="s">
        <v>161</v>
      </c>
      <c r="AS709" s="60">
        <v>36743</v>
      </c>
      <c r="AT709" s="60">
        <v>40908</v>
      </c>
      <c r="AU709" s="58" t="s">
        <v>5335</v>
      </c>
      <c r="AV709" s="58"/>
      <c r="AW709" s="58" t="s">
        <v>69</v>
      </c>
      <c r="AX709" s="58" t="s">
        <v>5336</v>
      </c>
      <c r="AY709" s="60">
        <v>42863</v>
      </c>
      <c r="AZ709" s="58" t="s">
        <v>67</v>
      </c>
      <c r="BA709" s="58" t="s">
        <v>67</v>
      </c>
      <c r="BB709" s="382">
        <v>42914</v>
      </c>
      <c r="BC709" s="70" t="s">
        <v>912</v>
      </c>
      <c r="BD709" s="70" t="s">
        <v>566</v>
      </c>
      <c r="BE709" s="58"/>
      <c r="BF709" s="62"/>
      <c r="BG709" s="62"/>
      <c r="BH709" s="62"/>
      <c r="BI709" s="62"/>
      <c r="BJ709" s="209">
        <f>+[237]MATRIZ!$J$43</f>
        <v>0</v>
      </c>
      <c r="BK709" s="67"/>
      <c r="BL709" s="68"/>
      <c r="BM709" s="60"/>
      <c r="BN709" s="61"/>
      <c r="BO709" s="463"/>
      <c r="BP709" s="122"/>
      <c r="BQ709" s="58"/>
      <c r="BR709" s="70"/>
      <c r="BS709" s="62"/>
      <c r="BT709" s="62"/>
      <c r="BU709" s="62"/>
      <c r="BV709" s="62"/>
      <c r="BW709" s="71"/>
      <c r="BX709" s="66"/>
      <c r="BY709" s="60"/>
      <c r="BZ709" s="72"/>
    </row>
    <row r="710" spans="1:555" ht="67.5">
      <c r="A710" s="33">
        <v>614</v>
      </c>
      <c r="B710" s="34" t="s">
        <v>5337</v>
      </c>
      <c r="C710" s="35">
        <v>4252960</v>
      </c>
      <c r="D710" s="440" t="s">
        <v>3988</v>
      </c>
      <c r="E710" s="37">
        <v>42984</v>
      </c>
      <c r="F710" s="38">
        <v>42979</v>
      </c>
      <c r="G710" s="39" t="s">
        <v>5338</v>
      </c>
      <c r="H710" s="34" t="s">
        <v>625</v>
      </c>
      <c r="I710" s="34" t="s">
        <v>4918</v>
      </c>
      <c r="J710" s="37"/>
      <c r="K710" s="38"/>
      <c r="L710" s="39"/>
      <c r="M710" s="34"/>
      <c r="N710" s="34"/>
      <c r="O710" s="37"/>
      <c r="P710" s="40"/>
      <c r="Q710" s="39"/>
      <c r="R710" s="34"/>
      <c r="S710" s="34"/>
      <c r="T710" s="37"/>
      <c r="U710" s="38"/>
      <c r="V710" s="39"/>
      <c r="W710" s="34"/>
      <c r="X710" s="34"/>
      <c r="Y710" s="37"/>
      <c r="Z710" s="38"/>
      <c r="AA710" s="39"/>
      <c r="AB710" s="34"/>
      <c r="AC710" s="34"/>
      <c r="AD710" s="37"/>
      <c r="AE710" s="38"/>
      <c r="AF710" s="39"/>
      <c r="AG710" s="34"/>
      <c r="AH710" s="34"/>
      <c r="AI710" s="73"/>
      <c r="AJ710" s="38"/>
      <c r="AK710" s="39"/>
      <c r="AL710" s="34"/>
      <c r="AM710" s="34"/>
      <c r="AN710" s="34" t="s">
        <v>5339</v>
      </c>
      <c r="AO710" s="478"/>
      <c r="AP710" s="34"/>
      <c r="AQ710" s="39" t="s">
        <v>5340</v>
      </c>
      <c r="AR710" s="34" t="s">
        <v>2080</v>
      </c>
      <c r="AS710" s="37">
        <v>34380</v>
      </c>
      <c r="AT710" s="37">
        <v>40908</v>
      </c>
      <c r="AU710" s="34" t="s">
        <v>5341</v>
      </c>
      <c r="AV710" s="34"/>
      <c r="AW710" s="34" t="s">
        <v>69</v>
      </c>
      <c r="AX710" s="34" t="s">
        <v>5342</v>
      </c>
      <c r="AY710" s="37">
        <v>42489</v>
      </c>
      <c r="AZ710" s="34" t="s">
        <v>5226</v>
      </c>
      <c r="BA710" s="37">
        <v>42951</v>
      </c>
      <c r="BB710" s="382">
        <v>42975</v>
      </c>
      <c r="BC710" s="42" t="s">
        <v>912</v>
      </c>
      <c r="BD710" s="42"/>
      <c r="BE710" s="34"/>
      <c r="BF710" s="39"/>
      <c r="BG710" s="39"/>
      <c r="BH710" s="39"/>
      <c r="BI710" s="39"/>
      <c r="BJ710" s="209">
        <f>+[238]MATRIZ!$J$53</f>
        <v>5506248.6994488845</v>
      </c>
      <c r="BK710" s="74"/>
      <c r="BL710" s="44"/>
      <c r="BM710" s="37"/>
      <c r="BN710" s="38"/>
      <c r="BO710" s="462"/>
      <c r="BP710" s="391"/>
      <c r="BQ710" s="34"/>
      <c r="BR710" s="42"/>
      <c r="BS710" s="39"/>
      <c r="BT710" s="39"/>
      <c r="BU710" s="39"/>
      <c r="BV710" s="39"/>
      <c r="BW710" s="51"/>
      <c r="BX710" s="41"/>
      <c r="BY710" s="37"/>
      <c r="BZ710" s="52"/>
    </row>
    <row r="711" spans="1:555" ht="81.75" thickBot="1">
      <c r="A711" s="502">
        <v>615</v>
      </c>
      <c r="B711" s="686" t="s">
        <v>4617</v>
      </c>
      <c r="C711" s="687">
        <v>79351675</v>
      </c>
      <c r="D711" s="688" t="s">
        <v>906</v>
      </c>
      <c r="E711" s="27">
        <v>42984</v>
      </c>
      <c r="F711" s="689">
        <v>42979</v>
      </c>
      <c r="G711" s="690" t="s">
        <v>5343</v>
      </c>
      <c r="H711" s="686" t="s">
        <v>625</v>
      </c>
      <c r="I711" s="686" t="s">
        <v>4918</v>
      </c>
      <c r="J711" s="27">
        <v>42998</v>
      </c>
      <c r="K711" s="689">
        <v>42979</v>
      </c>
      <c r="L711" s="690" t="s">
        <v>5344</v>
      </c>
      <c r="M711" s="686" t="s">
        <v>195</v>
      </c>
      <c r="N711" s="686" t="s">
        <v>5345</v>
      </c>
      <c r="O711" s="27">
        <v>43146</v>
      </c>
      <c r="P711" s="691">
        <v>43132</v>
      </c>
      <c r="Q711" s="690" t="s">
        <v>5346</v>
      </c>
      <c r="R711" s="686" t="s">
        <v>5</v>
      </c>
      <c r="S711" s="686" t="s">
        <v>3375</v>
      </c>
      <c r="T711" s="27"/>
      <c r="U711" s="689"/>
      <c r="V711" s="690"/>
      <c r="W711" s="686"/>
      <c r="X711" s="686"/>
      <c r="Y711" s="27"/>
      <c r="Z711" s="689"/>
      <c r="AA711" s="690"/>
      <c r="AB711" s="686"/>
      <c r="AC711" s="686"/>
      <c r="AD711" s="27"/>
      <c r="AE711" s="689"/>
      <c r="AF711" s="690"/>
      <c r="AG711" s="686"/>
      <c r="AH711" s="686"/>
      <c r="AI711" s="704"/>
      <c r="AJ711" s="689"/>
      <c r="AK711" s="690"/>
      <c r="AL711" s="686"/>
      <c r="AM711" s="686"/>
      <c r="AN711" s="686" t="s">
        <v>2099</v>
      </c>
      <c r="AO711" s="705"/>
      <c r="AP711" s="692" t="s">
        <v>2558</v>
      </c>
      <c r="AQ711" s="690" t="s">
        <v>5347</v>
      </c>
      <c r="AR711" s="686" t="s">
        <v>2080</v>
      </c>
      <c r="AS711" s="27">
        <v>30655</v>
      </c>
      <c r="AT711" s="27">
        <v>40908</v>
      </c>
      <c r="AU711" s="686" t="s">
        <v>5348</v>
      </c>
      <c r="AV711" s="686"/>
      <c r="AW711" s="686" t="s">
        <v>69</v>
      </c>
      <c r="AX711" s="686" t="s">
        <v>5349</v>
      </c>
      <c r="AY711" s="27">
        <v>42594</v>
      </c>
      <c r="AZ711" s="686" t="s">
        <v>5350</v>
      </c>
      <c r="BA711" s="27">
        <v>42930</v>
      </c>
      <c r="BB711" s="27">
        <v>42970</v>
      </c>
      <c r="BC711" s="701" t="s">
        <v>912</v>
      </c>
      <c r="BD711" s="701" t="s">
        <v>566</v>
      </c>
      <c r="BE711" s="686"/>
      <c r="BF711" s="690"/>
      <c r="BG711" s="690"/>
      <c r="BH711" s="690"/>
      <c r="BI711" s="690"/>
      <c r="BJ711" s="708">
        <f>+[239]MATRIZ!$J$76</f>
        <v>0</v>
      </c>
      <c r="BK711" s="696"/>
      <c r="BL711" s="697"/>
      <c r="BM711" s="27"/>
      <c r="BN711" s="689"/>
      <c r="BO711" s="870"/>
      <c r="BP711" s="700"/>
      <c r="BQ711" s="686"/>
      <c r="BR711" s="701"/>
      <c r="BS711" s="690"/>
      <c r="BT711" s="690"/>
      <c r="BU711" s="690"/>
      <c r="BV711" s="690"/>
      <c r="BW711" s="702"/>
      <c r="BX711" s="693"/>
      <c r="BY711" s="27"/>
      <c r="BZ711" s="703"/>
      <c r="CA711" s="259"/>
      <c r="CB711" s="259"/>
      <c r="CC711" s="259"/>
      <c r="CD711" s="259"/>
      <c r="CE711" s="259"/>
      <c r="CF711" s="259"/>
      <c r="CG711" s="259"/>
      <c r="CH711" s="259"/>
      <c r="CI711" s="259"/>
      <c r="CJ711" s="259"/>
      <c r="CK711" s="259"/>
      <c r="CL711" s="259"/>
      <c r="CM711" s="259"/>
      <c r="CN711" s="259"/>
      <c r="CO711" s="259"/>
      <c r="CP711" s="259"/>
      <c r="CQ711" s="259"/>
      <c r="CR711" s="259"/>
      <c r="CS711" s="259"/>
      <c r="CT711" s="259"/>
      <c r="CU711" s="259"/>
      <c r="CV711" s="259"/>
      <c r="CW711" s="259"/>
      <c r="CX711" s="259"/>
      <c r="CY711" s="259"/>
      <c r="CZ711" s="259"/>
      <c r="DA711" s="259"/>
      <c r="DB711" s="259"/>
      <c r="DC711" s="259"/>
      <c r="DD711" s="259"/>
      <c r="DE711" s="259"/>
      <c r="DF711" s="259"/>
      <c r="DG711" s="259"/>
      <c r="DH711" s="259"/>
      <c r="DI711" s="259"/>
      <c r="DJ711" s="259"/>
      <c r="DK711" s="259"/>
      <c r="DL711" s="259"/>
      <c r="DM711" s="259"/>
      <c r="DN711" s="259"/>
      <c r="DO711" s="259"/>
      <c r="DP711" s="259"/>
      <c r="DQ711" s="259"/>
      <c r="DR711" s="259"/>
      <c r="DS711" s="259"/>
      <c r="DT711" s="259"/>
      <c r="DU711" s="259"/>
      <c r="DV711" s="259"/>
      <c r="DW711" s="259"/>
      <c r="DX711" s="259"/>
      <c r="DY711" s="259"/>
      <c r="DZ711" s="259"/>
      <c r="EA711" s="259"/>
      <c r="EB711" s="259"/>
      <c r="EC711" s="259"/>
      <c r="ED711" s="259"/>
      <c r="EE711" s="259"/>
      <c r="EF711" s="259"/>
      <c r="EG711" s="259"/>
      <c r="EH711" s="259"/>
      <c r="EI711" s="259"/>
      <c r="EJ711" s="259"/>
      <c r="EK711" s="259"/>
      <c r="EL711" s="259"/>
      <c r="EM711" s="259"/>
      <c r="EN711" s="259"/>
      <c r="EO711" s="259"/>
      <c r="EP711" s="259"/>
      <c r="EQ711" s="259"/>
      <c r="ER711" s="259"/>
      <c r="ES711" s="259"/>
      <c r="ET711" s="259"/>
      <c r="EU711" s="259"/>
      <c r="EV711" s="259"/>
      <c r="EW711" s="259"/>
      <c r="EX711" s="259"/>
      <c r="EY711" s="259"/>
      <c r="EZ711" s="259"/>
      <c r="FA711" s="259"/>
      <c r="FB711" s="259"/>
      <c r="FC711" s="259"/>
      <c r="FD711" s="259"/>
      <c r="FE711" s="259"/>
      <c r="FF711" s="259"/>
      <c r="FG711" s="259"/>
      <c r="FH711" s="259"/>
      <c r="FI711" s="259"/>
      <c r="FJ711" s="259"/>
      <c r="FK711" s="259"/>
      <c r="FL711" s="259"/>
      <c r="FM711" s="259"/>
      <c r="FN711" s="259"/>
      <c r="FO711" s="259"/>
      <c r="FP711" s="259"/>
      <c r="FQ711" s="259"/>
      <c r="FR711" s="259"/>
      <c r="FS711" s="259"/>
      <c r="FT711" s="259"/>
      <c r="FU711" s="259"/>
      <c r="FV711" s="259"/>
      <c r="FW711" s="259"/>
      <c r="FX711" s="259"/>
      <c r="FY711" s="259"/>
      <c r="FZ711" s="259"/>
      <c r="GA711" s="259"/>
      <c r="GB711" s="259"/>
      <c r="GC711" s="259"/>
      <c r="GD711" s="259"/>
      <c r="GE711" s="259"/>
      <c r="GF711" s="259"/>
      <c r="GG711" s="259"/>
      <c r="GH711" s="259"/>
      <c r="GI711" s="259"/>
      <c r="GJ711" s="259"/>
      <c r="GK711" s="259"/>
      <c r="GL711" s="259"/>
      <c r="GM711" s="259"/>
      <c r="GN711" s="259"/>
      <c r="GO711" s="259"/>
      <c r="GP711" s="259"/>
      <c r="GQ711" s="259"/>
      <c r="GR711" s="259"/>
      <c r="GS711" s="259"/>
      <c r="GT711" s="259"/>
      <c r="GU711" s="259"/>
      <c r="GV711" s="259"/>
      <c r="GW711" s="259"/>
      <c r="GX711" s="259"/>
      <c r="GY711" s="259"/>
      <c r="GZ711" s="259"/>
      <c r="HA711" s="259"/>
      <c r="HB711" s="259"/>
      <c r="HC711" s="259"/>
      <c r="HD711" s="259"/>
      <c r="HE711" s="259"/>
      <c r="HF711" s="259"/>
      <c r="HG711" s="259"/>
      <c r="HH711" s="259"/>
      <c r="HI711" s="259"/>
      <c r="HJ711" s="259"/>
      <c r="HK711" s="259"/>
      <c r="HL711" s="259"/>
      <c r="HM711" s="259"/>
      <c r="HN711" s="259"/>
      <c r="HO711" s="259"/>
      <c r="HP711" s="259"/>
      <c r="HQ711" s="259"/>
      <c r="HR711" s="259"/>
      <c r="HS711" s="259"/>
      <c r="HT711" s="259"/>
      <c r="HU711" s="259"/>
      <c r="HV711" s="259"/>
      <c r="HW711" s="259"/>
      <c r="HX711" s="259"/>
      <c r="HY711" s="259"/>
      <c r="HZ711" s="259"/>
      <c r="IA711" s="259"/>
      <c r="IB711" s="259"/>
      <c r="IC711" s="259"/>
      <c r="ID711" s="259"/>
      <c r="IE711" s="259"/>
      <c r="IF711" s="259"/>
      <c r="IG711" s="259"/>
      <c r="IH711" s="259"/>
      <c r="II711" s="259"/>
      <c r="IJ711" s="259"/>
      <c r="IK711" s="259"/>
      <c r="IL711" s="259"/>
      <c r="IM711" s="259"/>
      <c r="IN711" s="259"/>
      <c r="IO711" s="259"/>
      <c r="IP711" s="259"/>
      <c r="IQ711" s="259"/>
      <c r="IR711" s="259"/>
      <c r="IS711" s="259"/>
      <c r="IT711" s="259"/>
      <c r="IU711" s="259"/>
      <c r="IV711" s="259"/>
      <c r="IW711" s="259"/>
      <c r="IX711" s="259"/>
      <c r="IY711" s="259"/>
      <c r="IZ711" s="259"/>
      <c r="JA711" s="259"/>
      <c r="JB711" s="259"/>
      <c r="JC711" s="259"/>
      <c r="JD711" s="259"/>
      <c r="JE711" s="259"/>
      <c r="JF711" s="259"/>
      <c r="JG711" s="259"/>
      <c r="JH711" s="259"/>
      <c r="JI711" s="259"/>
      <c r="JJ711" s="259"/>
      <c r="JK711" s="259"/>
      <c r="JL711" s="259"/>
      <c r="JM711" s="259"/>
      <c r="JN711" s="259"/>
      <c r="JO711" s="259"/>
      <c r="JP711" s="259"/>
      <c r="JQ711" s="259"/>
      <c r="JR711" s="259"/>
      <c r="JS711" s="259"/>
      <c r="JT711" s="259"/>
      <c r="JU711" s="259"/>
      <c r="JV711" s="259"/>
      <c r="JW711" s="259"/>
      <c r="JX711" s="259"/>
      <c r="JY711" s="259"/>
      <c r="JZ711" s="259"/>
      <c r="KA711" s="259"/>
      <c r="KB711" s="259"/>
      <c r="KC711" s="259"/>
      <c r="KD711" s="259"/>
      <c r="KE711" s="259"/>
      <c r="KF711" s="259"/>
      <c r="KG711" s="259"/>
      <c r="KH711" s="259"/>
      <c r="KI711" s="259"/>
      <c r="KJ711" s="259"/>
      <c r="KK711" s="259"/>
      <c r="KL711" s="259"/>
      <c r="KM711" s="259"/>
      <c r="KN711" s="259"/>
      <c r="KO711" s="259"/>
      <c r="KP711" s="259"/>
      <c r="KQ711" s="259"/>
      <c r="KR711" s="259"/>
      <c r="KS711" s="259"/>
      <c r="KT711" s="259"/>
      <c r="KU711" s="259"/>
      <c r="KV711" s="259"/>
      <c r="KW711" s="259"/>
      <c r="KX711" s="259"/>
      <c r="KY711" s="259"/>
      <c r="KZ711" s="259"/>
      <c r="LA711" s="259"/>
      <c r="LB711" s="259"/>
      <c r="LC711" s="259"/>
      <c r="LD711" s="259"/>
      <c r="LE711" s="259"/>
      <c r="LF711" s="259"/>
      <c r="LG711" s="259"/>
      <c r="LH711" s="259"/>
      <c r="LI711" s="259"/>
      <c r="LJ711" s="259"/>
      <c r="LK711" s="259"/>
      <c r="LL711" s="259"/>
      <c r="LM711" s="259"/>
      <c r="LN711" s="259"/>
      <c r="LO711" s="259"/>
      <c r="LP711" s="259"/>
      <c r="LQ711" s="259"/>
      <c r="LR711" s="259"/>
      <c r="LS711" s="259"/>
      <c r="LT711" s="259"/>
      <c r="LU711" s="259"/>
      <c r="LV711" s="259"/>
      <c r="LW711" s="259"/>
      <c r="LX711" s="259"/>
      <c r="LY711" s="259"/>
      <c r="LZ711" s="259"/>
      <c r="MA711" s="259"/>
      <c r="MB711" s="259"/>
      <c r="MC711" s="259"/>
      <c r="MD711" s="259"/>
      <c r="ME711" s="259"/>
      <c r="MF711" s="259"/>
      <c r="MG711" s="259"/>
      <c r="MH711" s="259"/>
      <c r="MI711" s="259"/>
      <c r="MJ711" s="259"/>
      <c r="MK711" s="259"/>
      <c r="ML711" s="259"/>
      <c r="MM711" s="259"/>
      <c r="MN711" s="259"/>
      <c r="MO711" s="259"/>
      <c r="MP711" s="259"/>
      <c r="MQ711" s="259"/>
      <c r="MR711" s="259"/>
      <c r="MS711" s="259"/>
      <c r="MT711" s="259"/>
      <c r="MU711" s="259"/>
      <c r="MV711" s="259"/>
      <c r="MW711" s="259"/>
      <c r="MX711" s="259"/>
      <c r="MY711" s="259"/>
      <c r="MZ711" s="259"/>
      <c r="NA711" s="259"/>
      <c r="NB711" s="259"/>
      <c r="NC711" s="259"/>
      <c r="ND711" s="259"/>
      <c r="NE711" s="259"/>
      <c r="NF711" s="259"/>
      <c r="NG711" s="259"/>
      <c r="NH711" s="259"/>
      <c r="NI711" s="259"/>
      <c r="NJ711" s="259"/>
      <c r="NK711" s="259"/>
      <c r="NL711" s="259"/>
      <c r="NM711" s="259"/>
      <c r="NN711" s="259"/>
      <c r="NO711" s="259"/>
      <c r="NP711" s="259"/>
      <c r="NQ711" s="259"/>
      <c r="NR711" s="259"/>
      <c r="NS711" s="259"/>
      <c r="NT711" s="259"/>
      <c r="NU711" s="259"/>
      <c r="NV711" s="259"/>
      <c r="NW711" s="259"/>
      <c r="NX711" s="259"/>
      <c r="NY711" s="259"/>
      <c r="NZ711" s="259"/>
      <c r="OA711" s="259"/>
      <c r="OB711" s="259"/>
      <c r="OC711" s="259"/>
      <c r="OD711" s="259"/>
      <c r="OE711" s="259"/>
      <c r="OF711" s="259"/>
      <c r="OG711" s="259"/>
      <c r="OH711" s="259"/>
      <c r="OI711" s="259"/>
      <c r="OJ711" s="259"/>
      <c r="OK711" s="259"/>
      <c r="OL711" s="259"/>
      <c r="OM711" s="259"/>
      <c r="ON711" s="259"/>
      <c r="OO711" s="259"/>
      <c r="OP711" s="259"/>
      <c r="OQ711" s="259"/>
      <c r="OR711" s="259"/>
      <c r="OS711" s="259"/>
      <c r="OT711" s="259"/>
      <c r="OU711" s="259"/>
      <c r="OV711" s="259"/>
      <c r="OW711" s="259"/>
      <c r="OX711" s="259"/>
      <c r="OY711" s="259"/>
      <c r="OZ711" s="259"/>
      <c r="PA711" s="259"/>
      <c r="PB711" s="259"/>
      <c r="PC711" s="259"/>
      <c r="PD711" s="259"/>
      <c r="PE711" s="259"/>
      <c r="PF711" s="259"/>
      <c r="PG711" s="259"/>
      <c r="PH711" s="259"/>
      <c r="PI711" s="259"/>
      <c r="PJ711" s="259"/>
      <c r="PK711" s="259"/>
      <c r="PL711" s="259"/>
      <c r="PM711" s="259"/>
      <c r="PN711" s="259"/>
      <c r="PO711" s="259"/>
      <c r="PP711" s="259"/>
      <c r="PQ711" s="259"/>
      <c r="PR711" s="259"/>
      <c r="PS711" s="259"/>
      <c r="PT711" s="259"/>
      <c r="PU711" s="259"/>
      <c r="PV711" s="259"/>
      <c r="PW711" s="259"/>
      <c r="PX711" s="259"/>
      <c r="PY711" s="259"/>
      <c r="PZ711" s="259"/>
      <c r="QA711" s="259"/>
      <c r="QB711" s="259"/>
      <c r="QC711" s="259"/>
      <c r="QD711" s="259"/>
      <c r="QE711" s="259"/>
      <c r="QF711" s="259"/>
      <c r="QG711" s="259"/>
      <c r="QH711" s="259"/>
      <c r="QI711" s="259"/>
      <c r="QJ711" s="259"/>
      <c r="QK711" s="259"/>
      <c r="QL711" s="259"/>
      <c r="QM711" s="259"/>
      <c r="QN711" s="259"/>
      <c r="QO711" s="259"/>
      <c r="QP711" s="259"/>
      <c r="QQ711" s="259"/>
      <c r="QR711" s="259"/>
      <c r="QS711" s="259"/>
      <c r="QT711" s="259"/>
      <c r="QU711" s="259"/>
      <c r="QV711" s="259"/>
      <c r="QW711" s="259"/>
      <c r="QX711" s="259"/>
      <c r="QY711" s="259"/>
      <c r="QZ711" s="259"/>
      <c r="RA711" s="259"/>
      <c r="RB711" s="259"/>
      <c r="RC711" s="259"/>
      <c r="RD711" s="259"/>
      <c r="RE711" s="259"/>
      <c r="RF711" s="259"/>
      <c r="RG711" s="259"/>
      <c r="RH711" s="259"/>
      <c r="RI711" s="259"/>
      <c r="RJ711" s="259"/>
      <c r="RK711" s="259"/>
      <c r="RL711" s="259"/>
      <c r="RM711" s="259"/>
      <c r="RN711" s="259"/>
      <c r="RO711" s="259"/>
      <c r="RP711" s="259"/>
      <c r="RQ711" s="259"/>
      <c r="RR711" s="259"/>
      <c r="RS711" s="259"/>
      <c r="RT711" s="259"/>
      <c r="RU711" s="259"/>
      <c r="RV711" s="259"/>
      <c r="RW711" s="259"/>
      <c r="RX711" s="259"/>
      <c r="RY711" s="259"/>
      <c r="RZ711" s="259"/>
      <c r="SA711" s="259"/>
      <c r="SB711" s="259"/>
      <c r="SC711" s="259"/>
      <c r="SD711" s="259"/>
      <c r="SE711" s="259"/>
      <c r="SF711" s="259"/>
      <c r="SG711" s="259"/>
      <c r="SH711" s="259"/>
      <c r="SI711" s="259"/>
      <c r="SJ711" s="259"/>
      <c r="SK711" s="259"/>
      <c r="SL711" s="259"/>
      <c r="SM711" s="259"/>
      <c r="SN711" s="259"/>
      <c r="SO711" s="259"/>
      <c r="SP711" s="259"/>
      <c r="SQ711" s="259"/>
      <c r="SR711" s="259"/>
      <c r="SS711" s="259"/>
      <c r="ST711" s="259"/>
      <c r="SU711" s="259"/>
      <c r="SV711" s="259"/>
      <c r="SW711" s="259"/>
      <c r="SX711" s="259"/>
      <c r="SY711" s="259"/>
      <c r="SZ711" s="259"/>
      <c r="TA711" s="259"/>
      <c r="TB711" s="259"/>
      <c r="TC711" s="259"/>
      <c r="TD711" s="259"/>
      <c r="TE711" s="259"/>
      <c r="TF711" s="259"/>
      <c r="TG711" s="259"/>
      <c r="TH711" s="259"/>
      <c r="TI711" s="259"/>
      <c r="TJ711" s="259"/>
      <c r="TK711" s="259"/>
      <c r="TL711" s="259"/>
      <c r="TM711" s="259"/>
      <c r="TN711" s="259"/>
      <c r="TO711" s="259"/>
      <c r="TP711" s="259"/>
      <c r="TQ711" s="259"/>
      <c r="TR711" s="259"/>
      <c r="TS711" s="259"/>
      <c r="TT711" s="259"/>
      <c r="TU711" s="259"/>
      <c r="TV711" s="259"/>
      <c r="TW711" s="259"/>
      <c r="TX711" s="259"/>
      <c r="TY711" s="259"/>
      <c r="TZ711" s="259"/>
      <c r="UA711" s="259"/>
      <c r="UB711" s="259"/>
      <c r="UC711" s="259"/>
      <c r="UD711" s="259"/>
      <c r="UE711" s="259"/>
      <c r="UF711" s="259"/>
      <c r="UG711" s="259"/>
      <c r="UH711" s="259"/>
      <c r="UI711" s="259"/>
    </row>
    <row r="712" spans="1:555" ht="54">
      <c r="A712" s="96">
        <v>616</v>
      </c>
      <c r="B712" s="422" t="s">
        <v>5351</v>
      </c>
      <c r="C712" s="419">
        <v>16276210</v>
      </c>
      <c r="D712" s="439"/>
      <c r="E712" s="423"/>
      <c r="F712" s="21"/>
      <c r="G712" s="22"/>
      <c r="H712" s="422"/>
      <c r="I712" s="422"/>
      <c r="J712" s="423"/>
      <c r="K712" s="21"/>
      <c r="L712" s="22"/>
      <c r="M712" s="422"/>
      <c r="N712" s="422"/>
      <c r="O712" s="423"/>
      <c r="P712" s="23"/>
      <c r="Q712" s="22"/>
      <c r="R712" s="422"/>
      <c r="S712" s="422"/>
      <c r="T712" s="423"/>
      <c r="U712" s="21"/>
      <c r="V712" s="22"/>
      <c r="W712" s="422"/>
      <c r="X712" s="422"/>
      <c r="Y712" s="423"/>
      <c r="Z712" s="21"/>
      <c r="AA712" s="22"/>
      <c r="AB712" s="422"/>
      <c r="AC712" s="422"/>
      <c r="AD712" s="423"/>
      <c r="AE712" s="21"/>
      <c r="AF712" s="22"/>
      <c r="AG712" s="422"/>
      <c r="AH712" s="422"/>
      <c r="AI712" s="126"/>
      <c r="AJ712" s="21"/>
      <c r="AK712" s="22"/>
      <c r="AL712" s="422"/>
      <c r="AM712" s="422"/>
      <c r="AN712" s="422"/>
      <c r="AO712" s="473"/>
      <c r="AP712" s="422"/>
      <c r="AQ712" s="22" t="s">
        <v>5352</v>
      </c>
      <c r="AR712" s="422" t="s">
        <v>161</v>
      </c>
      <c r="AS712" s="423">
        <v>37773</v>
      </c>
      <c r="AT712" s="423">
        <v>38415</v>
      </c>
      <c r="AU712" s="422" t="s">
        <v>5109</v>
      </c>
      <c r="AV712" s="422"/>
      <c r="AW712" s="422" t="s">
        <v>92</v>
      </c>
      <c r="AX712" s="422" t="s">
        <v>5353</v>
      </c>
      <c r="AY712" s="423">
        <v>40638</v>
      </c>
      <c r="AZ712" s="422" t="s">
        <v>5354</v>
      </c>
      <c r="BA712" s="423">
        <v>41198</v>
      </c>
      <c r="BB712" s="382">
        <v>41369</v>
      </c>
      <c r="BC712" s="422" t="s">
        <v>95</v>
      </c>
      <c r="BD712" s="422"/>
      <c r="BE712" s="422"/>
      <c r="BF712" s="22"/>
      <c r="BG712" s="22"/>
      <c r="BH712" s="22"/>
      <c r="BI712" s="22"/>
      <c r="BJ712" s="28"/>
      <c r="BK712" s="28"/>
      <c r="BL712" s="29"/>
      <c r="BM712" s="423"/>
      <c r="BN712" s="21"/>
      <c r="BO712" s="461"/>
      <c r="BP712" s="399"/>
      <c r="BQ712" s="422"/>
      <c r="BR712" s="31"/>
      <c r="BS712" s="22"/>
      <c r="BT712" s="22"/>
      <c r="BU712" s="22"/>
      <c r="BV712" s="22"/>
      <c r="BW712" s="97"/>
      <c r="BX712" s="26"/>
      <c r="BY712" s="423"/>
      <c r="BZ712" s="134"/>
    </row>
    <row r="713" spans="1:555" ht="67.5">
      <c r="A713" s="502">
        <v>617</v>
      </c>
      <c r="B713" s="686" t="s">
        <v>5355</v>
      </c>
      <c r="C713" s="687">
        <v>93200947</v>
      </c>
      <c r="D713" s="688" t="s">
        <v>906</v>
      </c>
      <c r="E713" s="27">
        <v>43013</v>
      </c>
      <c r="F713" s="689">
        <v>43009</v>
      </c>
      <c r="G713" s="690" t="s">
        <v>5356</v>
      </c>
      <c r="H713" s="686" t="s">
        <v>5</v>
      </c>
      <c r="I713" s="686" t="s">
        <v>3375</v>
      </c>
      <c r="J713" s="27" t="s">
        <v>5357</v>
      </c>
      <c r="K713" s="689">
        <v>42675</v>
      </c>
      <c r="L713" s="690" t="s">
        <v>3989</v>
      </c>
      <c r="M713" s="686" t="s">
        <v>625</v>
      </c>
      <c r="N713" s="686" t="s">
        <v>3423</v>
      </c>
      <c r="O713" s="27"/>
      <c r="P713" s="691"/>
      <c r="Q713" s="690"/>
      <c r="R713" s="686"/>
      <c r="S713" s="686"/>
      <c r="T713" s="27"/>
      <c r="U713" s="689"/>
      <c r="V713" s="690"/>
      <c r="W713" s="686"/>
      <c r="X713" s="686"/>
      <c r="Y713" s="27"/>
      <c r="Z713" s="689"/>
      <c r="AA713" s="690"/>
      <c r="AB713" s="686"/>
      <c r="AC713" s="686"/>
      <c r="AD713" s="27"/>
      <c r="AE713" s="689"/>
      <c r="AF713" s="690"/>
      <c r="AG713" s="686"/>
      <c r="AH713" s="686"/>
      <c r="AI713" s="704"/>
      <c r="AJ713" s="689"/>
      <c r="AK713" s="690"/>
      <c r="AL713" s="686"/>
      <c r="AM713" s="686"/>
      <c r="AN713" s="686" t="s">
        <v>3671</v>
      </c>
      <c r="AO713" s="705"/>
      <c r="AP713" s="686"/>
      <c r="AQ713" s="690" t="s">
        <v>5358</v>
      </c>
      <c r="AR713" s="686" t="s">
        <v>2080</v>
      </c>
      <c r="AS713" s="27">
        <v>31230</v>
      </c>
      <c r="AT713" s="27">
        <v>40908</v>
      </c>
      <c r="AU713" s="686" t="s">
        <v>5109</v>
      </c>
      <c r="AV713" s="686"/>
      <c r="AW713" s="686" t="s">
        <v>69</v>
      </c>
      <c r="AX713" s="686" t="s">
        <v>5359</v>
      </c>
      <c r="AY713" s="27">
        <v>42900</v>
      </c>
      <c r="AZ713" s="686" t="s">
        <v>4043</v>
      </c>
      <c r="BA713" s="27">
        <v>42768</v>
      </c>
      <c r="BB713" s="27">
        <v>42920</v>
      </c>
      <c r="BC713" s="701" t="s">
        <v>912</v>
      </c>
      <c r="BD713" s="701" t="s">
        <v>566</v>
      </c>
      <c r="BE713" s="686"/>
      <c r="BF713" s="690"/>
      <c r="BG713" s="690"/>
      <c r="BH713" s="690"/>
      <c r="BI713" s="690"/>
      <c r="BJ713" s="708">
        <f>+[240]MATRIZ!$J$60</f>
        <v>0</v>
      </c>
      <c r="BK713" s="696"/>
      <c r="BL713" s="697"/>
      <c r="BM713" s="27"/>
      <c r="BN713" s="689"/>
      <c r="BO713" s="699"/>
      <c r="BP713" s="700"/>
      <c r="BQ713" s="686"/>
      <c r="BR713" s="701"/>
      <c r="BS713" s="690"/>
      <c r="BT713" s="690"/>
      <c r="BU713" s="690"/>
      <c r="BV713" s="690"/>
      <c r="BW713" s="702"/>
      <c r="BX713" s="693"/>
      <c r="BY713" s="27"/>
      <c r="BZ713" s="703"/>
      <c r="CA713" s="259"/>
      <c r="CB713" s="259"/>
      <c r="CC713" s="259"/>
      <c r="CD713" s="259"/>
      <c r="CE713" s="259"/>
      <c r="CF713" s="259"/>
      <c r="CG713" s="259"/>
      <c r="CH713" s="259"/>
      <c r="CI713" s="259"/>
      <c r="CJ713" s="259"/>
      <c r="CK713" s="259"/>
      <c r="CL713" s="259"/>
      <c r="CM713" s="259"/>
      <c r="CN713" s="259"/>
      <c r="CO713" s="259"/>
      <c r="CP713" s="259"/>
      <c r="CQ713" s="259"/>
      <c r="CR713" s="259"/>
      <c r="CS713" s="259"/>
      <c r="CT713" s="259"/>
      <c r="CU713" s="259"/>
      <c r="CV713" s="259"/>
      <c r="CW713" s="259"/>
      <c r="CX713" s="259"/>
      <c r="CY713" s="259"/>
      <c r="CZ713" s="259"/>
      <c r="DA713" s="259"/>
      <c r="DB713" s="259"/>
      <c r="DC713" s="259"/>
      <c r="DD713" s="259"/>
      <c r="DE713" s="259"/>
      <c r="DF713" s="259"/>
      <c r="DG713" s="259"/>
      <c r="DH713" s="259"/>
      <c r="DI713" s="259"/>
      <c r="DJ713" s="259"/>
      <c r="DK713" s="259"/>
      <c r="DL713" s="259"/>
      <c r="DM713" s="259"/>
      <c r="DN713" s="259"/>
      <c r="DO713" s="259"/>
      <c r="DP713" s="259"/>
      <c r="DQ713" s="259"/>
      <c r="DR713" s="259"/>
      <c r="DS713" s="259"/>
      <c r="DT713" s="259"/>
      <c r="DU713" s="259"/>
      <c r="DV713" s="259"/>
      <c r="DW713" s="259"/>
      <c r="DX713" s="259"/>
      <c r="DY713" s="259"/>
      <c r="DZ713" s="259"/>
      <c r="EA713" s="259"/>
      <c r="EB713" s="259"/>
      <c r="EC713" s="259"/>
      <c r="ED713" s="259"/>
      <c r="EE713" s="259"/>
      <c r="EF713" s="259"/>
      <c r="EG713" s="259"/>
      <c r="EH713" s="259"/>
      <c r="EI713" s="259"/>
      <c r="EJ713" s="259"/>
      <c r="EK713" s="259"/>
      <c r="EL713" s="259"/>
      <c r="EM713" s="259"/>
      <c r="EN713" s="259"/>
      <c r="EO713" s="259"/>
      <c r="EP713" s="259"/>
      <c r="EQ713" s="259"/>
      <c r="ER713" s="259"/>
      <c r="ES713" s="259"/>
      <c r="ET713" s="259"/>
      <c r="EU713" s="259"/>
      <c r="EV713" s="259"/>
      <c r="EW713" s="259"/>
      <c r="EX713" s="259"/>
      <c r="EY713" s="259"/>
      <c r="EZ713" s="259"/>
      <c r="FA713" s="259"/>
      <c r="FB713" s="259"/>
      <c r="FC713" s="259"/>
      <c r="FD713" s="259"/>
      <c r="FE713" s="259"/>
      <c r="FF713" s="259"/>
      <c r="FG713" s="259"/>
      <c r="FH713" s="259"/>
      <c r="FI713" s="259"/>
      <c r="FJ713" s="259"/>
      <c r="FK713" s="259"/>
      <c r="FL713" s="259"/>
      <c r="FM713" s="259"/>
      <c r="FN713" s="259"/>
      <c r="FO713" s="259"/>
      <c r="FP713" s="259"/>
      <c r="FQ713" s="259"/>
      <c r="FR713" s="259"/>
      <c r="FS713" s="259"/>
      <c r="FT713" s="259"/>
      <c r="FU713" s="259"/>
      <c r="FV713" s="259"/>
      <c r="FW713" s="259"/>
      <c r="FX713" s="259"/>
      <c r="FY713" s="259"/>
      <c r="FZ713" s="259"/>
      <c r="GA713" s="259"/>
      <c r="GB713" s="259"/>
      <c r="GC713" s="259"/>
      <c r="GD713" s="259"/>
      <c r="GE713" s="259"/>
      <c r="GF713" s="259"/>
      <c r="GG713" s="259"/>
      <c r="GH713" s="259"/>
      <c r="GI713" s="259"/>
      <c r="GJ713" s="259"/>
      <c r="GK713" s="259"/>
      <c r="GL713" s="259"/>
      <c r="GM713" s="259"/>
      <c r="GN713" s="259"/>
      <c r="GO713" s="259"/>
      <c r="GP713" s="259"/>
      <c r="GQ713" s="259"/>
      <c r="GR713" s="259"/>
      <c r="GS713" s="259"/>
      <c r="GT713" s="259"/>
      <c r="GU713" s="259"/>
      <c r="GV713" s="259"/>
      <c r="GW713" s="259"/>
      <c r="GX713" s="259"/>
      <c r="GY713" s="259"/>
      <c r="GZ713" s="259"/>
      <c r="HA713" s="259"/>
      <c r="HB713" s="259"/>
      <c r="HC713" s="259"/>
      <c r="HD713" s="259"/>
      <c r="HE713" s="259"/>
      <c r="HF713" s="259"/>
      <c r="HG713" s="259"/>
      <c r="HH713" s="259"/>
      <c r="HI713" s="259"/>
      <c r="HJ713" s="259"/>
      <c r="HK713" s="259"/>
      <c r="HL713" s="259"/>
      <c r="HM713" s="259"/>
      <c r="HN713" s="259"/>
      <c r="HO713" s="259"/>
      <c r="HP713" s="259"/>
      <c r="HQ713" s="259"/>
      <c r="HR713" s="259"/>
      <c r="HS713" s="259"/>
      <c r="HT713" s="259"/>
      <c r="HU713" s="259"/>
      <c r="HV713" s="259"/>
      <c r="HW713" s="259"/>
      <c r="HX713" s="259"/>
      <c r="HY713" s="259"/>
      <c r="HZ713" s="259"/>
      <c r="IA713" s="259"/>
      <c r="IB713" s="259"/>
      <c r="IC713" s="259"/>
      <c r="ID713" s="259"/>
      <c r="IE713" s="259"/>
      <c r="IF713" s="259"/>
      <c r="IG713" s="259"/>
      <c r="IH713" s="259"/>
      <c r="II713" s="259"/>
      <c r="IJ713" s="259"/>
      <c r="IK713" s="259"/>
      <c r="IL713" s="259"/>
      <c r="IM713" s="259"/>
      <c r="IN713" s="259"/>
      <c r="IO713" s="259"/>
      <c r="IP713" s="259"/>
      <c r="IQ713" s="259"/>
      <c r="IR713" s="259"/>
      <c r="IS713" s="259"/>
      <c r="IT713" s="259"/>
      <c r="IU713" s="259"/>
      <c r="IV713" s="259"/>
      <c r="IW713" s="259"/>
      <c r="IX713" s="259"/>
      <c r="IY713" s="259"/>
      <c r="IZ713" s="259"/>
      <c r="JA713" s="259"/>
      <c r="JB713" s="259"/>
      <c r="JC713" s="259"/>
      <c r="JD713" s="259"/>
      <c r="JE713" s="259"/>
      <c r="JF713" s="259"/>
      <c r="JG713" s="259"/>
      <c r="JH713" s="259"/>
      <c r="JI713" s="259"/>
      <c r="JJ713" s="259"/>
      <c r="JK713" s="259"/>
      <c r="JL713" s="259"/>
      <c r="JM713" s="259"/>
      <c r="JN713" s="259"/>
      <c r="JO713" s="259"/>
      <c r="JP713" s="259"/>
      <c r="JQ713" s="259"/>
      <c r="JR713" s="259"/>
      <c r="JS713" s="259"/>
      <c r="JT713" s="259"/>
      <c r="JU713" s="259"/>
      <c r="JV713" s="259"/>
      <c r="JW713" s="259"/>
      <c r="JX713" s="259"/>
      <c r="JY713" s="259"/>
      <c r="JZ713" s="259"/>
      <c r="KA713" s="259"/>
      <c r="KB713" s="259"/>
      <c r="KC713" s="259"/>
      <c r="KD713" s="259"/>
      <c r="KE713" s="259"/>
      <c r="KF713" s="259"/>
      <c r="KG713" s="259"/>
      <c r="KH713" s="259"/>
      <c r="KI713" s="259"/>
      <c r="KJ713" s="259"/>
      <c r="KK713" s="259"/>
      <c r="KL713" s="259"/>
      <c r="KM713" s="259"/>
      <c r="KN713" s="259"/>
      <c r="KO713" s="259"/>
      <c r="KP713" s="259"/>
      <c r="KQ713" s="259"/>
      <c r="KR713" s="259"/>
      <c r="KS713" s="259"/>
      <c r="KT713" s="259"/>
      <c r="KU713" s="259"/>
      <c r="KV713" s="259"/>
      <c r="KW713" s="259"/>
      <c r="KX713" s="259"/>
      <c r="KY713" s="259"/>
      <c r="KZ713" s="259"/>
      <c r="LA713" s="259"/>
      <c r="LB713" s="259"/>
      <c r="LC713" s="259"/>
      <c r="LD713" s="259"/>
      <c r="LE713" s="259"/>
      <c r="LF713" s="259"/>
      <c r="LG713" s="259"/>
      <c r="LH713" s="259"/>
      <c r="LI713" s="259"/>
      <c r="LJ713" s="259"/>
      <c r="LK713" s="259"/>
      <c r="LL713" s="259"/>
      <c r="LM713" s="259"/>
      <c r="LN713" s="259"/>
      <c r="LO713" s="259"/>
      <c r="LP713" s="259"/>
      <c r="LQ713" s="259"/>
      <c r="LR713" s="259"/>
      <c r="LS713" s="259"/>
      <c r="LT713" s="259"/>
      <c r="LU713" s="259"/>
      <c r="LV713" s="259"/>
      <c r="LW713" s="259"/>
      <c r="LX713" s="259"/>
      <c r="LY713" s="259"/>
      <c r="LZ713" s="259"/>
      <c r="MA713" s="259"/>
      <c r="MB713" s="259"/>
      <c r="MC713" s="259"/>
      <c r="MD713" s="259"/>
      <c r="ME713" s="259"/>
      <c r="MF713" s="259"/>
      <c r="MG713" s="259"/>
      <c r="MH713" s="259"/>
      <c r="MI713" s="259"/>
      <c r="MJ713" s="259"/>
      <c r="MK713" s="259"/>
      <c r="ML713" s="259"/>
      <c r="MM713" s="259"/>
      <c r="MN713" s="259"/>
      <c r="MO713" s="259"/>
      <c r="MP713" s="259"/>
      <c r="MQ713" s="259"/>
      <c r="MR713" s="259"/>
      <c r="MS713" s="259"/>
      <c r="MT713" s="259"/>
      <c r="MU713" s="259"/>
      <c r="MV713" s="259"/>
      <c r="MW713" s="259"/>
      <c r="MX713" s="259"/>
      <c r="MY713" s="259"/>
      <c r="MZ713" s="259"/>
      <c r="NA713" s="259"/>
      <c r="NB713" s="259"/>
      <c r="NC713" s="259"/>
      <c r="ND713" s="259"/>
      <c r="NE713" s="259"/>
      <c r="NF713" s="259"/>
      <c r="NG713" s="259"/>
      <c r="NH713" s="259"/>
      <c r="NI713" s="259"/>
      <c r="NJ713" s="259"/>
      <c r="NK713" s="259"/>
      <c r="NL713" s="259"/>
      <c r="NM713" s="259"/>
      <c r="NN713" s="259"/>
      <c r="NO713" s="259"/>
      <c r="NP713" s="259"/>
      <c r="NQ713" s="259"/>
      <c r="NR713" s="259"/>
      <c r="NS713" s="259"/>
      <c r="NT713" s="259"/>
      <c r="NU713" s="259"/>
      <c r="NV713" s="259"/>
      <c r="NW713" s="259"/>
      <c r="NX713" s="259"/>
      <c r="NY713" s="259"/>
      <c r="NZ713" s="259"/>
      <c r="OA713" s="259"/>
      <c r="OB713" s="259"/>
      <c r="OC713" s="259"/>
      <c r="OD713" s="259"/>
      <c r="OE713" s="259"/>
      <c r="OF713" s="259"/>
      <c r="OG713" s="259"/>
      <c r="OH713" s="259"/>
      <c r="OI713" s="259"/>
      <c r="OJ713" s="259"/>
      <c r="OK713" s="259"/>
      <c r="OL713" s="259"/>
      <c r="OM713" s="259"/>
      <c r="ON713" s="259"/>
      <c r="OO713" s="259"/>
      <c r="OP713" s="259"/>
      <c r="OQ713" s="259"/>
      <c r="OR713" s="259"/>
      <c r="OS713" s="259"/>
      <c r="OT713" s="259"/>
      <c r="OU713" s="259"/>
      <c r="OV713" s="259"/>
      <c r="OW713" s="259"/>
      <c r="OX713" s="259"/>
      <c r="OY713" s="259"/>
      <c r="OZ713" s="259"/>
      <c r="PA713" s="259"/>
      <c r="PB713" s="259"/>
      <c r="PC713" s="259"/>
      <c r="PD713" s="259"/>
      <c r="PE713" s="259"/>
      <c r="PF713" s="259"/>
      <c r="PG713" s="259"/>
      <c r="PH713" s="259"/>
      <c r="PI713" s="259"/>
      <c r="PJ713" s="259"/>
      <c r="PK713" s="259"/>
      <c r="PL713" s="259"/>
      <c r="PM713" s="259"/>
      <c r="PN713" s="259"/>
      <c r="PO713" s="259"/>
      <c r="PP713" s="259"/>
      <c r="PQ713" s="259"/>
      <c r="PR713" s="259"/>
      <c r="PS713" s="259"/>
      <c r="PT713" s="259"/>
      <c r="PU713" s="259"/>
      <c r="PV713" s="259"/>
      <c r="PW713" s="259"/>
      <c r="PX713" s="259"/>
      <c r="PY713" s="259"/>
      <c r="PZ713" s="259"/>
      <c r="QA713" s="259"/>
      <c r="QB713" s="259"/>
      <c r="QC713" s="259"/>
      <c r="QD713" s="259"/>
      <c r="QE713" s="259"/>
      <c r="QF713" s="259"/>
      <c r="QG713" s="259"/>
      <c r="QH713" s="259"/>
      <c r="QI713" s="259"/>
      <c r="QJ713" s="259"/>
      <c r="QK713" s="259"/>
      <c r="QL713" s="259"/>
      <c r="QM713" s="259"/>
      <c r="QN713" s="259"/>
      <c r="QO713" s="259"/>
      <c r="QP713" s="259"/>
      <c r="QQ713" s="259"/>
      <c r="QR713" s="259"/>
      <c r="QS713" s="259"/>
      <c r="QT713" s="259"/>
      <c r="QU713" s="259"/>
      <c r="QV713" s="259"/>
      <c r="QW713" s="259"/>
      <c r="QX713" s="259"/>
      <c r="QY713" s="259"/>
      <c r="QZ713" s="259"/>
      <c r="RA713" s="259"/>
      <c r="RB713" s="259"/>
      <c r="RC713" s="259"/>
      <c r="RD713" s="259"/>
      <c r="RE713" s="259"/>
      <c r="RF713" s="259"/>
      <c r="RG713" s="259"/>
      <c r="RH713" s="259"/>
      <c r="RI713" s="259"/>
      <c r="RJ713" s="259"/>
      <c r="RK713" s="259"/>
      <c r="RL713" s="259"/>
      <c r="RM713" s="259"/>
      <c r="RN713" s="259"/>
      <c r="RO713" s="259"/>
      <c r="RP713" s="259"/>
      <c r="RQ713" s="259"/>
      <c r="RR713" s="259"/>
      <c r="RS713" s="259"/>
      <c r="RT713" s="259"/>
      <c r="RU713" s="259"/>
      <c r="RV713" s="259"/>
      <c r="RW713" s="259"/>
      <c r="RX713" s="259"/>
      <c r="RY713" s="259"/>
      <c r="RZ713" s="259"/>
      <c r="SA713" s="259"/>
      <c r="SB713" s="259"/>
      <c r="SC713" s="259"/>
      <c r="SD713" s="259"/>
      <c r="SE713" s="259"/>
      <c r="SF713" s="259"/>
      <c r="SG713" s="259"/>
      <c r="SH713" s="259"/>
      <c r="SI713" s="259"/>
      <c r="SJ713" s="259"/>
      <c r="SK713" s="259"/>
      <c r="SL713" s="259"/>
      <c r="SM713" s="259"/>
      <c r="SN713" s="259"/>
      <c r="SO713" s="259"/>
      <c r="SP713" s="259"/>
      <c r="SQ713" s="259"/>
      <c r="SR713" s="259"/>
      <c r="SS713" s="259"/>
      <c r="ST713" s="259"/>
      <c r="SU713" s="259"/>
      <c r="SV713" s="259"/>
      <c r="SW713" s="259"/>
      <c r="SX713" s="259"/>
      <c r="SY713" s="259"/>
      <c r="SZ713" s="259"/>
      <c r="TA713" s="259"/>
      <c r="TB713" s="259"/>
      <c r="TC713" s="259"/>
      <c r="TD713" s="259"/>
      <c r="TE713" s="259"/>
      <c r="TF713" s="259"/>
      <c r="TG713" s="259"/>
      <c r="TH713" s="259"/>
      <c r="TI713" s="259"/>
      <c r="TJ713" s="259"/>
      <c r="TK713" s="259"/>
      <c r="TL713" s="259"/>
      <c r="TM713" s="259"/>
      <c r="TN713" s="259"/>
      <c r="TO713" s="259"/>
      <c r="TP713" s="259"/>
      <c r="TQ713" s="259"/>
      <c r="TR713" s="259"/>
      <c r="TS713" s="259"/>
      <c r="TT713" s="259"/>
      <c r="TU713" s="259"/>
      <c r="TV713" s="259"/>
      <c r="TW713" s="259"/>
      <c r="TX713" s="259"/>
      <c r="TY713" s="259"/>
      <c r="TZ713" s="259"/>
      <c r="UA713" s="259"/>
      <c r="UB713" s="259"/>
      <c r="UC713" s="259"/>
      <c r="UD713" s="259"/>
      <c r="UE713" s="259"/>
      <c r="UF713" s="259"/>
      <c r="UG713" s="259"/>
      <c r="UH713" s="259"/>
      <c r="UI713" s="259"/>
    </row>
    <row r="714" spans="1:555" ht="135">
      <c r="A714" s="57">
        <v>618</v>
      </c>
      <c r="B714" s="58" t="s">
        <v>5360</v>
      </c>
      <c r="C714" s="59">
        <v>76318975</v>
      </c>
      <c r="D714" s="170" t="s">
        <v>1749</v>
      </c>
      <c r="E714" s="60">
        <v>43091</v>
      </c>
      <c r="F714" s="61">
        <v>43070</v>
      </c>
      <c r="G714" s="62" t="s">
        <v>5361</v>
      </c>
      <c r="H714" s="58" t="s">
        <v>5</v>
      </c>
      <c r="I714" s="58" t="s">
        <v>85</v>
      </c>
      <c r="J714" s="60">
        <v>43179</v>
      </c>
      <c r="K714" s="61">
        <v>43160</v>
      </c>
      <c r="L714" s="62" t="s">
        <v>1754</v>
      </c>
      <c r="M714" s="58" t="s">
        <v>5</v>
      </c>
      <c r="N714" s="58" t="s">
        <v>107</v>
      </c>
      <c r="O714" s="60">
        <v>43214</v>
      </c>
      <c r="P714" s="63">
        <v>43191</v>
      </c>
      <c r="Q714" s="62" t="s">
        <v>2530</v>
      </c>
      <c r="R714" s="58" t="s">
        <v>5</v>
      </c>
      <c r="S714" s="58" t="s">
        <v>8190</v>
      </c>
      <c r="T714" s="64">
        <v>43291</v>
      </c>
      <c r="U714" s="61">
        <v>43291</v>
      </c>
      <c r="V714" s="425" t="s">
        <v>2532</v>
      </c>
      <c r="W714" s="58" t="s">
        <v>5</v>
      </c>
      <c r="X714" s="58" t="s">
        <v>107</v>
      </c>
      <c r="Y714" s="64">
        <v>43430</v>
      </c>
      <c r="Z714" s="61">
        <v>43430</v>
      </c>
      <c r="AA714" s="425" t="s">
        <v>7987</v>
      </c>
      <c r="AB714" s="425" t="s">
        <v>5</v>
      </c>
      <c r="AC714" s="425" t="s">
        <v>3366</v>
      </c>
      <c r="AD714" s="60">
        <v>42983</v>
      </c>
      <c r="AE714" s="61">
        <v>42983</v>
      </c>
      <c r="AF714" s="425" t="s">
        <v>8139</v>
      </c>
      <c r="AG714" s="58" t="s">
        <v>5</v>
      </c>
      <c r="AH714" s="58" t="s">
        <v>79</v>
      </c>
      <c r="AI714" s="60">
        <v>44294</v>
      </c>
      <c r="AJ714" s="61">
        <v>44294</v>
      </c>
      <c r="AK714" s="62" t="s">
        <v>10448</v>
      </c>
      <c r="AL714" s="58" t="s">
        <v>5</v>
      </c>
      <c r="AM714" s="58" t="s">
        <v>9511</v>
      </c>
      <c r="AN714" s="58" t="s">
        <v>3671</v>
      </c>
      <c r="AO714" s="478"/>
      <c r="AP714" s="58"/>
      <c r="AQ714" s="62" t="s">
        <v>5362</v>
      </c>
      <c r="AR714" s="58" t="s">
        <v>2080</v>
      </c>
      <c r="AS714" s="60">
        <v>37377</v>
      </c>
      <c r="AT714" s="60">
        <v>40425</v>
      </c>
      <c r="AU714" s="58" t="s">
        <v>5363</v>
      </c>
      <c r="AV714" s="58"/>
      <c r="AW714" s="58" t="s">
        <v>92</v>
      </c>
      <c r="AX714" s="58" t="s">
        <v>5364</v>
      </c>
      <c r="AY714" s="60">
        <v>42968</v>
      </c>
      <c r="AZ714" s="58" t="s">
        <v>5365</v>
      </c>
      <c r="BA714" s="60">
        <v>42880</v>
      </c>
      <c r="BB714" s="382">
        <v>42899</v>
      </c>
      <c r="BC714" s="58" t="s">
        <v>95</v>
      </c>
      <c r="BD714" s="58" t="s">
        <v>566</v>
      </c>
      <c r="BE714" s="58"/>
      <c r="BF714" s="62" t="s">
        <v>5366</v>
      </c>
      <c r="BG714" s="62"/>
      <c r="BH714" s="62"/>
      <c r="BI714" s="62"/>
      <c r="BJ714" s="209">
        <f>+[241]MATRIZ!$J$70</f>
        <v>0</v>
      </c>
      <c r="BK714" s="67"/>
      <c r="BL714" s="68"/>
      <c r="BM714" s="60"/>
      <c r="BN714" s="61"/>
      <c r="BO714" s="463"/>
      <c r="BP714" s="122"/>
      <c r="BQ714" s="58"/>
      <c r="BR714" s="70"/>
      <c r="BS714" s="62"/>
      <c r="BT714" s="62"/>
      <c r="BU714" s="62"/>
      <c r="BV714" s="62"/>
      <c r="BW714" s="71"/>
      <c r="BX714" s="66"/>
      <c r="BY714" s="60"/>
      <c r="BZ714" s="72"/>
    </row>
    <row r="715" spans="1:555" ht="54">
      <c r="A715" s="33">
        <v>619</v>
      </c>
      <c r="B715" s="34" t="s">
        <v>5367</v>
      </c>
      <c r="C715" s="35">
        <v>80728629</v>
      </c>
      <c r="D715" s="440" t="s">
        <v>906</v>
      </c>
      <c r="E715" s="37">
        <v>42753</v>
      </c>
      <c r="F715" s="38">
        <v>42736</v>
      </c>
      <c r="G715" s="39" t="s">
        <v>5368</v>
      </c>
      <c r="H715" s="34" t="s">
        <v>625</v>
      </c>
      <c r="I715" s="34" t="s">
        <v>1167</v>
      </c>
      <c r="J715" s="37">
        <v>42768</v>
      </c>
      <c r="K715" s="38">
        <v>42768</v>
      </c>
      <c r="L715" s="39" t="s">
        <v>5368</v>
      </c>
      <c r="M715" s="34" t="s">
        <v>625</v>
      </c>
      <c r="N715" s="34" t="s">
        <v>3423</v>
      </c>
      <c r="O715" s="37"/>
      <c r="P715" s="40"/>
      <c r="Q715" s="39"/>
      <c r="R715" s="34"/>
      <c r="S715" s="34"/>
      <c r="T715" s="37"/>
      <c r="U715" s="38"/>
      <c r="V715" s="39"/>
      <c r="W715" s="34"/>
      <c r="X715" s="34"/>
      <c r="Y715" s="37"/>
      <c r="Z715" s="38"/>
      <c r="AA715" s="39"/>
      <c r="AB715" s="34"/>
      <c r="AC715" s="34"/>
      <c r="AD715" s="37"/>
      <c r="AE715" s="38"/>
      <c r="AF715" s="39"/>
      <c r="AG715" s="34"/>
      <c r="AH715" s="34"/>
      <c r="AI715" s="73"/>
      <c r="AJ715" s="38"/>
      <c r="AK715" s="39"/>
      <c r="AL715" s="34"/>
      <c r="AM715" s="34"/>
      <c r="AN715" s="34"/>
      <c r="AO715" s="473"/>
      <c r="AP715" s="34"/>
      <c r="AQ715" s="39" t="s">
        <v>5369</v>
      </c>
      <c r="AR715" s="34"/>
      <c r="AS715" s="37">
        <v>37448</v>
      </c>
      <c r="AT715" s="37">
        <v>40908</v>
      </c>
      <c r="AU715" s="34" t="s">
        <v>5370</v>
      </c>
      <c r="AV715" s="34"/>
      <c r="AW715" s="34"/>
      <c r="AX715" s="34" t="s">
        <v>5371</v>
      </c>
      <c r="AY715" s="37">
        <v>42551</v>
      </c>
      <c r="AZ715" s="34" t="s">
        <v>5372</v>
      </c>
      <c r="BA715" s="37">
        <v>42717</v>
      </c>
      <c r="BB715" s="382">
        <v>42755</v>
      </c>
      <c r="BC715" s="34" t="s">
        <v>912</v>
      </c>
      <c r="BD715" s="34"/>
      <c r="BE715" s="34"/>
      <c r="BF715" s="39"/>
      <c r="BG715" s="39"/>
      <c r="BH715" s="39"/>
      <c r="BI715" s="39"/>
      <c r="BJ715" s="74">
        <v>21658920</v>
      </c>
      <c r="BK715" s="74"/>
      <c r="BL715" s="44"/>
      <c r="BM715" s="37"/>
      <c r="BN715" s="38"/>
      <c r="BO715" s="462"/>
      <c r="BP715" s="391"/>
      <c r="BQ715" s="34"/>
      <c r="BR715" s="42"/>
      <c r="BS715" s="39"/>
      <c r="BT715" s="39"/>
      <c r="BU715" s="39"/>
      <c r="BV715" s="39"/>
      <c r="BW715" s="51"/>
      <c r="BX715" s="41"/>
      <c r="BY715" s="37"/>
      <c r="BZ715" s="52"/>
    </row>
    <row r="716" spans="1:555" ht="40.5">
      <c r="A716" s="100">
        <v>620</v>
      </c>
      <c r="B716" s="34" t="s">
        <v>5373</v>
      </c>
      <c r="C716" s="139"/>
      <c r="D716" s="440"/>
      <c r="E716" s="37"/>
      <c r="F716" s="38"/>
      <c r="G716" s="39"/>
      <c r="H716" s="34"/>
      <c r="I716" s="34"/>
      <c r="J716" s="37"/>
      <c r="K716" s="38"/>
      <c r="L716" s="39"/>
      <c r="M716" s="34"/>
      <c r="N716" s="34"/>
      <c r="O716" s="37"/>
      <c r="P716" s="40"/>
      <c r="Q716" s="39"/>
      <c r="R716" s="34"/>
      <c r="S716" s="34"/>
      <c r="T716" s="37"/>
      <c r="U716" s="38"/>
      <c r="V716" s="39"/>
      <c r="W716" s="34"/>
      <c r="X716" s="34"/>
      <c r="Y716" s="37"/>
      <c r="Z716" s="38"/>
      <c r="AA716" s="39"/>
      <c r="AB716" s="34"/>
      <c r="AC716" s="34"/>
      <c r="AD716" s="37"/>
      <c r="AE716" s="38"/>
      <c r="AF716" s="39"/>
      <c r="AG716" s="34"/>
      <c r="AH716" s="34"/>
      <c r="AI716" s="73"/>
      <c r="AJ716" s="38"/>
      <c r="AK716" s="39"/>
      <c r="AL716" s="34"/>
      <c r="AM716" s="34"/>
      <c r="AN716" s="34"/>
      <c r="AO716" s="473"/>
      <c r="AP716" s="34"/>
      <c r="AQ716" s="39"/>
      <c r="AR716" s="34"/>
      <c r="AS716" s="37"/>
      <c r="AT716" s="37"/>
      <c r="AU716" s="34"/>
      <c r="AV716" s="34"/>
      <c r="AW716" s="34"/>
      <c r="AX716" s="34"/>
      <c r="AY716" s="37"/>
      <c r="AZ716" s="34"/>
      <c r="BA716" s="37"/>
      <c r="BB716" s="382"/>
      <c r="BC716" s="34"/>
      <c r="BD716" s="34"/>
      <c r="BE716" s="34"/>
      <c r="BF716" s="39"/>
      <c r="BG716" s="39"/>
      <c r="BH716" s="39"/>
      <c r="BI716" s="39"/>
      <c r="BJ716" s="74">
        <v>23112486</v>
      </c>
      <c r="BK716" s="74"/>
      <c r="BL716" s="44"/>
      <c r="BM716" s="37"/>
      <c r="BN716" s="38"/>
      <c r="BO716" s="462"/>
      <c r="BP716" s="391"/>
      <c r="BQ716" s="34"/>
      <c r="BR716" s="42"/>
      <c r="BS716" s="39"/>
      <c r="BT716" s="39"/>
      <c r="BU716" s="39"/>
      <c r="BV716" s="39"/>
      <c r="BW716" s="51"/>
      <c r="BX716" s="41"/>
      <c r="BY716" s="37"/>
      <c r="BZ716" s="52"/>
    </row>
    <row r="717" spans="1:555" ht="149.25" thickBot="1">
      <c r="A717" s="296">
        <v>621</v>
      </c>
      <c r="B717" s="297" t="s">
        <v>5374</v>
      </c>
      <c r="C717" s="298">
        <v>84081267</v>
      </c>
      <c r="D717" s="354" t="s">
        <v>667</v>
      </c>
      <c r="E717" s="299">
        <v>42881</v>
      </c>
      <c r="F717" s="300">
        <v>42856</v>
      </c>
      <c r="G717" s="301" t="s">
        <v>5375</v>
      </c>
      <c r="H717" s="297" t="s">
        <v>63</v>
      </c>
      <c r="I717" s="297" t="s">
        <v>79</v>
      </c>
      <c r="J717" s="299">
        <v>42863</v>
      </c>
      <c r="K717" s="300">
        <v>42856</v>
      </c>
      <c r="L717" s="301" t="s">
        <v>5376</v>
      </c>
      <c r="M717" s="297" t="s">
        <v>208</v>
      </c>
      <c r="N717" s="297" t="s">
        <v>107</v>
      </c>
      <c r="O717" s="299">
        <v>43089</v>
      </c>
      <c r="P717" s="302">
        <v>43070</v>
      </c>
      <c r="Q717" s="301" t="s">
        <v>5377</v>
      </c>
      <c r="R717" s="297" t="s">
        <v>63</v>
      </c>
      <c r="S717" s="297" t="s">
        <v>5378</v>
      </c>
      <c r="T717" s="299">
        <v>43150</v>
      </c>
      <c r="U717" s="300">
        <v>43132</v>
      </c>
      <c r="V717" s="301" t="s">
        <v>1142</v>
      </c>
      <c r="W717" s="297" t="s">
        <v>63</v>
      </c>
      <c r="X717" s="297" t="s">
        <v>107</v>
      </c>
      <c r="Y717" s="299">
        <v>43160</v>
      </c>
      <c r="Z717" s="300">
        <v>43160</v>
      </c>
      <c r="AA717" s="301" t="s">
        <v>2259</v>
      </c>
      <c r="AB717" s="297" t="s">
        <v>5</v>
      </c>
      <c r="AC717" s="297" t="s">
        <v>107</v>
      </c>
      <c r="AD717" s="299">
        <v>43668</v>
      </c>
      <c r="AE717" s="300">
        <v>43668</v>
      </c>
      <c r="AF717" s="301" t="s">
        <v>9057</v>
      </c>
      <c r="AG717" s="297" t="s">
        <v>63</v>
      </c>
      <c r="AH717" s="297" t="s">
        <v>8243</v>
      </c>
      <c r="AI717" s="299" t="s">
        <v>10549</v>
      </c>
      <c r="AJ717" s="300" t="s">
        <v>10548</v>
      </c>
      <c r="AK717" s="301" t="s">
        <v>10546</v>
      </c>
      <c r="AL717" s="297" t="s">
        <v>10547</v>
      </c>
      <c r="AM717" s="297" t="s">
        <v>10550</v>
      </c>
      <c r="AN717" s="297" t="s">
        <v>5231</v>
      </c>
      <c r="AO717" s="554"/>
      <c r="AP717" s="326" t="s">
        <v>2558</v>
      </c>
      <c r="AQ717" s="301" t="s">
        <v>5379</v>
      </c>
      <c r="AR717" s="297" t="s">
        <v>161</v>
      </c>
      <c r="AS717" s="299">
        <v>38621</v>
      </c>
      <c r="AT717" s="299">
        <v>40785</v>
      </c>
      <c r="AU717" s="297" t="s">
        <v>5380</v>
      </c>
      <c r="AV717" s="297"/>
      <c r="AW717" s="297" t="s">
        <v>92</v>
      </c>
      <c r="AX717" s="297" t="s">
        <v>5381</v>
      </c>
      <c r="AY717" s="299">
        <v>43038</v>
      </c>
      <c r="AZ717" s="297" t="s">
        <v>5382</v>
      </c>
      <c r="BA717" s="299">
        <v>42338</v>
      </c>
      <c r="BB717" s="299">
        <v>42580</v>
      </c>
      <c r="BC717" s="297" t="s">
        <v>95</v>
      </c>
      <c r="BD717" s="297" t="s">
        <v>566</v>
      </c>
      <c r="BE717" s="297"/>
      <c r="BF717" s="301" t="s">
        <v>7237</v>
      </c>
      <c r="BG717" s="301"/>
      <c r="BH717" s="301"/>
      <c r="BI717" s="301"/>
      <c r="BJ717" s="312">
        <f>+[242]MATRIZ!$J$76</f>
        <v>0</v>
      </c>
      <c r="BK717" s="312"/>
      <c r="BL717" s="313"/>
      <c r="BM717" s="299"/>
      <c r="BN717" s="300"/>
      <c r="BO717" s="872"/>
      <c r="BP717" s="390"/>
      <c r="BQ717" s="297"/>
      <c r="BR717" s="303"/>
      <c r="BS717" s="301"/>
      <c r="BT717" s="301"/>
      <c r="BU717" s="301"/>
      <c r="BV717" s="301"/>
      <c r="BW717" s="316"/>
      <c r="BX717" s="304"/>
      <c r="BY717" s="299"/>
      <c r="BZ717" s="317"/>
    </row>
    <row r="718" spans="1:555" ht="67.5">
      <c r="A718" s="296">
        <v>623</v>
      </c>
      <c r="B718" s="297" t="s">
        <v>5393</v>
      </c>
      <c r="C718" s="298">
        <v>92522468</v>
      </c>
      <c r="D718" s="354" t="s">
        <v>2173</v>
      </c>
      <c r="E718" s="299">
        <v>42878</v>
      </c>
      <c r="F718" s="300">
        <v>42856</v>
      </c>
      <c r="G718" s="301" t="s">
        <v>5394</v>
      </c>
      <c r="H718" s="297" t="s">
        <v>5</v>
      </c>
      <c r="I718" s="297" t="s">
        <v>79</v>
      </c>
      <c r="J718" s="299"/>
      <c r="K718" s="300"/>
      <c r="L718" s="301"/>
      <c r="M718" s="297"/>
      <c r="N718" s="297"/>
      <c r="O718" s="299"/>
      <c r="P718" s="302"/>
      <c r="Q718" s="301"/>
      <c r="R718" s="297"/>
      <c r="S718" s="297"/>
      <c r="T718" s="299"/>
      <c r="U718" s="300"/>
      <c r="V718" s="301"/>
      <c r="W718" s="297"/>
      <c r="X718" s="297"/>
      <c r="Y718" s="299"/>
      <c r="Z718" s="300"/>
      <c r="AA718" s="301"/>
      <c r="AB718" s="297"/>
      <c r="AC718" s="297"/>
      <c r="AD718" s="299"/>
      <c r="AE718" s="300"/>
      <c r="AF718" s="301"/>
      <c r="AG718" s="297"/>
      <c r="AH718" s="297"/>
      <c r="AI718" s="322"/>
      <c r="AJ718" s="300"/>
      <c r="AK718" s="301"/>
      <c r="AL718" s="297"/>
      <c r="AM718" s="297"/>
      <c r="AN718" s="297" t="s">
        <v>3671</v>
      </c>
      <c r="AO718" s="554"/>
      <c r="AP718" s="297"/>
      <c r="AQ718" s="301" t="s">
        <v>5395</v>
      </c>
      <c r="AR718" s="297" t="s">
        <v>161</v>
      </c>
      <c r="AS718" s="299">
        <v>36228</v>
      </c>
      <c r="AT718" s="299">
        <v>40908</v>
      </c>
      <c r="AU718" s="297" t="s">
        <v>5396</v>
      </c>
      <c r="AV718" s="297"/>
      <c r="AW718" s="297" t="s">
        <v>69</v>
      </c>
      <c r="AX718" s="297" t="s">
        <v>5397</v>
      </c>
      <c r="AY718" s="299">
        <v>42396</v>
      </c>
      <c r="AZ718" s="297" t="s">
        <v>8180</v>
      </c>
      <c r="BA718" s="299">
        <v>42587</v>
      </c>
      <c r="BB718" s="299">
        <v>42599</v>
      </c>
      <c r="BC718" s="303" t="s">
        <v>912</v>
      </c>
      <c r="BD718" s="303" t="s">
        <v>566</v>
      </c>
      <c r="BE718" s="297"/>
      <c r="BF718" s="301"/>
      <c r="BG718" s="301"/>
      <c r="BH718" s="301"/>
      <c r="BI718" s="301"/>
      <c r="BJ718" s="312">
        <f>+[243]MATRIZ!$J$62</f>
        <v>0</v>
      </c>
      <c r="BK718" s="312"/>
      <c r="BL718" s="313"/>
      <c r="BM718" s="299"/>
      <c r="BN718" s="300"/>
      <c r="BO718" s="460"/>
      <c r="BP718" s="390"/>
      <c r="BQ718" s="297"/>
      <c r="BR718" s="303"/>
      <c r="BS718" s="301"/>
      <c r="BT718" s="301"/>
      <c r="BU718" s="301"/>
      <c r="BV718" s="301"/>
      <c r="BW718" s="316"/>
      <c r="BX718" s="304"/>
      <c r="BY718" s="299"/>
      <c r="BZ718" s="317"/>
    </row>
    <row r="719" spans="1:555" ht="67.5" customHeight="1">
      <c r="A719" s="57">
        <v>624</v>
      </c>
      <c r="B719" s="58" t="s">
        <v>5398</v>
      </c>
      <c r="C719" s="59"/>
      <c r="D719" s="170" t="s">
        <v>5399</v>
      </c>
      <c r="E719" s="60">
        <v>42885</v>
      </c>
      <c r="F719" s="61">
        <v>42856</v>
      </c>
      <c r="G719" s="62" t="s">
        <v>5400</v>
      </c>
      <c r="H719" s="58" t="s">
        <v>63</v>
      </c>
      <c r="I719" s="58" t="s">
        <v>4546</v>
      </c>
      <c r="J719" s="60"/>
      <c r="K719" s="61"/>
      <c r="L719" s="62"/>
      <c r="M719" s="58"/>
      <c r="N719" s="58"/>
      <c r="O719" s="60"/>
      <c r="P719" s="63"/>
      <c r="Q719" s="62"/>
      <c r="R719" s="58"/>
      <c r="S719" s="58"/>
      <c r="T719" s="60"/>
      <c r="U719" s="61"/>
      <c r="V719" s="62"/>
      <c r="W719" s="58"/>
      <c r="X719" s="58"/>
      <c r="Y719" s="60"/>
      <c r="Z719" s="61"/>
      <c r="AA719" s="62"/>
      <c r="AB719" s="58"/>
      <c r="AC719" s="58"/>
      <c r="AD719" s="60"/>
      <c r="AE719" s="61"/>
      <c r="AF719" s="62"/>
      <c r="AG719" s="58"/>
      <c r="AH719" s="58"/>
      <c r="AI719" s="117"/>
      <c r="AJ719" s="61"/>
      <c r="AK719" s="62"/>
      <c r="AL719" s="58"/>
      <c r="AM719" s="58"/>
      <c r="AN719" s="58" t="s">
        <v>4827</v>
      </c>
      <c r="AO719" s="478" t="s">
        <v>7946</v>
      </c>
      <c r="AP719" s="58"/>
      <c r="AQ719" s="62" t="s">
        <v>5401</v>
      </c>
      <c r="AR719" s="58" t="s">
        <v>161</v>
      </c>
      <c r="AS719" s="60" t="s">
        <v>67</v>
      </c>
      <c r="AT719" s="60" t="s">
        <v>67</v>
      </c>
      <c r="AU719" s="58" t="s">
        <v>5402</v>
      </c>
      <c r="AV719" s="58"/>
      <c r="AW719" s="58" t="s">
        <v>92</v>
      </c>
      <c r="AX719" s="58" t="s">
        <v>5403</v>
      </c>
      <c r="AY719" s="60">
        <v>38222</v>
      </c>
      <c r="AZ719" s="58" t="s">
        <v>5404</v>
      </c>
      <c r="BA719" s="60">
        <v>41829</v>
      </c>
      <c r="BB719" s="382">
        <v>42545</v>
      </c>
      <c r="BC719" s="70" t="s">
        <v>561</v>
      </c>
      <c r="BD719" s="70" t="s">
        <v>566</v>
      </c>
      <c r="BE719" s="58" t="s">
        <v>5405</v>
      </c>
      <c r="BF719" s="62"/>
      <c r="BG719" s="62"/>
      <c r="BH719" s="62"/>
      <c r="BI719" s="62"/>
      <c r="BJ719" s="74">
        <f>+'[244]MATRIZ '!$J$31</f>
        <v>0</v>
      </c>
      <c r="BK719" s="67"/>
      <c r="BL719" s="68"/>
      <c r="BM719" s="60"/>
      <c r="BN719" s="61"/>
      <c r="BO719" s="463"/>
      <c r="BP719" s="122"/>
      <c r="BQ719" s="58"/>
      <c r="BR719" s="70"/>
      <c r="BS719" s="62"/>
      <c r="BT719" s="62"/>
      <c r="BU719" s="62"/>
      <c r="BV719" s="62"/>
      <c r="BW719" s="71"/>
      <c r="BX719" s="66"/>
      <c r="BY719" s="60"/>
      <c r="BZ719" s="72"/>
    </row>
    <row r="720" spans="1:555" ht="40.5">
      <c r="A720" s="100">
        <v>625</v>
      </c>
      <c r="B720" s="34" t="s">
        <v>5406</v>
      </c>
      <c r="C720" s="35"/>
      <c r="D720" s="36"/>
      <c r="E720" s="37"/>
      <c r="F720" s="38"/>
      <c r="G720" s="39"/>
      <c r="H720" s="34"/>
      <c r="I720" s="34"/>
      <c r="J720" s="37"/>
      <c r="K720" s="38"/>
      <c r="L720" s="39"/>
      <c r="M720" s="34"/>
      <c r="N720" s="34"/>
      <c r="O720" s="37"/>
      <c r="P720" s="40"/>
      <c r="Q720" s="39"/>
      <c r="R720" s="34"/>
      <c r="S720" s="34"/>
      <c r="T720" s="37"/>
      <c r="U720" s="38"/>
      <c r="V720" s="39"/>
      <c r="W720" s="34"/>
      <c r="X720" s="34"/>
      <c r="Y720" s="37"/>
      <c r="Z720" s="38"/>
      <c r="AA720" s="39"/>
      <c r="AB720" s="34"/>
      <c r="AC720" s="34"/>
      <c r="AD720" s="37"/>
      <c r="AE720" s="38"/>
      <c r="AF720" s="39"/>
      <c r="AG720" s="34"/>
      <c r="AH720" s="34"/>
      <c r="AI720" s="73"/>
      <c r="AJ720" s="38"/>
      <c r="AK720" s="39"/>
      <c r="AL720" s="34"/>
      <c r="AM720" s="34"/>
      <c r="AN720" s="34"/>
      <c r="AO720" s="473"/>
      <c r="AP720" s="34"/>
      <c r="AQ720" s="39"/>
      <c r="AR720" s="34"/>
      <c r="AS720" s="37"/>
      <c r="AT720" s="37"/>
      <c r="AU720" s="34"/>
      <c r="AV720" s="34"/>
      <c r="AW720" s="34"/>
      <c r="AX720" s="34"/>
      <c r="AY720" s="37"/>
      <c r="AZ720" s="34"/>
      <c r="BA720" s="37"/>
      <c r="BB720" s="382"/>
      <c r="BC720" s="42"/>
      <c r="BD720" s="42"/>
      <c r="BE720" s="34"/>
      <c r="BF720" s="39"/>
      <c r="BG720" s="39"/>
      <c r="BH720" s="39"/>
      <c r="BI720" s="39"/>
      <c r="BJ720" s="74"/>
      <c r="BK720" s="74"/>
      <c r="BL720" s="44"/>
      <c r="BM720" s="37"/>
      <c r="BN720" s="38"/>
      <c r="BO720" s="462"/>
      <c r="BP720" s="391"/>
      <c r="BQ720" s="34"/>
      <c r="BR720" s="42"/>
      <c r="BS720" s="39"/>
      <c r="BT720" s="39"/>
      <c r="BU720" s="39"/>
      <c r="BV720" s="39"/>
      <c r="BW720" s="51"/>
      <c r="BX720" s="41"/>
      <c r="BY720" s="37"/>
      <c r="BZ720" s="52"/>
    </row>
    <row r="721" spans="1:555" ht="54">
      <c r="A721" s="100">
        <v>626</v>
      </c>
      <c r="B721" s="34" t="s">
        <v>5407</v>
      </c>
      <c r="C721" s="35"/>
      <c r="D721" s="36"/>
      <c r="E721" s="37"/>
      <c r="F721" s="38"/>
      <c r="G721" s="39"/>
      <c r="H721" s="34"/>
      <c r="I721" s="34"/>
      <c r="J721" s="37"/>
      <c r="K721" s="38"/>
      <c r="L721" s="39"/>
      <c r="M721" s="34"/>
      <c r="N721" s="34"/>
      <c r="O721" s="37"/>
      <c r="P721" s="40"/>
      <c r="Q721" s="39"/>
      <c r="R721" s="34"/>
      <c r="S721" s="34"/>
      <c r="T721" s="37"/>
      <c r="U721" s="38"/>
      <c r="V721" s="39"/>
      <c r="W721" s="34"/>
      <c r="X721" s="34"/>
      <c r="Y721" s="37"/>
      <c r="Z721" s="38"/>
      <c r="AA721" s="39"/>
      <c r="AB721" s="34"/>
      <c r="AC721" s="34"/>
      <c r="AD721" s="37"/>
      <c r="AE721" s="38"/>
      <c r="AF721" s="39"/>
      <c r="AG721" s="34"/>
      <c r="AH721" s="34"/>
      <c r="AI721" s="73"/>
      <c r="AJ721" s="38"/>
      <c r="AK721" s="39"/>
      <c r="AL721" s="34"/>
      <c r="AM721" s="34"/>
      <c r="AN721" s="34"/>
      <c r="AO721" s="473"/>
      <c r="AP721" s="34"/>
      <c r="AQ721" s="46"/>
      <c r="AR721" s="34"/>
      <c r="AS721" s="37"/>
      <c r="AT721" s="37"/>
      <c r="AU721" s="34"/>
      <c r="AV721" s="34"/>
      <c r="AW721" s="34"/>
      <c r="AX721" s="34"/>
      <c r="AY721" s="37"/>
      <c r="AZ721" s="34"/>
      <c r="BA721" s="37"/>
      <c r="BB721" s="382"/>
      <c r="BC721" s="42"/>
      <c r="BD721" s="42"/>
      <c r="BE721" s="34"/>
      <c r="BF721" s="39"/>
      <c r="BG721" s="39"/>
      <c r="BH721" s="39"/>
      <c r="BI721" s="39"/>
      <c r="BJ721" s="74"/>
      <c r="BK721" s="74"/>
      <c r="BL721" s="44"/>
      <c r="BM721" s="37"/>
      <c r="BN721" s="38"/>
      <c r="BO721" s="462"/>
      <c r="BP721" s="391"/>
      <c r="BQ721" s="34"/>
      <c r="BR721" s="42"/>
      <c r="BS721" s="39"/>
      <c r="BT721" s="39"/>
      <c r="BU721" s="39"/>
      <c r="BV721" s="39"/>
      <c r="BW721" s="51"/>
      <c r="BX721" s="41"/>
      <c r="BY721" s="37"/>
      <c r="BZ721" s="52"/>
    </row>
    <row r="722" spans="1:555" ht="256.5">
      <c r="A722" s="502">
        <v>628</v>
      </c>
      <c r="B722" s="686" t="s">
        <v>5418</v>
      </c>
      <c r="C722" s="687">
        <v>79394415</v>
      </c>
      <c r="D722" s="688" t="s">
        <v>906</v>
      </c>
      <c r="E722" s="27">
        <v>42962</v>
      </c>
      <c r="F722" s="689">
        <v>42948</v>
      </c>
      <c r="G722" s="690" t="s">
        <v>5419</v>
      </c>
      <c r="H722" s="686" t="s">
        <v>625</v>
      </c>
      <c r="I722" s="686" t="s">
        <v>5420</v>
      </c>
      <c r="J722" s="16">
        <v>43256</v>
      </c>
      <c r="K722" s="689">
        <v>43256</v>
      </c>
      <c r="L722" s="706" t="s">
        <v>5421</v>
      </c>
      <c r="M722" s="686" t="s">
        <v>5</v>
      </c>
      <c r="N722" s="686" t="s">
        <v>79</v>
      </c>
      <c r="O722" s="27">
        <v>43362</v>
      </c>
      <c r="P722" s="691">
        <v>43362</v>
      </c>
      <c r="Q722" s="690" t="s">
        <v>6028</v>
      </c>
      <c r="R722" s="686" t="s">
        <v>5</v>
      </c>
      <c r="S722" s="686" t="s">
        <v>3366</v>
      </c>
      <c r="T722" s="27">
        <v>43615</v>
      </c>
      <c r="U722" s="689">
        <v>43615</v>
      </c>
      <c r="V722" s="690" t="s">
        <v>8838</v>
      </c>
      <c r="W722" s="686" t="s">
        <v>5</v>
      </c>
      <c r="X722" s="686" t="s">
        <v>8839</v>
      </c>
      <c r="Y722" s="27">
        <v>43654</v>
      </c>
      <c r="Z722" s="689">
        <v>43654</v>
      </c>
      <c r="AA722" s="690" t="s">
        <v>8922</v>
      </c>
      <c r="AB722" s="686" t="s">
        <v>625</v>
      </c>
      <c r="AC722" s="686" t="s">
        <v>8923</v>
      </c>
      <c r="AD722" s="27">
        <v>44085</v>
      </c>
      <c r="AE722" s="689">
        <v>44085</v>
      </c>
      <c r="AF722" s="690" t="s">
        <v>9702</v>
      </c>
      <c r="AG722" s="686" t="s">
        <v>208</v>
      </c>
      <c r="AH722" s="686" t="s">
        <v>8243</v>
      </c>
      <c r="AI722" s="704"/>
      <c r="AJ722" s="689"/>
      <c r="AK722" s="690"/>
      <c r="AL722" s="686"/>
      <c r="AM722" s="686"/>
      <c r="AN722" s="686" t="s">
        <v>3671</v>
      </c>
      <c r="AO722" s="705"/>
      <c r="AP722" s="686"/>
      <c r="AQ722" s="690" t="s">
        <v>5422</v>
      </c>
      <c r="AR722" s="686" t="s">
        <v>161</v>
      </c>
      <c r="AS722" s="27">
        <v>34157</v>
      </c>
      <c r="AT722" s="27">
        <v>40908</v>
      </c>
      <c r="AU722" s="686" t="s">
        <v>8917</v>
      </c>
      <c r="AV722" s="686"/>
      <c r="AW722" s="686" t="s">
        <v>69</v>
      </c>
      <c r="AX722" s="686" t="s">
        <v>5225</v>
      </c>
      <c r="AY722" s="27">
        <v>42534</v>
      </c>
      <c r="AZ722" s="686" t="s">
        <v>5423</v>
      </c>
      <c r="BA722" s="27">
        <v>42901</v>
      </c>
      <c r="BB722" s="27">
        <v>42913</v>
      </c>
      <c r="BC722" s="701" t="s">
        <v>912</v>
      </c>
      <c r="BD722" s="701" t="s">
        <v>566</v>
      </c>
      <c r="BE722" s="686"/>
      <c r="BF722" s="690"/>
      <c r="BG722" s="690"/>
      <c r="BH722" s="690"/>
      <c r="BI722" s="690"/>
      <c r="BJ722" s="708">
        <f>+[245]MATRIZ!$J$53</f>
        <v>0</v>
      </c>
      <c r="BK722" s="696"/>
      <c r="BL722" s="697"/>
      <c r="BM722" s="27"/>
      <c r="BN722" s="689"/>
      <c r="BO722" s="699"/>
      <c r="BP722" s="700"/>
      <c r="BQ722" s="686"/>
      <c r="BR722" s="701"/>
      <c r="BS722" s="690"/>
      <c r="BT722" s="690"/>
      <c r="BU722" s="690"/>
      <c r="BV722" s="690"/>
      <c r="BW722" s="702"/>
      <c r="BX722" s="693"/>
      <c r="BY722" s="27"/>
      <c r="BZ722" s="703"/>
      <c r="CA722" s="259"/>
      <c r="CB722" s="259"/>
      <c r="CC722" s="259"/>
      <c r="CD722" s="259"/>
      <c r="CE722" s="259"/>
      <c r="CF722" s="259"/>
      <c r="CG722" s="259"/>
      <c r="CH722" s="259"/>
      <c r="CI722" s="259"/>
      <c r="CJ722" s="259"/>
      <c r="CK722" s="259"/>
      <c r="CL722" s="259"/>
      <c r="CM722" s="259"/>
      <c r="CN722" s="259"/>
      <c r="CO722" s="259"/>
      <c r="CP722" s="259"/>
      <c r="CQ722" s="259"/>
      <c r="CR722" s="259"/>
      <c r="CS722" s="259"/>
      <c r="CT722" s="259"/>
      <c r="CU722" s="259"/>
      <c r="CV722" s="259"/>
      <c r="CW722" s="259"/>
      <c r="CX722" s="259"/>
      <c r="CY722" s="259"/>
      <c r="CZ722" s="259"/>
      <c r="DA722" s="259"/>
      <c r="DB722" s="259"/>
      <c r="DC722" s="259"/>
      <c r="DD722" s="259"/>
      <c r="DE722" s="259"/>
      <c r="DF722" s="259"/>
      <c r="DG722" s="259"/>
      <c r="DH722" s="259"/>
      <c r="DI722" s="259"/>
      <c r="DJ722" s="259"/>
      <c r="DK722" s="259"/>
      <c r="DL722" s="259"/>
      <c r="DM722" s="259"/>
      <c r="DN722" s="259"/>
      <c r="DO722" s="259"/>
      <c r="DP722" s="259"/>
      <c r="DQ722" s="259"/>
      <c r="DR722" s="259"/>
      <c r="DS722" s="259"/>
      <c r="DT722" s="259"/>
      <c r="DU722" s="259"/>
      <c r="DV722" s="259"/>
      <c r="DW722" s="259"/>
      <c r="DX722" s="259"/>
      <c r="DY722" s="259"/>
      <c r="DZ722" s="259"/>
      <c r="EA722" s="259"/>
      <c r="EB722" s="259"/>
      <c r="EC722" s="259"/>
      <c r="ED722" s="259"/>
      <c r="EE722" s="259"/>
      <c r="EF722" s="259"/>
      <c r="EG722" s="259"/>
      <c r="EH722" s="259"/>
      <c r="EI722" s="259"/>
      <c r="EJ722" s="259"/>
      <c r="EK722" s="259"/>
      <c r="EL722" s="259"/>
      <c r="EM722" s="259"/>
      <c r="EN722" s="259"/>
      <c r="EO722" s="259"/>
      <c r="EP722" s="259"/>
      <c r="EQ722" s="259"/>
      <c r="ER722" s="259"/>
      <c r="ES722" s="259"/>
      <c r="ET722" s="259"/>
      <c r="EU722" s="259"/>
      <c r="EV722" s="259"/>
      <c r="EW722" s="259"/>
      <c r="EX722" s="259"/>
      <c r="EY722" s="259"/>
      <c r="EZ722" s="259"/>
      <c r="FA722" s="259"/>
      <c r="FB722" s="259"/>
      <c r="FC722" s="259"/>
      <c r="FD722" s="259"/>
      <c r="FE722" s="259"/>
      <c r="FF722" s="259"/>
      <c r="FG722" s="259"/>
      <c r="FH722" s="259"/>
      <c r="FI722" s="259"/>
      <c r="FJ722" s="259"/>
      <c r="FK722" s="259"/>
      <c r="FL722" s="259"/>
      <c r="FM722" s="259"/>
      <c r="FN722" s="259"/>
      <c r="FO722" s="259"/>
      <c r="FP722" s="259"/>
      <c r="FQ722" s="259"/>
      <c r="FR722" s="259"/>
      <c r="FS722" s="259"/>
      <c r="FT722" s="259"/>
      <c r="FU722" s="259"/>
      <c r="FV722" s="259"/>
      <c r="FW722" s="259"/>
      <c r="FX722" s="259"/>
      <c r="FY722" s="259"/>
      <c r="FZ722" s="259"/>
      <c r="GA722" s="259"/>
      <c r="GB722" s="259"/>
      <c r="GC722" s="259"/>
      <c r="GD722" s="259"/>
      <c r="GE722" s="259"/>
      <c r="GF722" s="259"/>
      <c r="GG722" s="259"/>
      <c r="GH722" s="259"/>
      <c r="GI722" s="259"/>
      <c r="GJ722" s="259"/>
      <c r="GK722" s="259"/>
      <c r="GL722" s="259"/>
      <c r="GM722" s="259"/>
      <c r="GN722" s="259"/>
      <c r="GO722" s="259"/>
      <c r="GP722" s="259"/>
      <c r="GQ722" s="259"/>
      <c r="GR722" s="259"/>
      <c r="GS722" s="259"/>
      <c r="GT722" s="259"/>
      <c r="GU722" s="259"/>
      <c r="GV722" s="259"/>
      <c r="GW722" s="259"/>
      <c r="GX722" s="259"/>
      <c r="GY722" s="259"/>
      <c r="GZ722" s="259"/>
      <c r="HA722" s="259"/>
      <c r="HB722" s="259"/>
      <c r="HC722" s="259"/>
      <c r="HD722" s="259"/>
      <c r="HE722" s="259"/>
      <c r="HF722" s="259"/>
      <c r="HG722" s="259"/>
      <c r="HH722" s="259"/>
      <c r="HI722" s="259"/>
      <c r="HJ722" s="259"/>
      <c r="HK722" s="259"/>
      <c r="HL722" s="259"/>
      <c r="HM722" s="259"/>
      <c r="HN722" s="259"/>
      <c r="HO722" s="259"/>
      <c r="HP722" s="259"/>
      <c r="HQ722" s="259"/>
      <c r="HR722" s="259"/>
      <c r="HS722" s="259"/>
      <c r="HT722" s="259"/>
      <c r="HU722" s="259"/>
      <c r="HV722" s="259"/>
      <c r="HW722" s="259"/>
      <c r="HX722" s="259"/>
      <c r="HY722" s="259"/>
      <c r="HZ722" s="259"/>
      <c r="IA722" s="259"/>
      <c r="IB722" s="259"/>
      <c r="IC722" s="259"/>
      <c r="ID722" s="259"/>
      <c r="IE722" s="259"/>
      <c r="IF722" s="259"/>
      <c r="IG722" s="259"/>
      <c r="IH722" s="259"/>
      <c r="II722" s="259"/>
      <c r="IJ722" s="259"/>
      <c r="IK722" s="259"/>
      <c r="IL722" s="259"/>
      <c r="IM722" s="259"/>
      <c r="IN722" s="259"/>
      <c r="IO722" s="259"/>
      <c r="IP722" s="259"/>
      <c r="IQ722" s="259"/>
      <c r="IR722" s="259"/>
      <c r="IS722" s="259"/>
      <c r="IT722" s="259"/>
      <c r="IU722" s="259"/>
      <c r="IV722" s="259"/>
      <c r="IW722" s="259"/>
      <c r="IX722" s="259"/>
      <c r="IY722" s="259"/>
      <c r="IZ722" s="259"/>
      <c r="JA722" s="259"/>
      <c r="JB722" s="259"/>
      <c r="JC722" s="259"/>
      <c r="JD722" s="259"/>
      <c r="JE722" s="259"/>
      <c r="JF722" s="259"/>
      <c r="JG722" s="259"/>
      <c r="JH722" s="259"/>
      <c r="JI722" s="259"/>
      <c r="JJ722" s="259"/>
      <c r="JK722" s="259"/>
      <c r="JL722" s="259"/>
      <c r="JM722" s="259"/>
      <c r="JN722" s="259"/>
      <c r="JO722" s="259"/>
      <c r="JP722" s="259"/>
      <c r="JQ722" s="259"/>
      <c r="JR722" s="259"/>
      <c r="JS722" s="259"/>
      <c r="JT722" s="259"/>
      <c r="JU722" s="259"/>
      <c r="JV722" s="259"/>
      <c r="JW722" s="259"/>
      <c r="JX722" s="259"/>
      <c r="JY722" s="259"/>
      <c r="JZ722" s="259"/>
      <c r="KA722" s="259"/>
      <c r="KB722" s="259"/>
      <c r="KC722" s="259"/>
      <c r="KD722" s="259"/>
      <c r="KE722" s="259"/>
      <c r="KF722" s="259"/>
      <c r="KG722" s="259"/>
      <c r="KH722" s="259"/>
      <c r="KI722" s="259"/>
      <c r="KJ722" s="259"/>
      <c r="KK722" s="259"/>
      <c r="KL722" s="259"/>
      <c r="KM722" s="259"/>
      <c r="KN722" s="259"/>
      <c r="KO722" s="259"/>
      <c r="KP722" s="259"/>
      <c r="KQ722" s="259"/>
      <c r="KR722" s="259"/>
      <c r="KS722" s="259"/>
      <c r="KT722" s="259"/>
      <c r="KU722" s="259"/>
      <c r="KV722" s="259"/>
      <c r="KW722" s="259"/>
      <c r="KX722" s="259"/>
      <c r="KY722" s="259"/>
      <c r="KZ722" s="259"/>
      <c r="LA722" s="259"/>
      <c r="LB722" s="259"/>
      <c r="LC722" s="259"/>
      <c r="LD722" s="259"/>
      <c r="LE722" s="259"/>
      <c r="LF722" s="259"/>
      <c r="LG722" s="259"/>
      <c r="LH722" s="259"/>
      <c r="LI722" s="259"/>
      <c r="LJ722" s="259"/>
      <c r="LK722" s="259"/>
      <c r="LL722" s="259"/>
      <c r="LM722" s="259"/>
      <c r="LN722" s="259"/>
      <c r="LO722" s="259"/>
      <c r="LP722" s="259"/>
      <c r="LQ722" s="259"/>
      <c r="LR722" s="259"/>
      <c r="LS722" s="259"/>
      <c r="LT722" s="259"/>
      <c r="LU722" s="259"/>
      <c r="LV722" s="259"/>
      <c r="LW722" s="259"/>
      <c r="LX722" s="259"/>
      <c r="LY722" s="259"/>
      <c r="LZ722" s="259"/>
      <c r="MA722" s="259"/>
      <c r="MB722" s="259"/>
      <c r="MC722" s="259"/>
      <c r="MD722" s="259"/>
      <c r="ME722" s="259"/>
      <c r="MF722" s="259"/>
      <c r="MG722" s="259"/>
      <c r="MH722" s="259"/>
      <c r="MI722" s="259"/>
      <c r="MJ722" s="259"/>
      <c r="MK722" s="259"/>
      <c r="ML722" s="259"/>
      <c r="MM722" s="259"/>
      <c r="MN722" s="259"/>
      <c r="MO722" s="259"/>
      <c r="MP722" s="259"/>
      <c r="MQ722" s="259"/>
      <c r="MR722" s="259"/>
      <c r="MS722" s="259"/>
      <c r="MT722" s="259"/>
      <c r="MU722" s="259"/>
      <c r="MV722" s="259"/>
      <c r="MW722" s="259"/>
      <c r="MX722" s="259"/>
      <c r="MY722" s="259"/>
      <c r="MZ722" s="259"/>
      <c r="NA722" s="259"/>
      <c r="NB722" s="259"/>
      <c r="NC722" s="259"/>
      <c r="ND722" s="259"/>
      <c r="NE722" s="259"/>
      <c r="NF722" s="259"/>
      <c r="NG722" s="259"/>
      <c r="NH722" s="259"/>
      <c r="NI722" s="259"/>
      <c r="NJ722" s="259"/>
      <c r="NK722" s="259"/>
      <c r="NL722" s="259"/>
      <c r="NM722" s="259"/>
      <c r="NN722" s="259"/>
      <c r="NO722" s="259"/>
      <c r="NP722" s="259"/>
      <c r="NQ722" s="259"/>
      <c r="NR722" s="259"/>
      <c r="NS722" s="259"/>
      <c r="NT722" s="259"/>
      <c r="NU722" s="259"/>
      <c r="NV722" s="259"/>
      <c r="NW722" s="259"/>
      <c r="NX722" s="259"/>
      <c r="NY722" s="259"/>
      <c r="NZ722" s="259"/>
      <c r="OA722" s="259"/>
      <c r="OB722" s="259"/>
      <c r="OC722" s="259"/>
      <c r="OD722" s="259"/>
      <c r="OE722" s="259"/>
      <c r="OF722" s="259"/>
      <c r="OG722" s="259"/>
      <c r="OH722" s="259"/>
      <c r="OI722" s="259"/>
      <c r="OJ722" s="259"/>
      <c r="OK722" s="259"/>
      <c r="OL722" s="259"/>
      <c r="OM722" s="259"/>
      <c r="ON722" s="259"/>
      <c r="OO722" s="259"/>
      <c r="OP722" s="259"/>
      <c r="OQ722" s="259"/>
      <c r="OR722" s="259"/>
      <c r="OS722" s="259"/>
      <c r="OT722" s="259"/>
      <c r="OU722" s="259"/>
      <c r="OV722" s="259"/>
      <c r="OW722" s="259"/>
      <c r="OX722" s="259"/>
      <c r="OY722" s="259"/>
      <c r="OZ722" s="259"/>
      <c r="PA722" s="259"/>
      <c r="PB722" s="259"/>
      <c r="PC722" s="259"/>
      <c r="PD722" s="259"/>
      <c r="PE722" s="259"/>
      <c r="PF722" s="259"/>
      <c r="PG722" s="259"/>
      <c r="PH722" s="259"/>
      <c r="PI722" s="259"/>
      <c r="PJ722" s="259"/>
      <c r="PK722" s="259"/>
      <c r="PL722" s="259"/>
      <c r="PM722" s="259"/>
      <c r="PN722" s="259"/>
      <c r="PO722" s="259"/>
      <c r="PP722" s="259"/>
      <c r="PQ722" s="259"/>
      <c r="PR722" s="259"/>
      <c r="PS722" s="259"/>
      <c r="PT722" s="259"/>
      <c r="PU722" s="259"/>
      <c r="PV722" s="259"/>
      <c r="PW722" s="259"/>
      <c r="PX722" s="259"/>
      <c r="PY722" s="259"/>
      <c r="PZ722" s="259"/>
      <c r="QA722" s="259"/>
      <c r="QB722" s="259"/>
      <c r="QC722" s="259"/>
      <c r="QD722" s="259"/>
      <c r="QE722" s="259"/>
      <c r="QF722" s="259"/>
      <c r="QG722" s="259"/>
      <c r="QH722" s="259"/>
      <c r="QI722" s="259"/>
      <c r="QJ722" s="259"/>
      <c r="QK722" s="259"/>
      <c r="QL722" s="259"/>
      <c r="QM722" s="259"/>
      <c r="QN722" s="259"/>
      <c r="QO722" s="259"/>
      <c r="QP722" s="259"/>
      <c r="QQ722" s="259"/>
      <c r="QR722" s="259"/>
      <c r="QS722" s="259"/>
      <c r="QT722" s="259"/>
      <c r="QU722" s="259"/>
      <c r="QV722" s="259"/>
      <c r="QW722" s="259"/>
      <c r="QX722" s="259"/>
      <c r="QY722" s="259"/>
      <c r="QZ722" s="259"/>
      <c r="RA722" s="259"/>
      <c r="RB722" s="259"/>
      <c r="RC722" s="259"/>
      <c r="RD722" s="259"/>
      <c r="RE722" s="259"/>
      <c r="RF722" s="259"/>
      <c r="RG722" s="259"/>
      <c r="RH722" s="259"/>
      <c r="RI722" s="259"/>
      <c r="RJ722" s="259"/>
      <c r="RK722" s="259"/>
      <c r="RL722" s="259"/>
      <c r="RM722" s="259"/>
      <c r="RN722" s="259"/>
      <c r="RO722" s="259"/>
      <c r="RP722" s="259"/>
      <c r="RQ722" s="259"/>
      <c r="RR722" s="259"/>
      <c r="RS722" s="259"/>
      <c r="RT722" s="259"/>
      <c r="RU722" s="259"/>
      <c r="RV722" s="259"/>
      <c r="RW722" s="259"/>
      <c r="RX722" s="259"/>
      <c r="RY722" s="259"/>
      <c r="RZ722" s="259"/>
      <c r="SA722" s="259"/>
      <c r="SB722" s="259"/>
      <c r="SC722" s="259"/>
      <c r="SD722" s="259"/>
      <c r="SE722" s="259"/>
      <c r="SF722" s="259"/>
      <c r="SG722" s="259"/>
      <c r="SH722" s="259"/>
      <c r="SI722" s="259"/>
      <c r="SJ722" s="259"/>
      <c r="SK722" s="259"/>
      <c r="SL722" s="259"/>
      <c r="SM722" s="259"/>
      <c r="SN722" s="259"/>
      <c r="SO722" s="259"/>
      <c r="SP722" s="259"/>
      <c r="SQ722" s="259"/>
      <c r="SR722" s="259"/>
      <c r="SS722" s="259"/>
      <c r="ST722" s="259"/>
      <c r="SU722" s="259"/>
      <c r="SV722" s="259"/>
      <c r="SW722" s="259"/>
      <c r="SX722" s="259"/>
      <c r="SY722" s="259"/>
      <c r="SZ722" s="259"/>
      <c r="TA722" s="259"/>
      <c r="TB722" s="259"/>
      <c r="TC722" s="259"/>
      <c r="TD722" s="259"/>
      <c r="TE722" s="259"/>
      <c r="TF722" s="259"/>
      <c r="TG722" s="259"/>
      <c r="TH722" s="259"/>
      <c r="TI722" s="259"/>
      <c r="TJ722" s="259"/>
      <c r="TK722" s="259"/>
      <c r="TL722" s="259"/>
      <c r="TM722" s="259"/>
      <c r="TN722" s="259"/>
      <c r="TO722" s="259"/>
      <c r="TP722" s="259"/>
      <c r="TQ722" s="259"/>
      <c r="TR722" s="259"/>
      <c r="TS722" s="259"/>
      <c r="TT722" s="259"/>
      <c r="TU722" s="259"/>
      <c r="TV722" s="259"/>
      <c r="TW722" s="259"/>
      <c r="TX722" s="259"/>
      <c r="TY722" s="259"/>
      <c r="TZ722" s="259"/>
      <c r="UA722" s="259"/>
      <c r="UB722" s="259"/>
      <c r="UC722" s="259"/>
      <c r="UD722" s="259"/>
      <c r="UE722" s="259"/>
      <c r="UF722" s="259"/>
      <c r="UG722" s="259"/>
      <c r="UH722" s="259"/>
      <c r="UI722" s="259"/>
    </row>
    <row r="723" spans="1:555" ht="175.5">
      <c r="A723" s="502">
        <v>631</v>
      </c>
      <c r="B723" s="686" t="s">
        <v>5438</v>
      </c>
      <c r="C723" s="687">
        <v>18493989</v>
      </c>
      <c r="D723" s="688" t="s">
        <v>906</v>
      </c>
      <c r="E723" s="27">
        <v>43004</v>
      </c>
      <c r="F723" s="689">
        <v>42979</v>
      </c>
      <c r="G723" s="690" t="s">
        <v>8169</v>
      </c>
      <c r="H723" s="686" t="s">
        <v>625</v>
      </c>
      <c r="I723" s="686" t="s">
        <v>4254</v>
      </c>
      <c r="J723" s="27">
        <v>43031</v>
      </c>
      <c r="K723" s="689">
        <v>43009</v>
      </c>
      <c r="L723" s="690" t="s">
        <v>5439</v>
      </c>
      <c r="M723" s="686" t="s">
        <v>1493</v>
      </c>
      <c r="N723" s="686" t="s">
        <v>3423</v>
      </c>
      <c r="O723" s="27">
        <v>42177</v>
      </c>
      <c r="P723" s="691">
        <v>42156</v>
      </c>
      <c r="Q723" s="690" t="s">
        <v>5440</v>
      </c>
      <c r="R723" s="686" t="s">
        <v>171</v>
      </c>
      <c r="S723" s="686" t="s">
        <v>421</v>
      </c>
      <c r="T723" s="27">
        <v>42060</v>
      </c>
      <c r="U723" s="689">
        <v>42036</v>
      </c>
      <c r="V723" s="690" t="s">
        <v>5441</v>
      </c>
      <c r="W723" s="686" t="s">
        <v>195</v>
      </c>
      <c r="X723" s="686" t="s">
        <v>4074</v>
      </c>
      <c r="Y723" s="27">
        <v>43228</v>
      </c>
      <c r="Z723" s="689">
        <v>43221</v>
      </c>
      <c r="AA723" s="690" t="s">
        <v>5442</v>
      </c>
      <c r="AB723" s="686" t="s">
        <v>5</v>
      </c>
      <c r="AC723" s="686" t="s">
        <v>570</v>
      </c>
      <c r="AD723" s="27"/>
      <c r="AE723" s="689"/>
      <c r="AF723" s="690"/>
      <c r="AG723" s="686"/>
      <c r="AH723" s="686"/>
      <c r="AI723" s="704"/>
      <c r="AJ723" s="689"/>
      <c r="AK723" s="690"/>
      <c r="AL723" s="686"/>
      <c r="AM723" s="686"/>
      <c r="AN723" s="686" t="s">
        <v>5443</v>
      </c>
      <c r="AO723" s="705"/>
      <c r="AP723" s="686"/>
      <c r="AQ723" s="690" t="s">
        <v>5444</v>
      </c>
      <c r="AR723" s="686" t="s">
        <v>161</v>
      </c>
      <c r="AS723" s="27">
        <v>42965</v>
      </c>
      <c r="AT723" s="27">
        <v>43100</v>
      </c>
      <c r="AU723" s="686" t="s">
        <v>5445</v>
      </c>
      <c r="AV723" s="686"/>
      <c r="AW723" s="686" t="s">
        <v>69</v>
      </c>
      <c r="AX723" s="686" t="s">
        <v>5446</v>
      </c>
      <c r="AY723" s="27">
        <v>42756</v>
      </c>
      <c r="AZ723" s="686" t="s">
        <v>5283</v>
      </c>
      <c r="BA723" s="27">
        <v>42992</v>
      </c>
      <c r="BB723" s="27">
        <v>43006</v>
      </c>
      <c r="BC723" s="701" t="s">
        <v>912</v>
      </c>
      <c r="BD723" s="701" t="s">
        <v>566</v>
      </c>
      <c r="BE723" s="686"/>
      <c r="BF723" s="690"/>
      <c r="BG723" s="690"/>
      <c r="BH723" s="690"/>
      <c r="BI723" s="690"/>
      <c r="BJ723" s="708">
        <f>+[246]MATRIZ!$J$50</f>
        <v>0</v>
      </c>
      <c r="BK723" s="696"/>
      <c r="BL723" s="697"/>
      <c r="BM723" s="27"/>
      <c r="BN723" s="689"/>
      <c r="BO723" s="699"/>
      <c r="BP723" s="700"/>
      <c r="BQ723" s="686"/>
      <c r="BR723" s="701"/>
      <c r="BS723" s="690"/>
      <c r="BT723" s="690"/>
      <c r="BU723" s="690"/>
      <c r="BV723" s="690"/>
      <c r="BW723" s="702"/>
      <c r="BX723" s="693"/>
      <c r="BY723" s="27"/>
      <c r="BZ723" s="703"/>
      <c r="CA723" s="259"/>
      <c r="CB723" s="259"/>
      <c r="CC723" s="259"/>
      <c r="CD723" s="259"/>
      <c r="CE723" s="259"/>
      <c r="CF723" s="259"/>
      <c r="CG723" s="259"/>
      <c r="CH723" s="259"/>
      <c r="CI723" s="259"/>
      <c r="CJ723" s="259"/>
      <c r="CK723" s="259"/>
      <c r="CL723" s="259"/>
      <c r="CM723" s="259"/>
      <c r="CN723" s="259"/>
      <c r="CO723" s="259"/>
      <c r="CP723" s="259"/>
      <c r="CQ723" s="259"/>
      <c r="CR723" s="259"/>
      <c r="CS723" s="259"/>
      <c r="CT723" s="259"/>
      <c r="CU723" s="259"/>
      <c r="CV723" s="259"/>
      <c r="CW723" s="259"/>
      <c r="CX723" s="259"/>
      <c r="CY723" s="259"/>
      <c r="CZ723" s="259"/>
      <c r="DA723" s="259"/>
      <c r="DB723" s="259"/>
      <c r="DC723" s="259"/>
      <c r="DD723" s="259"/>
      <c r="DE723" s="259"/>
      <c r="DF723" s="259"/>
      <c r="DG723" s="259"/>
      <c r="DH723" s="259"/>
      <c r="DI723" s="259"/>
      <c r="DJ723" s="259"/>
      <c r="DK723" s="259"/>
      <c r="DL723" s="259"/>
      <c r="DM723" s="259"/>
      <c r="DN723" s="259"/>
      <c r="DO723" s="259"/>
      <c r="DP723" s="259"/>
      <c r="DQ723" s="259"/>
      <c r="DR723" s="259"/>
      <c r="DS723" s="259"/>
      <c r="DT723" s="259"/>
      <c r="DU723" s="259"/>
      <c r="DV723" s="259"/>
      <c r="DW723" s="259"/>
      <c r="DX723" s="259"/>
      <c r="DY723" s="259"/>
      <c r="DZ723" s="259"/>
      <c r="EA723" s="259"/>
      <c r="EB723" s="259"/>
      <c r="EC723" s="259"/>
      <c r="ED723" s="259"/>
      <c r="EE723" s="259"/>
      <c r="EF723" s="259"/>
      <c r="EG723" s="259"/>
      <c r="EH723" s="259"/>
      <c r="EI723" s="259"/>
      <c r="EJ723" s="259"/>
      <c r="EK723" s="259"/>
      <c r="EL723" s="259"/>
      <c r="EM723" s="259"/>
      <c r="EN723" s="259"/>
      <c r="EO723" s="259"/>
      <c r="EP723" s="259"/>
      <c r="EQ723" s="259"/>
      <c r="ER723" s="259"/>
      <c r="ES723" s="259"/>
      <c r="ET723" s="259"/>
      <c r="EU723" s="259"/>
      <c r="EV723" s="259"/>
      <c r="EW723" s="259"/>
      <c r="EX723" s="259"/>
      <c r="EY723" s="259"/>
      <c r="EZ723" s="259"/>
      <c r="FA723" s="259"/>
      <c r="FB723" s="259"/>
      <c r="FC723" s="259"/>
      <c r="FD723" s="259"/>
      <c r="FE723" s="259"/>
      <c r="FF723" s="259"/>
      <c r="FG723" s="259"/>
      <c r="FH723" s="259"/>
      <c r="FI723" s="259"/>
      <c r="FJ723" s="259"/>
      <c r="FK723" s="259"/>
      <c r="FL723" s="259"/>
      <c r="FM723" s="259"/>
      <c r="FN723" s="259"/>
      <c r="FO723" s="259"/>
      <c r="FP723" s="259"/>
      <c r="FQ723" s="259"/>
      <c r="FR723" s="259"/>
      <c r="FS723" s="259"/>
      <c r="FT723" s="259"/>
      <c r="FU723" s="259"/>
      <c r="FV723" s="259"/>
      <c r="FW723" s="259"/>
      <c r="FX723" s="259"/>
      <c r="FY723" s="259"/>
      <c r="FZ723" s="259"/>
      <c r="GA723" s="259"/>
      <c r="GB723" s="259"/>
      <c r="GC723" s="259"/>
      <c r="GD723" s="259"/>
      <c r="GE723" s="259"/>
      <c r="GF723" s="259"/>
      <c r="GG723" s="259"/>
      <c r="GH723" s="259"/>
      <c r="GI723" s="259"/>
      <c r="GJ723" s="259"/>
      <c r="GK723" s="259"/>
      <c r="GL723" s="259"/>
      <c r="GM723" s="259"/>
      <c r="GN723" s="259"/>
      <c r="GO723" s="259"/>
      <c r="GP723" s="259"/>
      <c r="GQ723" s="259"/>
      <c r="GR723" s="259"/>
      <c r="GS723" s="259"/>
      <c r="GT723" s="259"/>
      <c r="GU723" s="259"/>
      <c r="GV723" s="259"/>
      <c r="GW723" s="259"/>
      <c r="GX723" s="259"/>
      <c r="GY723" s="259"/>
      <c r="GZ723" s="259"/>
      <c r="HA723" s="259"/>
      <c r="HB723" s="259"/>
      <c r="HC723" s="259"/>
      <c r="HD723" s="259"/>
      <c r="HE723" s="259"/>
      <c r="HF723" s="259"/>
      <c r="HG723" s="259"/>
      <c r="HH723" s="259"/>
      <c r="HI723" s="259"/>
      <c r="HJ723" s="259"/>
      <c r="HK723" s="259"/>
      <c r="HL723" s="259"/>
      <c r="HM723" s="259"/>
      <c r="HN723" s="259"/>
      <c r="HO723" s="259"/>
      <c r="HP723" s="259"/>
      <c r="HQ723" s="259"/>
      <c r="HR723" s="259"/>
      <c r="HS723" s="259"/>
      <c r="HT723" s="259"/>
      <c r="HU723" s="259"/>
      <c r="HV723" s="259"/>
      <c r="HW723" s="259"/>
      <c r="HX723" s="259"/>
      <c r="HY723" s="259"/>
      <c r="HZ723" s="259"/>
      <c r="IA723" s="259"/>
      <c r="IB723" s="259"/>
      <c r="IC723" s="259"/>
      <c r="ID723" s="259"/>
      <c r="IE723" s="259"/>
      <c r="IF723" s="259"/>
      <c r="IG723" s="259"/>
      <c r="IH723" s="259"/>
      <c r="II723" s="259"/>
      <c r="IJ723" s="259"/>
      <c r="IK723" s="259"/>
      <c r="IL723" s="259"/>
      <c r="IM723" s="259"/>
      <c r="IN723" s="259"/>
      <c r="IO723" s="259"/>
      <c r="IP723" s="259"/>
      <c r="IQ723" s="259"/>
      <c r="IR723" s="259"/>
      <c r="IS723" s="259"/>
      <c r="IT723" s="259"/>
      <c r="IU723" s="259"/>
      <c r="IV723" s="259"/>
      <c r="IW723" s="259"/>
      <c r="IX723" s="259"/>
      <c r="IY723" s="259"/>
      <c r="IZ723" s="259"/>
      <c r="JA723" s="259"/>
      <c r="JB723" s="259"/>
      <c r="JC723" s="259"/>
      <c r="JD723" s="259"/>
      <c r="JE723" s="259"/>
      <c r="JF723" s="259"/>
      <c r="JG723" s="259"/>
      <c r="JH723" s="259"/>
      <c r="JI723" s="259"/>
      <c r="JJ723" s="259"/>
      <c r="JK723" s="259"/>
      <c r="JL723" s="259"/>
      <c r="JM723" s="259"/>
      <c r="JN723" s="259"/>
      <c r="JO723" s="259"/>
      <c r="JP723" s="259"/>
      <c r="JQ723" s="259"/>
      <c r="JR723" s="259"/>
      <c r="JS723" s="259"/>
      <c r="JT723" s="259"/>
      <c r="JU723" s="259"/>
      <c r="JV723" s="259"/>
      <c r="JW723" s="259"/>
      <c r="JX723" s="259"/>
      <c r="JY723" s="259"/>
      <c r="JZ723" s="259"/>
      <c r="KA723" s="259"/>
      <c r="KB723" s="259"/>
      <c r="KC723" s="259"/>
      <c r="KD723" s="259"/>
      <c r="KE723" s="259"/>
      <c r="KF723" s="259"/>
      <c r="KG723" s="259"/>
      <c r="KH723" s="259"/>
      <c r="KI723" s="259"/>
      <c r="KJ723" s="259"/>
      <c r="KK723" s="259"/>
      <c r="KL723" s="259"/>
      <c r="KM723" s="259"/>
      <c r="KN723" s="259"/>
      <c r="KO723" s="259"/>
      <c r="KP723" s="259"/>
      <c r="KQ723" s="259"/>
      <c r="KR723" s="259"/>
      <c r="KS723" s="259"/>
      <c r="KT723" s="259"/>
      <c r="KU723" s="259"/>
      <c r="KV723" s="259"/>
      <c r="KW723" s="259"/>
      <c r="KX723" s="259"/>
      <c r="KY723" s="259"/>
      <c r="KZ723" s="259"/>
      <c r="LA723" s="259"/>
      <c r="LB723" s="259"/>
      <c r="LC723" s="259"/>
      <c r="LD723" s="259"/>
      <c r="LE723" s="259"/>
      <c r="LF723" s="259"/>
      <c r="LG723" s="259"/>
      <c r="LH723" s="259"/>
      <c r="LI723" s="259"/>
      <c r="LJ723" s="259"/>
      <c r="LK723" s="259"/>
      <c r="LL723" s="259"/>
      <c r="LM723" s="259"/>
      <c r="LN723" s="259"/>
      <c r="LO723" s="259"/>
      <c r="LP723" s="259"/>
      <c r="LQ723" s="259"/>
      <c r="LR723" s="259"/>
      <c r="LS723" s="259"/>
      <c r="LT723" s="259"/>
      <c r="LU723" s="259"/>
      <c r="LV723" s="259"/>
      <c r="LW723" s="259"/>
      <c r="LX723" s="259"/>
      <c r="LY723" s="259"/>
      <c r="LZ723" s="259"/>
      <c r="MA723" s="259"/>
      <c r="MB723" s="259"/>
      <c r="MC723" s="259"/>
      <c r="MD723" s="259"/>
      <c r="ME723" s="259"/>
      <c r="MF723" s="259"/>
      <c r="MG723" s="259"/>
      <c r="MH723" s="259"/>
      <c r="MI723" s="259"/>
      <c r="MJ723" s="259"/>
      <c r="MK723" s="259"/>
      <c r="ML723" s="259"/>
      <c r="MM723" s="259"/>
      <c r="MN723" s="259"/>
      <c r="MO723" s="259"/>
      <c r="MP723" s="259"/>
      <c r="MQ723" s="259"/>
      <c r="MR723" s="259"/>
      <c r="MS723" s="259"/>
      <c r="MT723" s="259"/>
      <c r="MU723" s="259"/>
      <c r="MV723" s="259"/>
      <c r="MW723" s="259"/>
      <c r="MX723" s="259"/>
      <c r="MY723" s="259"/>
      <c r="MZ723" s="259"/>
      <c r="NA723" s="259"/>
      <c r="NB723" s="259"/>
      <c r="NC723" s="259"/>
      <c r="ND723" s="259"/>
      <c r="NE723" s="259"/>
      <c r="NF723" s="259"/>
      <c r="NG723" s="259"/>
      <c r="NH723" s="259"/>
      <c r="NI723" s="259"/>
      <c r="NJ723" s="259"/>
      <c r="NK723" s="259"/>
      <c r="NL723" s="259"/>
      <c r="NM723" s="259"/>
      <c r="NN723" s="259"/>
      <c r="NO723" s="259"/>
      <c r="NP723" s="259"/>
      <c r="NQ723" s="259"/>
      <c r="NR723" s="259"/>
      <c r="NS723" s="259"/>
      <c r="NT723" s="259"/>
      <c r="NU723" s="259"/>
      <c r="NV723" s="259"/>
      <c r="NW723" s="259"/>
      <c r="NX723" s="259"/>
      <c r="NY723" s="259"/>
      <c r="NZ723" s="259"/>
      <c r="OA723" s="259"/>
      <c r="OB723" s="259"/>
      <c r="OC723" s="259"/>
      <c r="OD723" s="259"/>
      <c r="OE723" s="259"/>
      <c r="OF723" s="259"/>
      <c r="OG723" s="259"/>
      <c r="OH723" s="259"/>
      <c r="OI723" s="259"/>
      <c r="OJ723" s="259"/>
      <c r="OK723" s="259"/>
      <c r="OL723" s="259"/>
      <c r="OM723" s="259"/>
      <c r="ON723" s="259"/>
      <c r="OO723" s="259"/>
      <c r="OP723" s="259"/>
      <c r="OQ723" s="259"/>
      <c r="OR723" s="259"/>
      <c r="OS723" s="259"/>
      <c r="OT723" s="259"/>
      <c r="OU723" s="259"/>
      <c r="OV723" s="259"/>
      <c r="OW723" s="259"/>
      <c r="OX723" s="259"/>
      <c r="OY723" s="259"/>
      <c r="OZ723" s="259"/>
      <c r="PA723" s="259"/>
      <c r="PB723" s="259"/>
      <c r="PC723" s="259"/>
      <c r="PD723" s="259"/>
      <c r="PE723" s="259"/>
      <c r="PF723" s="259"/>
      <c r="PG723" s="259"/>
      <c r="PH723" s="259"/>
      <c r="PI723" s="259"/>
      <c r="PJ723" s="259"/>
      <c r="PK723" s="259"/>
      <c r="PL723" s="259"/>
      <c r="PM723" s="259"/>
      <c r="PN723" s="259"/>
      <c r="PO723" s="259"/>
      <c r="PP723" s="259"/>
      <c r="PQ723" s="259"/>
      <c r="PR723" s="259"/>
      <c r="PS723" s="259"/>
      <c r="PT723" s="259"/>
      <c r="PU723" s="259"/>
      <c r="PV723" s="259"/>
      <c r="PW723" s="259"/>
      <c r="PX723" s="259"/>
      <c r="PY723" s="259"/>
      <c r="PZ723" s="259"/>
      <c r="QA723" s="259"/>
      <c r="QB723" s="259"/>
      <c r="QC723" s="259"/>
      <c r="QD723" s="259"/>
      <c r="QE723" s="259"/>
      <c r="QF723" s="259"/>
      <c r="QG723" s="259"/>
      <c r="QH723" s="259"/>
      <c r="QI723" s="259"/>
      <c r="QJ723" s="259"/>
      <c r="QK723" s="259"/>
      <c r="QL723" s="259"/>
      <c r="QM723" s="259"/>
      <c r="QN723" s="259"/>
      <c r="QO723" s="259"/>
      <c r="QP723" s="259"/>
      <c r="QQ723" s="259"/>
      <c r="QR723" s="259"/>
      <c r="QS723" s="259"/>
      <c r="QT723" s="259"/>
      <c r="QU723" s="259"/>
      <c r="QV723" s="259"/>
      <c r="QW723" s="259"/>
      <c r="QX723" s="259"/>
      <c r="QY723" s="259"/>
      <c r="QZ723" s="259"/>
      <c r="RA723" s="259"/>
      <c r="RB723" s="259"/>
      <c r="RC723" s="259"/>
      <c r="RD723" s="259"/>
      <c r="RE723" s="259"/>
      <c r="RF723" s="259"/>
      <c r="RG723" s="259"/>
      <c r="RH723" s="259"/>
      <c r="RI723" s="259"/>
      <c r="RJ723" s="259"/>
      <c r="RK723" s="259"/>
      <c r="RL723" s="259"/>
      <c r="RM723" s="259"/>
      <c r="RN723" s="259"/>
      <c r="RO723" s="259"/>
      <c r="RP723" s="259"/>
      <c r="RQ723" s="259"/>
      <c r="RR723" s="259"/>
      <c r="RS723" s="259"/>
      <c r="RT723" s="259"/>
      <c r="RU723" s="259"/>
      <c r="RV723" s="259"/>
      <c r="RW723" s="259"/>
      <c r="RX723" s="259"/>
      <c r="RY723" s="259"/>
      <c r="RZ723" s="259"/>
      <c r="SA723" s="259"/>
      <c r="SB723" s="259"/>
      <c r="SC723" s="259"/>
      <c r="SD723" s="259"/>
      <c r="SE723" s="259"/>
      <c r="SF723" s="259"/>
      <c r="SG723" s="259"/>
      <c r="SH723" s="259"/>
      <c r="SI723" s="259"/>
      <c r="SJ723" s="259"/>
      <c r="SK723" s="259"/>
      <c r="SL723" s="259"/>
      <c r="SM723" s="259"/>
      <c r="SN723" s="259"/>
      <c r="SO723" s="259"/>
      <c r="SP723" s="259"/>
      <c r="SQ723" s="259"/>
      <c r="SR723" s="259"/>
      <c r="SS723" s="259"/>
      <c r="ST723" s="259"/>
      <c r="SU723" s="259"/>
      <c r="SV723" s="259"/>
      <c r="SW723" s="259"/>
      <c r="SX723" s="259"/>
      <c r="SY723" s="259"/>
      <c r="SZ723" s="259"/>
      <c r="TA723" s="259"/>
      <c r="TB723" s="259"/>
      <c r="TC723" s="259"/>
      <c r="TD723" s="259"/>
      <c r="TE723" s="259"/>
      <c r="TF723" s="259"/>
      <c r="TG723" s="259"/>
      <c r="TH723" s="259"/>
      <c r="TI723" s="259"/>
      <c r="TJ723" s="259"/>
      <c r="TK723" s="259"/>
      <c r="TL723" s="259"/>
      <c r="TM723" s="259"/>
      <c r="TN723" s="259"/>
      <c r="TO723" s="259"/>
      <c r="TP723" s="259"/>
      <c r="TQ723" s="259"/>
      <c r="TR723" s="259"/>
      <c r="TS723" s="259"/>
      <c r="TT723" s="259"/>
      <c r="TU723" s="259"/>
      <c r="TV723" s="259"/>
      <c r="TW723" s="259"/>
      <c r="TX723" s="259"/>
      <c r="TY723" s="259"/>
      <c r="TZ723" s="259"/>
      <c r="UA723" s="259"/>
      <c r="UB723" s="259"/>
      <c r="UC723" s="259"/>
      <c r="UD723" s="259"/>
      <c r="UE723" s="259"/>
      <c r="UF723" s="259"/>
      <c r="UG723" s="259"/>
      <c r="UH723" s="259"/>
      <c r="UI723" s="259"/>
    </row>
    <row r="724" spans="1:555" ht="108">
      <c r="A724" s="57">
        <v>632</v>
      </c>
      <c r="B724" s="58" t="s">
        <v>4883</v>
      </c>
      <c r="C724" s="59">
        <v>5823926</v>
      </c>
      <c r="D724" s="170" t="s">
        <v>5328</v>
      </c>
      <c r="E724" s="60">
        <v>42962</v>
      </c>
      <c r="F724" s="61">
        <v>42948</v>
      </c>
      <c r="G724" s="62" t="s">
        <v>5447</v>
      </c>
      <c r="H724" s="58" t="s">
        <v>171</v>
      </c>
      <c r="I724" s="58" t="s">
        <v>5448</v>
      </c>
      <c r="J724" s="60">
        <v>42915</v>
      </c>
      <c r="K724" s="61">
        <v>42887</v>
      </c>
      <c r="L724" s="62" t="s">
        <v>5449</v>
      </c>
      <c r="M724" s="58" t="s">
        <v>625</v>
      </c>
      <c r="N724" s="58" t="s">
        <v>4254</v>
      </c>
      <c r="O724" s="60">
        <v>43181</v>
      </c>
      <c r="P724" s="63">
        <v>43160</v>
      </c>
      <c r="Q724" s="62" t="s">
        <v>5450</v>
      </c>
      <c r="R724" s="58" t="s">
        <v>63</v>
      </c>
      <c r="S724" s="58" t="s">
        <v>5451</v>
      </c>
      <c r="T724" s="60">
        <v>43378</v>
      </c>
      <c r="U724" s="61">
        <v>43378</v>
      </c>
      <c r="V724" s="62" t="s">
        <v>7272</v>
      </c>
      <c r="W724" s="58" t="s">
        <v>5</v>
      </c>
      <c r="X724" s="58" t="s">
        <v>2413</v>
      </c>
      <c r="Y724" s="60"/>
      <c r="Z724" s="61"/>
      <c r="AA724" s="62"/>
      <c r="AB724" s="58"/>
      <c r="AC724" s="58"/>
      <c r="AD724" s="60"/>
      <c r="AE724" s="61"/>
      <c r="AF724" s="62"/>
      <c r="AG724" s="58"/>
      <c r="AH724" s="58"/>
      <c r="AI724" s="117"/>
      <c r="AJ724" s="61"/>
      <c r="AK724" s="62"/>
      <c r="AL724" s="58"/>
      <c r="AM724" s="58"/>
      <c r="AN724" s="58" t="s">
        <v>3671</v>
      </c>
      <c r="AO724" s="478"/>
      <c r="AP724" s="58"/>
      <c r="AQ724" s="62" t="s">
        <v>5452</v>
      </c>
      <c r="AR724" s="58" t="s">
        <v>161</v>
      </c>
      <c r="AS724" s="60">
        <v>36852</v>
      </c>
      <c r="AT724" s="60">
        <v>40908</v>
      </c>
      <c r="AU724" s="58" t="s">
        <v>7273</v>
      </c>
      <c r="AV724" s="58"/>
      <c r="AW724" s="58" t="s">
        <v>69</v>
      </c>
      <c r="AX724" s="58" t="s">
        <v>5453</v>
      </c>
      <c r="AY724" s="60">
        <v>42496</v>
      </c>
      <c r="AZ724" s="58" t="s">
        <v>4043</v>
      </c>
      <c r="BA724" s="60">
        <v>42831</v>
      </c>
      <c r="BB724" s="382">
        <v>42929</v>
      </c>
      <c r="BC724" s="70" t="s">
        <v>912</v>
      </c>
      <c r="BD724" s="70" t="s">
        <v>566</v>
      </c>
      <c r="BE724" s="58"/>
      <c r="BF724" s="62"/>
      <c r="BG724" s="62"/>
      <c r="BH724" s="62"/>
      <c r="BI724" s="62"/>
      <c r="BJ724" s="209">
        <f>+[247]MATRIZ!$J$62</f>
        <v>0</v>
      </c>
      <c r="BK724" s="67"/>
      <c r="BL724" s="68"/>
      <c r="BM724" s="60"/>
      <c r="BN724" s="61"/>
      <c r="BO724" s="463"/>
      <c r="BP724" s="122"/>
      <c r="BQ724" s="58"/>
      <c r="BR724" s="70"/>
      <c r="BS724" s="62"/>
      <c r="BT724" s="62"/>
      <c r="BU724" s="62"/>
      <c r="BV724" s="62"/>
      <c r="BW724" s="71"/>
      <c r="BX724" s="66"/>
      <c r="BY724" s="60"/>
      <c r="BZ724" s="72"/>
    </row>
    <row r="725" spans="1:555" ht="67.5">
      <c r="A725" s="502">
        <v>633</v>
      </c>
      <c r="B725" s="686" t="s">
        <v>5454</v>
      </c>
      <c r="C725" s="687">
        <v>86049861</v>
      </c>
      <c r="D725" s="688" t="s">
        <v>906</v>
      </c>
      <c r="E725" s="27">
        <v>42962</v>
      </c>
      <c r="F725" s="689">
        <v>42948</v>
      </c>
      <c r="G725" s="690" t="s">
        <v>5447</v>
      </c>
      <c r="H725" s="686" t="s">
        <v>171</v>
      </c>
      <c r="I725" s="686" t="s">
        <v>5448</v>
      </c>
      <c r="J725" s="27">
        <v>43070</v>
      </c>
      <c r="K725" s="689">
        <v>43070</v>
      </c>
      <c r="L725" s="690" t="s">
        <v>5455</v>
      </c>
      <c r="M725" s="686" t="s">
        <v>5</v>
      </c>
      <c r="N725" s="686" t="s">
        <v>3510</v>
      </c>
      <c r="O725" s="27"/>
      <c r="P725" s="691"/>
      <c r="Q725" s="690"/>
      <c r="R725" s="686"/>
      <c r="S725" s="686"/>
      <c r="T725" s="27"/>
      <c r="U725" s="689"/>
      <c r="V725" s="690"/>
      <c r="W725" s="686"/>
      <c r="X725" s="686"/>
      <c r="Y725" s="27"/>
      <c r="Z725" s="689"/>
      <c r="AA725" s="690"/>
      <c r="AB725" s="686"/>
      <c r="AC725" s="686"/>
      <c r="AD725" s="27"/>
      <c r="AE725" s="689"/>
      <c r="AF725" s="690"/>
      <c r="AG725" s="686"/>
      <c r="AH725" s="686"/>
      <c r="AI725" s="704"/>
      <c r="AJ725" s="689"/>
      <c r="AK725" s="690"/>
      <c r="AL725" s="686"/>
      <c r="AM725" s="686"/>
      <c r="AN725" s="686" t="s">
        <v>3671</v>
      </c>
      <c r="AO725" s="705"/>
      <c r="AP725" s="686"/>
      <c r="AQ725" s="690" t="s">
        <v>5456</v>
      </c>
      <c r="AR725" s="686" t="s">
        <v>161</v>
      </c>
      <c r="AS725" s="27">
        <v>34127</v>
      </c>
      <c r="AT725" s="27">
        <v>40908</v>
      </c>
      <c r="AU725" s="686" t="s">
        <v>4499</v>
      </c>
      <c r="AV725" s="686"/>
      <c r="AW725" s="686" t="s">
        <v>69</v>
      </c>
      <c r="AX725" s="686" t="s">
        <v>5457</v>
      </c>
      <c r="AY725" s="27">
        <v>42534</v>
      </c>
      <c r="AZ725" s="686" t="s">
        <v>4043</v>
      </c>
      <c r="BA725" s="27">
        <v>42831</v>
      </c>
      <c r="BB725" s="27">
        <v>42878</v>
      </c>
      <c r="BC725" s="701" t="s">
        <v>912</v>
      </c>
      <c r="BD725" s="701" t="s">
        <v>566</v>
      </c>
      <c r="BE725" s="686"/>
      <c r="BF725" s="690"/>
      <c r="BG725" s="690"/>
      <c r="BH725" s="690"/>
      <c r="BI725" s="690"/>
      <c r="BJ725" s="708">
        <f>+[248]MATRIZ!$J$54</f>
        <v>0</v>
      </c>
      <c r="BK725" s="696"/>
      <c r="BL725" s="697"/>
      <c r="BM725" s="27"/>
      <c r="BN725" s="689"/>
      <c r="BO725" s="699"/>
      <c r="BP725" s="700"/>
      <c r="BQ725" s="686"/>
      <c r="BR725" s="701"/>
      <c r="BS725" s="690"/>
      <c r="BT725" s="690"/>
      <c r="BU725" s="690"/>
      <c r="BV725" s="690"/>
      <c r="BW725" s="702"/>
      <c r="BX725" s="693"/>
      <c r="BY725" s="27"/>
      <c r="BZ725" s="703"/>
      <c r="CA725" s="259"/>
      <c r="CB725" s="259"/>
      <c r="CC725" s="259"/>
      <c r="CD725" s="259"/>
      <c r="CE725" s="259"/>
      <c r="CF725" s="259"/>
      <c r="CG725" s="259"/>
      <c r="CH725" s="259"/>
      <c r="CI725" s="259"/>
      <c r="CJ725" s="259"/>
      <c r="CK725" s="259"/>
      <c r="CL725" s="259"/>
      <c r="CM725" s="259"/>
      <c r="CN725" s="259"/>
      <c r="CO725" s="259"/>
      <c r="CP725" s="259"/>
      <c r="CQ725" s="259"/>
      <c r="CR725" s="259"/>
      <c r="CS725" s="259"/>
      <c r="CT725" s="259"/>
      <c r="CU725" s="259"/>
      <c r="CV725" s="259"/>
      <c r="CW725" s="259"/>
      <c r="CX725" s="259"/>
      <c r="CY725" s="259"/>
      <c r="CZ725" s="259"/>
      <c r="DA725" s="259"/>
      <c r="DB725" s="259"/>
      <c r="DC725" s="259"/>
      <c r="DD725" s="259"/>
      <c r="DE725" s="259"/>
      <c r="DF725" s="259"/>
      <c r="DG725" s="259"/>
      <c r="DH725" s="259"/>
      <c r="DI725" s="259"/>
      <c r="DJ725" s="259"/>
      <c r="DK725" s="259"/>
      <c r="DL725" s="259"/>
      <c r="DM725" s="259"/>
      <c r="DN725" s="259"/>
      <c r="DO725" s="259"/>
      <c r="DP725" s="259"/>
      <c r="DQ725" s="259"/>
      <c r="DR725" s="259"/>
      <c r="DS725" s="259"/>
      <c r="DT725" s="259"/>
      <c r="DU725" s="259"/>
      <c r="DV725" s="259"/>
      <c r="DW725" s="259"/>
      <c r="DX725" s="259"/>
      <c r="DY725" s="259"/>
      <c r="DZ725" s="259"/>
      <c r="EA725" s="259"/>
      <c r="EB725" s="259"/>
      <c r="EC725" s="259"/>
      <c r="ED725" s="259"/>
      <c r="EE725" s="259"/>
      <c r="EF725" s="259"/>
      <c r="EG725" s="259"/>
      <c r="EH725" s="259"/>
      <c r="EI725" s="259"/>
      <c r="EJ725" s="259"/>
      <c r="EK725" s="259"/>
      <c r="EL725" s="259"/>
      <c r="EM725" s="259"/>
      <c r="EN725" s="259"/>
      <c r="EO725" s="259"/>
      <c r="EP725" s="259"/>
      <c r="EQ725" s="259"/>
      <c r="ER725" s="259"/>
      <c r="ES725" s="259"/>
      <c r="ET725" s="259"/>
      <c r="EU725" s="259"/>
      <c r="EV725" s="259"/>
      <c r="EW725" s="259"/>
      <c r="EX725" s="259"/>
      <c r="EY725" s="259"/>
      <c r="EZ725" s="259"/>
      <c r="FA725" s="259"/>
      <c r="FB725" s="259"/>
      <c r="FC725" s="259"/>
      <c r="FD725" s="259"/>
      <c r="FE725" s="259"/>
      <c r="FF725" s="259"/>
      <c r="FG725" s="259"/>
      <c r="FH725" s="259"/>
      <c r="FI725" s="259"/>
      <c r="FJ725" s="259"/>
      <c r="FK725" s="259"/>
      <c r="FL725" s="259"/>
      <c r="FM725" s="259"/>
      <c r="FN725" s="259"/>
      <c r="FO725" s="259"/>
      <c r="FP725" s="259"/>
      <c r="FQ725" s="259"/>
      <c r="FR725" s="259"/>
      <c r="FS725" s="259"/>
      <c r="FT725" s="259"/>
      <c r="FU725" s="259"/>
      <c r="FV725" s="259"/>
      <c r="FW725" s="259"/>
      <c r="FX725" s="259"/>
      <c r="FY725" s="259"/>
      <c r="FZ725" s="259"/>
      <c r="GA725" s="259"/>
      <c r="GB725" s="259"/>
      <c r="GC725" s="259"/>
      <c r="GD725" s="259"/>
      <c r="GE725" s="259"/>
      <c r="GF725" s="259"/>
      <c r="GG725" s="259"/>
      <c r="GH725" s="259"/>
      <c r="GI725" s="259"/>
      <c r="GJ725" s="259"/>
      <c r="GK725" s="259"/>
      <c r="GL725" s="259"/>
      <c r="GM725" s="259"/>
      <c r="GN725" s="259"/>
      <c r="GO725" s="259"/>
      <c r="GP725" s="259"/>
      <c r="GQ725" s="259"/>
      <c r="GR725" s="259"/>
      <c r="GS725" s="259"/>
      <c r="GT725" s="259"/>
      <c r="GU725" s="259"/>
      <c r="GV725" s="259"/>
      <c r="GW725" s="259"/>
      <c r="GX725" s="259"/>
      <c r="GY725" s="259"/>
      <c r="GZ725" s="259"/>
      <c r="HA725" s="259"/>
      <c r="HB725" s="259"/>
      <c r="HC725" s="259"/>
      <c r="HD725" s="259"/>
      <c r="HE725" s="259"/>
      <c r="HF725" s="259"/>
      <c r="HG725" s="259"/>
      <c r="HH725" s="259"/>
      <c r="HI725" s="259"/>
      <c r="HJ725" s="259"/>
      <c r="HK725" s="259"/>
      <c r="HL725" s="259"/>
      <c r="HM725" s="259"/>
      <c r="HN725" s="259"/>
      <c r="HO725" s="259"/>
      <c r="HP725" s="259"/>
      <c r="HQ725" s="259"/>
      <c r="HR725" s="259"/>
      <c r="HS725" s="259"/>
      <c r="HT725" s="259"/>
      <c r="HU725" s="259"/>
      <c r="HV725" s="259"/>
      <c r="HW725" s="259"/>
      <c r="HX725" s="259"/>
      <c r="HY725" s="259"/>
      <c r="HZ725" s="259"/>
      <c r="IA725" s="259"/>
      <c r="IB725" s="259"/>
      <c r="IC725" s="259"/>
      <c r="ID725" s="259"/>
      <c r="IE725" s="259"/>
      <c r="IF725" s="259"/>
      <c r="IG725" s="259"/>
      <c r="IH725" s="259"/>
      <c r="II725" s="259"/>
      <c r="IJ725" s="259"/>
      <c r="IK725" s="259"/>
      <c r="IL725" s="259"/>
      <c r="IM725" s="259"/>
      <c r="IN725" s="259"/>
      <c r="IO725" s="259"/>
      <c r="IP725" s="259"/>
      <c r="IQ725" s="259"/>
      <c r="IR725" s="259"/>
      <c r="IS725" s="259"/>
      <c r="IT725" s="259"/>
      <c r="IU725" s="259"/>
      <c r="IV725" s="259"/>
      <c r="IW725" s="259"/>
      <c r="IX725" s="259"/>
      <c r="IY725" s="259"/>
      <c r="IZ725" s="259"/>
      <c r="JA725" s="259"/>
      <c r="JB725" s="259"/>
      <c r="JC725" s="259"/>
      <c r="JD725" s="259"/>
      <c r="JE725" s="259"/>
      <c r="JF725" s="259"/>
      <c r="JG725" s="259"/>
      <c r="JH725" s="259"/>
      <c r="JI725" s="259"/>
      <c r="JJ725" s="259"/>
      <c r="JK725" s="259"/>
      <c r="JL725" s="259"/>
      <c r="JM725" s="259"/>
      <c r="JN725" s="259"/>
      <c r="JO725" s="259"/>
      <c r="JP725" s="259"/>
      <c r="JQ725" s="259"/>
      <c r="JR725" s="259"/>
      <c r="JS725" s="259"/>
      <c r="JT725" s="259"/>
      <c r="JU725" s="259"/>
      <c r="JV725" s="259"/>
      <c r="JW725" s="259"/>
      <c r="JX725" s="259"/>
      <c r="JY725" s="259"/>
      <c r="JZ725" s="259"/>
      <c r="KA725" s="259"/>
      <c r="KB725" s="259"/>
      <c r="KC725" s="259"/>
      <c r="KD725" s="259"/>
      <c r="KE725" s="259"/>
      <c r="KF725" s="259"/>
      <c r="KG725" s="259"/>
      <c r="KH725" s="259"/>
      <c r="KI725" s="259"/>
      <c r="KJ725" s="259"/>
      <c r="KK725" s="259"/>
      <c r="KL725" s="259"/>
      <c r="KM725" s="259"/>
      <c r="KN725" s="259"/>
      <c r="KO725" s="259"/>
      <c r="KP725" s="259"/>
      <c r="KQ725" s="259"/>
      <c r="KR725" s="259"/>
      <c r="KS725" s="259"/>
      <c r="KT725" s="259"/>
      <c r="KU725" s="259"/>
      <c r="KV725" s="259"/>
      <c r="KW725" s="259"/>
      <c r="KX725" s="259"/>
      <c r="KY725" s="259"/>
      <c r="KZ725" s="259"/>
      <c r="LA725" s="259"/>
      <c r="LB725" s="259"/>
      <c r="LC725" s="259"/>
      <c r="LD725" s="259"/>
      <c r="LE725" s="259"/>
      <c r="LF725" s="259"/>
      <c r="LG725" s="259"/>
      <c r="LH725" s="259"/>
      <c r="LI725" s="259"/>
      <c r="LJ725" s="259"/>
      <c r="LK725" s="259"/>
      <c r="LL725" s="259"/>
      <c r="LM725" s="259"/>
      <c r="LN725" s="259"/>
      <c r="LO725" s="259"/>
      <c r="LP725" s="259"/>
      <c r="LQ725" s="259"/>
      <c r="LR725" s="259"/>
      <c r="LS725" s="259"/>
      <c r="LT725" s="259"/>
      <c r="LU725" s="259"/>
      <c r="LV725" s="259"/>
      <c r="LW725" s="259"/>
      <c r="LX725" s="259"/>
      <c r="LY725" s="259"/>
      <c r="LZ725" s="259"/>
      <c r="MA725" s="259"/>
      <c r="MB725" s="259"/>
      <c r="MC725" s="259"/>
      <c r="MD725" s="259"/>
      <c r="ME725" s="259"/>
      <c r="MF725" s="259"/>
      <c r="MG725" s="259"/>
      <c r="MH725" s="259"/>
      <c r="MI725" s="259"/>
      <c r="MJ725" s="259"/>
      <c r="MK725" s="259"/>
      <c r="ML725" s="259"/>
      <c r="MM725" s="259"/>
      <c r="MN725" s="259"/>
      <c r="MO725" s="259"/>
      <c r="MP725" s="259"/>
      <c r="MQ725" s="259"/>
      <c r="MR725" s="259"/>
      <c r="MS725" s="259"/>
      <c r="MT725" s="259"/>
      <c r="MU725" s="259"/>
      <c r="MV725" s="259"/>
      <c r="MW725" s="259"/>
      <c r="MX725" s="259"/>
      <c r="MY725" s="259"/>
      <c r="MZ725" s="259"/>
      <c r="NA725" s="259"/>
      <c r="NB725" s="259"/>
      <c r="NC725" s="259"/>
      <c r="ND725" s="259"/>
      <c r="NE725" s="259"/>
      <c r="NF725" s="259"/>
      <c r="NG725" s="259"/>
      <c r="NH725" s="259"/>
      <c r="NI725" s="259"/>
      <c r="NJ725" s="259"/>
      <c r="NK725" s="259"/>
      <c r="NL725" s="259"/>
      <c r="NM725" s="259"/>
      <c r="NN725" s="259"/>
      <c r="NO725" s="259"/>
      <c r="NP725" s="259"/>
      <c r="NQ725" s="259"/>
      <c r="NR725" s="259"/>
      <c r="NS725" s="259"/>
      <c r="NT725" s="259"/>
      <c r="NU725" s="259"/>
      <c r="NV725" s="259"/>
      <c r="NW725" s="259"/>
      <c r="NX725" s="259"/>
      <c r="NY725" s="259"/>
      <c r="NZ725" s="259"/>
      <c r="OA725" s="259"/>
      <c r="OB725" s="259"/>
      <c r="OC725" s="259"/>
      <c r="OD725" s="259"/>
      <c r="OE725" s="259"/>
      <c r="OF725" s="259"/>
      <c r="OG725" s="259"/>
      <c r="OH725" s="259"/>
      <c r="OI725" s="259"/>
      <c r="OJ725" s="259"/>
      <c r="OK725" s="259"/>
      <c r="OL725" s="259"/>
      <c r="OM725" s="259"/>
      <c r="ON725" s="259"/>
      <c r="OO725" s="259"/>
      <c r="OP725" s="259"/>
      <c r="OQ725" s="259"/>
      <c r="OR725" s="259"/>
      <c r="OS725" s="259"/>
      <c r="OT725" s="259"/>
      <c r="OU725" s="259"/>
      <c r="OV725" s="259"/>
      <c r="OW725" s="259"/>
      <c r="OX725" s="259"/>
      <c r="OY725" s="259"/>
      <c r="OZ725" s="259"/>
      <c r="PA725" s="259"/>
      <c r="PB725" s="259"/>
      <c r="PC725" s="259"/>
      <c r="PD725" s="259"/>
      <c r="PE725" s="259"/>
      <c r="PF725" s="259"/>
      <c r="PG725" s="259"/>
      <c r="PH725" s="259"/>
      <c r="PI725" s="259"/>
      <c r="PJ725" s="259"/>
      <c r="PK725" s="259"/>
      <c r="PL725" s="259"/>
      <c r="PM725" s="259"/>
      <c r="PN725" s="259"/>
      <c r="PO725" s="259"/>
      <c r="PP725" s="259"/>
      <c r="PQ725" s="259"/>
      <c r="PR725" s="259"/>
      <c r="PS725" s="259"/>
      <c r="PT725" s="259"/>
      <c r="PU725" s="259"/>
      <c r="PV725" s="259"/>
      <c r="PW725" s="259"/>
      <c r="PX725" s="259"/>
      <c r="PY725" s="259"/>
      <c r="PZ725" s="259"/>
      <c r="QA725" s="259"/>
      <c r="QB725" s="259"/>
      <c r="QC725" s="259"/>
      <c r="QD725" s="259"/>
      <c r="QE725" s="259"/>
      <c r="QF725" s="259"/>
      <c r="QG725" s="259"/>
      <c r="QH725" s="259"/>
      <c r="QI725" s="259"/>
      <c r="QJ725" s="259"/>
      <c r="QK725" s="259"/>
      <c r="QL725" s="259"/>
      <c r="QM725" s="259"/>
      <c r="QN725" s="259"/>
      <c r="QO725" s="259"/>
      <c r="QP725" s="259"/>
      <c r="QQ725" s="259"/>
      <c r="QR725" s="259"/>
      <c r="QS725" s="259"/>
      <c r="QT725" s="259"/>
      <c r="QU725" s="259"/>
      <c r="QV725" s="259"/>
      <c r="QW725" s="259"/>
      <c r="QX725" s="259"/>
      <c r="QY725" s="259"/>
      <c r="QZ725" s="259"/>
      <c r="RA725" s="259"/>
      <c r="RB725" s="259"/>
      <c r="RC725" s="259"/>
      <c r="RD725" s="259"/>
      <c r="RE725" s="259"/>
      <c r="RF725" s="259"/>
      <c r="RG725" s="259"/>
      <c r="RH725" s="259"/>
      <c r="RI725" s="259"/>
      <c r="RJ725" s="259"/>
      <c r="RK725" s="259"/>
      <c r="RL725" s="259"/>
      <c r="RM725" s="259"/>
      <c r="RN725" s="259"/>
      <c r="RO725" s="259"/>
      <c r="RP725" s="259"/>
      <c r="RQ725" s="259"/>
      <c r="RR725" s="259"/>
      <c r="RS725" s="259"/>
      <c r="RT725" s="259"/>
      <c r="RU725" s="259"/>
      <c r="RV725" s="259"/>
      <c r="RW725" s="259"/>
      <c r="RX725" s="259"/>
      <c r="RY725" s="259"/>
      <c r="RZ725" s="259"/>
      <c r="SA725" s="259"/>
      <c r="SB725" s="259"/>
      <c r="SC725" s="259"/>
      <c r="SD725" s="259"/>
      <c r="SE725" s="259"/>
      <c r="SF725" s="259"/>
      <c r="SG725" s="259"/>
      <c r="SH725" s="259"/>
      <c r="SI725" s="259"/>
      <c r="SJ725" s="259"/>
      <c r="SK725" s="259"/>
      <c r="SL725" s="259"/>
      <c r="SM725" s="259"/>
      <c r="SN725" s="259"/>
      <c r="SO725" s="259"/>
      <c r="SP725" s="259"/>
      <c r="SQ725" s="259"/>
      <c r="SR725" s="259"/>
      <c r="SS725" s="259"/>
      <c r="ST725" s="259"/>
      <c r="SU725" s="259"/>
      <c r="SV725" s="259"/>
      <c r="SW725" s="259"/>
      <c r="SX725" s="259"/>
      <c r="SY725" s="259"/>
      <c r="SZ725" s="259"/>
      <c r="TA725" s="259"/>
      <c r="TB725" s="259"/>
      <c r="TC725" s="259"/>
      <c r="TD725" s="259"/>
      <c r="TE725" s="259"/>
      <c r="TF725" s="259"/>
      <c r="TG725" s="259"/>
      <c r="TH725" s="259"/>
      <c r="TI725" s="259"/>
      <c r="TJ725" s="259"/>
      <c r="TK725" s="259"/>
      <c r="TL725" s="259"/>
      <c r="TM725" s="259"/>
      <c r="TN725" s="259"/>
      <c r="TO725" s="259"/>
      <c r="TP725" s="259"/>
      <c r="TQ725" s="259"/>
      <c r="TR725" s="259"/>
      <c r="TS725" s="259"/>
      <c r="TT725" s="259"/>
      <c r="TU725" s="259"/>
      <c r="TV725" s="259"/>
      <c r="TW725" s="259"/>
      <c r="TX725" s="259"/>
      <c r="TY725" s="259"/>
      <c r="TZ725" s="259"/>
      <c r="UA725" s="259"/>
      <c r="UB725" s="259"/>
      <c r="UC725" s="259"/>
      <c r="UD725" s="259"/>
      <c r="UE725" s="259"/>
      <c r="UF725" s="259"/>
      <c r="UG725" s="259"/>
      <c r="UH725" s="259"/>
      <c r="UI725" s="259"/>
    </row>
    <row r="726" spans="1:555" ht="108">
      <c r="A726" s="502">
        <v>634</v>
      </c>
      <c r="B726" s="686" t="s">
        <v>4413</v>
      </c>
      <c r="C726" s="687">
        <v>19498463</v>
      </c>
      <c r="D726" s="688" t="s">
        <v>3482</v>
      </c>
      <c r="E726" s="27">
        <v>43012</v>
      </c>
      <c r="F726" s="689">
        <v>43009</v>
      </c>
      <c r="G726" s="690" t="s">
        <v>5458</v>
      </c>
      <c r="H726" s="686" t="s">
        <v>625</v>
      </c>
      <c r="I726" s="686" t="s">
        <v>4254</v>
      </c>
      <c r="J726" s="27">
        <v>43032</v>
      </c>
      <c r="K726" s="689">
        <v>43009</v>
      </c>
      <c r="L726" s="690" t="s">
        <v>5459</v>
      </c>
      <c r="M726" s="686" t="s">
        <v>625</v>
      </c>
      <c r="N726" s="686" t="s">
        <v>352</v>
      </c>
      <c r="O726" s="27">
        <v>43033</v>
      </c>
      <c r="P726" s="691">
        <v>43009</v>
      </c>
      <c r="Q726" s="690" t="s">
        <v>5460</v>
      </c>
      <c r="R726" s="686" t="s">
        <v>195</v>
      </c>
      <c r="S726" s="686" t="s">
        <v>1491</v>
      </c>
      <c r="T726" s="27">
        <v>43383</v>
      </c>
      <c r="U726" s="689">
        <v>43383</v>
      </c>
      <c r="V726" s="690" t="s">
        <v>7249</v>
      </c>
      <c r="W726" s="686" t="s">
        <v>208</v>
      </c>
      <c r="X726" s="686" t="s">
        <v>107</v>
      </c>
      <c r="Y726" s="27">
        <v>43132</v>
      </c>
      <c r="Z726" s="689">
        <v>43132</v>
      </c>
      <c r="AA726" s="690" t="s">
        <v>8101</v>
      </c>
      <c r="AB726" s="686" t="s">
        <v>208</v>
      </c>
      <c r="AC726" s="686" t="s">
        <v>1114</v>
      </c>
      <c r="AD726" s="27">
        <v>43497</v>
      </c>
      <c r="AE726" s="689">
        <v>43497</v>
      </c>
      <c r="AF726" s="690" t="s">
        <v>8102</v>
      </c>
      <c r="AG726" s="686" t="s">
        <v>208</v>
      </c>
      <c r="AH726" s="686" t="s">
        <v>1114</v>
      </c>
      <c r="AI726" s="704"/>
      <c r="AJ726" s="689"/>
      <c r="AK726" s="690"/>
      <c r="AL726" s="686"/>
      <c r="AM726" s="686"/>
      <c r="AN726" s="686" t="s">
        <v>3671</v>
      </c>
      <c r="AO726" s="705"/>
      <c r="AP726" s="686"/>
      <c r="AQ726" s="690" t="s">
        <v>5461</v>
      </c>
      <c r="AR726" s="686" t="s">
        <v>161</v>
      </c>
      <c r="AS726" s="27">
        <v>31674</v>
      </c>
      <c r="AT726" s="27">
        <v>40908</v>
      </c>
      <c r="AU726" s="686" t="s">
        <v>8103</v>
      </c>
      <c r="AV726" s="686"/>
      <c r="AW726" s="686" t="s">
        <v>69</v>
      </c>
      <c r="AX726" s="686" t="s">
        <v>5462</v>
      </c>
      <c r="AY726" s="27">
        <v>42277</v>
      </c>
      <c r="AZ726" s="686" t="s">
        <v>5298</v>
      </c>
      <c r="BA726" s="27">
        <v>43006</v>
      </c>
      <c r="BB726" s="27">
        <v>43017</v>
      </c>
      <c r="BC726" s="701" t="s">
        <v>912</v>
      </c>
      <c r="BD726" s="701" t="s">
        <v>566</v>
      </c>
      <c r="BE726" s="686"/>
      <c r="BF726" s="690"/>
      <c r="BG726" s="690"/>
      <c r="BH726" s="690"/>
      <c r="BI726" s="690"/>
      <c r="BJ726" s="708">
        <f>+[249]MATRIZ!$J$54</f>
        <v>4799085.3412161143</v>
      </c>
      <c r="BK726" s="696"/>
      <c r="BL726" s="697"/>
      <c r="BM726" s="27"/>
      <c r="BN726" s="689"/>
      <c r="BO726" s="699"/>
      <c r="BP726" s="700"/>
      <c r="BQ726" s="686"/>
      <c r="BR726" s="701"/>
      <c r="BS726" s="690"/>
      <c r="BT726" s="690"/>
      <c r="BU726" s="690"/>
      <c r="BV726" s="690"/>
      <c r="BW726" s="702"/>
      <c r="BX726" s="693"/>
      <c r="BY726" s="27"/>
      <c r="BZ726" s="703"/>
      <c r="CA726" s="259"/>
      <c r="CB726" s="259"/>
      <c r="CC726" s="259"/>
      <c r="CD726" s="259"/>
      <c r="CE726" s="259"/>
      <c r="CF726" s="259"/>
      <c r="CG726" s="259"/>
      <c r="CH726" s="259"/>
      <c r="CI726" s="259"/>
      <c r="CJ726" s="259"/>
      <c r="CK726" s="259"/>
      <c r="CL726" s="259"/>
      <c r="CM726" s="259"/>
      <c r="CN726" s="259"/>
      <c r="CO726" s="259"/>
      <c r="CP726" s="259"/>
      <c r="CQ726" s="259"/>
      <c r="CR726" s="259"/>
      <c r="CS726" s="259"/>
      <c r="CT726" s="259"/>
      <c r="CU726" s="259"/>
      <c r="CV726" s="259"/>
      <c r="CW726" s="259"/>
      <c r="CX726" s="259"/>
      <c r="CY726" s="259"/>
      <c r="CZ726" s="259"/>
      <c r="DA726" s="259"/>
      <c r="DB726" s="259"/>
      <c r="DC726" s="259"/>
      <c r="DD726" s="259"/>
      <c r="DE726" s="259"/>
      <c r="DF726" s="259"/>
      <c r="DG726" s="259"/>
      <c r="DH726" s="259"/>
      <c r="DI726" s="259"/>
      <c r="DJ726" s="259"/>
      <c r="DK726" s="259"/>
      <c r="DL726" s="259"/>
      <c r="DM726" s="259"/>
      <c r="DN726" s="259"/>
      <c r="DO726" s="259"/>
      <c r="DP726" s="259"/>
      <c r="DQ726" s="259"/>
      <c r="DR726" s="259"/>
      <c r="DS726" s="259"/>
      <c r="DT726" s="259"/>
      <c r="DU726" s="259"/>
      <c r="DV726" s="259"/>
      <c r="DW726" s="259"/>
      <c r="DX726" s="259"/>
      <c r="DY726" s="259"/>
      <c r="DZ726" s="259"/>
      <c r="EA726" s="259"/>
      <c r="EB726" s="259"/>
      <c r="EC726" s="259"/>
      <c r="ED726" s="259"/>
      <c r="EE726" s="259"/>
      <c r="EF726" s="259"/>
      <c r="EG726" s="259"/>
      <c r="EH726" s="259"/>
      <c r="EI726" s="259"/>
      <c r="EJ726" s="259"/>
      <c r="EK726" s="259"/>
      <c r="EL726" s="259"/>
      <c r="EM726" s="259"/>
      <c r="EN726" s="259"/>
      <c r="EO726" s="259"/>
      <c r="EP726" s="259"/>
      <c r="EQ726" s="259"/>
      <c r="ER726" s="259"/>
      <c r="ES726" s="259"/>
      <c r="ET726" s="259"/>
      <c r="EU726" s="259"/>
      <c r="EV726" s="259"/>
      <c r="EW726" s="259"/>
      <c r="EX726" s="259"/>
      <c r="EY726" s="259"/>
      <c r="EZ726" s="259"/>
      <c r="FA726" s="259"/>
      <c r="FB726" s="259"/>
      <c r="FC726" s="259"/>
      <c r="FD726" s="259"/>
      <c r="FE726" s="259"/>
      <c r="FF726" s="259"/>
      <c r="FG726" s="259"/>
      <c r="FH726" s="259"/>
      <c r="FI726" s="259"/>
      <c r="FJ726" s="259"/>
      <c r="FK726" s="259"/>
      <c r="FL726" s="259"/>
      <c r="FM726" s="259"/>
      <c r="FN726" s="259"/>
      <c r="FO726" s="259"/>
      <c r="FP726" s="259"/>
      <c r="FQ726" s="259"/>
      <c r="FR726" s="259"/>
      <c r="FS726" s="259"/>
      <c r="FT726" s="259"/>
      <c r="FU726" s="259"/>
      <c r="FV726" s="259"/>
      <c r="FW726" s="259"/>
      <c r="FX726" s="259"/>
      <c r="FY726" s="259"/>
      <c r="FZ726" s="259"/>
      <c r="GA726" s="259"/>
      <c r="GB726" s="259"/>
      <c r="GC726" s="259"/>
      <c r="GD726" s="259"/>
      <c r="GE726" s="259"/>
      <c r="GF726" s="259"/>
      <c r="GG726" s="259"/>
      <c r="GH726" s="259"/>
      <c r="GI726" s="259"/>
      <c r="GJ726" s="259"/>
      <c r="GK726" s="259"/>
      <c r="GL726" s="259"/>
      <c r="GM726" s="259"/>
      <c r="GN726" s="259"/>
      <c r="GO726" s="259"/>
      <c r="GP726" s="259"/>
      <c r="GQ726" s="259"/>
      <c r="GR726" s="259"/>
      <c r="GS726" s="259"/>
      <c r="GT726" s="259"/>
      <c r="GU726" s="259"/>
      <c r="GV726" s="259"/>
      <c r="GW726" s="259"/>
      <c r="GX726" s="259"/>
      <c r="GY726" s="259"/>
      <c r="GZ726" s="259"/>
      <c r="HA726" s="259"/>
      <c r="HB726" s="259"/>
      <c r="HC726" s="259"/>
      <c r="HD726" s="259"/>
      <c r="HE726" s="259"/>
      <c r="HF726" s="259"/>
      <c r="HG726" s="259"/>
      <c r="HH726" s="259"/>
      <c r="HI726" s="259"/>
      <c r="HJ726" s="259"/>
      <c r="HK726" s="259"/>
      <c r="HL726" s="259"/>
      <c r="HM726" s="259"/>
      <c r="HN726" s="259"/>
      <c r="HO726" s="259"/>
      <c r="HP726" s="259"/>
      <c r="HQ726" s="259"/>
      <c r="HR726" s="259"/>
      <c r="HS726" s="259"/>
      <c r="HT726" s="259"/>
      <c r="HU726" s="259"/>
      <c r="HV726" s="259"/>
      <c r="HW726" s="259"/>
      <c r="HX726" s="259"/>
      <c r="HY726" s="259"/>
      <c r="HZ726" s="259"/>
      <c r="IA726" s="259"/>
      <c r="IB726" s="259"/>
      <c r="IC726" s="259"/>
      <c r="ID726" s="259"/>
      <c r="IE726" s="259"/>
      <c r="IF726" s="259"/>
      <c r="IG726" s="259"/>
      <c r="IH726" s="259"/>
      <c r="II726" s="259"/>
      <c r="IJ726" s="259"/>
      <c r="IK726" s="259"/>
      <c r="IL726" s="259"/>
      <c r="IM726" s="259"/>
      <c r="IN726" s="259"/>
      <c r="IO726" s="259"/>
      <c r="IP726" s="259"/>
      <c r="IQ726" s="259"/>
      <c r="IR726" s="259"/>
      <c r="IS726" s="259"/>
      <c r="IT726" s="259"/>
      <c r="IU726" s="259"/>
      <c r="IV726" s="259"/>
      <c r="IW726" s="259"/>
      <c r="IX726" s="259"/>
      <c r="IY726" s="259"/>
      <c r="IZ726" s="259"/>
      <c r="JA726" s="259"/>
      <c r="JB726" s="259"/>
      <c r="JC726" s="259"/>
      <c r="JD726" s="259"/>
      <c r="JE726" s="259"/>
      <c r="JF726" s="259"/>
      <c r="JG726" s="259"/>
      <c r="JH726" s="259"/>
      <c r="JI726" s="259"/>
      <c r="JJ726" s="259"/>
      <c r="JK726" s="259"/>
      <c r="JL726" s="259"/>
      <c r="JM726" s="259"/>
      <c r="JN726" s="259"/>
      <c r="JO726" s="259"/>
      <c r="JP726" s="259"/>
      <c r="JQ726" s="259"/>
      <c r="JR726" s="259"/>
      <c r="JS726" s="259"/>
      <c r="JT726" s="259"/>
      <c r="JU726" s="259"/>
      <c r="JV726" s="259"/>
      <c r="JW726" s="259"/>
      <c r="JX726" s="259"/>
      <c r="JY726" s="259"/>
      <c r="JZ726" s="259"/>
      <c r="KA726" s="259"/>
      <c r="KB726" s="259"/>
      <c r="KC726" s="259"/>
      <c r="KD726" s="259"/>
      <c r="KE726" s="259"/>
      <c r="KF726" s="259"/>
      <c r="KG726" s="259"/>
      <c r="KH726" s="259"/>
      <c r="KI726" s="259"/>
      <c r="KJ726" s="259"/>
      <c r="KK726" s="259"/>
      <c r="KL726" s="259"/>
      <c r="KM726" s="259"/>
      <c r="KN726" s="259"/>
      <c r="KO726" s="259"/>
      <c r="KP726" s="259"/>
      <c r="KQ726" s="259"/>
      <c r="KR726" s="259"/>
      <c r="KS726" s="259"/>
      <c r="KT726" s="259"/>
      <c r="KU726" s="259"/>
      <c r="KV726" s="259"/>
      <c r="KW726" s="259"/>
      <c r="KX726" s="259"/>
      <c r="KY726" s="259"/>
      <c r="KZ726" s="259"/>
      <c r="LA726" s="259"/>
      <c r="LB726" s="259"/>
      <c r="LC726" s="259"/>
      <c r="LD726" s="259"/>
      <c r="LE726" s="259"/>
      <c r="LF726" s="259"/>
      <c r="LG726" s="259"/>
      <c r="LH726" s="259"/>
      <c r="LI726" s="259"/>
      <c r="LJ726" s="259"/>
      <c r="LK726" s="259"/>
      <c r="LL726" s="259"/>
      <c r="LM726" s="259"/>
      <c r="LN726" s="259"/>
      <c r="LO726" s="259"/>
      <c r="LP726" s="259"/>
      <c r="LQ726" s="259"/>
      <c r="LR726" s="259"/>
      <c r="LS726" s="259"/>
      <c r="LT726" s="259"/>
      <c r="LU726" s="259"/>
      <c r="LV726" s="259"/>
      <c r="LW726" s="259"/>
      <c r="LX726" s="259"/>
      <c r="LY726" s="259"/>
      <c r="LZ726" s="259"/>
      <c r="MA726" s="259"/>
      <c r="MB726" s="259"/>
      <c r="MC726" s="259"/>
      <c r="MD726" s="259"/>
      <c r="ME726" s="259"/>
      <c r="MF726" s="259"/>
      <c r="MG726" s="259"/>
      <c r="MH726" s="259"/>
      <c r="MI726" s="259"/>
      <c r="MJ726" s="259"/>
      <c r="MK726" s="259"/>
      <c r="ML726" s="259"/>
      <c r="MM726" s="259"/>
      <c r="MN726" s="259"/>
      <c r="MO726" s="259"/>
      <c r="MP726" s="259"/>
      <c r="MQ726" s="259"/>
      <c r="MR726" s="259"/>
      <c r="MS726" s="259"/>
      <c r="MT726" s="259"/>
      <c r="MU726" s="259"/>
      <c r="MV726" s="259"/>
      <c r="MW726" s="259"/>
      <c r="MX726" s="259"/>
      <c r="MY726" s="259"/>
      <c r="MZ726" s="259"/>
      <c r="NA726" s="259"/>
      <c r="NB726" s="259"/>
      <c r="NC726" s="259"/>
      <c r="ND726" s="259"/>
      <c r="NE726" s="259"/>
      <c r="NF726" s="259"/>
      <c r="NG726" s="259"/>
      <c r="NH726" s="259"/>
      <c r="NI726" s="259"/>
      <c r="NJ726" s="259"/>
      <c r="NK726" s="259"/>
      <c r="NL726" s="259"/>
      <c r="NM726" s="259"/>
      <c r="NN726" s="259"/>
      <c r="NO726" s="259"/>
      <c r="NP726" s="259"/>
      <c r="NQ726" s="259"/>
      <c r="NR726" s="259"/>
      <c r="NS726" s="259"/>
      <c r="NT726" s="259"/>
      <c r="NU726" s="259"/>
      <c r="NV726" s="259"/>
      <c r="NW726" s="259"/>
      <c r="NX726" s="259"/>
      <c r="NY726" s="259"/>
      <c r="NZ726" s="259"/>
      <c r="OA726" s="259"/>
      <c r="OB726" s="259"/>
      <c r="OC726" s="259"/>
      <c r="OD726" s="259"/>
      <c r="OE726" s="259"/>
      <c r="OF726" s="259"/>
      <c r="OG726" s="259"/>
      <c r="OH726" s="259"/>
      <c r="OI726" s="259"/>
      <c r="OJ726" s="259"/>
      <c r="OK726" s="259"/>
      <c r="OL726" s="259"/>
      <c r="OM726" s="259"/>
      <c r="ON726" s="259"/>
      <c r="OO726" s="259"/>
      <c r="OP726" s="259"/>
      <c r="OQ726" s="259"/>
      <c r="OR726" s="259"/>
      <c r="OS726" s="259"/>
      <c r="OT726" s="259"/>
      <c r="OU726" s="259"/>
      <c r="OV726" s="259"/>
      <c r="OW726" s="259"/>
      <c r="OX726" s="259"/>
      <c r="OY726" s="259"/>
      <c r="OZ726" s="259"/>
      <c r="PA726" s="259"/>
      <c r="PB726" s="259"/>
      <c r="PC726" s="259"/>
      <c r="PD726" s="259"/>
      <c r="PE726" s="259"/>
      <c r="PF726" s="259"/>
      <c r="PG726" s="259"/>
      <c r="PH726" s="259"/>
      <c r="PI726" s="259"/>
      <c r="PJ726" s="259"/>
      <c r="PK726" s="259"/>
      <c r="PL726" s="259"/>
      <c r="PM726" s="259"/>
      <c r="PN726" s="259"/>
      <c r="PO726" s="259"/>
      <c r="PP726" s="259"/>
      <c r="PQ726" s="259"/>
      <c r="PR726" s="259"/>
      <c r="PS726" s="259"/>
      <c r="PT726" s="259"/>
      <c r="PU726" s="259"/>
      <c r="PV726" s="259"/>
      <c r="PW726" s="259"/>
      <c r="PX726" s="259"/>
      <c r="PY726" s="259"/>
      <c r="PZ726" s="259"/>
      <c r="QA726" s="259"/>
      <c r="QB726" s="259"/>
      <c r="QC726" s="259"/>
      <c r="QD726" s="259"/>
      <c r="QE726" s="259"/>
      <c r="QF726" s="259"/>
      <c r="QG726" s="259"/>
      <c r="QH726" s="259"/>
      <c r="QI726" s="259"/>
      <c r="QJ726" s="259"/>
      <c r="QK726" s="259"/>
      <c r="QL726" s="259"/>
      <c r="QM726" s="259"/>
      <c r="QN726" s="259"/>
      <c r="QO726" s="259"/>
      <c r="QP726" s="259"/>
      <c r="QQ726" s="259"/>
      <c r="QR726" s="259"/>
      <c r="QS726" s="259"/>
      <c r="QT726" s="259"/>
      <c r="QU726" s="259"/>
      <c r="QV726" s="259"/>
      <c r="QW726" s="259"/>
      <c r="QX726" s="259"/>
      <c r="QY726" s="259"/>
      <c r="QZ726" s="259"/>
      <c r="RA726" s="259"/>
      <c r="RB726" s="259"/>
      <c r="RC726" s="259"/>
      <c r="RD726" s="259"/>
      <c r="RE726" s="259"/>
      <c r="RF726" s="259"/>
      <c r="RG726" s="259"/>
      <c r="RH726" s="259"/>
      <c r="RI726" s="259"/>
      <c r="RJ726" s="259"/>
      <c r="RK726" s="259"/>
      <c r="RL726" s="259"/>
      <c r="RM726" s="259"/>
      <c r="RN726" s="259"/>
      <c r="RO726" s="259"/>
      <c r="RP726" s="259"/>
      <c r="RQ726" s="259"/>
      <c r="RR726" s="259"/>
      <c r="RS726" s="259"/>
      <c r="RT726" s="259"/>
      <c r="RU726" s="259"/>
      <c r="RV726" s="259"/>
      <c r="RW726" s="259"/>
      <c r="RX726" s="259"/>
      <c r="RY726" s="259"/>
      <c r="RZ726" s="259"/>
      <c r="SA726" s="259"/>
      <c r="SB726" s="259"/>
      <c r="SC726" s="259"/>
      <c r="SD726" s="259"/>
      <c r="SE726" s="259"/>
      <c r="SF726" s="259"/>
      <c r="SG726" s="259"/>
      <c r="SH726" s="259"/>
      <c r="SI726" s="259"/>
      <c r="SJ726" s="259"/>
      <c r="SK726" s="259"/>
      <c r="SL726" s="259"/>
      <c r="SM726" s="259"/>
      <c r="SN726" s="259"/>
      <c r="SO726" s="259"/>
      <c r="SP726" s="259"/>
      <c r="SQ726" s="259"/>
      <c r="SR726" s="259"/>
      <c r="SS726" s="259"/>
      <c r="ST726" s="259"/>
      <c r="SU726" s="259"/>
      <c r="SV726" s="259"/>
      <c r="SW726" s="259"/>
      <c r="SX726" s="259"/>
      <c r="SY726" s="259"/>
      <c r="SZ726" s="259"/>
      <c r="TA726" s="259"/>
      <c r="TB726" s="259"/>
      <c r="TC726" s="259"/>
      <c r="TD726" s="259"/>
      <c r="TE726" s="259"/>
      <c r="TF726" s="259"/>
      <c r="TG726" s="259"/>
      <c r="TH726" s="259"/>
      <c r="TI726" s="259"/>
      <c r="TJ726" s="259"/>
      <c r="TK726" s="259"/>
      <c r="TL726" s="259"/>
      <c r="TM726" s="259"/>
      <c r="TN726" s="259"/>
      <c r="TO726" s="259"/>
      <c r="TP726" s="259"/>
      <c r="TQ726" s="259"/>
      <c r="TR726" s="259"/>
      <c r="TS726" s="259"/>
      <c r="TT726" s="259"/>
      <c r="TU726" s="259"/>
      <c r="TV726" s="259"/>
      <c r="TW726" s="259"/>
      <c r="TX726" s="259"/>
      <c r="TY726" s="259"/>
      <c r="TZ726" s="259"/>
      <c r="UA726" s="259"/>
      <c r="UB726" s="259"/>
      <c r="UC726" s="259"/>
      <c r="UD726" s="259"/>
      <c r="UE726" s="259"/>
      <c r="UF726" s="259"/>
      <c r="UG726" s="259"/>
      <c r="UH726" s="259"/>
      <c r="UI726" s="259"/>
    </row>
    <row r="727" spans="1:555" ht="94.5">
      <c r="A727" s="57">
        <v>635</v>
      </c>
      <c r="B727" s="58" t="s">
        <v>5463</v>
      </c>
      <c r="C727" s="59">
        <v>79895299</v>
      </c>
      <c r="D727" s="170" t="s">
        <v>3541</v>
      </c>
      <c r="E727" s="60">
        <v>43019</v>
      </c>
      <c r="F727" s="61">
        <v>43009</v>
      </c>
      <c r="G727" s="62" t="s">
        <v>5464</v>
      </c>
      <c r="H727" s="58" t="s">
        <v>625</v>
      </c>
      <c r="I727" s="58" t="s">
        <v>3423</v>
      </c>
      <c r="J727" s="60">
        <v>43199</v>
      </c>
      <c r="K727" s="61">
        <v>43191</v>
      </c>
      <c r="L727" s="62" t="s">
        <v>3545</v>
      </c>
      <c r="M727" s="58" t="s">
        <v>63</v>
      </c>
      <c r="N727" s="58" t="s">
        <v>107</v>
      </c>
      <c r="O727" s="64">
        <v>43249</v>
      </c>
      <c r="P727" s="63">
        <v>43249</v>
      </c>
      <c r="Q727" s="425" t="s">
        <v>5465</v>
      </c>
      <c r="R727" s="58" t="s">
        <v>63</v>
      </c>
      <c r="S727" s="58" t="s">
        <v>1476</v>
      </c>
      <c r="T727" s="60">
        <v>44286</v>
      </c>
      <c r="U727" s="61">
        <v>44286</v>
      </c>
      <c r="V727" s="62" t="s">
        <v>10424</v>
      </c>
      <c r="W727" s="58" t="s">
        <v>63</v>
      </c>
      <c r="X727" s="58" t="s">
        <v>9546</v>
      </c>
      <c r="Y727" s="60"/>
      <c r="Z727" s="61"/>
      <c r="AA727" s="62"/>
      <c r="AB727" s="58"/>
      <c r="AC727" s="58"/>
      <c r="AD727" s="60"/>
      <c r="AE727" s="61"/>
      <c r="AF727" s="62"/>
      <c r="AG727" s="58"/>
      <c r="AH727" s="58"/>
      <c r="AI727" s="117"/>
      <c r="AJ727" s="61"/>
      <c r="AK727" s="62"/>
      <c r="AL727" s="58"/>
      <c r="AM727" s="58"/>
      <c r="AN727" s="58" t="s">
        <v>3671</v>
      </c>
      <c r="AO727" s="478"/>
      <c r="AP727" s="58"/>
      <c r="AQ727" s="62" t="s">
        <v>5466</v>
      </c>
      <c r="AR727" s="58" t="s">
        <v>161</v>
      </c>
      <c r="AS727" s="60">
        <v>38776</v>
      </c>
      <c r="AT727" s="60">
        <v>39814</v>
      </c>
      <c r="AU727" s="58" t="s">
        <v>5467</v>
      </c>
      <c r="AV727" s="58"/>
      <c r="AW727" s="58" t="s">
        <v>92</v>
      </c>
      <c r="AX727" s="58" t="s">
        <v>5468</v>
      </c>
      <c r="AY727" s="60">
        <v>42124</v>
      </c>
      <c r="AZ727" s="58" t="s">
        <v>5469</v>
      </c>
      <c r="BA727" s="60">
        <v>42962</v>
      </c>
      <c r="BB727" s="382">
        <v>42983</v>
      </c>
      <c r="BC727" s="58" t="s">
        <v>95</v>
      </c>
      <c r="BD727" s="58" t="s">
        <v>566</v>
      </c>
      <c r="BE727" s="58"/>
      <c r="BF727" s="62" t="s">
        <v>5470</v>
      </c>
      <c r="BG727" s="62"/>
      <c r="BH727" s="62"/>
      <c r="BI727" s="62"/>
      <c r="BJ727" s="209">
        <f>+[250]MATRIZ!$J$55</f>
        <v>0</v>
      </c>
      <c r="BK727" s="67"/>
      <c r="BL727" s="68"/>
      <c r="BM727" s="60"/>
      <c r="BN727" s="61"/>
      <c r="BO727" s="463"/>
      <c r="BP727" s="122"/>
      <c r="BQ727" s="58"/>
      <c r="BR727" s="70"/>
      <c r="BS727" s="62"/>
      <c r="BT727" s="62"/>
      <c r="BU727" s="62"/>
      <c r="BV727" s="62"/>
      <c r="BW727" s="71"/>
      <c r="BX727" s="66"/>
      <c r="BY727" s="60"/>
      <c r="BZ727" s="72"/>
    </row>
    <row r="728" spans="1:555" ht="67.5">
      <c r="A728" s="502">
        <v>636</v>
      </c>
      <c r="B728" s="686" t="s">
        <v>5471</v>
      </c>
      <c r="C728" s="687">
        <v>19422426</v>
      </c>
      <c r="D728" s="688" t="s">
        <v>906</v>
      </c>
      <c r="E728" s="27">
        <v>43019</v>
      </c>
      <c r="F728" s="689">
        <v>43009</v>
      </c>
      <c r="G728" s="690" t="s">
        <v>5472</v>
      </c>
      <c r="H728" s="686" t="s">
        <v>625</v>
      </c>
      <c r="I728" s="686" t="s">
        <v>3423</v>
      </c>
      <c r="J728" s="27">
        <v>43046</v>
      </c>
      <c r="K728" s="689">
        <v>43040</v>
      </c>
      <c r="L728" s="690" t="s">
        <v>5473</v>
      </c>
      <c r="M728" s="686" t="s">
        <v>625</v>
      </c>
      <c r="N728" s="686" t="s">
        <v>3423</v>
      </c>
      <c r="O728" s="27">
        <v>43069</v>
      </c>
      <c r="P728" s="691">
        <v>43040</v>
      </c>
      <c r="Q728" s="690" t="s">
        <v>5474</v>
      </c>
      <c r="R728" s="686" t="s">
        <v>195</v>
      </c>
      <c r="S728" s="686" t="s">
        <v>4189</v>
      </c>
      <c r="T728" s="27">
        <v>43228</v>
      </c>
      <c r="U728" s="689">
        <v>43221</v>
      </c>
      <c r="V728" s="690" t="s">
        <v>5475</v>
      </c>
      <c r="W728" s="686" t="s">
        <v>198</v>
      </c>
      <c r="X728" s="686" t="s">
        <v>1491</v>
      </c>
      <c r="Y728" s="16">
        <v>43256</v>
      </c>
      <c r="Z728" s="689">
        <v>43252</v>
      </c>
      <c r="AA728" s="781" t="s">
        <v>5476</v>
      </c>
      <c r="AB728" s="686" t="s">
        <v>5</v>
      </c>
      <c r="AC728" s="701" t="s">
        <v>570</v>
      </c>
      <c r="AD728" s="27"/>
      <c r="AE728" s="689"/>
      <c r="AF728" s="690"/>
      <c r="AG728" s="686"/>
      <c r="AH728" s="686"/>
      <c r="AI728" s="704"/>
      <c r="AJ728" s="689"/>
      <c r="AK728" s="690"/>
      <c r="AL728" s="686"/>
      <c r="AM728" s="686"/>
      <c r="AN728" s="686" t="s">
        <v>4827</v>
      </c>
      <c r="AO728" s="705"/>
      <c r="AP728" s="686"/>
      <c r="AQ728" s="690" t="s">
        <v>5477</v>
      </c>
      <c r="AR728" s="686" t="s">
        <v>161</v>
      </c>
      <c r="AS728" s="27">
        <v>32581</v>
      </c>
      <c r="AT728" s="27">
        <v>40908</v>
      </c>
      <c r="AU728" s="686" t="s">
        <v>5478</v>
      </c>
      <c r="AV728" s="686"/>
      <c r="AW728" s="686" t="s">
        <v>69</v>
      </c>
      <c r="AX728" s="686" t="s">
        <v>5479</v>
      </c>
      <c r="AY728" s="27">
        <v>42577</v>
      </c>
      <c r="AZ728" s="686" t="s">
        <v>5480</v>
      </c>
      <c r="BA728" s="27">
        <v>42999</v>
      </c>
      <c r="BB728" s="27">
        <v>43033</v>
      </c>
      <c r="BC728" s="701" t="s">
        <v>912</v>
      </c>
      <c r="BD728" s="701" t="s">
        <v>566</v>
      </c>
      <c r="BE728" s="686"/>
      <c r="BF728" s="690"/>
      <c r="BG728" s="690"/>
      <c r="BH728" s="690"/>
      <c r="BI728" s="690"/>
      <c r="BJ728" s="708">
        <f>+[251]MATRIZ!$J$76</f>
        <v>0</v>
      </c>
      <c r="BK728" s="696"/>
      <c r="BL728" s="697"/>
      <c r="BM728" s="27"/>
      <c r="BN728" s="689"/>
      <c r="BO728" s="699"/>
      <c r="BP728" s="700"/>
      <c r="BQ728" s="686"/>
      <c r="BR728" s="701"/>
      <c r="BS728" s="690"/>
      <c r="BT728" s="690"/>
      <c r="BU728" s="690"/>
      <c r="BV728" s="690"/>
      <c r="BW728" s="702"/>
      <c r="BX728" s="693"/>
      <c r="BY728" s="27"/>
      <c r="BZ728" s="703"/>
      <c r="CA728" s="259"/>
      <c r="CB728" s="259"/>
      <c r="CC728" s="259"/>
      <c r="CD728" s="259"/>
      <c r="CE728" s="259"/>
      <c r="CF728" s="259"/>
      <c r="CG728" s="259"/>
      <c r="CH728" s="259"/>
      <c r="CI728" s="259"/>
      <c r="CJ728" s="259"/>
      <c r="CK728" s="259"/>
      <c r="CL728" s="259"/>
      <c r="CM728" s="259"/>
      <c r="CN728" s="259"/>
      <c r="CO728" s="259"/>
      <c r="CP728" s="259"/>
      <c r="CQ728" s="259"/>
      <c r="CR728" s="259"/>
      <c r="CS728" s="259"/>
      <c r="CT728" s="259"/>
      <c r="CU728" s="259"/>
      <c r="CV728" s="259"/>
      <c r="CW728" s="259"/>
      <c r="CX728" s="259"/>
      <c r="CY728" s="259"/>
      <c r="CZ728" s="259"/>
      <c r="DA728" s="259"/>
      <c r="DB728" s="259"/>
      <c r="DC728" s="259"/>
      <c r="DD728" s="259"/>
      <c r="DE728" s="259"/>
      <c r="DF728" s="259"/>
      <c r="DG728" s="259"/>
      <c r="DH728" s="259"/>
      <c r="DI728" s="259"/>
      <c r="DJ728" s="259"/>
      <c r="DK728" s="259"/>
      <c r="DL728" s="259"/>
      <c r="DM728" s="259"/>
      <c r="DN728" s="259"/>
      <c r="DO728" s="259"/>
      <c r="DP728" s="259"/>
      <c r="DQ728" s="259"/>
      <c r="DR728" s="259"/>
      <c r="DS728" s="259"/>
      <c r="DT728" s="259"/>
      <c r="DU728" s="259"/>
      <c r="DV728" s="259"/>
      <c r="DW728" s="259"/>
      <c r="DX728" s="259"/>
      <c r="DY728" s="259"/>
      <c r="DZ728" s="259"/>
      <c r="EA728" s="259"/>
      <c r="EB728" s="259"/>
      <c r="EC728" s="259"/>
      <c r="ED728" s="259"/>
      <c r="EE728" s="259"/>
      <c r="EF728" s="259"/>
      <c r="EG728" s="259"/>
      <c r="EH728" s="259"/>
      <c r="EI728" s="259"/>
      <c r="EJ728" s="259"/>
      <c r="EK728" s="259"/>
      <c r="EL728" s="259"/>
      <c r="EM728" s="259"/>
      <c r="EN728" s="259"/>
      <c r="EO728" s="259"/>
      <c r="EP728" s="259"/>
      <c r="EQ728" s="259"/>
      <c r="ER728" s="259"/>
      <c r="ES728" s="259"/>
      <c r="ET728" s="259"/>
      <c r="EU728" s="259"/>
      <c r="EV728" s="259"/>
      <c r="EW728" s="259"/>
      <c r="EX728" s="259"/>
      <c r="EY728" s="259"/>
      <c r="EZ728" s="259"/>
      <c r="FA728" s="259"/>
      <c r="FB728" s="259"/>
      <c r="FC728" s="259"/>
      <c r="FD728" s="259"/>
      <c r="FE728" s="259"/>
      <c r="FF728" s="259"/>
      <c r="FG728" s="259"/>
      <c r="FH728" s="259"/>
      <c r="FI728" s="259"/>
      <c r="FJ728" s="259"/>
      <c r="FK728" s="259"/>
      <c r="FL728" s="259"/>
      <c r="FM728" s="259"/>
      <c r="FN728" s="259"/>
      <c r="FO728" s="259"/>
      <c r="FP728" s="259"/>
      <c r="FQ728" s="259"/>
      <c r="FR728" s="259"/>
      <c r="FS728" s="259"/>
      <c r="FT728" s="259"/>
      <c r="FU728" s="259"/>
      <c r="FV728" s="259"/>
      <c r="FW728" s="259"/>
      <c r="FX728" s="259"/>
      <c r="FY728" s="259"/>
      <c r="FZ728" s="259"/>
      <c r="GA728" s="259"/>
      <c r="GB728" s="259"/>
      <c r="GC728" s="259"/>
      <c r="GD728" s="259"/>
      <c r="GE728" s="259"/>
      <c r="GF728" s="259"/>
      <c r="GG728" s="259"/>
      <c r="GH728" s="259"/>
      <c r="GI728" s="259"/>
      <c r="GJ728" s="259"/>
      <c r="GK728" s="259"/>
      <c r="GL728" s="259"/>
      <c r="GM728" s="259"/>
      <c r="GN728" s="259"/>
      <c r="GO728" s="259"/>
      <c r="GP728" s="259"/>
      <c r="GQ728" s="259"/>
      <c r="GR728" s="259"/>
      <c r="GS728" s="259"/>
      <c r="GT728" s="259"/>
      <c r="GU728" s="259"/>
      <c r="GV728" s="259"/>
      <c r="GW728" s="259"/>
      <c r="GX728" s="259"/>
      <c r="GY728" s="259"/>
      <c r="GZ728" s="259"/>
      <c r="HA728" s="259"/>
      <c r="HB728" s="259"/>
      <c r="HC728" s="259"/>
      <c r="HD728" s="259"/>
      <c r="HE728" s="259"/>
      <c r="HF728" s="259"/>
      <c r="HG728" s="259"/>
      <c r="HH728" s="259"/>
      <c r="HI728" s="259"/>
      <c r="HJ728" s="259"/>
      <c r="HK728" s="259"/>
      <c r="HL728" s="259"/>
      <c r="HM728" s="259"/>
      <c r="HN728" s="259"/>
      <c r="HO728" s="259"/>
      <c r="HP728" s="259"/>
      <c r="HQ728" s="259"/>
      <c r="HR728" s="259"/>
      <c r="HS728" s="259"/>
      <c r="HT728" s="259"/>
      <c r="HU728" s="259"/>
      <c r="HV728" s="259"/>
      <c r="HW728" s="259"/>
      <c r="HX728" s="259"/>
      <c r="HY728" s="259"/>
      <c r="HZ728" s="259"/>
      <c r="IA728" s="259"/>
      <c r="IB728" s="259"/>
      <c r="IC728" s="259"/>
      <c r="ID728" s="259"/>
      <c r="IE728" s="259"/>
      <c r="IF728" s="259"/>
      <c r="IG728" s="259"/>
      <c r="IH728" s="259"/>
      <c r="II728" s="259"/>
      <c r="IJ728" s="259"/>
      <c r="IK728" s="259"/>
      <c r="IL728" s="259"/>
      <c r="IM728" s="259"/>
      <c r="IN728" s="259"/>
      <c r="IO728" s="259"/>
      <c r="IP728" s="259"/>
      <c r="IQ728" s="259"/>
      <c r="IR728" s="259"/>
      <c r="IS728" s="259"/>
      <c r="IT728" s="259"/>
      <c r="IU728" s="259"/>
      <c r="IV728" s="259"/>
      <c r="IW728" s="259"/>
      <c r="IX728" s="259"/>
      <c r="IY728" s="259"/>
      <c r="IZ728" s="259"/>
      <c r="JA728" s="259"/>
      <c r="JB728" s="259"/>
      <c r="JC728" s="259"/>
      <c r="JD728" s="259"/>
      <c r="JE728" s="259"/>
      <c r="JF728" s="259"/>
      <c r="JG728" s="259"/>
      <c r="JH728" s="259"/>
      <c r="JI728" s="259"/>
      <c r="JJ728" s="259"/>
      <c r="JK728" s="259"/>
      <c r="JL728" s="259"/>
      <c r="JM728" s="259"/>
      <c r="JN728" s="259"/>
      <c r="JO728" s="259"/>
      <c r="JP728" s="259"/>
      <c r="JQ728" s="259"/>
      <c r="JR728" s="259"/>
      <c r="JS728" s="259"/>
      <c r="JT728" s="259"/>
      <c r="JU728" s="259"/>
      <c r="JV728" s="259"/>
      <c r="JW728" s="259"/>
      <c r="JX728" s="259"/>
      <c r="JY728" s="259"/>
      <c r="JZ728" s="259"/>
      <c r="KA728" s="259"/>
      <c r="KB728" s="259"/>
      <c r="KC728" s="259"/>
      <c r="KD728" s="259"/>
      <c r="KE728" s="259"/>
      <c r="KF728" s="259"/>
      <c r="KG728" s="259"/>
      <c r="KH728" s="259"/>
      <c r="KI728" s="259"/>
      <c r="KJ728" s="259"/>
      <c r="KK728" s="259"/>
      <c r="KL728" s="259"/>
      <c r="KM728" s="259"/>
      <c r="KN728" s="259"/>
      <c r="KO728" s="259"/>
      <c r="KP728" s="259"/>
      <c r="KQ728" s="259"/>
      <c r="KR728" s="259"/>
      <c r="KS728" s="259"/>
      <c r="KT728" s="259"/>
      <c r="KU728" s="259"/>
      <c r="KV728" s="259"/>
      <c r="KW728" s="259"/>
      <c r="KX728" s="259"/>
      <c r="KY728" s="259"/>
      <c r="KZ728" s="259"/>
      <c r="LA728" s="259"/>
      <c r="LB728" s="259"/>
      <c r="LC728" s="259"/>
      <c r="LD728" s="259"/>
      <c r="LE728" s="259"/>
      <c r="LF728" s="259"/>
      <c r="LG728" s="259"/>
      <c r="LH728" s="259"/>
      <c r="LI728" s="259"/>
      <c r="LJ728" s="259"/>
      <c r="LK728" s="259"/>
      <c r="LL728" s="259"/>
      <c r="LM728" s="259"/>
      <c r="LN728" s="259"/>
      <c r="LO728" s="259"/>
      <c r="LP728" s="259"/>
      <c r="LQ728" s="259"/>
      <c r="LR728" s="259"/>
      <c r="LS728" s="259"/>
      <c r="LT728" s="259"/>
      <c r="LU728" s="259"/>
      <c r="LV728" s="259"/>
      <c r="LW728" s="259"/>
      <c r="LX728" s="259"/>
      <c r="LY728" s="259"/>
      <c r="LZ728" s="259"/>
      <c r="MA728" s="259"/>
      <c r="MB728" s="259"/>
      <c r="MC728" s="259"/>
      <c r="MD728" s="259"/>
      <c r="ME728" s="259"/>
      <c r="MF728" s="259"/>
      <c r="MG728" s="259"/>
      <c r="MH728" s="259"/>
      <c r="MI728" s="259"/>
      <c r="MJ728" s="259"/>
      <c r="MK728" s="259"/>
      <c r="ML728" s="259"/>
      <c r="MM728" s="259"/>
      <c r="MN728" s="259"/>
      <c r="MO728" s="259"/>
      <c r="MP728" s="259"/>
      <c r="MQ728" s="259"/>
      <c r="MR728" s="259"/>
      <c r="MS728" s="259"/>
      <c r="MT728" s="259"/>
      <c r="MU728" s="259"/>
      <c r="MV728" s="259"/>
      <c r="MW728" s="259"/>
      <c r="MX728" s="259"/>
      <c r="MY728" s="259"/>
      <c r="MZ728" s="259"/>
      <c r="NA728" s="259"/>
      <c r="NB728" s="259"/>
      <c r="NC728" s="259"/>
      <c r="ND728" s="259"/>
      <c r="NE728" s="259"/>
      <c r="NF728" s="259"/>
      <c r="NG728" s="259"/>
      <c r="NH728" s="259"/>
      <c r="NI728" s="259"/>
      <c r="NJ728" s="259"/>
      <c r="NK728" s="259"/>
      <c r="NL728" s="259"/>
      <c r="NM728" s="259"/>
      <c r="NN728" s="259"/>
      <c r="NO728" s="259"/>
      <c r="NP728" s="259"/>
      <c r="NQ728" s="259"/>
      <c r="NR728" s="259"/>
      <c r="NS728" s="259"/>
      <c r="NT728" s="259"/>
      <c r="NU728" s="259"/>
      <c r="NV728" s="259"/>
      <c r="NW728" s="259"/>
      <c r="NX728" s="259"/>
      <c r="NY728" s="259"/>
      <c r="NZ728" s="259"/>
      <c r="OA728" s="259"/>
      <c r="OB728" s="259"/>
      <c r="OC728" s="259"/>
      <c r="OD728" s="259"/>
      <c r="OE728" s="259"/>
      <c r="OF728" s="259"/>
      <c r="OG728" s="259"/>
      <c r="OH728" s="259"/>
      <c r="OI728" s="259"/>
      <c r="OJ728" s="259"/>
      <c r="OK728" s="259"/>
      <c r="OL728" s="259"/>
      <c r="OM728" s="259"/>
      <c r="ON728" s="259"/>
      <c r="OO728" s="259"/>
      <c r="OP728" s="259"/>
      <c r="OQ728" s="259"/>
      <c r="OR728" s="259"/>
      <c r="OS728" s="259"/>
      <c r="OT728" s="259"/>
      <c r="OU728" s="259"/>
      <c r="OV728" s="259"/>
      <c r="OW728" s="259"/>
      <c r="OX728" s="259"/>
      <c r="OY728" s="259"/>
      <c r="OZ728" s="259"/>
      <c r="PA728" s="259"/>
      <c r="PB728" s="259"/>
      <c r="PC728" s="259"/>
      <c r="PD728" s="259"/>
      <c r="PE728" s="259"/>
      <c r="PF728" s="259"/>
      <c r="PG728" s="259"/>
      <c r="PH728" s="259"/>
      <c r="PI728" s="259"/>
      <c r="PJ728" s="259"/>
      <c r="PK728" s="259"/>
      <c r="PL728" s="259"/>
      <c r="PM728" s="259"/>
      <c r="PN728" s="259"/>
      <c r="PO728" s="259"/>
      <c r="PP728" s="259"/>
      <c r="PQ728" s="259"/>
      <c r="PR728" s="259"/>
      <c r="PS728" s="259"/>
      <c r="PT728" s="259"/>
      <c r="PU728" s="259"/>
      <c r="PV728" s="259"/>
      <c r="PW728" s="259"/>
      <c r="PX728" s="259"/>
      <c r="PY728" s="259"/>
      <c r="PZ728" s="259"/>
      <c r="QA728" s="259"/>
      <c r="QB728" s="259"/>
      <c r="QC728" s="259"/>
      <c r="QD728" s="259"/>
      <c r="QE728" s="259"/>
      <c r="QF728" s="259"/>
      <c r="QG728" s="259"/>
      <c r="QH728" s="259"/>
      <c r="QI728" s="259"/>
      <c r="QJ728" s="259"/>
      <c r="QK728" s="259"/>
      <c r="QL728" s="259"/>
      <c r="QM728" s="259"/>
      <c r="QN728" s="259"/>
      <c r="QO728" s="259"/>
      <c r="QP728" s="259"/>
      <c r="QQ728" s="259"/>
      <c r="QR728" s="259"/>
      <c r="QS728" s="259"/>
      <c r="QT728" s="259"/>
      <c r="QU728" s="259"/>
      <c r="QV728" s="259"/>
      <c r="QW728" s="259"/>
      <c r="QX728" s="259"/>
      <c r="QY728" s="259"/>
      <c r="QZ728" s="259"/>
      <c r="RA728" s="259"/>
      <c r="RB728" s="259"/>
      <c r="RC728" s="259"/>
      <c r="RD728" s="259"/>
      <c r="RE728" s="259"/>
      <c r="RF728" s="259"/>
      <c r="RG728" s="259"/>
      <c r="RH728" s="259"/>
      <c r="RI728" s="259"/>
      <c r="RJ728" s="259"/>
      <c r="RK728" s="259"/>
      <c r="RL728" s="259"/>
      <c r="RM728" s="259"/>
      <c r="RN728" s="259"/>
      <c r="RO728" s="259"/>
      <c r="RP728" s="259"/>
      <c r="RQ728" s="259"/>
      <c r="RR728" s="259"/>
      <c r="RS728" s="259"/>
      <c r="RT728" s="259"/>
      <c r="RU728" s="259"/>
      <c r="RV728" s="259"/>
      <c r="RW728" s="259"/>
      <c r="RX728" s="259"/>
      <c r="RY728" s="259"/>
      <c r="RZ728" s="259"/>
      <c r="SA728" s="259"/>
      <c r="SB728" s="259"/>
      <c r="SC728" s="259"/>
      <c r="SD728" s="259"/>
      <c r="SE728" s="259"/>
      <c r="SF728" s="259"/>
      <c r="SG728" s="259"/>
      <c r="SH728" s="259"/>
      <c r="SI728" s="259"/>
      <c r="SJ728" s="259"/>
      <c r="SK728" s="259"/>
      <c r="SL728" s="259"/>
      <c r="SM728" s="259"/>
      <c r="SN728" s="259"/>
      <c r="SO728" s="259"/>
      <c r="SP728" s="259"/>
      <c r="SQ728" s="259"/>
      <c r="SR728" s="259"/>
      <c r="SS728" s="259"/>
      <c r="ST728" s="259"/>
      <c r="SU728" s="259"/>
      <c r="SV728" s="259"/>
      <c r="SW728" s="259"/>
      <c r="SX728" s="259"/>
      <c r="SY728" s="259"/>
      <c r="SZ728" s="259"/>
      <c r="TA728" s="259"/>
      <c r="TB728" s="259"/>
      <c r="TC728" s="259"/>
      <c r="TD728" s="259"/>
      <c r="TE728" s="259"/>
      <c r="TF728" s="259"/>
      <c r="TG728" s="259"/>
      <c r="TH728" s="259"/>
      <c r="TI728" s="259"/>
      <c r="TJ728" s="259"/>
      <c r="TK728" s="259"/>
      <c r="TL728" s="259"/>
      <c r="TM728" s="259"/>
      <c r="TN728" s="259"/>
      <c r="TO728" s="259"/>
      <c r="TP728" s="259"/>
      <c r="TQ728" s="259"/>
      <c r="TR728" s="259"/>
      <c r="TS728" s="259"/>
      <c r="TT728" s="259"/>
      <c r="TU728" s="259"/>
      <c r="TV728" s="259"/>
      <c r="TW728" s="259"/>
      <c r="TX728" s="259"/>
      <c r="TY728" s="259"/>
      <c r="TZ728" s="259"/>
      <c r="UA728" s="259"/>
      <c r="UB728" s="259"/>
      <c r="UC728" s="259"/>
      <c r="UD728" s="259"/>
      <c r="UE728" s="259"/>
      <c r="UF728" s="259"/>
      <c r="UG728" s="259"/>
      <c r="UH728" s="259"/>
      <c r="UI728" s="259"/>
    </row>
    <row r="729" spans="1:555" ht="67.5">
      <c r="A729" s="502">
        <v>637</v>
      </c>
      <c r="B729" s="686" t="s">
        <v>5481</v>
      </c>
      <c r="C729" s="687">
        <v>7164867</v>
      </c>
      <c r="D729" s="688" t="s">
        <v>906</v>
      </c>
      <c r="E729" s="27">
        <v>43019</v>
      </c>
      <c r="F729" s="689">
        <v>43009</v>
      </c>
      <c r="G729" s="690" t="s">
        <v>5482</v>
      </c>
      <c r="H729" s="686" t="s">
        <v>625</v>
      </c>
      <c r="I729" s="686" t="s">
        <v>3423</v>
      </c>
      <c r="J729" s="27">
        <v>43046</v>
      </c>
      <c r="K729" s="689">
        <v>43040</v>
      </c>
      <c r="L729" s="690" t="s">
        <v>5483</v>
      </c>
      <c r="M729" s="686" t="s">
        <v>625</v>
      </c>
      <c r="N729" s="686" t="s">
        <v>3423</v>
      </c>
      <c r="O729" s="16">
        <v>43256</v>
      </c>
      <c r="P729" s="691">
        <v>43252</v>
      </c>
      <c r="Q729" s="781" t="s">
        <v>5484</v>
      </c>
      <c r="R729" s="686" t="s">
        <v>5</v>
      </c>
      <c r="S729" s="701" t="s">
        <v>570</v>
      </c>
      <c r="T729" s="27"/>
      <c r="U729" s="689"/>
      <c r="V729" s="690"/>
      <c r="W729" s="686"/>
      <c r="X729" s="686"/>
      <c r="Y729" s="27"/>
      <c r="Z729" s="689"/>
      <c r="AA729" s="690"/>
      <c r="AB729" s="686"/>
      <c r="AC729" s="686"/>
      <c r="AD729" s="27"/>
      <c r="AE729" s="689"/>
      <c r="AF729" s="690"/>
      <c r="AG729" s="686"/>
      <c r="AH729" s="686"/>
      <c r="AI729" s="704"/>
      <c r="AJ729" s="689"/>
      <c r="AK729" s="690"/>
      <c r="AL729" s="686"/>
      <c r="AM729" s="686"/>
      <c r="AN729" s="686" t="s">
        <v>4827</v>
      </c>
      <c r="AO729" s="705"/>
      <c r="AP729" s="686"/>
      <c r="AQ729" s="690" t="s">
        <v>8153</v>
      </c>
      <c r="AR729" s="686" t="s">
        <v>161</v>
      </c>
      <c r="AS729" s="27">
        <v>34953</v>
      </c>
      <c r="AT729" s="27">
        <v>40908</v>
      </c>
      <c r="AU729" s="686" t="s">
        <v>5485</v>
      </c>
      <c r="AV729" s="686"/>
      <c r="AW729" s="686" t="s">
        <v>69</v>
      </c>
      <c r="AX729" s="686" t="s">
        <v>5479</v>
      </c>
      <c r="AY729" s="27">
        <v>42529</v>
      </c>
      <c r="AZ729" s="686" t="s">
        <v>5486</v>
      </c>
      <c r="BA729" s="27">
        <v>42999</v>
      </c>
      <c r="BB729" s="27">
        <v>43033</v>
      </c>
      <c r="BC729" s="701" t="s">
        <v>912</v>
      </c>
      <c r="BD729" s="701" t="s">
        <v>566</v>
      </c>
      <c r="BE729" s="686"/>
      <c r="BF729" s="690"/>
      <c r="BG729" s="690"/>
      <c r="BH729" s="690"/>
      <c r="BI729" s="690"/>
      <c r="BJ729" s="708">
        <f>+[252]MATRIZ!$J$76</f>
        <v>0</v>
      </c>
      <c r="BK729" s="696"/>
      <c r="BL729" s="697"/>
      <c r="BM729" s="27"/>
      <c r="BN729" s="689"/>
      <c r="BO729" s="699"/>
      <c r="BP729" s="700"/>
      <c r="BQ729" s="686"/>
      <c r="BR729" s="701"/>
      <c r="BS729" s="690"/>
      <c r="BT729" s="690"/>
      <c r="BU729" s="690"/>
      <c r="BV729" s="690"/>
      <c r="BW729" s="702"/>
      <c r="BX729" s="693"/>
      <c r="BY729" s="27"/>
      <c r="BZ729" s="703"/>
      <c r="CA729" s="259"/>
      <c r="CB729" s="259"/>
      <c r="CC729" s="259"/>
      <c r="CD729" s="259"/>
      <c r="CE729" s="259"/>
      <c r="CF729" s="259"/>
      <c r="CG729" s="259"/>
      <c r="CH729" s="259"/>
      <c r="CI729" s="259"/>
      <c r="CJ729" s="259"/>
      <c r="CK729" s="259"/>
      <c r="CL729" s="259"/>
      <c r="CM729" s="259"/>
      <c r="CN729" s="259"/>
      <c r="CO729" s="259"/>
      <c r="CP729" s="259"/>
      <c r="CQ729" s="259"/>
      <c r="CR729" s="259"/>
      <c r="CS729" s="259"/>
      <c r="CT729" s="259"/>
      <c r="CU729" s="259"/>
      <c r="CV729" s="259"/>
      <c r="CW729" s="259"/>
      <c r="CX729" s="259"/>
      <c r="CY729" s="259"/>
      <c r="CZ729" s="259"/>
      <c r="DA729" s="259"/>
      <c r="DB729" s="259"/>
      <c r="DC729" s="259"/>
      <c r="DD729" s="259"/>
      <c r="DE729" s="259"/>
      <c r="DF729" s="259"/>
      <c r="DG729" s="259"/>
      <c r="DH729" s="259"/>
      <c r="DI729" s="259"/>
      <c r="DJ729" s="259"/>
      <c r="DK729" s="259"/>
      <c r="DL729" s="259"/>
      <c r="DM729" s="259"/>
      <c r="DN729" s="259"/>
      <c r="DO729" s="259"/>
      <c r="DP729" s="259"/>
      <c r="DQ729" s="259"/>
      <c r="DR729" s="259"/>
      <c r="DS729" s="259"/>
      <c r="DT729" s="259"/>
      <c r="DU729" s="259"/>
      <c r="DV729" s="259"/>
      <c r="DW729" s="259"/>
      <c r="DX729" s="259"/>
      <c r="DY729" s="259"/>
      <c r="DZ729" s="259"/>
      <c r="EA729" s="259"/>
      <c r="EB729" s="259"/>
      <c r="EC729" s="259"/>
      <c r="ED729" s="259"/>
      <c r="EE729" s="259"/>
      <c r="EF729" s="259"/>
      <c r="EG729" s="259"/>
      <c r="EH729" s="259"/>
      <c r="EI729" s="259"/>
      <c r="EJ729" s="259"/>
      <c r="EK729" s="259"/>
      <c r="EL729" s="259"/>
      <c r="EM729" s="259"/>
      <c r="EN729" s="259"/>
      <c r="EO729" s="259"/>
      <c r="EP729" s="259"/>
      <c r="EQ729" s="259"/>
      <c r="ER729" s="259"/>
      <c r="ES729" s="259"/>
      <c r="ET729" s="259"/>
      <c r="EU729" s="259"/>
      <c r="EV729" s="259"/>
      <c r="EW729" s="259"/>
      <c r="EX729" s="259"/>
      <c r="EY729" s="259"/>
      <c r="EZ729" s="259"/>
      <c r="FA729" s="259"/>
      <c r="FB729" s="259"/>
      <c r="FC729" s="259"/>
      <c r="FD729" s="259"/>
      <c r="FE729" s="259"/>
      <c r="FF729" s="259"/>
      <c r="FG729" s="259"/>
      <c r="FH729" s="259"/>
      <c r="FI729" s="259"/>
      <c r="FJ729" s="259"/>
      <c r="FK729" s="259"/>
      <c r="FL729" s="259"/>
      <c r="FM729" s="259"/>
      <c r="FN729" s="259"/>
      <c r="FO729" s="259"/>
      <c r="FP729" s="259"/>
      <c r="FQ729" s="259"/>
      <c r="FR729" s="259"/>
      <c r="FS729" s="259"/>
      <c r="FT729" s="259"/>
      <c r="FU729" s="259"/>
      <c r="FV729" s="259"/>
      <c r="FW729" s="259"/>
      <c r="FX729" s="259"/>
      <c r="FY729" s="259"/>
      <c r="FZ729" s="259"/>
      <c r="GA729" s="259"/>
      <c r="GB729" s="259"/>
      <c r="GC729" s="259"/>
      <c r="GD729" s="259"/>
      <c r="GE729" s="259"/>
      <c r="GF729" s="259"/>
      <c r="GG729" s="259"/>
      <c r="GH729" s="259"/>
      <c r="GI729" s="259"/>
      <c r="GJ729" s="259"/>
      <c r="GK729" s="259"/>
      <c r="GL729" s="259"/>
      <c r="GM729" s="259"/>
      <c r="GN729" s="259"/>
      <c r="GO729" s="259"/>
      <c r="GP729" s="259"/>
      <c r="GQ729" s="259"/>
      <c r="GR729" s="259"/>
      <c r="GS729" s="259"/>
      <c r="GT729" s="259"/>
      <c r="GU729" s="259"/>
      <c r="GV729" s="259"/>
      <c r="GW729" s="259"/>
      <c r="GX729" s="259"/>
      <c r="GY729" s="259"/>
      <c r="GZ729" s="259"/>
      <c r="HA729" s="259"/>
      <c r="HB729" s="259"/>
      <c r="HC729" s="259"/>
      <c r="HD729" s="259"/>
      <c r="HE729" s="259"/>
      <c r="HF729" s="259"/>
      <c r="HG729" s="259"/>
      <c r="HH729" s="259"/>
      <c r="HI729" s="259"/>
      <c r="HJ729" s="259"/>
      <c r="HK729" s="259"/>
      <c r="HL729" s="259"/>
      <c r="HM729" s="259"/>
      <c r="HN729" s="259"/>
      <c r="HO729" s="259"/>
      <c r="HP729" s="259"/>
      <c r="HQ729" s="259"/>
      <c r="HR729" s="259"/>
      <c r="HS729" s="259"/>
      <c r="HT729" s="259"/>
      <c r="HU729" s="259"/>
      <c r="HV729" s="259"/>
      <c r="HW729" s="259"/>
      <c r="HX729" s="259"/>
      <c r="HY729" s="259"/>
      <c r="HZ729" s="259"/>
      <c r="IA729" s="259"/>
      <c r="IB729" s="259"/>
      <c r="IC729" s="259"/>
      <c r="ID729" s="259"/>
      <c r="IE729" s="259"/>
      <c r="IF729" s="259"/>
      <c r="IG729" s="259"/>
      <c r="IH729" s="259"/>
      <c r="II729" s="259"/>
      <c r="IJ729" s="259"/>
      <c r="IK729" s="259"/>
      <c r="IL729" s="259"/>
      <c r="IM729" s="259"/>
      <c r="IN729" s="259"/>
      <c r="IO729" s="259"/>
      <c r="IP729" s="259"/>
      <c r="IQ729" s="259"/>
      <c r="IR729" s="259"/>
      <c r="IS729" s="259"/>
      <c r="IT729" s="259"/>
      <c r="IU729" s="259"/>
      <c r="IV729" s="259"/>
      <c r="IW729" s="259"/>
      <c r="IX729" s="259"/>
      <c r="IY729" s="259"/>
      <c r="IZ729" s="259"/>
      <c r="JA729" s="259"/>
      <c r="JB729" s="259"/>
      <c r="JC729" s="259"/>
      <c r="JD729" s="259"/>
      <c r="JE729" s="259"/>
      <c r="JF729" s="259"/>
      <c r="JG729" s="259"/>
      <c r="JH729" s="259"/>
      <c r="JI729" s="259"/>
      <c r="JJ729" s="259"/>
      <c r="JK729" s="259"/>
      <c r="JL729" s="259"/>
      <c r="JM729" s="259"/>
      <c r="JN729" s="259"/>
      <c r="JO729" s="259"/>
      <c r="JP729" s="259"/>
      <c r="JQ729" s="259"/>
      <c r="JR729" s="259"/>
      <c r="JS729" s="259"/>
      <c r="JT729" s="259"/>
      <c r="JU729" s="259"/>
      <c r="JV729" s="259"/>
      <c r="JW729" s="259"/>
      <c r="JX729" s="259"/>
      <c r="JY729" s="259"/>
      <c r="JZ729" s="259"/>
      <c r="KA729" s="259"/>
      <c r="KB729" s="259"/>
      <c r="KC729" s="259"/>
      <c r="KD729" s="259"/>
      <c r="KE729" s="259"/>
      <c r="KF729" s="259"/>
      <c r="KG729" s="259"/>
      <c r="KH729" s="259"/>
      <c r="KI729" s="259"/>
      <c r="KJ729" s="259"/>
      <c r="KK729" s="259"/>
      <c r="KL729" s="259"/>
      <c r="KM729" s="259"/>
      <c r="KN729" s="259"/>
      <c r="KO729" s="259"/>
      <c r="KP729" s="259"/>
      <c r="KQ729" s="259"/>
      <c r="KR729" s="259"/>
      <c r="KS729" s="259"/>
      <c r="KT729" s="259"/>
      <c r="KU729" s="259"/>
      <c r="KV729" s="259"/>
      <c r="KW729" s="259"/>
      <c r="KX729" s="259"/>
      <c r="KY729" s="259"/>
      <c r="KZ729" s="259"/>
      <c r="LA729" s="259"/>
      <c r="LB729" s="259"/>
      <c r="LC729" s="259"/>
      <c r="LD729" s="259"/>
      <c r="LE729" s="259"/>
      <c r="LF729" s="259"/>
      <c r="LG729" s="259"/>
      <c r="LH729" s="259"/>
      <c r="LI729" s="259"/>
      <c r="LJ729" s="259"/>
      <c r="LK729" s="259"/>
      <c r="LL729" s="259"/>
      <c r="LM729" s="259"/>
      <c r="LN729" s="259"/>
      <c r="LO729" s="259"/>
      <c r="LP729" s="259"/>
      <c r="LQ729" s="259"/>
      <c r="LR729" s="259"/>
      <c r="LS729" s="259"/>
      <c r="LT729" s="259"/>
      <c r="LU729" s="259"/>
      <c r="LV729" s="259"/>
      <c r="LW729" s="259"/>
      <c r="LX729" s="259"/>
      <c r="LY729" s="259"/>
      <c r="LZ729" s="259"/>
      <c r="MA729" s="259"/>
      <c r="MB729" s="259"/>
      <c r="MC729" s="259"/>
      <c r="MD729" s="259"/>
      <c r="ME729" s="259"/>
      <c r="MF729" s="259"/>
      <c r="MG729" s="259"/>
      <c r="MH729" s="259"/>
      <c r="MI729" s="259"/>
      <c r="MJ729" s="259"/>
      <c r="MK729" s="259"/>
      <c r="ML729" s="259"/>
      <c r="MM729" s="259"/>
      <c r="MN729" s="259"/>
      <c r="MO729" s="259"/>
      <c r="MP729" s="259"/>
      <c r="MQ729" s="259"/>
      <c r="MR729" s="259"/>
      <c r="MS729" s="259"/>
      <c r="MT729" s="259"/>
      <c r="MU729" s="259"/>
      <c r="MV729" s="259"/>
      <c r="MW729" s="259"/>
      <c r="MX729" s="259"/>
      <c r="MY729" s="259"/>
      <c r="MZ729" s="259"/>
      <c r="NA729" s="259"/>
      <c r="NB729" s="259"/>
      <c r="NC729" s="259"/>
      <c r="ND729" s="259"/>
      <c r="NE729" s="259"/>
      <c r="NF729" s="259"/>
      <c r="NG729" s="259"/>
      <c r="NH729" s="259"/>
      <c r="NI729" s="259"/>
      <c r="NJ729" s="259"/>
      <c r="NK729" s="259"/>
      <c r="NL729" s="259"/>
      <c r="NM729" s="259"/>
      <c r="NN729" s="259"/>
      <c r="NO729" s="259"/>
      <c r="NP729" s="259"/>
      <c r="NQ729" s="259"/>
      <c r="NR729" s="259"/>
      <c r="NS729" s="259"/>
      <c r="NT729" s="259"/>
      <c r="NU729" s="259"/>
      <c r="NV729" s="259"/>
      <c r="NW729" s="259"/>
      <c r="NX729" s="259"/>
      <c r="NY729" s="259"/>
      <c r="NZ729" s="259"/>
      <c r="OA729" s="259"/>
      <c r="OB729" s="259"/>
      <c r="OC729" s="259"/>
      <c r="OD729" s="259"/>
      <c r="OE729" s="259"/>
      <c r="OF729" s="259"/>
      <c r="OG729" s="259"/>
      <c r="OH729" s="259"/>
      <c r="OI729" s="259"/>
      <c r="OJ729" s="259"/>
      <c r="OK729" s="259"/>
      <c r="OL729" s="259"/>
      <c r="OM729" s="259"/>
      <c r="ON729" s="259"/>
      <c r="OO729" s="259"/>
      <c r="OP729" s="259"/>
      <c r="OQ729" s="259"/>
      <c r="OR729" s="259"/>
      <c r="OS729" s="259"/>
      <c r="OT729" s="259"/>
      <c r="OU729" s="259"/>
      <c r="OV729" s="259"/>
      <c r="OW729" s="259"/>
      <c r="OX729" s="259"/>
      <c r="OY729" s="259"/>
      <c r="OZ729" s="259"/>
      <c r="PA729" s="259"/>
      <c r="PB729" s="259"/>
      <c r="PC729" s="259"/>
      <c r="PD729" s="259"/>
      <c r="PE729" s="259"/>
      <c r="PF729" s="259"/>
      <c r="PG729" s="259"/>
      <c r="PH729" s="259"/>
      <c r="PI729" s="259"/>
      <c r="PJ729" s="259"/>
      <c r="PK729" s="259"/>
      <c r="PL729" s="259"/>
      <c r="PM729" s="259"/>
      <c r="PN729" s="259"/>
      <c r="PO729" s="259"/>
      <c r="PP729" s="259"/>
      <c r="PQ729" s="259"/>
      <c r="PR729" s="259"/>
      <c r="PS729" s="259"/>
      <c r="PT729" s="259"/>
      <c r="PU729" s="259"/>
      <c r="PV729" s="259"/>
      <c r="PW729" s="259"/>
      <c r="PX729" s="259"/>
      <c r="PY729" s="259"/>
      <c r="PZ729" s="259"/>
      <c r="QA729" s="259"/>
      <c r="QB729" s="259"/>
      <c r="QC729" s="259"/>
      <c r="QD729" s="259"/>
      <c r="QE729" s="259"/>
      <c r="QF729" s="259"/>
      <c r="QG729" s="259"/>
      <c r="QH729" s="259"/>
      <c r="QI729" s="259"/>
      <c r="QJ729" s="259"/>
      <c r="QK729" s="259"/>
      <c r="QL729" s="259"/>
      <c r="QM729" s="259"/>
      <c r="QN729" s="259"/>
      <c r="QO729" s="259"/>
      <c r="QP729" s="259"/>
      <c r="QQ729" s="259"/>
      <c r="QR729" s="259"/>
      <c r="QS729" s="259"/>
      <c r="QT729" s="259"/>
      <c r="QU729" s="259"/>
      <c r="QV729" s="259"/>
      <c r="QW729" s="259"/>
      <c r="QX729" s="259"/>
      <c r="QY729" s="259"/>
      <c r="QZ729" s="259"/>
      <c r="RA729" s="259"/>
      <c r="RB729" s="259"/>
      <c r="RC729" s="259"/>
      <c r="RD729" s="259"/>
      <c r="RE729" s="259"/>
      <c r="RF729" s="259"/>
      <c r="RG729" s="259"/>
      <c r="RH729" s="259"/>
      <c r="RI729" s="259"/>
      <c r="RJ729" s="259"/>
      <c r="RK729" s="259"/>
      <c r="RL729" s="259"/>
      <c r="RM729" s="259"/>
      <c r="RN729" s="259"/>
      <c r="RO729" s="259"/>
      <c r="RP729" s="259"/>
      <c r="RQ729" s="259"/>
      <c r="RR729" s="259"/>
      <c r="RS729" s="259"/>
      <c r="RT729" s="259"/>
      <c r="RU729" s="259"/>
      <c r="RV729" s="259"/>
      <c r="RW729" s="259"/>
      <c r="RX729" s="259"/>
      <c r="RY729" s="259"/>
      <c r="RZ729" s="259"/>
      <c r="SA729" s="259"/>
      <c r="SB729" s="259"/>
      <c r="SC729" s="259"/>
      <c r="SD729" s="259"/>
      <c r="SE729" s="259"/>
      <c r="SF729" s="259"/>
      <c r="SG729" s="259"/>
      <c r="SH729" s="259"/>
      <c r="SI729" s="259"/>
      <c r="SJ729" s="259"/>
      <c r="SK729" s="259"/>
      <c r="SL729" s="259"/>
      <c r="SM729" s="259"/>
      <c r="SN729" s="259"/>
      <c r="SO729" s="259"/>
      <c r="SP729" s="259"/>
      <c r="SQ729" s="259"/>
      <c r="SR729" s="259"/>
      <c r="SS729" s="259"/>
      <c r="ST729" s="259"/>
      <c r="SU729" s="259"/>
      <c r="SV729" s="259"/>
      <c r="SW729" s="259"/>
      <c r="SX729" s="259"/>
      <c r="SY729" s="259"/>
      <c r="SZ729" s="259"/>
      <c r="TA729" s="259"/>
      <c r="TB729" s="259"/>
      <c r="TC729" s="259"/>
      <c r="TD729" s="259"/>
      <c r="TE729" s="259"/>
      <c r="TF729" s="259"/>
      <c r="TG729" s="259"/>
      <c r="TH729" s="259"/>
      <c r="TI729" s="259"/>
      <c r="TJ729" s="259"/>
      <c r="TK729" s="259"/>
      <c r="TL729" s="259"/>
      <c r="TM729" s="259"/>
      <c r="TN729" s="259"/>
      <c r="TO729" s="259"/>
      <c r="TP729" s="259"/>
      <c r="TQ729" s="259"/>
      <c r="TR729" s="259"/>
      <c r="TS729" s="259"/>
      <c r="TT729" s="259"/>
      <c r="TU729" s="259"/>
      <c r="TV729" s="259"/>
      <c r="TW729" s="259"/>
      <c r="TX729" s="259"/>
      <c r="TY729" s="259"/>
      <c r="TZ729" s="259"/>
      <c r="UA729" s="259"/>
      <c r="UB729" s="259"/>
      <c r="UC729" s="259"/>
      <c r="UD729" s="259"/>
      <c r="UE729" s="259"/>
      <c r="UF729" s="259"/>
      <c r="UG729" s="259"/>
      <c r="UH729" s="259"/>
      <c r="UI729" s="259"/>
    </row>
    <row r="730" spans="1:555" ht="73.5" customHeight="1">
      <c r="A730" s="57">
        <v>638</v>
      </c>
      <c r="B730" s="58" t="s">
        <v>5487</v>
      </c>
      <c r="C730" s="59">
        <v>79429979</v>
      </c>
      <c r="D730" s="170" t="s">
        <v>597</v>
      </c>
      <c r="E730" s="60">
        <v>43017</v>
      </c>
      <c r="F730" s="61">
        <v>43009</v>
      </c>
      <c r="G730" s="62" t="s">
        <v>5488</v>
      </c>
      <c r="H730" s="58" t="s">
        <v>625</v>
      </c>
      <c r="I730" s="58" t="s">
        <v>3423</v>
      </c>
      <c r="J730" s="60">
        <v>43069</v>
      </c>
      <c r="K730" s="61">
        <v>43040</v>
      </c>
      <c r="L730" s="62"/>
      <c r="M730" s="58"/>
      <c r="N730" s="58"/>
      <c r="O730" s="60"/>
      <c r="P730" s="63"/>
      <c r="Q730" s="62"/>
      <c r="R730" s="58"/>
      <c r="S730" s="58"/>
      <c r="T730" s="60"/>
      <c r="U730" s="61"/>
      <c r="V730" s="62"/>
      <c r="W730" s="58"/>
      <c r="X730" s="58"/>
      <c r="Y730" s="60"/>
      <c r="Z730" s="61"/>
      <c r="AA730" s="62"/>
      <c r="AB730" s="58"/>
      <c r="AC730" s="58"/>
      <c r="AD730" s="60"/>
      <c r="AE730" s="61"/>
      <c r="AF730" s="62"/>
      <c r="AG730" s="58"/>
      <c r="AH730" s="58"/>
      <c r="AI730" s="117"/>
      <c r="AJ730" s="61"/>
      <c r="AK730" s="62"/>
      <c r="AL730" s="58"/>
      <c r="AM730" s="58"/>
      <c r="AN730" s="58" t="s">
        <v>3671</v>
      </c>
      <c r="AO730" s="478"/>
      <c r="AP730" s="58"/>
      <c r="AQ730" s="62" t="s">
        <v>5489</v>
      </c>
      <c r="AR730" s="58" t="s">
        <v>161</v>
      </c>
      <c r="AS730" s="60">
        <v>38545</v>
      </c>
      <c r="AT730" s="60">
        <v>39994</v>
      </c>
      <c r="AU730" s="58" t="s">
        <v>5490</v>
      </c>
      <c r="AV730" s="58"/>
      <c r="AW730" s="58" t="s">
        <v>69</v>
      </c>
      <c r="AX730" s="58" t="s">
        <v>5491</v>
      </c>
      <c r="AY730" s="60">
        <v>42545</v>
      </c>
      <c r="AZ730" s="58" t="s">
        <v>5283</v>
      </c>
      <c r="BA730" s="60">
        <v>43000</v>
      </c>
      <c r="BB730" s="382">
        <v>43020</v>
      </c>
      <c r="BC730" s="58" t="s">
        <v>95</v>
      </c>
      <c r="BD730" s="58" t="s">
        <v>566</v>
      </c>
      <c r="BE730" s="58"/>
      <c r="BF730" s="62"/>
      <c r="BG730" s="62"/>
      <c r="BH730" s="62"/>
      <c r="BI730" s="62"/>
      <c r="BJ730" s="209">
        <f>+[253]MATRIZ!$J$48</f>
        <v>12992040.625481574</v>
      </c>
      <c r="BK730" s="67"/>
      <c r="BL730" s="68"/>
      <c r="BM730" s="60"/>
      <c r="BN730" s="61"/>
      <c r="BO730" s="463"/>
      <c r="BP730" s="122"/>
      <c r="BQ730" s="58"/>
      <c r="BR730" s="70"/>
      <c r="BS730" s="62"/>
      <c r="BT730" s="62"/>
      <c r="BU730" s="62"/>
      <c r="BV730" s="62"/>
      <c r="BW730" s="71"/>
      <c r="BX730" s="66"/>
      <c r="BY730" s="60"/>
      <c r="BZ730" s="72"/>
    </row>
    <row r="731" spans="1:555" s="259" customFormat="1" ht="72" customHeight="1">
      <c r="A731" s="729">
        <v>639</v>
      </c>
      <c r="B731" s="381" t="s">
        <v>5492</v>
      </c>
      <c r="C731" s="730"/>
      <c r="D731" s="731"/>
      <c r="E731" s="382"/>
      <c r="F731" s="379"/>
      <c r="G731" s="383"/>
      <c r="H731" s="381"/>
      <c r="I731" s="381"/>
      <c r="J731" s="382"/>
      <c r="K731" s="379"/>
      <c r="L731" s="383"/>
      <c r="M731" s="381"/>
      <c r="N731" s="381"/>
      <c r="O731" s="382"/>
      <c r="P731" s="732"/>
      <c r="Q731" s="383"/>
      <c r="R731" s="381"/>
      <c r="S731" s="381"/>
      <c r="T731" s="382"/>
      <c r="U731" s="379"/>
      <c r="V731" s="383"/>
      <c r="W731" s="381"/>
      <c r="X731" s="381"/>
      <c r="Y731" s="382"/>
      <c r="Z731" s="379"/>
      <c r="AA731" s="383"/>
      <c r="AB731" s="381"/>
      <c r="AC731" s="381"/>
      <c r="AD731" s="382"/>
      <c r="AE731" s="379"/>
      <c r="AF731" s="383"/>
      <c r="AG731" s="381"/>
      <c r="AH731" s="381"/>
      <c r="AI731" s="745"/>
      <c r="AJ731" s="379"/>
      <c r="AK731" s="383"/>
      <c r="AL731" s="381"/>
      <c r="AM731" s="381"/>
      <c r="AN731" s="381"/>
      <c r="AO731" s="381"/>
      <c r="AP731" s="381"/>
      <c r="AQ731" s="383"/>
      <c r="AR731" s="381"/>
      <c r="AS731" s="382"/>
      <c r="AT731" s="382"/>
      <c r="AU731" s="381"/>
      <c r="AV731" s="381"/>
      <c r="AW731" s="381"/>
      <c r="AX731" s="381"/>
      <c r="AY731" s="382"/>
      <c r="AZ731" s="381"/>
      <c r="BA731" s="382"/>
      <c r="BB731" s="382"/>
      <c r="BC731" s="381"/>
      <c r="BD731" s="381"/>
      <c r="BE731" s="381"/>
      <c r="BF731" s="383"/>
      <c r="BG731" s="383"/>
      <c r="BH731" s="383"/>
      <c r="BI731" s="383"/>
      <c r="BJ731" s="749"/>
      <c r="BK731" s="737"/>
      <c r="BL731" s="738"/>
      <c r="BM731" s="382"/>
      <c r="BN731" s="379"/>
      <c r="BO731" s="740"/>
      <c r="BP731" s="741"/>
      <c r="BQ731" s="381"/>
      <c r="BR731" s="742"/>
      <c r="BS731" s="383"/>
      <c r="BT731" s="383"/>
      <c r="BU731" s="383"/>
      <c r="BV731" s="383"/>
      <c r="BW731" s="743"/>
      <c r="BX731" s="733"/>
      <c r="BY731" s="382"/>
      <c r="BZ731" s="744"/>
      <c r="CA731" s="685"/>
      <c r="CB731" s="685"/>
      <c r="CC731" s="685"/>
      <c r="CD731" s="685"/>
      <c r="CE731" s="685"/>
      <c r="CF731" s="685"/>
      <c r="CG731" s="685"/>
      <c r="CH731" s="685"/>
      <c r="CI731" s="685"/>
      <c r="CJ731" s="685"/>
      <c r="CK731" s="685"/>
      <c r="CL731" s="685"/>
      <c r="CM731" s="685"/>
      <c r="CN731" s="685"/>
      <c r="CO731" s="685"/>
      <c r="CP731" s="685"/>
      <c r="CQ731" s="685"/>
      <c r="CR731" s="685"/>
      <c r="CS731" s="685"/>
      <c r="CT731" s="685"/>
      <c r="CU731" s="685"/>
      <c r="CV731" s="685"/>
      <c r="CW731" s="685"/>
      <c r="CX731" s="685"/>
      <c r="CY731" s="685"/>
      <c r="CZ731" s="685"/>
      <c r="DA731" s="685"/>
      <c r="DB731" s="685"/>
      <c r="DC731" s="685"/>
      <c r="DD731" s="685"/>
      <c r="DE731" s="685"/>
      <c r="DF731" s="685"/>
      <c r="DG731" s="685"/>
      <c r="DH731" s="685"/>
      <c r="DI731" s="685"/>
      <c r="DJ731" s="685"/>
      <c r="DK731" s="685"/>
      <c r="DL731" s="685"/>
      <c r="DM731" s="685"/>
      <c r="DN731" s="685"/>
      <c r="DO731" s="685"/>
      <c r="DP731" s="685"/>
      <c r="DQ731" s="685"/>
      <c r="DR731" s="685"/>
      <c r="DS731" s="685"/>
      <c r="DT731" s="685"/>
      <c r="DU731" s="685"/>
      <c r="DV731" s="685"/>
      <c r="DW731" s="685"/>
      <c r="DX731" s="685"/>
      <c r="DY731" s="685"/>
      <c r="DZ731" s="685"/>
      <c r="EA731" s="685"/>
      <c r="EB731" s="685"/>
      <c r="EC731" s="685"/>
      <c r="ED731" s="685"/>
      <c r="EE731" s="685"/>
      <c r="EF731" s="685"/>
      <c r="EG731" s="685"/>
      <c r="EH731" s="685"/>
      <c r="EI731" s="685"/>
      <c r="EJ731" s="685"/>
      <c r="EK731" s="685"/>
      <c r="EL731" s="685"/>
      <c r="EM731" s="685"/>
      <c r="EN731" s="685"/>
      <c r="EO731" s="685"/>
      <c r="EP731" s="685"/>
      <c r="EQ731" s="685"/>
      <c r="ER731" s="685"/>
      <c r="ES731" s="685"/>
      <c r="ET731" s="685"/>
      <c r="EU731" s="685"/>
      <c r="EV731" s="685"/>
      <c r="EW731" s="685"/>
      <c r="EX731" s="685"/>
      <c r="EY731" s="685"/>
      <c r="EZ731" s="685"/>
      <c r="FA731" s="685"/>
      <c r="FB731" s="685"/>
      <c r="FC731" s="685"/>
      <c r="FD731" s="685"/>
      <c r="FE731" s="685"/>
      <c r="FF731" s="685"/>
      <c r="FG731" s="685"/>
      <c r="FH731" s="685"/>
      <c r="FI731" s="685"/>
      <c r="FJ731" s="685"/>
      <c r="FK731" s="685"/>
      <c r="FL731" s="685"/>
      <c r="FM731" s="685"/>
      <c r="FN731" s="685"/>
      <c r="FO731" s="685"/>
      <c r="FP731" s="685"/>
      <c r="FQ731" s="685"/>
      <c r="FR731" s="685"/>
      <c r="FS731" s="685"/>
      <c r="FT731" s="685"/>
      <c r="FU731" s="685"/>
      <c r="FV731" s="685"/>
      <c r="FW731" s="685"/>
      <c r="FX731" s="685"/>
      <c r="FY731" s="685"/>
      <c r="FZ731" s="685"/>
      <c r="GA731" s="685"/>
      <c r="GB731" s="685"/>
      <c r="GC731" s="685"/>
      <c r="GD731" s="685"/>
      <c r="GE731" s="685"/>
      <c r="GF731" s="685"/>
      <c r="GG731" s="685"/>
      <c r="GH731" s="685"/>
      <c r="GI731" s="685"/>
      <c r="GJ731" s="685"/>
      <c r="GK731" s="685"/>
      <c r="GL731" s="685"/>
      <c r="GM731" s="685"/>
      <c r="GN731" s="685"/>
      <c r="GO731" s="685"/>
      <c r="GP731" s="685"/>
      <c r="GQ731" s="685"/>
      <c r="GR731" s="685"/>
      <c r="GS731" s="685"/>
      <c r="GT731" s="685"/>
      <c r="GU731" s="685"/>
      <c r="GV731" s="685"/>
      <c r="GW731" s="685"/>
      <c r="GX731" s="685"/>
      <c r="GY731" s="685"/>
      <c r="GZ731" s="685"/>
      <c r="HA731" s="685"/>
      <c r="HB731" s="685"/>
      <c r="HC731" s="685"/>
      <c r="HD731" s="685"/>
      <c r="HE731" s="685"/>
      <c r="HF731" s="685"/>
      <c r="HG731" s="685"/>
      <c r="HH731" s="685"/>
      <c r="HI731" s="685"/>
      <c r="HJ731" s="685"/>
      <c r="HK731" s="685"/>
      <c r="HL731" s="685"/>
      <c r="HM731" s="685"/>
      <c r="HN731" s="685"/>
      <c r="HO731" s="685"/>
      <c r="HP731" s="685"/>
      <c r="HQ731" s="685"/>
      <c r="HR731" s="685"/>
      <c r="HS731" s="685"/>
      <c r="HT731" s="685"/>
      <c r="HU731" s="685"/>
      <c r="HV731" s="685"/>
      <c r="HW731" s="685"/>
      <c r="HX731" s="685"/>
      <c r="HY731" s="685"/>
      <c r="HZ731" s="685"/>
      <c r="IA731" s="685"/>
      <c r="IB731" s="685"/>
      <c r="IC731" s="685"/>
      <c r="ID731" s="685"/>
      <c r="IE731" s="685"/>
      <c r="IF731" s="685"/>
      <c r="IG731" s="685"/>
      <c r="IH731" s="685"/>
      <c r="II731" s="685"/>
      <c r="IJ731" s="685"/>
      <c r="IK731" s="685"/>
      <c r="IL731" s="685"/>
      <c r="IM731" s="685"/>
      <c r="IN731" s="685"/>
      <c r="IO731" s="685"/>
      <c r="IP731" s="685"/>
      <c r="IQ731" s="685"/>
      <c r="IR731" s="685"/>
      <c r="IS731" s="685"/>
      <c r="IT731" s="685"/>
      <c r="IU731" s="685"/>
      <c r="IV731" s="685"/>
      <c r="IW731" s="685"/>
      <c r="IX731" s="685"/>
      <c r="IY731" s="685"/>
      <c r="IZ731" s="685"/>
      <c r="JA731" s="685"/>
      <c r="JB731" s="685"/>
      <c r="JC731" s="685"/>
      <c r="JD731" s="685"/>
      <c r="JE731" s="685"/>
      <c r="JF731" s="685"/>
      <c r="JG731" s="685"/>
      <c r="JH731" s="685"/>
      <c r="JI731" s="685"/>
      <c r="JJ731" s="685"/>
      <c r="JK731" s="685"/>
      <c r="JL731" s="685"/>
      <c r="JM731" s="685"/>
      <c r="JN731" s="685"/>
      <c r="JO731" s="685"/>
      <c r="JP731" s="685"/>
      <c r="JQ731" s="685"/>
      <c r="JR731" s="685"/>
      <c r="JS731" s="685"/>
      <c r="JT731" s="685"/>
      <c r="JU731" s="685"/>
      <c r="JV731" s="685"/>
      <c r="JW731" s="685"/>
      <c r="JX731" s="685"/>
      <c r="JY731" s="685"/>
      <c r="JZ731" s="685"/>
      <c r="KA731" s="685"/>
      <c r="KB731" s="685"/>
      <c r="KC731" s="685"/>
      <c r="KD731" s="685"/>
      <c r="KE731" s="685"/>
      <c r="KF731" s="685"/>
      <c r="KG731" s="685"/>
      <c r="KH731" s="685"/>
      <c r="KI731" s="685"/>
      <c r="KJ731" s="685"/>
      <c r="KK731" s="685"/>
      <c r="KL731" s="685"/>
      <c r="KM731" s="685"/>
      <c r="KN731" s="685"/>
      <c r="KO731" s="685"/>
      <c r="KP731" s="685"/>
      <c r="KQ731" s="685"/>
      <c r="KR731" s="685"/>
      <c r="KS731" s="685"/>
      <c r="KT731" s="685"/>
      <c r="KU731" s="685"/>
      <c r="KV731" s="685"/>
      <c r="KW731" s="685"/>
      <c r="KX731" s="685"/>
      <c r="KY731" s="685"/>
      <c r="KZ731" s="685"/>
      <c r="LA731" s="685"/>
      <c r="LB731" s="685"/>
      <c r="LC731" s="685"/>
      <c r="LD731" s="685"/>
      <c r="LE731" s="685"/>
      <c r="LF731" s="685"/>
      <c r="LG731" s="685"/>
      <c r="LH731" s="685"/>
      <c r="LI731" s="685"/>
      <c r="LJ731" s="685"/>
      <c r="LK731" s="685"/>
      <c r="LL731" s="685"/>
      <c r="LM731" s="685"/>
      <c r="LN731" s="685"/>
      <c r="LO731" s="685"/>
      <c r="LP731" s="685"/>
      <c r="LQ731" s="685"/>
      <c r="LR731" s="685"/>
      <c r="LS731" s="685"/>
      <c r="LT731" s="685"/>
      <c r="LU731" s="685"/>
      <c r="LV731" s="685"/>
      <c r="LW731" s="685"/>
      <c r="LX731" s="685"/>
      <c r="LY731" s="685"/>
      <c r="LZ731" s="685"/>
      <c r="MA731" s="685"/>
      <c r="MB731" s="685"/>
      <c r="MC731" s="685"/>
      <c r="MD731" s="685"/>
      <c r="ME731" s="685"/>
      <c r="MF731" s="685"/>
      <c r="MG731" s="685"/>
      <c r="MH731" s="685"/>
      <c r="MI731" s="685"/>
      <c r="MJ731" s="685"/>
      <c r="MK731" s="685"/>
      <c r="ML731" s="685"/>
      <c r="MM731" s="685"/>
      <c r="MN731" s="685"/>
      <c r="MO731" s="685"/>
      <c r="MP731" s="685"/>
      <c r="MQ731" s="685"/>
      <c r="MR731" s="685"/>
      <c r="MS731" s="685"/>
      <c r="MT731" s="685"/>
      <c r="MU731" s="685"/>
      <c r="MV731" s="685"/>
      <c r="MW731" s="685"/>
      <c r="MX731" s="685"/>
      <c r="MY731" s="685"/>
      <c r="MZ731" s="685"/>
      <c r="NA731" s="685"/>
      <c r="NB731" s="685"/>
      <c r="NC731" s="685"/>
      <c r="ND731" s="685"/>
      <c r="NE731" s="685"/>
      <c r="NF731" s="685"/>
      <c r="NG731" s="685"/>
      <c r="NH731" s="685"/>
      <c r="NI731" s="685"/>
      <c r="NJ731" s="685"/>
      <c r="NK731" s="685"/>
      <c r="NL731" s="685"/>
      <c r="NM731" s="685"/>
      <c r="NN731" s="685"/>
      <c r="NO731" s="685"/>
      <c r="NP731" s="685"/>
      <c r="NQ731" s="685"/>
      <c r="NR731" s="685"/>
      <c r="NS731" s="685"/>
      <c r="NT731" s="685"/>
      <c r="NU731" s="685"/>
      <c r="NV731" s="685"/>
      <c r="NW731" s="685"/>
      <c r="NX731" s="685"/>
      <c r="NY731" s="685"/>
      <c r="NZ731" s="685"/>
      <c r="OA731" s="685"/>
      <c r="OB731" s="685"/>
      <c r="OC731" s="685"/>
      <c r="OD731" s="685"/>
      <c r="OE731" s="685"/>
      <c r="OF731" s="685"/>
      <c r="OG731" s="685"/>
      <c r="OH731" s="685"/>
      <c r="OI731" s="685"/>
      <c r="OJ731" s="685"/>
      <c r="OK731" s="685"/>
      <c r="OL731" s="685"/>
      <c r="OM731" s="685"/>
      <c r="ON731" s="685"/>
      <c r="OO731" s="685"/>
      <c r="OP731" s="685"/>
      <c r="OQ731" s="685"/>
      <c r="OR731" s="685"/>
      <c r="OS731" s="685"/>
      <c r="OT731" s="685"/>
      <c r="OU731" s="685"/>
      <c r="OV731" s="685"/>
      <c r="OW731" s="685"/>
      <c r="OX731" s="685"/>
      <c r="OY731" s="685"/>
      <c r="OZ731" s="685"/>
      <c r="PA731" s="685"/>
      <c r="PB731" s="685"/>
      <c r="PC731" s="685"/>
      <c r="PD731" s="685"/>
      <c r="PE731" s="685"/>
      <c r="PF731" s="685"/>
      <c r="PG731" s="685"/>
      <c r="PH731" s="685"/>
      <c r="PI731" s="685"/>
      <c r="PJ731" s="685"/>
      <c r="PK731" s="685"/>
      <c r="PL731" s="685"/>
      <c r="PM731" s="685"/>
      <c r="PN731" s="685"/>
      <c r="PO731" s="685"/>
      <c r="PP731" s="685"/>
      <c r="PQ731" s="685"/>
      <c r="PR731" s="685"/>
      <c r="PS731" s="685"/>
      <c r="PT731" s="685"/>
      <c r="PU731" s="685"/>
      <c r="PV731" s="685"/>
      <c r="PW731" s="685"/>
      <c r="PX731" s="685"/>
      <c r="PY731" s="685"/>
      <c r="PZ731" s="685"/>
      <c r="QA731" s="685"/>
      <c r="QB731" s="685"/>
      <c r="QC731" s="685"/>
      <c r="QD731" s="685"/>
      <c r="QE731" s="685"/>
      <c r="QF731" s="685"/>
      <c r="QG731" s="685"/>
      <c r="QH731" s="685"/>
      <c r="QI731" s="685"/>
      <c r="QJ731" s="685"/>
      <c r="QK731" s="685"/>
      <c r="QL731" s="685"/>
      <c r="QM731" s="685"/>
      <c r="QN731" s="685"/>
      <c r="QO731" s="685"/>
      <c r="QP731" s="685"/>
      <c r="QQ731" s="685"/>
      <c r="QR731" s="685"/>
      <c r="QS731" s="685"/>
      <c r="QT731" s="685"/>
      <c r="QU731" s="685"/>
      <c r="QV731" s="685"/>
      <c r="QW731" s="685"/>
      <c r="QX731" s="685"/>
      <c r="QY731" s="685"/>
      <c r="QZ731" s="685"/>
      <c r="RA731" s="685"/>
      <c r="RB731" s="685"/>
      <c r="RC731" s="685"/>
      <c r="RD731" s="685"/>
      <c r="RE731" s="685"/>
      <c r="RF731" s="685"/>
      <c r="RG731" s="685"/>
      <c r="RH731" s="685"/>
      <c r="RI731" s="685"/>
      <c r="RJ731" s="685"/>
      <c r="RK731" s="685"/>
      <c r="RL731" s="685"/>
      <c r="RM731" s="685"/>
      <c r="RN731" s="685"/>
      <c r="RO731" s="685"/>
      <c r="RP731" s="685"/>
      <c r="RQ731" s="685"/>
      <c r="RR731" s="685"/>
      <c r="RS731" s="685"/>
      <c r="RT731" s="685"/>
      <c r="RU731" s="685"/>
      <c r="RV731" s="685"/>
      <c r="RW731" s="685"/>
      <c r="RX731" s="685"/>
      <c r="RY731" s="685"/>
      <c r="RZ731" s="685"/>
      <c r="SA731" s="685"/>
      <c r="SB731" s="685"/>
      <c r="SC731" s="685"/>
      <c r="SD731" s="685"/>
      <c r="SE731" s="685"/>
      <c r="SF731" s="685"/>
      <c r="SG731" s="685"/>
      <c r="SH731" s="685"/>
      <c r="SI731" s="685"/>
      <c r="SJ731" s="685"/>
      <c r="SK731" s="685"/>
      <c r="SL731" s="685"/>
      <c r="SM731" s="685"/>
      <c r="SN731" s="685"/>
      <c r="SO731" s="685"/>
      <c r="SP731" s="685"/>
      <c r="SQ731" s="685"/>
      <c r="SR731" s="685"/>
      <c r="SS731" s="685"/>
      <c r="ST731" s="685"/>
      <c r="SU731" s="685"/>
      <c r="SV731" s="685"/>
      <c r="SW731" s="685"/>
      <c r="SX731" s="685"/>
      <c r="SY731" s="685"/>
      <c r="SZ731" s="685"/>
      <c r="TA731" s="685"/>
      <c r="TB731" s="685"/>
      <c r="TC731" s="685"/>
      <c r="TD731" s="685"/>
      <c r="TE731" s="685"/>
      <c r="TF731" s="685"/>
      <c r="TG731" s="685"/>
      <c r="TH731" s="685"/>
      <c r="TI731" s="685"/>
      <c r="TJ731" s="685"/>
      <c r="TK731" s="685"/>
      <c r="TL731" s="685"/>
      <c r="TM731" s="685"/>
      <c r="TN731" s="685"/>
      <c r="TO731" s="685"/>
      <c r="TP731" s="685"/>
      <c r="TQ731" s="685"/>
      <c r="TR731" s="685"/>
      <c r="TS731" s="685"/>
      <c r="TT731" s="685"/>
      <c r="TU731" s="685"/>
      <c r="TV731" s="685"/>
      <c r="TW731" s="685"/>
      <c r="TX731" s="685"/>
      <c r="TY731" s="685"/>
      <c r="TZ731" s="685"/>
      <c r="UA731" s="685"/>
      <c r="UB731" s="685"/>
      <c r="UC731" s="685"/>
      <c r="UD731" s="685"/>
      <c r="UE731" s="685"/>
      <c r="UF731" s="685"/>
      <c r="UG731" s="685"/>
      <c r="UH731" s="685"/>
      <c r="UI731" s="685"/>
    </row>
    <row r="732" spans="1:555" ht="80.25" customHeight="1">
      <c r="A732" s="502">
        <v>640</v>
      </c>
      <c r="B732" s="686" t="s">
        <v>5493</v>
      </c>
      <c r="C732" s="687">
        <v>4120925</v>
      </c>
      <c r="D732" s="688" t="s">
        <v>906</v>
      </c>
      <c r="E732" s="27">
        <v>43019</v>
      </c>
      <c r="F732" s="689">
        <v>43009</v>
      </c>
      <c r="G732" s="690" t="s">
        <v>5494</v>
      </c>
      <c r="H732" s="686" t="s">
        <v>625</v>
      </c>
      <c r="I732" s="686" t="s">
        <v>3423</v>
      </c>
      <c r="J732" s="27">
        <v>42768</v>
      </c>
      <c r="K732" s="689">
        <v>42767</v>
      </c>
      <c r="L732" s="690" t="s">
        <v>5495</v>
      </c>
      <c r="M732" s="686" t="s">
        <v>1493</v>
      </c>
      <c r="N732" s="686" t="s">
        <v>1690</v>
      </c>
      <c r="O732" s="27">
        <v>42471</v>
      </c>
      <c r="P732" s="691">
        <v>42461</v>
      </c>
      <c r="Q732" s="690" t="s">
        <v>5496</v>
      </c>
      <c r="R732" s="686" t="s">
        <v>171</v>
      </c>
      <c r="S732" s="686" t="s">
        <v>1544</v>
      </c>
      <c r="T732" s="27">
        <v>42516</v>
      </c>
      <c r="U732" s="689">
        <v>42491</v>
      </c>
      <c r="V732" s="690" t="s">
        <v>5497</v>
      </c>
      <c r="W732" s="686" t="s">
        <v>1997</v>
      </c>
      <c r="X732" s="686" t="s">
        <v>5498</v>
      </c>
      <c r="Y732" s="27">
        <v>42614</v>
      </c>
      <c r="Z732" s="689">
        <v>42614</v>
      </c>
      <c r="AA732" s="690" t="s">
        <v>5499</v>
      </c>
      <c r="AB732" s="686" t="s">
        <v>171</v>
      </c>
      <c r="AC732" s="686" t="s">
        <v>1393</v>
      </c>
      <c r="AD732" s="27" t="s">
        <v>5500</v>
      </c>
      <c r="AE732" s="689" t="s">
        <v>5501</v>
      </c>
      <c r="AF732" s="690" t="s">
        <v>5502</v>
      </c>
      <c r="AG732" s="686" t="s">
        <v>5503</v>
      </c>
      <c r="AH732" s="686" t="s">
        <v>5504</v>
      </c>
      <c r="AI732" s="16" t="s">
        <v>7275</v>
      </c>
      <c r="AJ732" s="689" t="s">
        <v>7276</v>
      </c>
      <c r="AK732" s="706" t="s">
        <v>7274</v>
      </c>
      <c r="AL732" s="686" t="s">
        <v>1535</v>
      </c>
      <c r="AM732" s="686" t="s">
        <v>7277</v>
      </c>
      <c r="AN732" s="686" t="s">
        <v>3671</v>
      </c>
      <c r="AO732" s="705"/>
      <c r="AP732" s="686"/>
      <c r="AQ732" s="690" t="s">
        <v>5505</v>
      </c>
      <c r="AR732" s="686" t="s">
        <v>161</v>
      </c>
      <c r="AS732" s="27">
        <v>33197</v>
      </c>
      <c r="AT732" s="27">
        <v>40908</v>
      </c>
      <c r="AU732" s="686" t="s">
        <v>7278</v>
      </c>
      <c r="AV732" s="686"/>
      <c r="AW732" s="686" t="s">
        <v>69</v>
      </c>
      <c r="AX732" s="686" t="s">
        <v>5506</v>
      </c>
      <c r="AY732" s="27">
        <v>42534</v>
      </c>
      <c r="AZ732" s="686" t="s">
        <v>5480</v>
      </c>
      <c r="BA732" s="27">
        <v>42999</v>
      </c>
      <c r="BB732" s="27">
        <v>43033</v>
      </c>
      <c r="BC732" s="701" t="s">
        <v>912</v>
      </c>
      <c r="BD732" s="787" t="s">
        <v>5507</v>
      </c>
      <c r="BE732" s="686"/>
      <c r="BF732" s="690"/>
      <c r="BG732" s="690"/>
      <c r="BH732" s="690"/>
      <c r="BI732" s="690"/>
      <c r="BJ732" s="708">
        <f>+[254]MATRIZ!$J$83</f>
        <v>0</v>
      </c>
      <c r="BK732" s="696"/>
      <c r="BL732" s="697"/>
      <c r="BM732" s="27"/>
      <c r="BN732" s="689"/>
      <c r="BO732" s="699"/>
      <c r="BP732" s="700"/>
      <c r="BQ732" s="686"/>
      <c r="BR732" s="701"/>
      <c r="BS732" s="690"/>
      <c r="BT732" s="690"/>
      <c r="BU732" s="690"/>
      <c r="BV732" s="690"/>
      <c r="BW732" s="702"/>
      <c r="BX732" s="693"/>
      <c r="BY732" s="27"/>
      <c r="BZ732" s="703"/>
      <c r="CA732" s="259"/>
      <c r="CB732" s="259"/>
      <c r="CC732" s="259"/>
      <c r="CD732" s="259"/>
      <c r="CE732" s="259"/>
      <c r="CF732" s="259"/>
      <c r="CG732" s="259"/>
      <c r="CH732" s="259"/>
      <c r="CI732" s="259"/>
      <c r="CJ732" s="259"/>
      <c r="CK732" s="259"/>
      <c r="CL732" s="259"/>
      <c r="CM732" s="259"/>
      <c r="CN732" s="259"/>
      <c r="CO732" s="259"/>
      <c r="CP732" s="259"/>
      <c r="CQ732" s="259"/>
      <c r="CR732" s="259"/>
      <c r="CS732" s="259"/>
      <c r="CT732" s="259"/>
      <c r="CU732" s="259"/>
      <c r="CV732" s="259"/>
      <c r="CW732" s="259"/>
      <c r="CX732" s="259"/>
      <c r="CY732" s="259"/>
      <c r="CZ732" s="259"/>
      <c r="DA732" s="259"/>
      <c r="DB732" s="259"/>
      <c r="DC732" s="259"/>
      <c r="DD732" s="259"/>
      <c r="DE732" s="259"/>
      <c r="DF732" s="259"/>
      <c r="DG732" s="259"/>
      <c r="DH732" s="259"/>
      <c r="DI732" s="259"/>
      <c r="DJ732" s="259"/>
      <c r="DK732" s="259"/>
      <c r="DL732" s="259"/>
      <c r="DM732" s="259"/>
      <c r="DN732" s="259"/>
      <c r="DO732" s="259"/>
      <c r="DP732" s="259"/>
      <c r="DQ732" s="259"/>
      <c r="DR732" s="259"/>
      <c r="DS732" s="259"/>
      <c r="DT732" s="259"/>
      <c r="DU732" s="259"/>
      <c r="DV732" s="259"/>
      <c r="DW732" s="259"/>
      <c r="DX732" s="259"/>
      <c r="DY732" s="259"/>
      <c r="DZ732" s="259"/>
      <c r="EA732" s="259"/>
      <c r="EB732" s="259"/>
      <c r="EC732" s="259"/>
      <c r="ED732" s="259"/>
      <c r="EE732" s="259"/>
      <c r="EF732" s="259"/>
      <c r="EG732" s="259"/>
      <c r="EH732" s="259"/>
      <c r="EI732" s="259"/>
      <c r="EJ732" s="259"/>
      <c r="EK732" s="259"/>
      <c r="EL732" s="259"/>
      <c r="EM732" s="259"/>
      <c r="EN732" s="259"/>
      <c r="EO732" s="259"/>
      <c r="EP732" s="259"/>
      <c r="EQ732" s="259"/>
      <c r="ER732" s="259"/>
      <c r="ES732" s="259"/>
      <c r="ET732" s="259"/>
      <c r="EU732" s="259"/>
      <c r="EV732" s="259"/>
      <c r="EW732" s="259"/>
      <c r="EX732" s="259"/>
      <c r="EY732" s="259"/>
      <c r="EZ732" s="259"/>
      <c r="FA732" s="259"/>
      <c r="FB732" s="259"/>
      <c r="FC732" s="259"/>
      <c r="FD732" s="259"/>
      <c r="FE732" s="259"/>
      <c r="FF732" s="259"/>
      <c r="FG732" s="259"/>
      <c r="FH732" s="259"/>
      <c r="FI732" s="259"/>
      <c r="FJ732" s="259"/>
      <c r="FK732" s="259"/>
      <c r="FL732" s="259"/>
      <c r="FM732" s="259"/>
      <c r="FN732" s="259"/>
      <c r="FO732" s="259"/>
      <c r="FP732" s="259"/>
      <c r="FQ732" s="259"/>
      <c r="FR732" s="259"/>
      <c r="FS732" s="259"/>
      <c r="FT732" s="259"/>
      <c r="FU732" s="259"/>
      <c r="FV732" s="259"/>
      <c r="FW732" s="259"/>
      <c r="FX732" s="259"/>
      <c r="FY732" s="259"/>
      <c r="FZ732" s="259"/>
      <c r="GA732" s="259"/>
      <c r="GB732" s="259"/>
      <c r="GC732" s="259"/>
      <c r="GD732" s="259"/>
      <c r="GE732" s="259"/>
      <c r="GF732" s="259"/>
      <c r="GG732" s="259"/>
      <c r="GH732" s="259"/>
      <c r="GI732" s="259"/>
      <c r="GJ732" s="259"/>
      <c r="GK732" s="259"/>
      <c r="GL732" s="259"/>
      <c r="GM732" s="259"/>
      <c r="GN732" s="259"/>
      <c r="GO732" s="259"/>
      <c r="GP732" s="259"/>
      <c r="GQ732" s="259"/>
      <c r="GR732" s="259"/>
      <c r="GS732" s="259"/>
      <c r="GT732" s="259"/>
      <c r="GU732" s="259"/>
      <c r="GV732" s="259"/>
      <c r="GW732" s="259"/>
      <c r="GX732" s="259"/>
      <c r="GY732" s="259"/>
      <c r="GZ732" s="259"/>
      <c r="HA732" s="259"/>
      <c r="HB732" s="259"/>
      <c r="HC732" s="259"/>
      <c r="HD732" s="259"/>
      <c r="HE732" s="259"/>
      <c r="HF732" s="259"/>
      <c r="HG732" s="259"/>
      <c r="HH732" s="259"/>
      <c r="HI732" s="259"/>
      <c r="HJ732" s="259"/>
      <c r="HK732" s="259"/>
      <c r="HL732" s="259"/>
      <c r="HM732" s="259"/>
      <c r="HN732" s="259"/>
      <c r="HO732" s="259"/>
      <c r="HP732" s="259"/>
      <c r="HQ732" s="259"/>
      <c r="HR732" s="259"/>
      <c r="HS732" s="259"/>
      <c r="HT732" s="259"/>
      <c r="HU732" s="259"/>
      <c r="HV732" s="259"/>
      <c r="HW732" s="259"/>
      <c r="HX732" s="259"/>
      <c r="HY732" s="259"/>
      <c r="HZ732" s="259"/>
      <c r="IA732" s="259"/>
      <c r="IB732" s="259"/>
      <c r="IC732" s="259"/>
      <c r="ID732" s="259"/>
      <c r="IE732" s="259"/>
      <c r="IF732" s="259"/>
      <c r="IG732" s="259"/>
      <c r="IH732" s="259"/>
      <c r="II732" s="259"/>
      <c r="IJ732" s="259"/>
      <c r="IK732" s="259"/>
      <c r="IL732" s="259"/>
      <c r="IM732" s="259"/>
      <c r="IN732" s="259"/>
      <c r="IO732" s="259"/>
      <c r="IP732" s="259"/>
      <c r="IQ732" s="259"/>
      <c r="IR732" s="259"/>
      <c r="IS732" s="259"/>
      <c r="IT732" s="259"/>
      <c r="IU732" s="259"/>
      <c r="IV732" s="259"/>
      <c r="IW732" s="259"/>
      <c r="IX732" s="259"/>
      <c r="IY732" s="259"/>
      <c r="IZ732" s="259"/>
      <c r="JA732" s="259"/>
      <c r="JB732" s="259"/>
      <c r="JC732" s="259"/>
      <c r="JD732" s="259"/>
      <c r="JE732" s="259"/>
      <c r="JF732" s="259"/>
      <c r="JG732" s="259"/>
      <c r="JH732" s="259"/>
      <c r="JI732" s="259"/>
      <c r="JJ732" s="259"/>
      <c r="JK732" s="259"/>
      <c r="JL732" s="259"/>
      <c r="JM732" s="259"/>
      <c r="JN732" s="259"/>
      <c r="JO732" s="259"/>
      <c r="JP732" s="259"/>
      <c r="JQ732" s="259"/>
      <c r="JR732" s="259"/>
      <c r="JS732" s="259"/>
      <c r="JT732" s="259"/>
      <c r="JU732" s="259"/>
      <c r="JV732" s="259"/>
      <c r="JW732" s="259"/>
      <c r="JX732" s="259"/>
      <c r="JY732" s="259"/>
      <c r="JZ732" s="259"/>
      <c r="KA732" s="259"/>
      <c r="KB732" s="259"/>
      <c r="KC732" s="259"/>
      <c r="KD732" s="259"/>
      <c r="KE732" s="259"/>
      <c r="KF732" s="259"/>
      <c r="KG732" s="259"/>
      <c r="KH732" s="259"/>
      <c r="KI732" s="259"/>
      <c r="KJ732" s="259"/>
      <c r="KK732" s="259"/>
      <c r="KL732" s="259"/>
      <c r="KM732" s="259"/>
      <c r="KN732" s="259"/>
      <c r="KO732" s="259"/>
      <c r="KP732" s="259"/>
      <c r="KQ732" s="259"/>
      <c r="KR732" s="259"/>
      <c r="KS732" s="259"/>
      <c r="KT732" s="259"/>
      <c r="KU732" s="259"/>
      <c r="KV732" s="259"/>
      <c r="KW732" s="259"/>
      <c r="KX732" s="259"/>
      <c r="KY732" s="259"/>
      <c r="KZ732" s="259"/>
      <c r="LA732" s="259"/>
      <c r="LB732" s="259"/>
      <c r="LC732" s="259"/>
      <c r="LD732" s="259"/>
      <c r="LE732" s="259"/>
      <c r="LF732" s="259"/>
      <c r="LG732" s="259"/>
      <c r="LH732" s="259"/>
      <c r="LI732" s="259"/>
      <c r="LJ732" s="259"/>
      <c r="LK732" s="259"/>
      <c r="LL732" s="259"/>
      <c r="LM732" s="259"/>
      <c r="LN732" s="259"/>
      <c r="LO732" s="259"/>
      <c r="LP732" s="259"/>
      <c r="LQ732" s="259"/>
      <c r="LR732" s="259"/>
      <c r="LS732" s="259"/>
      <c r="LT732" s="259"/>
      <c r="LU732" s="259"/>
      <c r="LV732" s="259"/>
      <c r="LW732" s="259"/>
      <c r="LX732" s="259"/>
      <c r="LY732" s="259"/>
      <c r="LZ732" s="259"/>
      <c r="MA732" s="259"/>
      <c r="MB732" s="259"/>
      <c r="MC732" s="259"/>
      <c r="MD732" s="259"/>
      <c r="ME732" s="259"/>
      <c r="MF732" s="259"/>
      <c r="MG732" s="259"/>
      <c r="MH732" s="259"/>
      <c r="MI732" s="259"/>
      <c r="MJ732" s="259"/>
      <c r="MK732" s="259"/>
      <c r="ML732" s="259"/>
      <c r="MM732" s="259"/>
      <c r="MN732" s="259"/>
      <c r="MO732" s="259"/>
      <c r="MP732" s="259"/>
      <c r="MQ732" s="259"/>
      <c r="MR732" s="259"/>
      <c r="MS732" s="259"/>
      <c r="MT732" s="259"/>
      <c r="MU732" s="259"/>
      <c r="MV732" s="259"/>
      <c r="MW732" s="259"/>
      <c r="MX732" s="259"/>
      <c r="MY732" s="259"/>
      <c r="MZ732" s="259"/>
      <c r="NA732" s="259"/>
      <c r="NB732" s="259"/>
      <c r="NC732" s="259"/>
      <c r="ND732" s="259"/>
      <c r="NE732" s="259"/>
      <c r="NF732" s="259"/>
      <c r="NG732" s="259"/>
      <c r="NH732" s="259"/>
      <c r="NI732" s="259"/>
      <c r="NJ732" s="259"/>
      <c r="NK732" s="259"/>
      <c r="NL732" s="259"/>
      <c r="NM732" s="259"/>
      <c r="NN732" s="259"/>
      <c r="NO732" s="259"/>
      <c r="NP732" s="259"/>
      <c r="NQ732" s="259"/>
      <c r="NR732" s="259"/>
      <c r="NS732" s="259"/>
      <c r="NT732" s="259"/>
      <c r="NU732" s="259"/>
      <c r="NV732" s="259"/>
      <c r="NW732" s="259"/>
      <c r="NX732" s="259"/>
      <c r="NY732" s="259"/>
      <c r="NZ732" s="259"/>
      <c r="OA732" s="259"/>
      <c r="OB732" s="259"/>
      <c r="OC732" s="259"/>
      <c r="OD732" s="259"/>
      <c r="OE732" s="259"/>
      <c r="OF732" s="259"/>
      <c r="OG732" s="259"/>
      <c r="OH732" s="259"/>
      <c r="OI732" s="259"/>
      <c r="OJ732" s="259"/>
      <c r="OK732" s="259"/>
      <c r="OL732" s="259"/>
      <c r="OM732" s="259"/>
      <c r="ON732" s="259"/>
      <c r="OO732" s="259"/>
      <c r="OP732" s="259"/>
      <c r="OQ732" s="259"/>
      <c r="OR732" s="259"/>
      <c r="OS732" s="259"/>
      <c r="OT732" s="259"/>
      <c r="OU732" s="259"/>
      <c r="OV732" s="259"/>
      <c r="OW732" s="259"/>
      <c r="OX732" s="259"/>
      <c r="OY732" s="259"/>
      <c r="OZ732" s="259"/>
      <c r="PA732" s="259"/>
      <c r="PB732" s="259"/>
      <c r="PC732" s="259"/>
      <c r="PD732" s="259"/>
      <c r="PE732" s="259"/>
      <c r="PF732" s="259"/>
      <c r="PG732" s="259"/>
      <c r="PH732" s="259"/>
      <c r="PI732" s="259"/>
      <c r="PJ732" s="259"/>
      <c r="PK732" s="259"/>
      <c r="PL732" s="259"/>
      <c r="PM732" s="259"/>
      <c r="PN732" s="259"/>
      <c r="PO732" s="259"/>
      <c r="PP732" s="259"/>
      <c r="PQ732" s="259"/>
      <c r="PR732" s="259"/>
      <c r="PS732" s="259"/>
      <c r="PT732" s="259"/>
      <c r="PU732" s="259"/>
      <c r="PV732" s="259"/>
      <c r="PW732" s="259"/>
      <c r="PX732" s="259"/>
      <c r="PY732" s="259"/>
      <c r="PZ732" s="259"/>
      <c r="QA732" s="259"/>
      <c r="QB732" s="259"/>
      <c r="QC732" s="259"/>
      <c r="QD732" s="259"/>
      <c r="QE732" s="259"/>
      <c r="QF732" s="259"/>
      <c r="QG732" s="259"/>
      <c r="QH732" s="259"/>
      <c r="QI732" s="259"/>
      <c r="QJ732" s="259"/>
      <c r="QK732" s="259"/>
      <c r="QL732" s="259"/>
      <c r="QM732" s="259"/>
      <c r="QN732" s="259"/>
      <c r="QO732" s="259"/>
      <c r="QP732" s="259"/>
      <c r="QQ732" s="259"/>
      <c r="QR732" s="259"/>
      <c r="QS732" s="259"/>
      <c r="QT732" s="259"/>
      <c r="QU732" s="259"/>
      <c r="QV732" s="259"/>
      <c r="QW732" s="259"/>
      <c r="QX732" s="259"/>
      <c r="QY732" s="259"/>
      <c r="QZ732" s="259"/>
      <c r="RA732" s="259"/>
      <c r="RB732" s="259"/>
      <c r="RC732" s="259"/>
      <c r="RD732" s="259"/>
      <c r="RE732" s="259"/>
      <c r="RF732" s="259"/>
      <c r="RG732" s="259"/>
      <c r="RH732" s="259"/>
      <c r="RI732" s="259"/>
      <c r="RJ732" s="259"/>
      <c r="RK732" s="259"/>
      <c r="RL732" s="259"/>
      <c r="RM732" s="259"/>
      <c r="RN732" s="259"/>
      <c r="RO732" s="259"/>
      <c r="RP732" s="259"/>
      <c r="RQ732" s="259"/>
      <c r="RR732" s="259"/>
      <c r="RS732" s="259"/>
      <c r="RT732" s="259"/>
      <c r="RU732" s="259"/>
      <c r="RV732" s="259"/>
      <c r="RW732" s="259"/>
      <c r="RX732" s="259"/>
      <c r="RY732" s="259"/>
      <c r="RZ732" s="259"/>
      <c r="SA732" s="259"/>
      <c r="SB732" s="259"/>
      <c r="SC732" s="259"/>
      <c r="SD732" s="259"/>
      <c r="SE732" s="259"/>
      <c r="SF732" s="259"/>
      <c r="SG732" s="259"/>
      <c r="SH732" s="259"/>
      <c r="SI732" s="259"/>
      <c r="SJ732" s="259"/>
      <c r="SK732" s="259"/>
      <c r="SL732" s="259"/>
      <c r="SM732" s="259"/>
      <c r="SN732" s="259"/>
      <c r="SO732" s="259"/>
      <c r="SP732" s="259"/>
      <c r="SQ732" s="259"/>
      <c r="SR732" s="259"/>
      <c r="SS732" s="259"/>
      <c r="ST732" s="259"/>
      <c r="SU732" s="259"/>
      <c r="SV732" s="259"/>
      <c r="SW732" s="259"/>
      <c r="SX732" s="259"/>
      <c r="SY732" s="259"/>
      <c r="SZ732" s="259"/>
      <c r="TA732" s="259"/>
      <c r="TB732" s="259"/>
      <c r="TC732" s="259"/>
      <c r="TD732" s="259"/>
      <c r="TE732" s="259"/>
      <c r="TF732" s="259"/>
      <c r="TG732" s="259"/>
      <c r="TH732" s="259"/>
      <c r="TI732" s="259"/>
      <c r="TJ732" s="259"/>
      <c r="TK732" s="259"/>
      <c r="TL732" s="259"/>
      <c r="TM732" s="259"/>
      <c r="TN732" s="259"/>
      <c r="TO732" s="259"/>
      <c r="TP732" s="259"/>
      <c r="TQ732" s="259"/>
      <c r="TR732" s="259"/>
      <c r="TS732" s="259"/>
      <c r="TT732" s="259"/>
      <c r="TU732" s="259"/>
      <c r="TV732" s="259"/>
      <c r="TW732" s="259"/>
      <c r="TX732" s="259"/>
      <c r="TY732" s="259"/>
      <c r="TZ732" s="259"/>
      <c r="UA732" s="259"/>
      <c r="UB732" s="259"/>
      <c r="UC732" s="259"/>
      <c r="UD732" s="259"/>
      <c r="UE732" s="259"/>
      <c r="UF732" s="259"/>
      <c r="UG732" s="259"/>
      <c r="UH732" s="259"/>
      <c r="UI732" s="259"/>
    </row>
    <row r="733" spans="1:555" s="259" customFormat="1" ht="108">
      <c r="A733" s="502">
        <v>641</v>
      </c>
      <c r="B733" s="686" t="s">
        <v>5508</v>
      </c>
      <c r="C733" s="687">
        <v>79432516</v>
      </c>
      <c r="D733" s="688" t="s">
        <v>906</v>
      </c>
      <c r="E733" s="27">
        <v>43024</v>
      </c>
      <c r="F733" s="689">
        <v>43009</v>
      </c>
      <c r="G733" s="690" t="s">
        <v>5509</v>
      </c>
      <c r="H733" s="686" t="s">
        <v>625</v>
      </c>
      <c r="I733" s="686" t="s">
        <v>3423</v>
      </c>
      <c r="J733" s="27">
        <v>43056</v>
      </c>
      <c r="K733" s="689">
        <v>43040</v>
      </c>
      <c r="L733" s="690" t="s">
        <v>5510</v>
      </c>
      <c r="M733" s="686" t="s">
        <v>625</v>
      </c>
      <c r="N733" s="686" t="s">
        <v>3423</v>
      </c>
      <c r="O733" s="16">
        <v>43325</v>
      </c>
      <c r="P733" s="691">
        <v>43325</v>
      </c>
      <c r="Q733" s="706" t="s">
        <v>5511</v>
      </c>
      <c r="R733" s="686" t="s">
        <v>5</v>
      </c>
      <c r="S733" s="686" t="s">
        <v>570</v>
      </c>
      <c r="T733" s="27">
        <v>43395</v>
      </c>
      <c r="U733" s="689">
        <v>43395</v>
      </c>
      <c r="V733" s="690" t="s">
        <v>7359</v>
      </c>
      <c r="W733" s="686" t="s">
        <v>5</v>
      </c>
      <c r="X733" s="686" t="s">
        <v>85</v>
      </c>
      <c r="Y733" s="27"/>
      <c r="Z733" s="689"/>
      <c r="AA733" s="690"/>
      <c r="AB733" s="686"/>
      <c r="AC733" s="686"/>
      <c r="AD733" s="27"/>
      <c r="AE733" s="689"/>
      <c r="AF733" s="690"/>
      <c r="AG733" s="686"/>
      <c r="AH733" s="686"/>
      <c r="AI733" s="704"/>
      <c r="AJ733" s="689"/>
      <c r="AK733" s="690"/>
      <c r="AL733" s="686"/>
      <c r="AM733" s="686"/>
      <c r="AN733" s="686" t="s">
        <v>5512</v>
      </c>
      <c r="AO733" s="705"/>
      <c r="AP733" s="686"/>
      <c r="AQ733" s="690" t="s">
        <v>5513</v>
      </c>
      <c r="AR733" s="686" t="s">
        <v>161</v>
      </c>
      <c r="AS733" s="27">
        <v>32528</v>
      </c>
      <c r="AT733" s="27">
        <v>40908</v>
      </c>
      <c r="AU733" s="686" t="s">
        <v>7360</v>
      </c>
      <c r="AV733" s="686"/>
      <c r="AW733" s="686" t="s">
        <v>69</v>
      </c>
      <c r="AX733" s="686" t="s">
        <v>5514</v>
      </c>
      <c r="AY733" s="27">
        <v>42566</v>
      </c>
      <c r="AZ733" s="686" t="s">
        <v>5480</v>
      </c>
      <c r="BA733" s="27">
        <v>42999</v>
      </c>
      <c r="BB733" s="27">
        <v>43031</v>
      </c>
      <c r="BC733" s="701" t="s">
        <v>912</v>
      </c>
      <c r="BD733" s="701" t="s">
        <v>4604</v>
      </c>
      <c r="BE733" s="686"/>
      <c r="BF733" s="690"/>
      <c r="BG733" s="690"/>
      <c r="BH733" s="690"/>
      <c r="BI733" s="690"/>
      <c r="BJ733" s="708">
        <f>+[255]MATRIZ!$J$82</f>
        <v>0</v>
      </c>
      <c r="BK733" s="696"/>
      <c r="BL733" s="697"/>
      <c r="BM733" s="27"/>
      <c r="BN733" s="689"/>
      <c r="BO733" s="699"/>
      <c r="BP733" s="700"/>
      <c r="BQ733" s="686"/>
      <c r="BR733" s="701"/>
      <c r="BS733" s="690"/>
      <c r="BT733" s="690"/>
      <c r="BU733" s="690"/>
      <c r="BV733" s="690"/>
      <c r="BW733" s="702"/>
      <c r="BX733" s="693"/>
      <c r="BY733" s="27"/>
      <c r="BZ733" s="703"/>
    </row>
    <row r="734" spans="1:555" s="685" customFormat="1" ht="81">
      <c r="A734" s="502">
        <v>642</v>
      </c>
      <c r="B734" s="686" t="s">
        <v>5002</v>
      </c>
      <c r="C734" s="687">
        <v>12195741</v>
      </c>
      <c r="D734" s="688" t="s">
        <v>906</v>
      </c>
      <c r="E734" s="27">
        <v>43026</v>
      </c>
      <c r="F734" s="689">
        <v>43009</v>
      </c>
      <c r="G734" s="690" t="s">
        <v>5515</v>
      </c>
      <c r="H734" s="686" t="s">
        <v>625</v>
      </c>
      <c r="I734" s="686" t="s">
        <v>3423</v>
      </c>
      <c r="J734" s="27">
        <v>43074</v>
      </c>
      <c r="K734" s="689">
        <v>43070</v>
      </c>
      <c r="L734" s="690" t="s">
        <v>5516</v>
      </c>
      <c r="M734" s="686" t="s">
        <v>1997</v>
      </c>
      <c r="N734" s="686" t="s">
        <v>777</v>
      </c>
      <c r="O734" s="27">
        <v>43207</v>
      </c>
      <c r="P734" s="691">
        <v>43191</v>
      </c>
      <c r="Q734" s="690" t="s">
        <v>5517</v>
      </c>
      <c r="R734" s="686" t="s">
        <v>5</v>
      </c>
      <c r="S734" s="686" t="s">
        <v>570</v>
      </c>
      <c r="T734" s="27"/>
      <c r="U734" s="689"/>
      <c r="V734" s="690"/>
      <c r="W734" s="686"/>
      <c r="X734" s="686"/>
      <c r="Y734" s="27"/>
      <c r="Z734" s="689"/>
      <c r="AA734" s="690"/>
      <c r="AB734" s="686"/>
      <c r="AC734" s="686"/>
      <c r="AD734" s="27"/>
      <c r="AE734" s="689"/>
      <c r="AF734" s="690"/>
      <c r="AG734" s="686"/>
      <c r="AH734" s="686"/>
      <c r="AI734" s="704"/>
      <c r="AJ734" s="689"/>
      <c r="AK734" s="690"/>
      <c r="AL734" s="686"/>
      <c r="AM734" s="686"/>
      <c r="AN734" s="686" t="s">
        <v>3671</v>
      </c>
      <c r="AO734" s="705"/>
      <c r="AP734" s="686"/>
      <c r="AQ734" s="690" t="s">
        <v>5518</v>
      </c>
      <c r="AR734" s="686" t="s">
        <v>161</v>
      </c>
      <c r="AS734" s="27">
        <v>35732</v>
      </c>
      <c r="AT734" s="27">
        <v>40908</v>
      </c>
      <c r="AU734" s="686" t="s">
        <v>5519</v>
      </c>
      <c r="AV734" s="686"/>
      <c r="AW734" s="686" t="s">
        <v>69</v>
      </c>
      <c r="AX734" s="686" t="s">
        <v>5225</v>
      </c>
      <c r="AY734" s="27">
        <v>42655</v>
      </c>
      <c r="AZ734" s="686" t="s">
        <v>5520</v>
      </c>
      <c r="BA734" s="27">
        <v>42950</v>
      </c>
      <c r="BB734" s="27">
        <v>43040</v>
      </c>
      <c r="BC734" s="701" t="s">
        <v>912</v>
      </c>
      <c r="BD734" s="701" t="s">
        <v>566</v>
      </c>
      <c r="BE734" s="686"/>
      <c r="BF734" s="690"/>
      <c r="BG734" s="690"/>
      <c r="BH734" s="690"/>
      <c r="BI734" s="690"/>
      <c r="BJ734" s="708">
        <f>+'[256]MATRIZ DE CONTRATOS '!$J$58</f>
        <v>0</v>
      </c>
      <c r="BK734" s="696"/>
      <c r="BL734" s="697"/>
      <c r="BM734" s="27"/>
      <c r="BN734" s="689"/>
      <c r="BO734" s="699"/>
      <c r="BP734" s="700"/>
      <c r="BQ734" s="686"/>
      <c r="BR734" s="701"/>
      <c r="BS734" s="690"/>
      <c r="BT734" s="690"/>
      <c r="BU734" s="690"/>
      <c r="BV734" s="690"/>
      <c r="BW734" s="702"/>
      <c r="BX734" s="693"/>
      <c r="BY734" s="27"/>
      <c r="BZ734" s="703"/>
      <c r="CA734" s="259"/>
      <c r="CB734" s="259"/>
      <c r="CC734" s="259"/>
      <c r="CD734" s="259"/>
      <c r="CE734" s="259"/>
      <c r="CF734" s="259"/>
      <c r="CG734" s="259"/>
      <c r="CH734" s="259"/>
      <c r="CI734" s="259"/>
      <c r="CJ734" s="259"/>
      <c r="CK734" s="259"/>
      <c r="CL734" s="259"/>
      <c r="CM734" s="259"/>
      <c r="CN734" s="259"/>
      <c r="CO734" s="259"/>
      <c r="CP734" s="259"/>
      <c r="CQ734" s="259"/>
      <c r="CR734" s="259"/>
      <c r="CS734" s="259"/>
      <c r="CT734" s="259"/>
      <c r="CU734" s="259"/>
      <c r="CV734" s="259"/>
      <c r="CW734" s="259"/>
      <c r="CX734" s="259"/>
      <c r="CY734" s="259"/>
      <c r="CZ734" s="259"/>
      <c r="DA734" s="259"/>
      <c r="DB734" s="259"/>
      <c r="DC734" s="259"/>
      <c r="DD734" s="259"/>
      <c r="DE734" s="259"/>
      <c r="DF734" s="259"/>
      <c r="DG734" s="259"/>
      <c r="DH734" s="259"/>
      <c r="DI734" s="259"/>
      <c r="DJ734" s="259"/>
      <c r="DK734" s="259"/>
      <c r="DL734" s="259"/>
      <c r="DM734" s="259"/>
      <c r="DN734" s="259"/>
      <c r="DO734" s="259"/>
      <c r="DP734" s="259"/>
      <c r="DQ734" s="259"/>
      <c r="DR734" s="259"/>
      <c r="DS734" s="259"/>
      <c r="DT734" s="259"/>
      <c r="DU734" s="259"/>
      <c r="DV734" s="259"/>
      <c r="DW734" s="259"/>
      <c r="DX734" s="259"/>
      <c r="DY734" s="259"/>
      <c r="DZ734" s="259"/>
      <c r="EA734" s="259"/>
      <c r="EB734" s="259"/>
      <c r="EC734" s="259"/>
      <c r="ED734" s="259"/>
      <c r="EE734" s="259"/>
      <c r="EF734" s="259"/>
      <c r="EG734" s="259"/>
      <c r="EH734" s="259"/>
      <c r="EI734" s="259"/>
      <c r="EJ734" s="259"/>
      <c r="EK734" s="259"/>
      <c r="EL734" s="259"/>
      <c r="EM734" s="259"/>
      <c r="EN734" s="259"/>
      <c r="EO734" s="259"/>
      <c r="EP734" s="259"/>
      <c r="EQ734" s="259"/>
      <c r="ER734" s="259"/>
      <c r="ES734" s="259"/>
      <c r="ET734" s="259"/>
      <c r="EU734" s="259"/>
      <c r="EV734" s="259"/>
      <c r="EW734" s="259"/>
      <c r="EX734" s="259"/>
      <c r="EY734" s="259"/>
      <c r="EZ734" s="259"/>
      <c r="FA734" s="259"/>
      <c r="FB734" s="259"/>
      <c r="FC734" s="259"/>
      <c r="FD734" s="259"/>
      <c r="FE734" s="259"/>
      <c r="FF734" s="259"/>
      <c r="FG734" s="259"/>
      <c r="FH734" s="259"/>
      <c r="FI734" s="259"/>
      <c r="FJ734" s="259"/>
      <c r="FK734" s="259"/>
      <c r="FL734" s="259"/>
      <c r="FM734" s="259"/>
      <c r="FN734" s="259"/>
      <c r="FO734" s="259"/>
      <c r="FP734" s="259"/>
      <c r="FQ734" s="259"/>
      <c r="FR734" s="259"/>
      <c r="FS734" s="259"/>
      <c r="FT734" s="259"/>
      <c r="FU734" s="259"/>
      <c r="FV734" s="259"/>
      <c r="FW734" s="259"/>
      <c r="FX734" s="259"/>
      <c r="FY734" s="259"/>
      <c r="FZ734" s="259"/>
      <c r="GA734" s="259"/>
      <c r="GB734" s="259"/>
      <c r="GC734" s="259"/>
      <c r="GD734" s="259"/>
      <c r="GE734" s="259"/>
      <c r="GF734" s="259"/>
      <c r="GG734" s="259"/>
      <c r="GH734" s="259"/>
      <c r="GI734" s="259"/>
      <c r="GJ734" s="259"/>
      <c r="GK734" s="259"/>
      <c r="GL734" s="259"/>
      <c r="GM734" s="259"/>
      <c r="GN734" s="259"/>
      <c r="GO734" s="259"/>
      <c r="GP734" s="259"/>
      <c r="GQ734" s="259"/>
      <c r="GR734" s="259"/>
      <c r="GS734" s="259"/>
      <c r="GT734" s="259"/>
      <c r="GU734" s="259"/>
      <c r="GV734" s="259"/>
      <c r="GW734" s="259"/>
      <c r="GX734" s="259"/>
      <c r="GY734" s="259"/>
      <c r="GZ734" s="259"/>
      <c r="HA734" s="259"/>
      <c r="HB734" s="259"/>
      <c r="HC734" s="259"/>
      <c r="HD734" s="259"/>
      <c r="HE734" s="259"/>
      <c r="HF734" s="259"/>
      <c r="HG734" s="259"/>
      <c r="HH734" s="259"/>
      <c r="HI734" s="259"/>
      <c r="HJ734" s="259"/>
      <c r="HK734" s="259"/>
      <c r="HL734" s="259"/>
      <c r="HM734" s="259"/>
      <c r="HN734" s="259"/>
      <c r="HO734" s="259"/>
      <c r="HP734" s="259"/>
      <c r="HQ734" s="259"/>
      <c r="HR734" s="259"/>
      <c r="HS734" s="259"/>
      <c r="HT734" s="259"/>
      <c r="HU734" s="259"/>
      <c r="HV734" s="259"/>
      <c r="HW734" s="259"/>
      <c r="HX734" s="259"/>
      <c r="HY734" s="259"/>
      <c r="HZ734" s="259"/>
      <c r="IA734" s="259"/>
      <c r="IB734" s="259"/>
      <c r="IC734" s="259"/>
      <c r="ID734" s="259"/>
      <c r="IE734" s="259"/>
      <c r="IF734" s="259"/>
      <c r="IG734" s="259"/>
      <c r="IH734" s="259"/>
      <c r="II734" s="259"/>
      <c r="IJ734" s="259"/>
      <c r="IK734" s="259"/>
      <c r="IL734" s="259"/>
      <c r="IM734" s="259"/>
      <c r="IN734" s="259"/>
      <c r="IO734" s="259"/>
      <c r="IP734" s="259"/>
      <c r="IQ734" s="259"/>
      <c r="IR734" s="259"/>
      <c r="IS734" s="259"/>
      <c r="IT734" s="259"/>
      <c r="IU734" s="259"/>
      <c r="IV734" s="259"/>
      <c r="IW734" s="259"/>
      <c r="IX734" s="259"/>
      <c r="IY734" s="259"/>
      <c r="IZ734" s="259"/>
      <c r="JA734" s="259"/>
      <c r="JB734" s="259"/>
      <c r="JC734" s="259"/>
      <c r="JD734" s="259"/>
      <c r="JE734" s="259"/>
      <c r="JF734" s="259"/>
      <c r="JG734" s="259"/>
      <c r="JH734" s="259"/>
      <c r="JI734" s="259"/>
      <c r="JJ734" s="259"/>
      <c r="JK734" s="259"/>
      <c r="JL734" s="259"/>
      <c r="JM734" s="259"/>
      <c r="JN734" s="259"/>
      <c r="JO734" s="259"/>
      <c r="JP734" s="259"/>
      <c r="JQ734" s="259"/>
      <c r="JR734" s="259"/>
      <c r="JS734" s="259"/>
      <c r="JT734" s="259"/>
      <c r="JU734" s="259"/>
      <c r="JV734" s="259"/>
      <c r="JW734" s="259"/>
      <c r="JX734" s="259"/>
      <c r="JY734" s="259"/>
      <c r="JZ734" s="259"/>
      <c r="KA734" s="259"/>
      <c r="KB734" s="259"/>
      <c r="KC734" s="259"/>
      <c r="KD734" s="259"/>
      <c r="KE734" s="259"/>
      <c r="KF734" s="259"/>
      <c r="KG734" s="259"/>
      <c r="KH734" s="259"/>
      <c r="KI734" s="259"/>
      <c r="KJ734" s="259"/>
      <c r="KK734" s="259"/>
      <c r="KL734" s="259"/>
      <c r="KM734" s="259"/>
      <c r="KN734" s="259"/>
      <c r="KO734" s="259"/>
      <c r="KP734" s="259"/>
      <c r="KQ734" s="259"/>
      <c r="KR734" s="259"/>
      <c r="KS734" s="259"/>
      <c r="KT734" s="259"/>
      <c r="KU734" s="259"/>
      <c r="KV734" s="259"/>
      <c r="KW734" s="259"/>
      <c r="KX734" s="259"/>
      <c r="KY734" s="259"/>
      <c r="KZ734" s="259"/>
      <c r="LA734" s="259"/>
      <c r="LB734" s="259"/>
      <c r="LC734" s="259"/>
      <c r="LD734" s="259"/>
      <c r="LE734" s="259"/>
      <c r="LF734" s="259"/>
      <c r="LG734" s="259"/>
      <c r="LH734" s="259"/>
      <c r="LI734" s="259"/>
      <c r="LJ734" s="259"/>
      <c r="LK734" s="259"/>
      <c r="LL734" s="259"/>
      <c r="LM734" s="259"/>
      <c r="LN734" s="259"/>
      <c r="LO734" s="259"/>
      <c r="LP734" s="259"/>
      <c r="LQ734" s="259"/>
      <c r="LR734" s="259"/>
      <c r="LS734" s="259"/>
      <c r="LT734" s="259"/>
      <c r="LU734" s="259"/>
      <c r="LV734" s="259"/>
      <c r="LW734" s="259"/>
      <c r="LX734" s="259"/>
      <c r="LY734" s="259"/>
      <c r="LZ734" s="259"/>
      <c r="MA734" s="259"/>
      <c r="MB734" s="259"/>
      <c r="MC734" s="259"/>
      <c r="MD734" s="259"/>
      <c r="ME734" s="259"/>
      <c r="MF734" s="259"/>
      <c r="MG734" s="259"/>
      <c r="MH734" s="259"/>
      <c r="MI734" s="259"/>
      <c r="MJ734" s="259"/>
      <c r="MK734" s="259"/>
      <c r="ML734" s="259"/>
      <c r="MM734" s="259"/>
      <c r="MN734" s="259"/>
      <c r="MO734" s="259"/>
      <c r="MP734" s="259"/>
      <c r="MQ734" s="259"/>
      <c r="MR734" s="259"/>
      <c r="MS734" s="259"/>
      <c r="MT734" s="259"/>
      <c r="MU734" s="259"/>
      <c r="MV734" s="259"/>
      <c r="MW734" s="259"/>
      <c r="MX734" s="259"/>
      <c r="MY734" s="259"/>
      <c r="MZ734" s="259"/>
      <c r="NA734" s="259"/>
      <c r="NB734" s="259"/>
      <c r="NC734" s="259"/>
      <c r="ND734" s="259"/>
      <c r="NE734" s="259"/>
      <c r="NF734" s="259"/>
      <c r="NG734" s="259"/>
      <c r="NH734" s="259"/>
      <c r="NI734" s="259"/>
      <c r="NJ734" s="259"/>
      <c r="NK734" s="259"/>
      <c r="NL734" s="259"/>
      <c r="NM734" s="259"/>
      <c r="NN734" s="259"/>
      <c r="NO734" s="259"/>
      <c r="NP734" s="259"/>
      <c r="NQ734" s="259"/>
      <c r="NR734" s="259"/>
      <c r="NS734" s="259"/>
      <c r="NT734" s="259"/>
      <c r="NU734" s="259"/>
      <c r="NV734" s="259"/>
      <c r="NW734" s="259"/>
      <c r="NX734" s="259"/>
      <c r="NY734" s="259"/>
      <c r="NZ734" s="259"/>
      <c r="OA734" s="259"/>
      <c r="OB734" s="259"/>
      <c r="OC734" s="259"/>
      <c r="OD734" s="259"/>
      <c r="OE734" s="259"/>
      <c r="OF734" s="259"/>
      <c r="OG734" s="259"/>
      <c r="OH734" s="259"/>
      <c r="OI734" s="259"/>
      <c r="OJ734" s="259"/>
      <c r="OK734" s="259"/>
      <c r="OL734" s="259"/>
      <c r="OM734" s="259"/>
      <c r="ON734" s="259"/>
      <c r="OO734" s="259"/>
      <c r="OP734" s="259"/>
      <c r="OQ734" s="259"/>
      <c r="OR734" s="259"/>
      <c r="OS734" s="259"/>
      <c r="OT734" s="259"/>
      <c r="OU734" s="259"/>
      <c r="OV734" s="259"/>
      <c r="OW734" s="259"/>
      <c r="OX734" s="259"/>
      <c r="OY734" s="259"/>
      <c r="OZ734" s="259"/>
      <c r="PA734" s="259"/>
      <c r="PB734" s="259"/>
      <c r="PC734" s="259"/>
      <c r="PD734" s="259"/>
      <c r="PE734" s="259"/>
      <c r="PF734" s="259"/>
      <c r="PG734" s="259"/>
      <c r="PH734" s="259"/>
      <c r="PI734" s="259"/>
      <c r="PJ734" s="259"/>
      <c r="PK734" s="259"/>
      <c r="PL734" s="259"/>
      <c r="PM734" s="259"/>
      <c r="PN734" s="259"/>
      <c r="PO734" s="259"/>
      <c r="PP734" s="259"/>
      <c r="PQ734" s="259"/>
      <c r="PR734" s="259"/>
      <c r="PS734" s="259"/>
      <c r="PT734" s="259"/>
      <c r="PU734" s="259"/>
      <c r="PV734" s="259"/>
      <c r="PW734" s="259"/>
      <c r="PX734" s="259"/>
      <c r="PY734" s="259"/>
      <c r="PZ734" s="259"/>
      <c r="QA734" s="259"/>
      <c r="QB734" s="259"/>
      <c r="QC734" s="259"/>
      <c r="QD734" s="259"/>
      <c r="QE734" s="259"/>
      <c r="QF734" s="259"/>
      <c r="QG734" s="259"/>
      <c r="QH734" s="259"/>
      <c r="QI734" s="259"/>
      <c r="QJ734" s="259"/>
      <c r="QK734" s="259"/>
      <c r="QL734" s="259"/>
      <c r="QM734" s="259"/>
      <c r="QN734" s="259"/>
      <c r="QO734" s="259"/>
      <c r="QP734" s="259"/>
      <c r="QQ734" s="259"/>
      <c r="QR734" s="259"/>
      <c r="QS734" s="259"/>
      <c r="QT734" s="259"/>
      <c r="QU734" s="259"/>
      <c r="QV734" s="259"/>
      <c r="QW734" s="259"/>
      <c r="QX734" s="259"/>
      <c r="QY734" s="259"/>
      <c r="QZ734" s="259"/>
      <c r="RA734" s="259"/>
      <c r="RB734" s="259"/>
      <c r="RC734" s="259"/>
      <c r="RD734" s="259"/>
      <c r="RE734" s="259"/>
      <c r="RF734" s="259"/>
      <c r="RG734" s="259"/>
      <c r="RH734" s="259"/>
      <c r="RI734" s="259"/>
      <c r="RJ734" s="259"/>
      <c r="RK734" s="259"/>
      <c r="RL734" s="259"/>
      <c r="RM734" s="259"/>
      <c r="RN734" s="259"/>
      <c r="RO734" s="259"/>
      <c r="RP734" s="259"/>
      <c r="RQ734" s="259"/>
      <c r="RR734" s="259"/>
      <c r="RS734" s="259"/>
      <c r="RT734" s="259"/>
      <c r="RU734" s="259"/>
      <c r="RV734" s="259"/>
      <c r="RW734" s="259"/>
      <c r="RX734" s="259"/>
      <c r="RY734" s="259"/>
      <c r="RZ734" s="259"/>
      <c r="SA734" s="259"/>
      <c r="SB734" s="259"/>
      <c r="SC734" s="259"/>
      <c r="SD734" s="259"/>
      <c r="SE734" s="259"/>
      <c r="SF734" s="259"/>
      <c r="SG734" s="259"/>
      <c r="SH734" s="259"/>
      <c r="SI734" s="259"/>
      <c r="SJ734" s="259"/>
      <c r="SK734" s="259"/>
      <c r="SL734" s="259"/>
      <c r="SM734" s="259"/>
      <c r="SN734" s="259"/>
      <c r="SO734" s="259"/>
      <c r="SP734" s="259"/>
      <c r="SQ734" s="259"/>
      <c r="SR734" s="259"/>
      <c r="SS734" s="259"/>
      <c r="ST734" s="259"/>
      <c r="SU734" s="259"/>
      <c r="SV734" s="259"/>
      <c r="SW734" s="259"/>
      <c r="SX734" s="259"/>
      <c r="SY734" s="259"/>
      <c r="SZ734" s="259"/>
      <c r="TA734" s="259"/>
      <c r="TB734" s="259"/>
      <c r="TC734" s="259"/>
      <c r="TD734" s="259"/>
      <c r="TE734" s="259"/>
      <c r="TF734" s="259"/>
      <c r="TG734" s="259"/>
      <c r="TH734" s="259"/>
      <c r="TI734" s="259"/>
      <c r="TJ734" s="259"/>
      <c r="TK734" s="259"/>
      <c r="TL734" s="259"/>
      <c r="TM734" s="259"/>
      <c r="TN734" s="259"/>
      <c r="TO734" s="259"/>
      <c r="TP734" s="259"/>
      <c r="TQ734" s="259"/>
      <c r="TR734" s="259"/>
      <c r="TS734" s="259"/>
      <c r="TT734" s="259"/>
      <c r="TU734" s="259"/>
      <c r="TV734" s="259"/>
      <c r="TW734" s="259"/>
      <c r="TX734" s="259"/>
      <c r="TY734" s="259"/>
      <c r="TZ734" s="259"/>
      <c r="UA734" s="259"/>
      <c r="UB734" s="259"/>
      <c r="UC734" s="259"/>
      <c r="UD734" s="259"/>
      <c r="UE734" s="259"/>
      <c r="UF734" s="259"/>
      <c r="UG734" s="259"/>
      <c r="UH734" s="259"/>
      <c r="UI734" s="259"/>
    </row>
    <row r="735" spans="1:555" s="259" customFormat="1" ht="67.5">
      <c r="A735" s="502">
        <v>643</v>
      </c>
      <c r="B735" s="686" t="s">
        <v>5521</v>
      </c>
      <c r="C735" s="687">
        <v>79914104</v>
      </c>
      <c r="D735" s="688" t="s">
        <v>906</v>
      </c>
      <c r="E735" s="27">
        <v>43026</v>
      </c>
      <c r="F735" s="689">
        <v>43009</v>
      </c>
      <c r="G735" s="690" t="s">
        <v>5522</v>
      </c>
      <c r="H735" s="686" t="s">
        <v>625</v>
      </c>
      <c r="I735" s="686" t="s">
        <v>3423</v>
      </c>
      <c r="J735" s="27">
        <v>43046</v>
      </c>
      <c r="K735" s="689">
        <v>43040</v>
      </c>
      <c r="L735" s="690" t="s">
        <v>5523</v>
      </c>
      <c r="M735" s="686" t="s">
        <v>625</v>
      </c>
      <c r="N735" s="686" t="s">
        <v>3423</v>
      </c>
      <c r="O735" s="27">
        <v>43069</v>
      </c>
      <c r="P735" s="691">
        <v>43040</v>
      </c>
      <c r="Q735" s="690" t="s">
        <v>5524</v>
      </c>
      <c r="R735" s="686" t="s">
        <v>195</v>
      </c>
      <c r="S735" s="686" t="s">
        <v>4189</v>
      </c>
      <c r="T735" s="27">
        <v>43551</v>
      </c>
      <c r="U735" s="689">
        <v>43551</v>
      </c>
      <c r="V735" s="690" t="s">
        <v>8481</v>
      </c>
      <c r="W735" s="686" t="s">
        <v>5</v>
      </c>
      <c r="X735" s="686" t="s">
        <v>79</v>
      </c>
      <c r="Y735" s="27"/>
      <c r="Z735" s="689"/>
      <c r="AA735" s="690"/>
      <c r="AB735" s="686"/>
      <c r="AC735" s="686"/>
      <c r="AD735" s="27"/>
      <c r="AE735" s="689"/>
      <c r="AF735" s="690"/>
      <c r="AG735" s="686"/>
      <c r="AH735" s="686"/>
      <c r="AI735" s="704"/>
      <c r="AJ735" s="689"/>
      <c r="AK735" s="690"/>
      <c r="AL735" s="686"/>
      <c r="AM735" s="686"/>
      <c r="AN735" s="686" t="s">
        <v>4827</v>
      </c>
      <c r="AO735" s="705"/>
      <c r="AP735" s="686"/>
      <c r="AQ735" s="690" t="s">
        <v>8154</v>
      </c>
      <c r="AR735" s="686" t="s">
        <v>161</v>
      </c>
      <c r="AS735" s="27">
        <v>38777</v>
      </c>
      <c r="AT735" s="27">
        <v>40908</v>
      </c>
      <c r="AU735" s="686" t="s">
        <v>4499</v>
      </c>
      <c r="AV735" s="686"/>
      <c r="AW735" s="686" t="s">
        <v>69</v>
      </c>
      <c r="AX735" s="686" t="s">
        <v>5525</v>
      </c>
      <c r="AY735" s="27">
        <v>42507</v>
      </c>
      <c r="AZ735" s="686" t="s">
        <v>5480</v>
      </c>
      <c r="BA735" s="27">
        <v>42999</v>
      </c>
      <c r="BB735" s="27">
        <v>43031</v>
      </c>
      <c r="BC735" s="701" t="s">
        <v>912</v>
      </c>
      <c r="BD735" s="701" t="s">
        <v>566</v>
      </c>
      <c r="BE735" s="686"/>
      <c r="BF735" s="690"/>
      <c r="BG735" s="690"/>
      <c r="BH735" s="690"/>
      <c r="BI735" s="690"/>
      <c r="BJ735" s="708">
        <f>+[257]MATRIZ!$J$62</f>
        <v>0</v>
      </c>
      <c r="BK735" s="696"/>
      <c r="BL735" s="697"/>
      <c r="BM735" s="27"/>
      <c r="BN735" s="689"/>
      <c r="BO735" s="699"/>
      <c r="BP735" s="700"/>
      <c r="BQ735" s="686"/>
      <c r="BR735" s="701"/>
      <c r="BS735" s="690"/>
      <c r="BT735" s="690"/>
      <c r="BU735" s="690"/>
      <c r="BV735" s="690"/>
      <c r="BW735" s="702"/>
      <c r="BX735" s="693"/>
      <c r="BY735" s="27"/>
      <c r="BZ735" s="703"/>
    </row>
    <row r="736" spans="1:555" ht="94.5">
      <c r="A736" s="502">
        <v>644</v>
      </c>
      <c r="B736" s="686" t="s">
        <v>4531</v>
      </c>
      <c r="C736" s="687">
        <v>4063421</v>
      </c>
      <c r="D736" s="688" t="s">
        <v>906</v>
      </c>
      <c r="E736" s="27">
        <v>43018</v>
      </c>
      <c r="F736" s="689">
        <v>43009</v>
      </c>
      <c r="G736" s="690" t="s">
        <v>8127</v>
      </c>
      <c r="H736" s="686" t="s">
        <v>625</v>
      </c>
      <c r="I736" s="686" t="s">
        <v>3423</v>
      </c>
      <c r="J736" s="27">
        <v>43046</v>
      </c>
      <c r="K736" s="689">
        <v>43040</v>
      </c>
      <c r="L736" s="690" t="s">
        <v>5527</v>
      </c>
      <c r="M736" s="686" t="s">
        <v>625</v>
      </c>
      <c r="N736" s="686" t="s">
        <v>3423</v>
      </c>
      <c r="O736" s="27">
        <v>43062</v>
      </c>
      <c r="P736" s="691">
        <v>43040</v>
      </c>
      <c r="Q736" s="690" t="s">
        <v>5528</v>
      </c>
      <c r="R736" s="686" t="s">
        <v>195</v>
      </c>
      <c r="S736" s="686" t="s">
        <v>5529</v>
      </c>
      <c r="T736" s="16">
        <v>43256</v>
      </c>
      <c r="U736" s="689">
        <v>43256</v>
      </c>
      <c r="V736" s="706" t="s">
        <v>5530</v>
      </c>
      <c r="W736" s="686" t="s">
        <v>63</v>
      </c>
      <c r="X736" s="686" t="s">
        <v>1189</v>
      </c>
      <c r="Y736" s="27" t="s">
        <v>5531</v>
      </c>
      <c r="Z736" s="689">
        <v>43305</v>
      </c>
      <c r="AA736" s="690" t="s">
        <v>271</v>
      </c>
      <c r="AB736" s="686" t="s">
        <v>5532</v>
      </c>
      <c r="AC736" s="686" t="s">
        <v>5533</v>
      </c>
      <c r="AD736" s="27">
        <v>43622</v>
      </c>
      <c r="AE736" s="689">
        <v>43622</v>
      </c>
      <c r="AF736" s="690" t="s">
        <v>8798</v>
      </c>
      <c r="AG736" s="686" t="s">
        <v>5</v>
      </c>
      <c r="AH736" s="686" t="s">
        <v>85</v>
      </c>
      <c r="AI736" s="704"/>
      <c r="AJ736" s="689"/>
      <c r="AK736" s="690"/>
      <c r="AL736" s="686"/>
      <c r="AM736" s="686"/>
      <c r="AN736" s="686" t="s">
        <v>3671</v>
      </c>
      <c r="AO736" s="705"/>
      <c r="AP736" s="686"/>
      <c r="AQ736" s="690" t="s">
        <v>5534</v>
      </c>
      <c r="AR736" s="686" t="s">
        <v>161</v>
      </c>
      <c r="AS736" s="27">
        <v>34823</v>
      </c>
      <c r="AT736" s="27">
        <v>40908</v>
      </c>
      <c r="AU736" s="686" t="s">
        <v>8799</v>
      </c>
      <c r="AV736" s="686"/>
      <c r="AW736" s="686" t="s">
        <v>69</v>
      </c>
      <c r="AX736" s="686" t="s">
        <v>5535</v>
      </c>
      <c r="AY736" s="27">
        <v>42578</v>
      </c>
      <c r="AZ736" s="686" t="s">
        <v>5536</v>
      </c>
      <c r="BA736" s="27">
        <v>42999</v>
      </c>
      <c r="BB736" s="27">
        <v>43021</v>
      </c>
      <c r="BC736" s="701" t="s">
        <v>912</v>
      </c>
      <c r="BD736" s="701" t="s">
        <v>566</v>
      </c>
      <c r="BE736" s="686"/>
      <c r="BF736" s="690"/>
      <c r="BG736" s="690"/>
      <c r="BH736" s="690"/>
      <c r="BI736" s="690"/>
      <c r="BJ736" s="708">
        <f>+[258]MATRIZ!$J$79</f>
        <v>0</v>
      </c>
      <c r="BK736" s="696"/>
      <c r="BL736" s="697"/>
      <c r="BM736" s="27"/>
      <c r="BN736" s="689"/>
      <c r="BO736" s="699"/>
      <c r="BP736" s="700"/>
      <c r="BQ736" s="686"/>
      <c r="BR736" s="701"/>
      <c r="BS736" s="690"/>
      <c r="BT736" s="690"/>
      <c r="BU736" s="690"/>
      <c r="BV736" s="690"/>
      <c r="BW736" s="702"/>
      <c r="BX736" s="693"/>
      <c r="BY736" s="27"/>
      <c r="BZ736" s="703"/>
      <c r="CA736" s="259"/>
      <c r="CB736" s="259"/>
      <c r="CC736" s="259"/>
      <c r="CD736" s="259"/>
      <c r="CE736" s="259"/>
      <c r="CF736" s="259"/>
      <c r="CG736" s="259"/>
      <c r="CH736" s="259"/>
      <c r="CI736" s="259"/>
      <c r="CJ736" s="259"/>
      <c r="CK736" s="259"/>
      <c r="CL736" s="259"/>
      <c r="CM736" s="259"/>
      <c r="CN736" s="259"/>
      <c r="CO736" s="259"/>
      <c r="CP736" s="259"/>
      <c r="CQ736" s="259"/>
      <c r="CR736" s="259"/>
      <c r="CS736" s="259"/>
      <c r="CT736" s="259"/>
      <c r="CU736" s="259"/>
      <c r="CV736" s="259"/>
      <c r="CW736" s="259"/>
      <c r="CX736" s="259"/>
      <c r="CY736" s="259"/>
      <c r="CZ736" s="259"/>
      <c r="DA736" s="259"/>
      <c r="DB736" s="259"/>
      <c r="DC736" s="259"/>
      <c r="DD736" s="259"/>
      <c r="DE736" s="259"/>
      <c r="DF736" s="259"/>
      <c r="DG736" s="259"/>
      <c r="DH736" s="259"/>
      <c r="DI736" s="259"/>
      <c r="DJ736" s="259"/>
      <c r="DK736" s="259"/>
      <c r="DL736" s="259"/>
      <c r="DM736" s="259"/>
      <c r="DN736" s="259"/>
      <c r="DO736" s="259"/>
      <c r="DP736" s="259"/>
      <c r="DQ736" s="259"/>
      <c r="DR736" s="259"/>
      <c r="DS736" s="259"/>
      <c r="DT736" s="259"/>
      <c r="DU736" s="259"/>
      <c r="DV736" s="259"/>
      <c r="DW736" s="259"/>
      <c r="DX736" s="259"/>
      <c r="DY736" s="259"/>
      <c r="DZ736" s="259"/>
      <c r="EA736" s="259"/>
      <c r="EB736" s="259"/>
      <c r="EC736" s="259"/>
      <c r="ED736" s="259"/>
      <c r="EE736" s="259"/>
      <c r="EF736" s="259"/>
      <c r="EG736" s="259"/>
      <c r="EH736" s="259"/>
      <c r="EI736" s="259"/>
      <c r="EJ736" s="259"/>
      <c r="EK736" s="259"/>
      <c r="EL736" s="259"/>
      <c r="EM736" s="259"/>
      <c r="EN736" s="259"/>
      <c r="EO736" s="259"/>
      <c r="EP736" s="259"/>
      <c r="EQ736" s="259"/>
      <c r="ER736" s="259"/>
      <c r="ES736" s="259"/>
      <c r="ET736" s="259"/>
      <c r="EU736" s="259"/>
      <c r="EV736" s="259"/>
      <c r="EW736" s="259"/>
      <c r="EX736" s="259"/>
      <c r="EY736" s="259"/>
      <c r="EZ736" s="259"/>
      <c r="FA736" s="259"/>
      <c r="FB736" s="259"/>
      <c r="FC736" s="259"/>
      <c r="FD736" s="259"/>
      <c r="FE736" s="259"/>
      <c r="FF736" s="259"/>
      <c r="FG736" s="259"/>
      <c r="FH736" s="259"/>
      <c r="FI736" s="259"/>
      <c r="FJ736" s="259"/>
      <c r="FK736" s="259"/>
      <c r="FL736" s="259"/>
      <c r="FM736" s="259"/>
      <c r="FN736" s="259"/>
      <c r="FO736" s="259"/>
      <c r="FP736" s="259"/>
      <c r="FQ736" s="259"/>
      <c r="FR736" s="259"/>
      <c r="FS736" s="259"/>
      <c r="FT736" s="259"/>
      <c r="FU736" s="259"/>
      <c r="FV736" s="259"/>
      <c r="FW736" s="259"/>
      <c r="FX736" s="259"/>
      <c r="FY736" s="259"/>
      <c r="FZ736" s="259"/>
      <c r="GA736" s="259"/>
      <c r="GB736" s="259"/>
      <c r="GC736" s="259"/>
      <c r="GD736" s="259"/>
      <c r="GE736" s="259"/>
      <c r="GF736" s="259"/>
      <c r="GG736" s="259"/>
      <c r="GH736" s="259"/>
      <c r="GI736" s="259"/>
      <c r="GJ736" s="259"/>
      <c r="GK736" s="259"/>
      <c r="GL736" s="259"/>
      <c r="GM736" s="259"/>
      <c r="GN736" s="259"/>
      <c r="GO736" s="259"/>
      <c r="GP736" s="259"/>
      <c r="GQ736" s="259"/>
      <c r="GR736" s="259"/>
      <c r="GS736" s="259"/>
      <c r="GT736" s="259"/>
      <c r="GU736" s="259"/>
      <c r="GV736" s="259"/>
      <c r="GW736" s="259"/>
      <c r="GX736" s="259"/>
      <c r="GY736" s="259"/>
      <c r="GZ736" s="259"/>
      <c r="HA736" s="259"/>
      <c r="HB736" s="259"/>
      <c r="HC736" s="259"/>
      <c r="HD736" s="259"/>
      <c r="HE736" s="259"/>
      <c r="HF736" s="259"/>
      <c r="HG736" s="259"/>
      <c r="HH736" s="259"/>
      <c r="HI736" s="259"/>
      <c r="HJ736" s="259"/>
      <c r="HK736" s="259"/>
      <c r="HL736" s="259"/>
      <c r="HM736" s="259"/>
      <c r="HN736" s="259"/>
      <c r="HO736" s="259"/>
      <c r="HP736" s="259"/>
      <c r="HQ736" s="259"/>
      <c r="HR736" s="259"/>
      <c r="HS736" s="259"/>
      <c r="HT736" s="259"/>
      <c r="HU736" s="259"/>
      <c r="HV736" s="259"/>
      <c r="HW736" s="259"/>
      <c r="HX736" s="259"/>
      <c r="HY736" s="259"/>
      <c r="HZ736" s="259"/>
      <c r="IA736" s="259"/>
      <c r="IB736" s="259"/>
      <c r="IC736" s="259"/>
      <c r="ID736" s="259"/>
      <c r="IE736" s="259"/>
      <c r="IF736" s="259"/>
      <c r="IG736" s="259"/>
      <c r="IH736" s="259"/>
      <c r="II736" s="259"/>
      <c r="IJ736" s="259"/>
      <c r="IK736" s="259"/>
      <c r="IL736" s="259"/>
      <c r="IM736" s="259"/>
      <c r="IN736" s="259"/>
      <c r="IO736" s="259"/>
      <c r="IP736" s="259"/>
      <c r="IQ736" s="259"/>
      <c r="IR736" s="259"/>
      <c r="IS736" s="259"/>
      <c r="IT736" s="259"/>
      <c r="IU736" s="259"/>
      <c r="IV736" s="259"/>
      <c r="IW736" s="259"/>
      <c r="IX736" s="259"/>
      <c r="IY736" s="259"/>
      <c r="IZ736" s="259"/>
      <c r="JA736" s="259"/>
      <c r="JB736" s="259"/>
      <c r="JC736" s="259"/>
      <c r="JD736" s="259"/>
      <c r="JE736" s="259"/>
      <c r="JF736" s="259"/>
      <c r="JG736" s="259"/>
      <c r="JH736" s="259"/>
      <c r="JI736" s="259"/>
      <c r="JJ736" s="259"/>
      <c r="JK736" s="259"/>
      <c r="JL736" s="259"/>
      <c r="JM736" s="259"/>
      <c r="JN736" s="259"/>
      <c r="JO736" s="259"/>
      <c r="JP736" s="259"/>
      <c r="JQ736" s="259"/>
      <c r="JR736" s="259"/>
      <c r="JS736" s="259"/>
      <c r="JT736" s="259"/>
      <c r="JU736" s="259"/>
      <c r="JV736" s="259"/>
      <c r="JW736" s="259"/>
      <c r="JX736" s="259"/>
      <c r="JY736" s="259"/>
      <c r="JZ736" s="259"/>
      <c r="KA736" s="259"/>
      <c r="KB736" s="259"/>
      <c r="KC736" s="259"/>
      <c r="KD736" s="259"/>
      <c r="KE736" s="259"/>
      <c r="KF736" s="259"/>
      <c r="KG736" s="259"/>
      <c r="KH736" s="259"/>
      <c r="KI736" s="259"/>
      <c r="KJ736" s="259"/>
      <c r="KK736" s="259"/>
      <c r="KL736" s="259"/>
      <c r="KM736" s="259"/>
      <c r="KN736" s="259"/>
      <c r="KO736" s="259"/>
      <c r="KP736" s="259"/>
      <c r="KQ736" s="259"/>
      <c r="KR736" s="259"/>
      <c r="KS736" s="259"/>
      <c r="KT736" s="259"/>
      <c r="KU736" s="259"/>
      <c r="KV736" s="259"/>
      <c r="KW736" s="259"/>
      <c r="KX736" s="259"/>
      <c r="KY736" s="259"/>
      <c r="KZ736" s="259"/>
      <c r="LA736" s="259"/>
      <c r="LB736" s="259"/>
      <c r="LC736" s="259"/>
      <c r="LD736" s="259"/>
      <c r="LE736" s="259"/>
      <c r="LF736" s="259"/>
      <c r="LG736" s="259"/>
      <c r="LH736" s="259"/>
      <c r="LI736" s="259"/>
      <c r="LJ736" s="259"/>
      <c r="LK736" s="259"/>
      <c r="LL736" s="259"/>
      <c r="LM736" s="259"/>
      <c r="LN736" s="259"/>
      <c r="LO736" s="259"/>
      <c r="LP736" s="259"/>
      <c r="LQ736" s="259"/>
      <c r="LR736" s="259"/>
      <c r="LS736" s="259"/>
      <c r="LT736" s="259"/>
      <c r="LU736" s="259"/>
      <c r="LV736" s="259"/>
      <c r="LW736" s="259"/>
      <c r="LX736" s="259"/>
      <c r="LY736" s="259"/>
      <c r="LZ736" s="259"/>
      <c r="MA736" s="259"/>
      <c r="MB736" s="259"/>
      <c r="MC736" s="259"/>
      <c r="MD736" s="259"/>
      <c r="ME736" s="259"/>
      <c r="MF736" s="259"/>
      <c r="MG736" s="259"/>
      <c r="MH736" s="259"/>
      <c r="MI736" s="259"/>
      <c r="MJ736" s="259"/>
      <c r="MK736" s="259"/>
      <c r="ML736" s="259"/>
      <c r="MM736" s="259"/>
      <c r="MN736" s="259"/>
      <c r="MO736" s="259"/>
      <c r="MP736" s="259"/>
      <c r="MQ736" s="259"/>
      <c r="MR736" s="259"/>
      <c r="MS736" s="259"/>
      <c r="MT736" s="259"/>
      <c r="MU736" s="259"/>
      <c r="MV736" s="259"/>
      <c r="MW736" s="259"/>
      <c r="MX736" s="259"/>
      <c r="MY736" s="259"/>
      <c r="MZ736" s="259"/>
      <c r="NA736" s="259"/>
      <c r="NB736" s="259"/>
      <c r="NC736" s="259"/>
      <c r="ND736" s="259"/>
      <c r="NE736" s="259"/>
      <c r="NF736" s="259"/>
      <c r="NG736" s="259"/>
      <c r="NH736" s="259"/>
      <c r="NI736" s="259"/>
      <c r="NJ736" s="259"/>
      <c r="NK736" s="259"/>
      <c r="NL736" s="259"/>
      <c r="NM736" s="259"/>
      <c r="NN736" s="259"/>
      <c r="NO736" s="259"/>
      <c r="NP736" s="259"/>
      <c r="NQ736" s="259"/>
      <c r="NR736" s="259"/>
      <c r="NS736" s="259"/>
      <c r="NT736" s="259"/>
      <c r="NU736" s="259"/>
      <c r="NV736" s="259"/>
      <c r="NW736" s="259"/>
      <c r="NX736" s="259"/>
      <c r="NY736" s="259"/>
      <c r="NZ736" s="259"/>
      <c r="OA736" s="259"/>
      <c r="OB736" s="259"/>
      <c r="OC736" s="259"/>
      <c r="OD736" s="259"/>
      <c r="OE736" s="259"/>
      <c r="OF736" s="259"/>
      <c r="OG736" s="259"/>
      <c r="OH736" s="259"/>
      <c r="OI736" s="259"/>
      <c r="OJ736" s="259"/>
      <c r="OK736" s="259"/>
      <c r="OL736" s="259"/>
      <c r="OM736" s="259"/>
      <c r="ON736" s="259"/>
      <c r="OO736" s="259"/>
      <c r="OP736" s="259"/>
      <c r="OQ736" s="259"/>
      <c r="OR736" s="259"/>
      <c r="OS736" s="259"/>
      <c r="OT736" s="259"/>
      <c r="OU736" s="259"/>
      <c r="OV736" s="259"/>
      <c r="OW736" s="259"/>
      <c r="OX736" s="259"/>
      <c r="OY736" s="259"/>
      <c r="OZ736" s="259"/>
      <c r="PA736" s="259"/>
      <c r="PB736" s="259"/>
      <c r="PC736" s="259"/>
      <c r="PD736" s="259"/>
      <c r="PE736" s="259"/>
      <c r="PF736" s="259"/>
      <c r="PG736" s="259"/>
      <c r="PH736" s="259"/>
      <c r="PI736" s="259"/>
      <c r="PJ736" s="259"/>
      <c r="PK736" s="259"/>
      <c r="PL736" s="259"/>
      <c r="PM736" s="259"/>
      <c r="PN736" s="259"/>
      <c r="PO736" s="259"/>
      <c r="PP736" s="259"/>
      <c r="PQ736" s="259"/>
      <c r="PR736" s="259"/>
      <c r="PS736" s="259"/>
      <c r="PT736" s="259"/>
      <c r="PU736" s="259"/>
      <c r="PV736" s="259"/>
      <c r="PW736" s="259"/>
      <c r="PX736" s="259"/>
      <c r="PY736" s="259"/>
      <c r="PZ736" s="259"/>
      <c r="QA736" s="259"/>
      <c r="QB736" s="259"/>
      <c r="QC736" s="259"/>
      <c r="QD736" s="259"/>
      <c r="QE736" s="259"/>
      <c r="QF736" s="259"/>
      <c r="QG736" s="259"/>
      <c r="QH736" s="259"/>
      <c r="QI736" s="259"/>
      <c r="QJ736" s="259"/>
      <c r="QK736" s="259"/>
      <c r="QL736" s="259"/>
      <c r="QM736" s="259"/>
      <c r="QN736" s="259"/>
      <c r="QO736" s="259"/>
      <c r="QP736" s="259"/>
      <c r="QQ736" s="259"/>
      <c r="QR736" s="259"/>
      <c r="QS736" s="259"/>
      <c r="QT736" s="259"/>
      <c r="QU736" s="259"/>
      <c r="QV736" s="259"/>
      <c r="QW736" s="259"/>
      <c r="QX736" s="259"/>
      <c r="QY736" s="259"/>
      <c r="QZ736" s="259"/>
      <c r="RA736" s="259"/>
      <c r="RB736" s="259"/>
      <c r="RC736" s="259"/>
      <c r="RD736" s="259"/>
      <c r="RE736" s="259"/>
      <c r="RF736" s="259"/>
      <c r="RG736" s="259"/>
      <c r="RH736" s="259"/>
      <c r="RI736" s="259"/>
      <c r="RJ736" s="259"/>
      <c r="RK736" s="259"/>
      <c r="RL736" s="259"/>
      <c r="RM736" s="259"/>
      <c r="RN736" s="259"/>
      <c r="RO736" s="259"/>
      <c r="RP736" s="259"/>
      <c r="RQ736" s="259"/>
      <c r="RR736" s="259"/>
      <c r="RS736" s="259"/>
      <c r="RT736" s="259"/>
      <c r="RU736" s="259"/>
      <c r="RV736" s="259"/>
      <c r="RW736" s="259"/>
      <c r="RX736" s="259"/>
      <c r="RY736" s="259"/>
      <c r="RZ736" s="259"/>
      <c r="SA736" s="259"/>
      <c r="SB736" s="259"/>
      <c r="SC736" s="259"/>
      <c r="SD736" s="259"/>
      <c r="SE736" s="259"/>
      <c r="SF736" s="259"/>
      <c r="SG736" s="259"/>
      <c r="SH736" s="259"/>
      <c r="SI736" s="259"/>
      <c r="SJ736" s="259"/>
      <c r="SK736" s="259"/>
      <c r="SL736" s="259"/>
      <c r="SM736" s="259"/>
      <c r="SN736" s="259"/>
      <c r="SO736" s="259"/>
      <c r="SP736" s="259"/>
      <c r="SQ736" s="259"/>
      <c r="SR736" s="259"/>
      <c r="SS736" s="259"/>
      <c r="ST736" s="259"/>
      <c r="SU736" s="259"/>
      <c r="SV736" s="259"/>
      <c r="SW736" s="259"/>
      <c r="SX736" s="259"/>
      <c r="SY736" s="259"/>
      <c r="SZ736" s="259"/>
      <c r="TA736" s="259"/>
      <c r="TB736" s="259"/>
      <c r="TC736" s="259"/>
      <c r="TD736" s="259"/>
      <c r="TE736" s="259"/>
      <c r="TF736" s="259"/>
      <c r="TG736" s="259"/>
      <c r="TH736" s="259"/>
      <c r="TI736" s="259"/>
      <c r="TJ736" s="259"/>
      <c r="TK736" s="259"/>
      <c r="TL736" s="259"/>
      <c r="TM736" s="259"/>
      <c r="TN736" s="259"/>
      <c r="TO736" s="259"/>
      <c r="TP736" s="259"/>
      <c r="TQ736" s="259"/>
      <c r="TR736" s="259"/>
      <c r="TS736" s="259"/>
      <c r="TT736" s="259"/>
      <c r="TU736" s="259"/>
      <c r="TV736" s="259"/>
      <c r="TW736" s="259"/>
      <c r="TX736" s="259"/>
      <c r="TY736" s="259"/>
      <c r="TZ736" s="259"/>
      <c r="UA736" s="259"/>
      <c r="UB736" s="259"/>
      <c r="UC736" s="259"/>
      <c r="UD736" s="259"/>
      <c r="UE736" s="259"/>
      <c r="UF736" s="259"/>
      <c r="UG736" s="259"/>
      <c r="UH736" s="259"/>
      <c r="UI736" s="259"/>
    </row>
    <row r="737" spans="1:555" s="259" customFormat="1" ht="81">
      <c r="A737" s="57">
        <v>645</v>
      </c>
      <c r="B737" s="58" t="s">
        <v>8311</v>
      </c>
      <c r="C737" s="59">
        <v>10750941</v>
      </c>
      <c r="D737" s="170" t="s">
        <v>8310</v>
      </c>
      <c r="E737" s="60">
        <v>43026</v>
      </c>
      <c r="F737" s="61">
        <v>43009</v>
      </c>
      <c r="G737" s="62" t="s">
        <v>5537</v>
      </c>
      <c r="H737" s="58" t="s">
        <v>576</v>
      </c>
      <c r="I737" s="58" t="s">
        <v>5538</v>
      </c>
      <c r="J737" s="60">
        <v>43538</v>
      </c>
      <c r="K737" s="61">
        <v>43538</v>
      </c>
      <c r="L737" s="117" t="s">
        <v>8401</v>
      </c>
      <c r="M737" s="117" t="s">
        <v>5</v>
      </c>
      <c r="N737" s="60" t="s">
        <v>6267</v>
      </c>
      <c r="O737" s="60"/>
      <c r="P737" s="63"/>
      <c r="Q737" s="62"/>
      <c r="R737" s="58"/>
      <c r="S737" s="58"/>
      <c r="T737" s="60"/>
      <c r="U737" s="61"/>
      <c r="V737" s="62"/>
      <c r="W737" s="58"/>
      <c r="X737" s="58"/>
      <c r="Y737" s="60"/>
      <c r="Z737" s="61"/>
      <c r="AA737" s="62"/>
      <c r="AB737" s="58"/>
      <c r="AC737" s="58"/>
      <c r="AD737" s="60"/>
      <c r="AE737" s="61"/>
      <c r="AF737" s="62"/>
      <c r="AG737" s="58"/>
      <c r="AH737" s="58"/>
      <c r="AI737" s="117"/>
      <c r="AJ737" s="61"/>
      <c r="AK737" s="62"/>
      <c r="AL737" s="58"/>
      <c r="AM737" s="58"/>
      <c r="AN737" s="58" t="s">
        <v>4827</v>
      </c>
      <c r="AO737" s="478"/>
      <c r="AP737" s="58"/>
      <c r="AQ737" s="62" t="s">
        <v>5539</v>
      </c>
      <c r="AR737" s="58" t="s">
        <v>161</v>
      </c>
      <c r="AS737" s="60">
        <v>39722</v>
      </c>
      <c r="AT737" s="60">
        <v>40543</v>
      </c>
      <c r="AU737" s="58" t="s">
        <v>5540</v>
      </c>
      <c r="AV737" s="58"/>
      <c r="AW737" s="58" t="s">
        <v>69</v>
      </c>
      <c r="AX737" s="58" t="s">
        <v>7511</v>
      </c>
      <c r="AY737" s="60">
        <v>42291</v>
      </c>
      <c r="AZ737" s="58" t="s">
        <v>5541</v>
      </c>
      <c r="BA737" s="60">
        <v>42986</v>
      </c>
      <c r="BB737" s="382">
        <v>42998</v>
      </c>
      <c r="BC737" s="58" t="s">
        <v>95</v>
      </c>
      <c r="BD737" s="58" t="s">
        <v>566</v>
      </c>
      <c r="BE737" s="58"/>
      <c r="BF737" s="62"/>
      <c r="BG737" s="62"/>
      <c r="BH737" s="62"/>
      <c r="BI737" s="62"/>
      <c r="BJ737" s="209">
        <f>+[259]MATRIZ!$I$56</f>
        <v>0</v>
      </c>
      <c r="BK737" s="67"/>
      <c r="BL737" s="68"/>
      <c r="BM737" s="60"/>
      <c r="BN737" s="61"/>
      <c r="BO737" s="463"/>
      <c r="BP737" s="122"/>
      <c r="BQ737" s="58"/>
      <c r="BR737" s="70"/>
      <c r="BS737" s="62"/>
      <c r="BT737" s="62"/>
      <c r="BU737" s="62"/>
      <c r="BV737" s="62"/>
      <c r="BW737" s="71"/>
      <c r="BX737" s="66"/>
      <c r="BY737" s="60"/>
      <c r="BZ737" s="72"/>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c r="JW737" s="1"/>
      <c r="JX737" s="1"/>
      <c r="JY737" s="1"/>
      <c r="JZ737" s="1"/>
      <c r="KA737" s="1"/>
      <c r="KB737" s="1"/>
      <c r="KC737" s="1"/>
      <c r="KD737" s="1"/>
      <c r="KE737" s="1"/>
      <c r="KF737" s="1"/>
      <c r="KG737" s="1"/>
      <c r="KH737" s="1"/>
      <c r="KI737" s="1"/>
      <c r="KJ737" s="1"/>
      <c r="KK737" s="1"/>
      <c r="KL737" s="1"/>
      <c r="KM737" s="1"/>
      <c r="KN737" s="1"/>
      <c r="KO737" s="1"/>
      <c r="KP737" s="1"/>
      <c r="KQ737" s="1"/>
      <c r="KR737" s="1"/>
      <c r="KS737" s="1"/>
      <c r="KT737" s="1"/>
      <c r="KU737" s="1"/>
      <c r="KV737" s="1"/>
      <c r="KW737" s="1"/>
      <c r="KX737" s="1"/>
      <c r="KY737" s="1"/>
      <c r="KZ737" s="1"/>
      <c r="LA737" s="1"/>
      <c r="LB737" s="1"/>
      <c r="LC737" s="1"/>
      <c r="LD737" s="1"/>
      <c r="LE737" s="1"/>
      <c r="LF737" s="1"/>
      <c r="LG737" s="1"/>
      <c r="LH737" s="1"/>
      <c r="LI737" s="1"/>
      <c r="LJ737" s="1"/>
      <c r="LK737" s="1"/>
      <c r="LL737" s="1"/>
      <c r="LM737" s="1"/>
      <c r="LN737" s="1"/>
      <c r="LO737" s="1"/>
      <c r="LP737" s="1"/>
      <c r="LQ737" s="1"/>
      <c r="LR737" s="1"/>
      <c r="LS737" s="1"/>
      <c r="LT737" s="1"/>
      <c r="LU737" s="1"/>
      <c r="LV737" s="1"/>
      <c r="LW737" s="1"/>
      <c r="LX737" s="1"/>
      <c r="LY737" s="1"/>
      <c r="LZ737" s="1"/>
      <c r="MA737" s="1"/>
      <c r="MB737" s="1"/>
      <c r="MC737" s="1"/>
      <c r="MD737" s="1"/>
      <c r="ME737" s="1"/>
      <c r="MF737" s="1"/>
      <c r="MG737" s="1"/>
      <c r="MH737" s="1"/>
      <c r="MI737" s="1"/>
      <c r="MJ737" s="1"/>
      <c r="MK737" s="1"/>
      <c r="ML737" s="1"/>
      <c r="MM737" s="1"/>
      <c r="MN737" s="1"/>
      <c r="MO737" s="1"/>
      <c r="MP737" s="1"/>
      <c r="MQ737" s="1"/>
      <c r="MR737" s="1"/>
      <c r="MS737" s="1"/>
      <c r="MT737" s="1"/>
      <c r="MU737" s="1"/>
      <c r="MV737" s="1"/>
      <c r="MW737" s="1"/>
      <c r="MX737" s="1"/>
      <c r="MY737" s="1"/>
      <c r="MZ737" s="1"/>
      <c r="NA737" s="1"/>
      <c r="NB737" s="1"/>
      <c r="NC737" s="1"/>
      <c r="ND737" s="1"/>
      <c r="NE737" s="1"/>
      <c r="NF737" s="1"/>
      <c r="NG737" s="1"/>
      <c r="NH737" s="1"/>
      <c r="NI737" s="1"/>
      <c r="NJ737" s="1"/>
      <c r="NK737" s="1"/>
      <c r="NL737" s="1"/>
      <c r="NM737" s="1"/>
      <c r="NN737" s="1"/>
      <c r="NO737" s="1"/>
      <c r="NP737" s="1"/>
      <c r="NQ737" s="1"/>
      <c r="NR737" s="1"/>
      <c r="NS737" s="1"/>
      <c r="NT737" s="1"/>
      <c r="NU737" s="1"/>
      <c r="NV737" s="1"/>
      <c r="NW737" s="1"/>
      <c r="NX737" s="1"/>
      <c r="NY737" s="1"/>
      <c r="NZ737" s="1"/>
      <c r="OA737" s="1"/>
      <c r="OB737" s="1"/>
      <c r="OC737" s="1"/>
      <c r="OD737" s="1"/>
      <c r="OE737" s="1"/>
      <c r="OF737" s="1"/>
      <c r="OG737" s="1"/>
      <c r="OH737" s="1"/>
      <c r="OI737" s="1"/>
      <c r="OJ737" s="1"/>
      <c r="OK737" s="1"/>
      <c r="OL737" s="1"/>
      <c r="OM737" s="1"/>
      <c r="ON737" s="1"/>
      <c r="OO737" s="1"/>
      <c r="OP737" s="1"/>
      <c r="OQ737" s="1"/>
      <c r="OR737" s="1"/>
      <c r="OS737" s="1"/>
      <c r="OT737" s="1"/>
      <c r="OU737" s="1"/>
      <c r="OV737" s="1"/>
      <c r="OW737" s="1"/>
      <c r="OX737" s="1"/>
      <c r="OY737" s="1"/>
      <c r="OZ737" s="1"/>
      <c r="PA737" s="1"/>
      <c r="PB737" s="1"/>
      <c r="PC737" s="1"/>
      <c r="PD737" s="1"/>
      <c r="PE737" s="1"/>
      <c r="PF737" s="1"/>
      <c r="PG737" s="1"/>
      <c r="PH737" s="1"/>
      <c r="PI737" s="1"/>
      <c r="PJ737" s="1"/>
      <c r="PK737" s="1"/>
      <c r="PL737" s="1"/>
      <c r="PM737" s="1"/>
      <c r="PN737" s="1"/>
      <c r="PO737" s="1"/>
      <c r="PP737" s="1"/>
      <c r="PQ737" s="1"/>
      <c r="PR737" s="1"/>
      <c r="PS737" s="1"/>
      <c r="PT737" s="1"/>
      <c r="PU737" s="1"/>
      <c r="PV737" s="1"/>
      <c r="PW737" s="1"/>
      <c r="PX737" s="1"/>
      <c r="PY737" s="1"/>
      <c r="PZ737" s="1"/>
      <c r="QA737" s="1"/>
      <c r="QB737" s="1"/>
      <c r="QC737" s="1"/>
      <c r="QD737" s="1"/>
      <c r="QE737" s="1"/>
      <c r="QF737" s="1"/>
      <c r="QG737" s="1"/>
      <c r="QH737" s="1"/>
      <c r="QI737" s="1"/>
      <c r="QJ737" s="1"/>
      <c r="QK737" s="1"/>
      <c r="QL737" s="1"/>
      <c r="QM737" s="1"/>
      <c r="QN737" s="1"/>
      <c r="QO737" s="1"/>
      <c r="QP737" s="1"/>
      <c r="QQ737" s="1"/>
      <c r="QR737" s="1"/>
      <c r="QS737" s="1"/>
      <c r="QT737" s="1"/>
      <c r="QU737" s="1"/>
      <c r="QV737" s="1"/>
      <c r="QW737" s="1"/>
      <c r="QX737" s="1"/>
      <c r="QY737" s="1"/>
      <c r="QZ737" s="1"/>
      <c r="RA737" s="1"/>
      <c r="RB737" s="1"/>
      <c r="RC737" s="1"/>
      <c r="RD737" s="1"/>
      <c r="RE737" s="1"/>
      <c r="RF737" s="1"/>
      <c r="RG737" s="1"/>
      <c r="RH737" s="1"/>
      <c r="RI737" s="1"/>
      <c r="RJ737" s="1"/>
      <c r="RK737" s="1"/>
      <c r="RL737" s="1"/>
      <c r="RM737" s="1"/>
      <c r="RN737" s="1"/>
      <c r="RO737" s="1"/>
      <c r="RP737" s="1"/>
      <c r="RQ737" s="1"/>
      <c r="RR737" s="1"/>
      <c r="RS737" s="1"/>
      <c r="RT737" s="1"/>
      <c r="RU737" s="1"/>
      <c r="RV737" s="1"/>
      <c r="RW737" s="1"/>
      <c r="RX737" s="1"/>
      <c r="RY737" s="1"/>
      <c r="RZ737" s="1"/>
      <c r="SA737" s="1"/>
      <c r="SB737" s="1"/>
      <c r="SC737" s="1"/>
      <c r="SD737" s="1"/>
      <c r="SE737" s="1"/>
      <c r="SF737" s="1"/>
      <c r="SG737" s="1"/>
      <c r="SH737" s="1"/>
      <c r="SI737" s="1"/>
      <c r="SJ737" s="1"/>
      <c r="SK737" s="1"/>
      <c r="SL737" s="1"/>
      <c r="SM737" s="1"/>
      <c r="SN737" s="1"/>
      <c r="SO737" s="1"/>
      <c r="SP737" s="1"/>
      <c r="SQ737" s="1"/>
      <c r="SR737" s="1"/>
      <c r="SS737" s="1"/>
      <c r="ST737" s="1"/>
      <c r="SU737" s="1"/>
      <c r="SV737" s="1"/>
      <c r="SW737" s="1"/>
      <c r="SX737" s="1"/>
      <c r="SY737" s="1"/>
      <c r="SZ737" s="1"/>
      <c r="TA737" s="1"/>
      <c r="TB737" s="1"/>
      <c r="TC737" s="1"/>
      <c r="TD737" s="1"/>
      <c r="TE737" s="1"/>
      <c r="TF737" s="1"/>
      <c r="TG737" s="1"/>
      <c r="TH737" s="1"/>
      <c r="TI737" s="1"/>
      <c r="TJ737" s="1"/>
      <c r="TK737" s="1"/>
      <c r="TL737" s="1"/>
      <c r="TM737" s="1"/>
      <c r="TN737" s="1"/>
      <c r="TO737" s="1"/>
      <c r="TP737" s="1"/>
      <c r="TQ737" s="1"/>
      <c r="TR737" s="1"/>
      <c r="TS737" s="1"/>
      <c r="TT737" s="1"/>
      <c r="TU737" s="1"/>
      <c r="TV737" s="1"/>
      <c r="TW737" s="1"/>
      <c r="TX737" s="1"/>
      <c r="TY737" s="1"/>
      <c r="TZ737" s="1"/>
      <c r="UA737" s="1"/>
      <c r="UB737" s="1"/>
      <c r="UC737" s="1"/>
      <c r="UD737" s="1"/>
      <c r="UE737" s="1"/>
      <c r="UF737" s="1"/>
      <c r="UG737" s="1"/>
      <c r="UH737" s="1"/>
      <c r="UI737" s="1"/>
    </row>
    <row r="738" spans="1:555" ht="67.5">
      <c r="A738" s="57">
        <v>646</v>
      </c>
      <c r="B738" s="58" t="s">
        <v>5542</v>
      </c>
      <c r="C738" s="59">
        <v>80187539</v>
      </c>
      <c r="D738" s="170" t="s">
        <v>597</v>
      </c>
      <c r="E738" s="60">
        <v>43031</v>
      </c>
      <c r="F738" s="61">
        <v>43009</v>
      </c>
      <c r="G738" s="62" t="s">
        <v>5543</v>
      </c>
      <c r="H738" s="58" t="s">
        <v>625</v>
      </c>
      <c r="I738" s="58" t="s">
        <v>3423</v>
      </c>
      <c r="J738" s="60"/>
      <c r="K738" s="61"/>
      <c r="L738" s="62"/>
      <c r="M738" s="58"/>
      <c r="N738" s="58"/>
      <c r="O738" s="60"/>
      <c r="P738" s="63"/>
      <c r="Q738" s="62"/>
      <c r="R738" s="58"/>
      <c r="S738" s="58"/>
      <c r="T738" s="60"/>
      <c r="U738" s="61"/>
      <c r="V738" s="62"/>
      <c r="W738" s="58"/>
      <c r="X738" s="58"/>
      <c r="Y738" s="60"/>
      <c r="Z738" s="61"/>
      <c r="AA738" s="62"/>
      <c r="AB738" s="58"/>
      <c r="AC738" s="58"/>
      <c r="AD738" s="60"/>
      <c r="AE738" s="61"/>
      <c r="AF738" s="62"/>
      <c r="AG738" s="58"/>
      <c r="AH738" s="58"/>
      <c r="AI738" s="117"/>
      <c r="AJ738" s="61"/>
      <c r="AK738" s="62"/>
      <c r="AL738" s="58"/>
      <c r="AM738" s="58"/>
      <c r="AN738" s="58" t="s">
        <v>4827</v>
      </c>
      <c r="AO738" s="478"/>
      <c r="AP738" s="58"/>
      <c r="AQ738" s="62" t="s">
        <v>8155</v>
      </c>
      <c r="AR738" s="58" t="s">
        <v>161</v>
      </c>
      <c r="AS738" s="60">
        <v>38148</v>
      </c>
      <c r="AT738" s="60">
        <v>38771</v>
      </c>
      <c r="AU738" s="58" t="s">
        <v>4499</v>
      </c>
      <c r="AV738" s="58"/>
      <c r="AW738" s="58" t="s">
        <v>69</v>
      </c>
      <c r="AX738" s="58" t="s">
        <v>5544</v>
      </c>
      <c r="AY738" s="60">
        <v>42489</v>
      </c>
      <c r="AZ738" s="58" t="s">
        <v>5480</v>
      </c>
      <c r="BA738" s="60">
        <v>43013</v>
      </c>
      <c r="BB738" s="382">
        <v>43088</v>
      </c>
      <c r="BC738" s="58" t="s">
        <v>95</v>
      </c>
      <c r="BD738" s="58" t="s">
        <v>566</v>
      </c>
      <c r="BE738" s="58"/>
      <c r="BF738" s="62"/>
      <c r="BG738" s="62"/>
      <c r="BH738" s="62"/>
      <c r="BI738" s="62"/>
      <c r="BJ738" s="209">
        <f>+'[260]MATRIZ DE CONTRATOS '!$I$49</f>
        <v>8034063.2593266414</v>
      </c>
      <c r="BK738" s="67"/>
      <c r="BL738" s="68"/>
      <c r="BM738" s="60"/>
      <c r="BN738" s="61"/>
      <c r="BO738" s="463"/>
      <c r="BP738" s="122"/>
      <c r="BQ738" s="58"/>
      <c r="BR738" s="70"/>
      <c r="BS738" s="62"/>
      <c r="BT738" s="62"/>
      <c r="BU738" s="62"/>
      <c r="BV738" s="62"/>
      <c r="BW738" s="71"/>
      <c r="BX738" s="66"/>
      <c r="BY738" s="60"/>
      <c r="BZ738" s="72"/>
    </row>
    <row r="739" spans="1:555" ht="67.5">
      <c r="A739" s="57">
        <v>647</v>
      </c>
      <c r="B739" s="58" t="s">
        <v>5545</v>
      </c>
      <c r="C739" s="59">
        <v>16548077</v>
      </c>
      <c r="D739" s="170" t="s">
        <v>2392</v>
      </c>
      <c r="E739" s="60">
        <v>43025</v>
      </c>
      <c r="F739" s="61">
        <v>43009</v>
      </c>
      <c r="G739" s="62" t="s">
        <v>8137</v>
      </c>
      <c r="H739" s="58" t="s">
        <v>79</v>
      </c>
      <c r="I739" s="58" t="s">
        <v>5</v>
      </c>
      <c r="J739" s="60">
        <v>41921</v>
      </c>
      <c r="K739" s="61">
        <v>41913</v>
      </c>
      <c r="L739" s="62" t="s">
        <v>5547</v>
      </c>
      <c r="M739" s="58" t="s">
        <v>195</v>
      </c>
      <c r="N739" s="58" t="s">
        <v>1864</v>
      </c>
      <c r="O739" s="60">
        <v>41934</v>
      </c>
      <c r="P739" s="63">
        <v>41913</v>
      </c>
      <c r="Q739" s="62" t="s">
        <v>5548</v>
      </c>
      <c r="R739" s="58" t="s">
        <v>195</v>
      </c>
      <c r="S739" s="58" t="s">
        <v>1864</v>
      </c>
      <c r="T739" s="60">
        <v>43126</v>
      </c>
      <c r="U739" s="61">
        <v>43101</v>
      </c>
      <c r="V739" s="62" t="s">
        <v>5549</v>
      </c>
      <c r="W739" s="58" t="s">
        <v>5</v>
      </c>
      <c r="X739" s="58" t="s">
        <v>107</v>
      </c>
      <c r="Y739" s="60">
        <v>44102</v>
      </c>
      <c r="Z739" s="61">
        <v>44102</v>
      </c>
      <c r="AA739" s="62" t="s">
        <v>9715</v>
      </c>
      <c r="AB739" s="58" t="s">
        <v>5</v>
      </c>
      <c r="AC739" s="58" t="s">
        <v>9511</v>
      </c>
      <c r="AD739" s="60"/>
      <c r="AE739" s="61"/>
      <c r="AF739" s="62"/>
      <c r="AG739" s="58"/>
      <c r="AH739" s="58"/>
      <c r="AI739" s="117"/>
      <c r="AJ739" s="61"/>
      <c r="AK739" s="62"/>
      <c r="AL739" s="58"/>
      <c r="AM739" s="58"/>
      <c r="AN739" s="58" t="s">
        <v>4827</v>
      </c>
      <c r="AO739" s="479">
        <v>43025</v>
      </c>
      <c r="AP739" s="58"/>
      <c r="AQ739" s="62" t="s">
        <v>5550</v>
      </c>
      <c r="AR739" s="58" t="s">
        <v>161</v>
      </c>
      <c r="AS739" s="60">
        <v>39833</v>
      </c>
      <c r="AT739" s="60">
        <v>40633</v>
      </c>
      <c r="AU739" s="58" t="s">
        <v>5551</v>
      </c>
      <c r="AV739" s="58"/>
      <c r="AW739" s="58" t="s">
        <v>92</v>
      </c>
      <c r="AX739" s="58" t="s">
        <v>5552</v>
      </c>
      <c r="AY739" s="60">
        <v>41495</v>
      </c>
      <c r="AZ739" s="58" t="s">
        <v>5553</v>
      </c>
      <c r="BA739" s="60">
        <v>42674</v>
      </c>
      <c r="BB739" s="382">
        <v>42815</v>
      </c>
      <c r="BC739" s="58" t="s">
        <v>95</v>
      </c>
      <c r="BD739" s="58" t="s">
        <v>1792</v>
      </c>
      <c r="BE739" s="58"/>
      <c r="BF739" s="62"/>
      <c r="BG739" s="62"/>
      <c r="BH739" s="62"/>
      <c r="BI739" s="62"/>
      <c r="BJ739" s="209">
        <f>+[261]MATRIZ!$J$44</f>
        <v>0</v>
      </c>
      <c r="BK739" s="67"/>
      <c r="BL739" s="68"/>
      <c r="BM739" s="60"/>
      <c r="BN739" s="61"/>
      <c r="BO739" s="463"/>
      <c r="BP739" s="122"/>
      <c r="BQ739" s="58"/>
      <c r="BR739" s="70"/>
      <c r="BS739" s="62"/>
      <c r="BT739" s="62"/>
      <c r="BU739" s="62"/>
      <c r="BV739" s="62"/>
      <c r="BW739" s="71"/>
      <c r="BX739" s="66"/>
      <c r="BY739" s="60"/>
      <c r="BZ739" s="72"/>
    </row>
    <row r="740" spans="1:555" s="259" customFormat="1" ht="67.5">
      <c r="A740" s="57">
        <v>648</v>
      </c>
      <c r="B740" s="58" t="s">
        <v>5554</v>
      </c>
      <c r="C740" s="59">
        <v>11347015</v>
      </c>
      <c r="D740" s="170" t="s">
        <v>8138</v>
      </c>
      <c r="E740" s="60">
        <v>43027</v>
      </c>
      <c r="F740" s="61">
        <v>43009</v>
      </c>
      <c r="G740" s="62" t="s">
        <v>8128</v>
      </c>
      <c r="H740" s="58" t="s">
        <v>3423</v>
      </c>
      <c r="I740" s="58" t="s">
        <v>625</v>
      </c>
      <c r="J740" s="64">
        <v>43216</v>
      </c>
      <c r="K740" s="69">
        <v>43191</v>
      </c>
      <c r="L740" s="92" t="s">
        <v>5556</v>
      </c>
      <c r="M740" s="70" t="s">
        <v>5</v>
      </c>
      <c r="N740" s="70" t="s">
        <v>1189</v>
      </c>
      <c r="O740" s="60">
        <v>43601</v>
      </c>
      <c r="P740" s="61">
        <v>43601</v>
      </c>
      <c r="Q740" s="62" t="s">
        <v>8782</v>
      </c>
      <c r="R740" s="58" t="s">
        <v>5</v>
      </c>
      <c r="S740" s="58" t="s">
        <v>8243</v>
      </c>
      <c r="T740" s="60"/>
      <c r="U740" s="61"/>
      <c r="V740" s="62"/>
      <c r="W740" s="58"/>
      <c r="X740" s="58"/>
      <c r="Y740" s="60"/>
      <c r="Z740" s="61"/>
      <c r="AA740" s="62"/>
      <c r="AB740" s="58"/>
      <c r="AC740" s="58"/>
      <c r="AD740" s="60"/>
      <c r="AE740" s="61"/>
      <c r="AF740" s="62"/>
      <c r="AG740" s="58"/>
      <c r="AH740" s="58"/>
      <c r="AI740" s="117"/>
      <c r="AJ740" s="61"/>
      <c r="AK740" s="62"/>
      <c r="AL740" s="58"/>
      <c r="AM740" s="58"/>
      <c r="AN740" s="58" t="s">
        <v>4827</v>
      </c>
      <c r="AO740" s="478"/>
      <c r="AP740" s="58"/>
      <c r="AQ740" s="62" t="s">
        <v>5557</v>
      </c>
      <c r="AR740" s="58" t="s">
        <v>161</v>
      </c>
      <c r="AS740" s="60">
        <v>38545</v>
      </c>
      <c r="AT740" s="60">
        <v>40862</v>
      </c>
      <c r="AU740" s="58" t="s">
        <v>5558</v>
      </c>
      <c r="AV740" s="58"/>
      <c r="AW740" s="58" t="s">
        <v>69</v>
      </c>
      <c r="AX740" s="58" t="s">
        <v>5559</v>
      </c>
      <c r="AY740" s="60">
        <v>42408</v>
      </c>
      <c r="AZ740" s="58" t="s">
        <v>5560</v>
      </c>
      <c r="BA740" s="60">
        <v>42963</v>
      </c>
      <c r="BB740" s="382">
        <v>42979</v>
      </c>
      <c r="BC740" s="58" t="s">
        <v>95</v>
      </c>
      <c r="BD740" s="58" t="s">
        <v>566</v>
      </c>
      <c r="BE740" s="58"/>
      <c r="BF740" s="62" t="s">
        <v>5561</v>
      </c>
      <c r="BG740" s="62"/>
      <c r="BH740" s="62"/>
      <c r="BI740" s="62"/>
      <c r="BJ740" s="209">
        <f>+[262]MATRIZ!$J$77</f>
        <v>0</v>
      </c>
      <c r="BK740" s="67"/>
      <c r="BL740" s="68"/>
      <c r="BM740" s="60"/>
      <c r="BN740" s="61"/>
      <c r="BO740" s="463"/>
      <c r="BP740" s="122"/>
      <c r="BQ740" s="58"/>
      <c r="BR740" s="70"/>
      <c r="BS740" s="62"/>
      <c r="BT740" s="62"/>
      <c r="BU740" s="62"/>
      <c r="BV740" s="62"/>
      <c r="BW740" s="71"/>
      <c r="BX740" s="66"/>
      <c r="BY740" s="60"/>
      <c r="BZ740" s="72"/>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c r="JW740" s="1"/>
      <c r="JX740" s="1"/>
      <c r="JY740" s="1"/>
      <c r="JZ740" s="1"/>
      <c r="KA740" s="1"/>
      <c r="KB740" s="1"/>
      <c r="KC740" s="1"/>
      <c r="KD740" s="1"/>
      <c r="KE740" s="1"/>
      <c r="KF740" s="1"/>
      <c r="KG740" s="1"/>
      <c r="KH740" s="1"/>
      <c r="KI740" s="1"/>
      <c r="KJ740" s="1"/>
      <c r="KK740" s="1"/>
      <c r="KL740" s="1"/>
      <c r="KM740" s="1"/>
      <c r="KN740" s="1"/>
      <c r="KO740" s="1"/>
      <c r="KP740" s="1"/>
      <c r="KQ740" s="1"/>
      <c r="KR740" s="1"/>
      <c r="KS740" s="1"/>
      <c r="KT740" s="1"/>
      <c r="KU740" s="1"/>
      <c r="KV740" s="1"/>
      <c r="KW740" s="1"/>
      <c r="KX740" s="1"/>
      <c r="KY740" s="1"/>
      <c r="KZ740" s="1"/>
      <c r="LA740" s="1"/>
      <c r="LB740" s="1"/>
      <c r="LC740" s="1"/>
      <c r="LD740" s="1"/>
      <c r="LE740" s="1"/>
      <c r="LF740" s="1"/>
      <c r="LG740" s="1"/>
      <c r="LH740" s="1"/>
      <c r="LI740" s="1"/>
      <c r="LJ740" s="1"/>
      <c r="LK740" s="1"/>
      <c r="LL740" s="1"/>
      <c r="LM740" s="1"/>
      <c r="LN740" s="1"/>
      <c r="LO740" s="1"/>
      <c r="LP740" s="1"/>
      <c r="LQ740" s="1"/>
      <c r="LR740" s="1"/>
      <c r="LS740" s="1"/>
      <c r="LT740" s="1"/>
      <c r="LU740" s="1"/>
      <c r="LV740" s="1"/>
      <c r="LW740" s="1"/>
      <c r="LX740" s="1"/>
      <c r="LY740" s="1"/>
      <c r="LZ740" s="1"/>
      <c r="MA740" s="1"/>
      <c r="MB740" s="1"/>
      <c r="MC740" s="1"/>
      <c r="MD740" s="1"/>
      <c r="ME740" s="1"/>
      <c r="MF740" s="1"/>
      <c r="MG740" s="1"/>
      <c r="MH740" s="1"/>
      <c r="MI740" s="1"/>
      <c r="MJ740" s="1"/>
      <c r="MK740" s="1"/>
      <c r="ML740" s="1"/>
      <c r="MM740" s="1"/>
      <c r="MN740" s="1"/>
      <c r="MO740" s="1"/>
      <c r="MP740" s="1"/>
      <c r="MQ740" s="1"/>
      <c r="MR740" s="1"/>
      <c r="MS740" s="1"/>
      <c r="MT740" s="1"/>
      <c r="MU740" s="1"/>
      <c r="MV740" s="1"/>
      <c r="MW740" s="1"/>
      <c r="MX740" s="1"/>
      <c r="MY740" s="1"/>
      <c r="MZ740" s="1"/>
      <c r="NA740" s="1"/>
      <c r="NB740" s="1"/>
      <c r="NC740" s="1"/>
      <c r="ND740" s="1"/>
      <c r="NE740" s="1"/>
      <c r="NF740" s="1"/>
      <c r="NG740" s="1"/>
      <c r="NH740" s="1"/>
      <c r="NI740" s="1"/>
      <c r="NJ740" s="1"/>
      <c r="NK740" s="1"/>
      <c r="NL740" s="1"/>
      <c r="NM740" s="1"/>
      <c r="NN740" s="1"/>
      <c r="NO740" s="1"/>
      <c r="NP740" s="1"/>
      <c r="NQ740" s="1"/>
      <c r="NR740" s="1"/>
      <c r="NS740" s="1"/>
      <c r="NT740" s="1"/>
      <c r="NU740" s="1"/>
      <c r="NV740" s="1"/>
      <c r="NW740" s="1"/>
      <c r="NX740" s="1"/>
      <c r="NY740" s="1"/>
      <c r="NZ740" s="1"/>
      <c r="OA740" s="1"/>
      <c r="OB740" s="1"/>
      <c r="OC740" s="1"/>
      <c r="OD740" s="1"/>
      <c r="OE740" s="1"/>
      <c r="OF740" s="1"/>
      <c r="OG740" s="1"/>
      <c r="OH740" s="1"/>
      <c r="OI740" s="1"/>
      <c r="OJ740" s="1"/>
      <c r="OK740" s="1"/>
      <c r="OL740" s="1"/>
      <c r="OM740" s="1"/>
      <c r="ON740" s="1"/>
      <c r="OO740" s="1"/>
      <c r="OP740" s="1"/>
      <c r="OQ740" s="1"/>
      <c r="OR740" s="1"/>
      <c r="OS740" s="1"/>
      <c r="OT740" s="1"/>
      <c r="OU740" s="1"/>
      <c r="OV740" s="1"/>
      <c r="OW740" s="1"/>
      <c r="OX740" s="1"/>
      <c r="OY740" s="1"/>
      <c r="OZ740" s="1"/>
      <c r="PA740" s="1"/>
      <c r="PB740" s="1"/>
      <c r="PC740" s="1"/>
      <c r="PD740" s="1"/>
      <c r="PE740" s="1"/>
      <c r="PF740" s="1"/>
      <c r="PG740" s="1"/>
      <c r="PH740" s="1"/>
      <c r="PI740" s="1"/>
      <c r="PJ740" s="1"/>
      <c r="PK740" s="1"/>
      <c r="PL740" s="1"/>
      <c r="PM740" s="1"/>
      <c r="PN740" s="1"/>
      <c r="PO740" s="1"/>
      <c r="PP740" s="1"/>
      <c r="PQ740" s="1"/>
      <c r="PR740" s="1"/>
      <c r="PS740" s="1"/>
      <c r="PT740" s="1"/>
      <c r="PU740" s="1"/>
      <c r="PV740" s="1"/>
      <c r="PW740" s="1"/>
      <c r="PX740" s="1"/>
      <c r="PY740" s="1"/>
      <c r="PZ740" s="1"/>
      <c r="QA740" s="1"/>
      <c r="QB740" s="1"/>
      <c r="QC740" s="1"/>
      <c r="QD740" s="1"/>
      <c r="QE740" s="1"/>
      <c r="QF740" s="1"/>
      <c r="QG740" s="1"/>
      <c r="QH740" s="1"/>
      <c r="QI740" s="1"/>
      <c r="QJ740" s="1"/>
      <c r="QK740" s="1"/>
      <c r="QL740" s="1"/>
      <c r="QM740" s="1"/>
      <c r="QN740" s="1"/>
      <c r="QO740" s="1"/>
      <c r="QP740" s="1"/>
      <c r="QQ740" s="1"/>
      <c r="QR740" s="1"/>
      <c r="QS740" s="1"/>
      <c r="QT740" s="1"/>
      <c r="QU740" s="1"/>
      <c r="QV740" s="1"/>
      <c r="QW740" s="1"/>
      <c r="QX740" s="1"/>
      <c r="QY740" s="1"/>
      <c r="QZ740" s="1"/>
      <c r="RA740" s="1"/>
      <c r="RB740" s="1"/>
      <c r="RC740" s="1"/>
      <c r="RD740" s="1"/>
      <c r="RE740" s="1"/>
      <c r="RF740" s="1"/>
      <c r="RG740" s="1"/>
      <c r="RH740" s="1"/>
      <c r="RI740" s="1"/>
      <c r="RJ740" s="1"/>
      <c r="RK740" s="1"/>
      <c r="RL740" s="1"/>
      <c r="RM740" s="1"/>
      <c r="RN740" s="1"/>
      <c r="RO740" s="1"/>
      <c r="RP740" s="1"/>
      <c r="RQ740" s="1"/>
      <c r="RR740" s="1"/>
      <c r="RS740" s="1"/>
      <c r="RT740" s="1"/>
      <c r="RU740" s="1"/>
      <c r="RV740" s="1"/>
      <c r="RW740" s="1"/>
      <c r="RX740" s="1"/>
      <c r="RY740" s="1"/>
      <c r="RZ740" s="1"/>
      <c r="SA740" s="1"/>
      <c r="SB740" s="1"/>
      <c r="SC740" s="1"/>
      <c r="SD740" s="1"/>
      <c r="SE740" s="1"/>
      <c r="SF740" s="1"/>
      <c r="SG740" s="1"/>
      <c r="SH740" s="1"/>
      <c r="SI740" s="1"/>
      <c r="SJ740" s="1"/>
      <c r="SK740" s="1"/>
      <c r="SL740" s="1"/>
      <c r="SM740" s="1"/>
      <c r="SN740" s="1"/>
      <c r="SO740" s="1"/>
      <c r="SP740" s="1"/>
      <c r="SQ740" s="1"/>
      <c r="SR740" s="1"/>
      <c r="SS740" s="1"/>
      <c r="ST740" s="1"/>
      <c r="SU740" s="1"/>
      <c r="SV740" s="1"/>
      <c r="SW740" s="1"/>
      <c r="SX740" s="1"/>
      <c r="SY740" s="1"/>
      <c r="SZ740" s="1"/>
      <c r="TA740" s="1"/>
      <c r="TB740" s="1"/>
      <c r="TC740" s="1"/>
      <c r="TD740" s="1"/>
      <c r="TE740" s="1"/>
      <c r="TF740" s="1"/>
      <c r="TG740" s="1"/>
      <c r="TH740" s="1"/>
      <c r="TI740" s="1"/>
      <c r="TJ740" s="1"/>
      <c r="TK740" s="1"/>
      <c r="TL740" s="1"/>
      <c r="TM740" s="1"/>
      <c r="TN740" s="1"/>
      <c r="TO740" s="1"/>
      <c r="TP740" s="1"/>
      <c r="TQ740" s="1"/>
      <c r="TR740" s="1"/>
      <c r="TS740" s="1"/>
      <c r="TT740" s="1"/>
      <c r="TU740" s="1"/>
      <c r="TV740" s="1"/>
      <c r="TW740" s="1"/>
      <c r="TX740" s="1"/>
      <c r="TY740" s="1"/>
      <c r="TZ740" s="1"/>
      <c r="UA740" s="1"/>
      <c r="UB740" s="1"/>
      <c r="UC740" s="1"/>
      <c r="UD740" s="1"/>
      <c r="UE740" s="1"/>
      <c r="UF740" s="1"/>
      <c r="UG740" s="1"/>
      <c r="UH740" s="1"/>
      <c r="UI740" s="1"/>
    </row>
    <row r="741" spans="1:555" ht="81">
      <c r="A741" s="502">
        <v>649</v>
      </c>
      <c r="B741" s="686" t="s">
        <v>5562</v>
      </c>
      <c r="C741" s="687">
        <v>6767150</v>
      </c>
      <c r="D741" s="688" t="s">
        <v>906</v>
      </c>
      <c r="E741" s="27">
        <v>43034</v>
      </c>
      <c r="F741" s="689">
        <v>43009</v>
      </c>
      <c r="G741" s="690" t="s">
        <v>5563</v>
      </c>
      <c r="H741" s="686" t="s">
        <v>1491</v>
      </c>
      <c r="I741" s="686" t="s">
        <v>198</v>
      </c>
      <c r="J741" s="27">
        <v>43042</v>
      </c>
      <c r="K741" s="689">
        <v>43040</v>
      </c>
      <c r="L741" s="690" t="s">
        <v>5564</v>
      </c>
      <c r="M741" s="686" t="s">
        <v>625</v>
      </c>
      <c r="N741" s="686" t="s">
        <v>3423</v>
      </c>
      <c r="O741" s="27">
        <v>43069</v>
      </c>
      <c r="P741" s="691">
        <v>43040</v>
      </c>
      <c r="Q741" s="690" t="s">
        <v>5565</v>
      </c>
      <c r="R741" s="686" t="s">
        <v>195</v>
      </c>
      <c r="S741" s="686" t="s">
        <v>4189</v>
      </c>
      <c r="T741" s="16">
        <v>43256</v>
      </c>
      <c r="U741" s="689">
        <v>43252</v>
      </c>
      <c r="V741" s="781" t="s">
        <v>5566</v>
      </c>
      <c r="W741" s="686" t="s">
        <v>5</v>
      </c>
      <c r="X741" s="701" t="s">
        <v>570</v>
      </c>
      <c r="Y741" s="27">
        <v>44035</v>
      </c>
      <c r="Z741" s="689">
        <v>44035</v>
      </c>
      <c r="AA741" s="690" t="s">
        <v>9557</v>
      </c>
      <c r="AB741" s="686" t="s">
        <v>63</v>
      </c>
      <c r="AC741" s="686" t="s">
        <v>9543</v>
      </c>
      <c r="AD741" s="27"/>
      <c r="AE741" s="689"/>
      <c r="AF741" s="690"/>
      <c r="AG741" s="686"/>
      <c r="AH741" s="686"/>
      <c r="AI741" s="704"/>
      <c r="AJ741" s="689"/>
      <c r="AK741" s="690"/>
      <c r="AL741" s="686"/>
      <c r="AM741" s="686"/>
      <c r="AN741" s="686" t="s">
        <v>3671</v>
      </c>
      <c r="AO741" s="705"/>
      <c r="AP741" s="686"/>
      <c r="AQ741" s="690" t="s">
        <v>5567</v>
      </c>
      <c r="AR741" s="686" t="s">
        <v>161</v>
      </c>
      <c r="AS741" s="27">
        <v>34123</v>
      </c>
      <c r="AT741" s="27">
        <v>40908</v>
      </c>
      <c r="AU741" s="686" t="s">
        <v>5568</v>
      </c>
      <c r="AV741" s="686"/>
      <c r="AW741" s="686" t="s">
        <v>69</v>
      </c>
      <c r="AX741" s="686" t="s">
        <v>5569</v>
      </c>
      <c r="AY741" s="27">
        <v>42529</v>
      </c>
      <c r="AZ741" s="686" t="s">
        <v>5570</v>
      </c>
      <c r="BA741" s="27">
        <v>42986</v>
      </c>
      <c r="BB741" s="27">
        <v>43017</v>
      </c>
      <c r="BC741" s="701" t="s">
        <v>912</v>
      </c>
      <c r="BD741" s="701" t="s">
        <v>566</v>
      </c>
      <c r="BE741" s="686"/>
      <c r="BF741" s="690"/>
      <c r="BG741" s="690"/>
      <c r="BH741" s="690"/>
      <c r="BI741" s="690"/>
      <c r="BJ741" s="708">
        <f>+[263]MATRIZ!$J$79</f>
        <v>0</v>
      </c>
      <c r="BK741" s="696"/>
      <c r="BL741" s="697"/>
      <c r="BM741" s="27"/>
      <c r="BN741" s="689"/>
      <c r="BO741" s="699"/>
      <c r="BP741" s="700"/>
      <c r="BQ741" s="686"/>
      <c r="BR741" s="701"/>
      <c r="BS741" s="690"/>
      <c r="BT741" s="690"/>
      <c r="BU741" s="690"/>
      <c r="BV741" s="690"/>
      <c r="BW741" s="702"/>
      <c r="BX741" s="693"/>
      <c r="BY741" s="27"/>
      <c r="BZ741" s="703"/>
      <c r="CA741" s="259"/>
      <c r="CB741" s="259"/>
      <c r="CC741" s="259"/>
      <c r="CD741" s="259"/>
      <c r="CE741" s="259"/>
      <c r="CF741" s="259"/>
      <c r="CG741" s="259"/>
      <c r="CH741" s="259"/>
      <c r="CI741" s="259"/>
      <c r="CJ741" s="259"/>
      <c r="CK741" s="259"/>
      <c r="CL741" s="259"/>
      <c r="CM741" s="259"/>
      <c r="CN741" s="259"/>
      <c r="CO741" s="259"/>
      <c r="CP741" s="259"/>
      <c r="CQ741" s="259"/>
      <c r="CR741" s="259"/>
      <c r="CS741" s="259"/>
      <c r="CT741" s="259"/>
      <c r="CU741" s="259"/>
      <c r="CV741" s="259"/>
      <c r="CW741" s="259"/>
      <c r="CX741" s="259"/>
      <c r="CY741" s="259"/>
      <c r="CZ741" s="259"/>
      <c r="DA741" s="259"/>
      <c r="DB741" s="259"/>
      <c r="DC741" s="259"/>
      <c r="DD741" s="259"/>
      <c r="DE741" s="259"/>
      <c r="DF741" s="259"/>
      <c r="DG741" s="259"/>
      <c r="DH741" s="259"/>
      <c r="DI741" s="259"/>
      <c r="DJ741" s="259"/>
      <c r="DK741" s="259"/>
      <c r="DL741" s="259"/>
      <c r="DM741" s="259"/>
      <c r="DN741" s="259"/>
      <c r="DO741" s="259"/>
      <c r="DP741" s="259"/>
      <c r="DQ741" s="259"/>
      <c r="DR741" s="259"/>
      <c r="DS741" s="259"/>
      <c r="DT741" s="259"/>
      <c r="DU741" s="259"/>
      <c r="DV741" s="259"/>
      <c r="DW741" s="259"/>
      <c r="DX741" s="259"/>
      <c r="DY741" s="259"/>
      <c r="DZ741" s="259"/>
      <c r="EA741" s="259"/>
      <c r="EB741" s="259"/>
      <c r="EC741" s="259"/>
      <c r="ED741" s="259"/>
      <c r="EE741" s="259"/>
      <c r="EF741" s="259"/>
      <c r="EG741" s="259"/>
      <c r="EH741" s="259"/>
      <c r="EI741" s="259"/>
      <c r="EJ741" s="259"/>
      <c r="EK741" s="259"/>
      <c r="EL741" s="259"/>
      <c r="EM741" s="259"/>
      <c r="EN741" s="259"/>
      <c r="EO741" s="259"/>
      <c r="EP741" s="259"/>
      <c r="EQ741" s="259"/>
      <c r="ER741" s="259"/>
      <c r="ES741" s="259"/>
      <c r="ET741" s="259"/>
      <c r="EU741" s="259"/>
      <c r="EV741" s="259"/>
      <c r="EW741" s="259"/>
      <c r="EX741" s="259"/>
      <c r="EY741" s="259"/>
      <c r="EZ741" s="259"/>
      <c r="FA741" s="259"/>
      <c r="FB741" s="259"/>
      <c r="FC741" s="259"/>
      <c r="FD741" s="259"/>
      <c r="FE741" s="259"/>
      <c r="FF741" s="259"/>
      <c r="FG741" s="259"/>
      <c r="FH741" s="259"/>
      <c r="FI741" s="259"/>
      <c r="FJ741" s="259"/>
      <c r="FK741" s="259"/>
      <c r="FL741" s="259"/>
      <c r="FM741" s="259"/>
      <c r="FN741" s="259"/>
      <c r="FO741" s="259"/>
      <c r="FP741" s="259"/>
      <c r="FQ741" s="259"/>
      <c r="FR741" s="259"/>
      <c r="FS741" s="259"/>
      <c r="FT741" s="259"/>
      <c r="FU741" s="259"/>
      <c r="FV741" s="259"/>
      <c r="FW741" s="259"/>
      <c r="FX741" s="259"/>
      <c r="FY741" s="259"/>
      <c r="FZ741" s="259"/>
      <c r="GA741" s="259"/>
      <c r="GB741" s="259"/>
      <c r="GC741" s="259"/>
      <c r="GD741" s="259"/>
      <c r="GE741" s="259"/>
      <c r="GF741" s="259"/>
      <c r="GG741" s="259"/>
      <c r="GH741" s="259"/>
      <c r="GI741" s="259"/>
      <c r="GJ741" s="259"/>
      <c r="GK741" s="259"/>
      <c r="GL741" s="259"/>
      <c r="GM741" s="259"/>
      <c r="GN741" s="259"/>
      <c r="GO741" s="259"/>
      <c r="GP741" s="259"/>
      <c r="GQ741" s="259"/>
      <c r="GR741" s="259"/>
      <c r="GS741" s="259"/>
      <c r="GT741" s="259"/>
      <c r="GU741" s="259"/>
      <c r="GV741" s="259"/>
      <c r="GW741" s="259"/>
      <c r="GX741" s="259"/>
      <c r="GY741" s="259"/>
      <c r="GZ741" s="259"/>
      <c r="HA741" s="259"/>
      <c r="HB741" s="259"/>
      <c r="HC741" s="259"/>
      <c r="HD741" s="259"/>
      <c r="HE741" s="259"/>
      <c r="HF741" s="259"/>
      <c r="HG741" s="259"/>
      <c r="HH741" s="259"/>
      <c r="HI741" s="259"/>
      <c r="HJ741" s="259"/>
      <c r="HK741" s="259"/>
      <c r="HL741" s="259"/>
      <c r="HM741" s="259"/>
      <c r="HN741" s="259"/>
      <c r="HO741" s="259"/>
      <c r="HP741" s="259"/>
      <c r="HQ741" s="259"/>
      <c r="HR741" s="259"/>
      <c r="HS741" s="259"/>
      <c r="HT741" s="259"/>
      <c r="HU741" s="259"/>
      <c r="HV741" s="259"/>
      <c r="HW741" s="259"/>
      <c r="HX741" s="259"/>
      <c r="HY741" s="259"/>
      <c r="HZ741" s="259"/>
      <c r="IA741" s="259"/>
      <c r="IB741" s="259"/>
      <c r="IC741" s="259"/>
      <c r="ID741" s="259"/>
      <c r="IE741" s="259"/>
      <c r="IF741" s="259"/>
      <c r="IG741" s="259"/>
      <c r="IH741" s="259"/>
      <c r="II741" s="259"/>
      <c r="IJ741" s="259"/>
      <c r="IK741" s="259"/>
      <c r="IL741" s="259"/>
      <c r="IM741" s="259"/>
      <c r="IN741" s="259"/>
      <c r="IO741" s="259"/>
      <c r="IP741" s="259"/>
      <c r="IQ741" s="259"/>
      <c r="IR741" s="259"/>
      <c r="IS741" s="259"/>
      <c r="IT741" s="259"/>
      <c r="IU741" s="259"/>
      <c r="IV741" s="259"/>
      <c r="IW741" s="259"/>
      <c r="IX741" s="259"/>
      <c r="IY741" s="259"/>
      <c r="IZ741" s="259"/>
      <c r="JA741" s="259"/>
      <c r="JB741" s="259"/>
      <c r="JC741" s="259"/>
      <c r="JD741" s="259"/>
      <c r="JE741" s="259"/>
      <c r="JF741" s="259"/>
      <c r="JG741" s="259"/>
      <c r="JH741" s="259"/>
      <c r="JI741" s="259"/>
      <c r="JJ741" s="259"/>
      <c r="JK741" s="259"/>
      <c r="JL741" s="259"/>
      <c r="JM741" s="259"/>
      <c r="JN741" s="259"/>
      <c r="JO741" s="259"/>
      <c r="JP741" s="259"/>
      <c r="JQ741" s="259"/>
      <c r="JR741" s="259"/>
      <c r="JS741" s="259"/>
      <c r="JT741" s="259"/>
      <c r="JU741" s="259"/>
      <c r="JV741" s="259"/>
      <c r="JW741" s="259"/>
      <c r="JX741" s="259"/>
      <c r="JY741" s="259"/>
      <c r="JZ741" s="259"/>
      <c r="KA741" s="259"/>
      <c r="KB741" s="259"/>
      <c r="KC741" s="259"/>
      <c r="KD741" s="259"/>
      <c r="KE741" s="259"/>
      <c r="KF741" s="259"/>
      <c r="KG741" s="259"/>
      <c r="KH741" s="259"/>
      <c r="KI741" s="259"/>
      <c r="KJ741" s="259"/>
      <c r="KK741" s="259"/>
      <c r="KL741" s="259"/>
      <c r="KM741" s="259"/>
      <c r="KN741" s="259"/>
      <c r="KO741" s="259"/>
      <c r="KP741" s="259"/>
      <c r="KQ741" s="259"/>
      <c r="KR741" s="259"/>
      <c r="KS741" s="259"/>
      <c r="KT741" s="259"/>
      <c r="KU741" s="259"/>
      <c r="KV741" s="259"/>
      <c r="KW741" s="259"/>
      <c r="KX741" s="259"/>
      <c r="KY741" s="259"/>
      <c r="KZ741" s="259"/>
      <c r="LA741" s="259"/>
      <c r="LB741" s="259"/>
      <c r="LC741" s="259"/>
      <c r="LD741" s="259"/>
      <c r="LE741" s="259"/>
      <c r="LF741" s="259"/>
      <c r="LG741" s="259"/>
      <c r="LH741" s="259"/>
      <c r="LI741" s="259"/>
      <c r="LJ741" s="259"/>
      <c r="LK741" s="259"/>
      <c r="LL741" s="259"/>
      <c r="LM741" s="259"/>
      <c r="LN741" s="259"/>
      <c r="LO741" s="259"/>
      <c r="LP741" s="259"/>
      <c r="LQ741" s="259"/>
      <c r="LR741" s="259"/>
      <c r="LS741" s="259"/>
      <c r="LT741" s="259"/>
      <c r="LU741" s="259"/>
      <c r="LV741" s="259"/>
      <c r="LW741" s="259"/>
      <c r="LX741" s="259"/>
      <c r="LY741" s="259"/>
      <c r="LZ741" s="259"/>
      <c r="MA741" s="259"/>
      <c r="MB741" s="259"/>
      <c r="MC741" s="259"/>
      <c r="MD741" s="259"/>
      <c r="ME741" s="259"/>
      <c r="MF741" s="259"/>
      <c r="MG741" s="259"/>
      <c r="MH741" s="259"/>
      <c r="MI741" s="259"/>
      <c r="MJ741" s="259"/>
      <c r="MK741" s="259"/>
      <c r="ML741" s="259"/>
      <c r="MM741" s="259"/>
      <c r="MN741" s="259"/>
      <c r="MO741" s="259"/>
      <c r="MP741" s="259"/>
      <c r="MQ741" s="259"/>
      <c r="MR741" s="259"/>
      <c r="MS741" s="259"/>
      <c r="MT741" s="259"/>
      <c r="MU741" s="259"/>
      <c r="MV741" s="259"/>
      <c r="MW741" s="259"/>
      <c r="MX741" s="259"/>
      <c r="MY741" s="259"/>
      <c r="MZ741" s="259"/>
      <c r="NA741" s="259"/>
      <c r="NB741" s="259"/>
      <c r="NC741" s="259"/>
      <c r="ND741" s="259"/>
      <c r="NE741" s="259"/>
      <c r="NF741" s="259"/>
      <c r="NG741" s="259"/>
      <c r="NH741" s="259"/>
      <c r="NI741" s="259"/>
      <c r="NJ741" s="259"/>
      <c r="NK741" s="259"/>
      <c r="NL741" s="259"/>
      <c r="NM741" s="259"/>
      <c r="NN741" s="259"/>
      <c r="NO741" s="259"/>
      <c r="NP741" s="259"/>
      <c r="NQ741" s="259"/>
      <c r="NR741" s="259"/>
      <c r="NS741" s="259"/>
      <c r="NT741" s="259"/>
      <c r="NU741" s="259"/>
      <c r="NV741" s="259"/>
      <c r="NW741" s="259"/>
      <c r="NX741" s="259"/>
      <c r="NY741" s="259"/>
      <c r="NZ741" s="259"/>
      <c r="OA741" s="259"/>
      <c r="OB741" s="259"/>
      <c r="OC741" s="259"/>
      <c r="OD741" s="259"/>
      <c r="OE741" s="259"/>
      <c r="OF741" s="259"/>
      <c r="OG741" s="259"/>
      <c r="OH741" s="259"/>
      <c r="OI741" s="259"/>
      <c r="OJ741" s="259"/>
      <c r="OK741" s="259"/>
      <c r="OL741" s="259"/>
      <c r="OM741" s="259"/>
      <c r="ON741" s="259"/>
      <c r="OO741" s="259"/>
      <c r="OP741" s="259"/>
      <c r="OQ741" s="259"/>
      <c r="OR741" s="259"/>
      <c r="OS741" s="259"/>
      <c r="OT741" s="259"/>
      <c r="OU741" s="259"/>
      <c r="OV741" s="259"/>
      <c r="OW741" s="259"/>
      <c r="OX741" s="259"/>
      <c r="OY741" s="259"/>
      <c r="OZ741" s="259"/>
      <c r="PA741" s="259"/>
      <c r="PB741" s="259"/>
      <c r="PC741" s="259"/>
      <c r="PD741" s="259"/>
      <c r="PE741" s="259"/>
      <c r="PF741" s="259"/>
      <c r="PG741" s="259"/>
      <c r="PH741" s="259"/>
      <c r="PI741" s="259"/>
      <c r="PJ741" s="259"/>
      <c r="PK741" s="259"/>
      <c r="PL741" s="259"/>
      <c r="PM741" s="259"/>
      <c r="PN741" s="259"/>
      <c r="PO741" s="259"/>
      <c r="PP741" s="259"/>
      <c r="PQ741" s="259"/>
      <c r="PR741" s="259"/>
      <c r="PS741" s="259"/>
      <c r="PT741" s="259"/>
      <c r="PU741" s="259"/>
      <c r="PV741" s="259"/>
      <c r="PW741" s="259"/>
      <c r="PX741" s="259"/>
      <c r="PY741" s="259"/>
      <c r="PZ741" s="259"/>
      <c r="QA741" s="259"/>
      <c r="QB741" s="259"/>
      <c r="QC741" s="259"/>
      <c r="QD741" s="259"/>
      <c r="QE741" s="259"/>
      <c r="QF741" s="259"/>
      <c r="QG741" s="259"/>
      <c r="QH741" s="259"/>
      <c r="QI741" s="259"/>
      <c r="QJ741" s="259"/>
      <c r="QK741" s="259"/>
      <c r="QL741" s="259"/>
      <c r="QM741" s="259"/>
      <c r="QN741" s="259"/>
      <c r="QO741" s="259"/>
      <c r="QP741" s="259"/>
      <c r="QQ741" s="259"/>
      <c r="QR741" s="259"/>
      <c r="QS741" s="259"/>
      <c r="QT741" s="259"/>
      <c r="QU741" s="259"/>
      <c r="QV741" s="259"/>
      <c r="QW741" s="259"/>
      <c r="QX741" s="259"/>
      <c r="QY741" s="259"/>
      <c r="QZ741" s="259"/>
      <c r="RA741" s="259"/>
      <c r="RB741" s="259"/>
      <c r="RC741" s="259"/>
      <c r="RD741" s="259"/>
      <c r="RE741" s="259"/>
      <c r="RF741" s="259"/>
      <c r="RG741" s="259"/>
      <c r="RH741" s="259"/>
      <c r="RI741" s="259"/>
      <c r="RJ741" s="259"/>
      <c r="RK741" s="259"/>
      <c r="RL741" s="259"/>
      <c r="RM741" s="259"/>
      <c r="RN741" s="259"/>
      <c r="RO741" s="259"/>
      <c r="RP741" s="259"/>
      <c r="RQ741" s="259"/>
      <c r="RR741" s="259"/>
      <c r="RS741" s="259"/>
      <c r="RT741" s="259"/>
      <c r="RU741" s="259"/>
      <c r="RV741" s="259"/>
      <c r="RW741" s="259"/>
      <c r="RX741" s="259"/>
      <c r="RY741" s="259"/>
      <c r="RZ741" s="259"/>
      <c r="SA741" s="259"/>
      <c r="SB741" s="259"/>
      <c r="SC741" s="259"/>
      <c r="SD741" s="259"/>
      <c r="SE741" s="259"/>
      <c r="SF741" s="259"/>
      <c r="SG741" s="259"/>
      <c r="SH741" s="259"/>
      <c r="SI741" s="259"/>
      <c r="SJ741" s="259"/>
      <c r="SK741" s="259"/>
      <c r="SL741" s="259"/>
      <c r="SM741" s="259"/>
      <c r="SN741" s="259"/>
      <c r="SO741" s="259"/>
      <c r="SP741" s="259"/>
      <c r="SQ741" s="259"/>
      <c r="SR741" s="259"/>
      <c r="SS741" s="259"/>
      <c r="ST741" s="259"/>
      <c r="SU741" s="259"/>
      <c r="SV741" s="259"/>
      <c r="SW741" s="259"/>
      <c r="SX741" s="259"/>
      <c r="SY741" s="259"/>
      <c r="SZ741" s="259"/>
      <c r="TA741" s="259"/>
      <c r="TB741" s="259"/>
      <c r="TC741" s="259"/>
      <c r="TD741" s="259"/>
      <c r="TE741" s="259"/>
      <c r="TF741" s="259"/>
      <c r="TG741" s="259"/>
      <c r="TH741" s="259"/>
      <c r="TI741" s="259"/>
      <c r="TJ741" s="259"/>
      <c r="TK741" s="259"/>
      <c r="TL741" s="259"/>
      <c r="TM741" s="259"/>
      <c r="TN741" s="259"/>
      <c r="TO741" s="259"/>
      <c r="TP741" s="259"/>
      <c r="TQ741" s="259"/>
      <c r="TR741" s="259"/>
      <c r="TS741" s="259"/>
      <c r="TT741" s="259"/>
      <c r="TU741" s="259"/>
      <c r="TV741" s="259"/>
      <c r="TW741" s="259"/>
      <c r="TX741" s="259"/>
      <c r="TY741" s="259"/>
      <c r="TZ741" s="259"/>
      <c r="UA741" s="259"/>
      <c r="UB741" s="259"/>
      <c r="UC741" s="259"/>
      <c r="UD741" s="259"/>
      <c r="UE741" s="259"/>
      <c r="UF741" s="259"/>
      <c r="UG741" s="259"/>
      <c r="UH741" s="259"/>
      <c r="UI741" s="259"/>
    </row>
    <row r="742" spans="1:555" ht="81">
      <c r="A742" s="57">
        <v>650</v>
      </c>
      <c r="B742" s="58" t="s">
        <v>5571</v>
      </c>
      <c r="C742" s="59">
        <v>79005491</v>
      </c>
      <c r="D742" s="170" t="s">
        <v>906</v>
      </c>
      <c r="E742" s="60">
        <v>43027</v>
      </c>
      <c r="F742" s="61">
        <v>43009</v>
      </c>
      <c r="G742" s="62" t="s">
        <v>5572</v>
      </c>
      <c r="H742" s="58" t="s">
        <v>3423</v>
      </c>
      <c r="I742" s="58" t="s">
        <v>625</v>
      </c>
      <c r="J742" s="60"/>
      <c r="K742" s="61"/>
      <c r="L742" s="62"/>
      <c r="M742" s="58"/>
      <c r="N742" s="58"/>
      <c r="O742" s="60"/>
      <c r="P742" s="63"/>
      <c r="Q742" s="62"/>
      <c r="R742" s="58"/>
      <c r="S742" s="58"/>
      <c r="T742" s="60"/>
      <c r="U742" s="61"/>
      <c r="V742" s="62"/>
      <c r="W742" s="58"/>
      <c r="X742" s="58"/>
      <c r="Y742" s="60"/>
      <c r="Z742" s="61"/>
      <c r="AA742" s="62"/>
      <c r="AB742" s="58"/>
      <c r="AC742" s="58"/>
      <c r="AD742" s="60"/>
      <c r="AE742" s="61"/>
      <c r="AF742" s="62"/>
      <c r="AG742" s="58"/>
      <c r="AH742" s="58"/>
      <c r="AI742" s="117"/>
      <c r="AJ742" s="61"/>
      <c r="AK742" s="62"/>
      <c r="AL742" s="58"/>
      <c r="AM742" s="58"/>
      <c r="AN742" s="58" t="s">
        <v>3671</v>
      </c>
      <c r="AO742" s="478"/>
      <c r="AP742" s="58"/>
      <c r="AQ742" s="62" t="s">
        <v>5573</v>
      </c>
      <c r="AR742" s="58" t="s">
        <v>161</v>
      </c>
      <c r="AS742" s="60">
        <v>38062</v>
      </c>
      <c r="AT742" s="60">
        <v>40908</v>
      </c>
      <c r="AU742" s="58" t="s">
        <v>4499</v>
      </c>
      <c r="AV742" s="58"/>
      <c r="AW742" s="58" t="s">
        <v>69</v>
      </c>
      <c r="AX742" s="58" t="s">
        <v>5574</v>
      </c>
      <c r="AY742" s="60">
        <v>42496</v>
      </c>
      <c r="AZ742" s="58" t="s">
        <v>5575</v>
      </c>
      <c r="BA742" s="60">
        <v>43004</v>
      </c>
      <c r="BB742" s="382">
        <v>42989</v>
      </c>
      <c r="BC742" s="70" t="s">
        <v>912</v>
      </c>
      <c r="BD742" s="70" t="s">
        <v>566</v>
      </c>
      <c r="BE742" s="58"/>
      <c r="BF742" s="62"/>
      <c r="BG742" s="62"/>
      <c r="BH742" s="62"/>
      <c r="BI742" s="62"/>
      <c r="BJ742" s="209">
        <f>+[264]MATRIZ!$J$53</f>
        <v>0</v>
      </c>
      <c r="BK742" s="67"/>
      <c r="BL742" s="68"/>
      <c r="BM742" s="60"/>
      <c r="BN742" s="61"/>
      <c r="BO742" s="463"/>
      <c r="BP742" s="122"/>
      <c r="BQ742" s="58"/>
      <c r="BR742" s="70"/>
      <c r="BS742" s="62"/>
      <c r="BT742" s="62"/>
      <c r="BU742" s="62"/>
      <c r="BV742" s="62"/>
      <c r="BW742" s="71"/>
      <c r="BX742" s="66"/>
      <c r="BY742" s="60"/>
      <c r="BZ742" s="72"/>
    </row>
    <row r="743" spans="1:555" s="259" customFormat="1" ht="66.75" customHeight="1">
      <c r="A743" s="57">
        <v>651</v>
      </c>
      <c r="B743" s="58" t="s">
        <v>5576</v>
      </c>
      <c r="C743" s="59">
        <v>79327421</v>
      </c>
      <c r="D743" s="170" t="s">
        <v>906</v>
      </c>
      <c r="E743" s="60">
        <v>43014</v>
      </c>
      <c r="F743" s="61">
        <v>43009</v>
      </c>
      <c r="G743" s="62" t="s">
        <v>5577</v>
      </c>
      <c r="H743" s="58" t="s">
        <v>3423</v>
      </c>
      <c r="I743" s="58" t="s">
        <v>625</v>
      </c>
      <c r="J743" s="60">
        <v>43042</v>
      </c>
      <c r="K743" s="61">
        <v>43040</v>
      </c>
      <c r="L743" s="62" t="s">
        <v>5578</v>
      </c>
      <c r="M743" s="58" t="s">
        <v>625</v>
      </c>
      <c r="N743" s="58" t="s">
        <v>3423</v>
      </c>
      <c r="O743" s="60">
        <v>43069</v>
      </c>
      <c r="P743" s="63">
        <v>43040</v>
      </c>
      <c r="Q743" s="62" t="s">
        <v>5579</v>
      </c>
      <c r="R743" s="58" t="s">
        <v>195</v>
      </c>
      <c r="S743" s="58" t="s">
        <v>1491</v>
      </c>
      <c r="T743" s="60" t="s">
        <v>5580</v>
      </c>
      <c r="U743" s="61">
        <v>43305</v>
      </c>
      <c r="V743" s="62" t="s">
        <v>271</v>
      </c>
      <c r="W743" s="58" t="s">
        <v>5581</v>
      </c>
      <c r="X743" s="58" t="s">
        <v>5582</v>
      </c>
      <c r="Y743" s="60">
        <v>43343</v>
      </c>
      <c r="Z743" s="61">
        <v>43343</v>
      </c>
      <c r="AA743" s="66" t="s">
        <v>5583</v>
      </c>
      <c r="AB743" s="58" t="s">
        <v>5</v>
      </c>
      <c r="AC743" s="58" t="s">
        <v>2413</v>
      </c>
      <c r="AD743" s="60">
        <v>43523</v>
      </c>
      <c r="AE743" s="61">
        <v>43523</v>
      </c>
      <c r="AF743" s="62" t="s">
        <v>8298</v>
      </c>
      <c r="AG743" s="58" t="s">
        <v>5</v>
      </c>
      <c r="AH743" s="58" t="s">
        <v>85</v>
      </c>
      <c r="AI743" s="117"/>
      <c r="AJ743" s="61"/>
      <c r="AK743" s="62"/>
      <c r="AL743" s="58"/>
      <c r="AM743" s="58"/>
      <c r="AN743" s="58" t="s">
        <v>3671</v>
      </c>
      <c r="AO743" s="478" t="s">
        <v>7949</v>
      </c>
      <c r="AP743" s="58"/>
      <c r="AQ743" s="62" t="s">
        <v>5584</v>
      </c>
      <c r="AR743" s="58" t="s">
        <v>161</v>
      </c>
      <c r="AS743" s="60">
        <v>32911</v>
      </c>
      <c r="AT743" s="60">
        <v>40908</v>
      </c>
      <c r="AU743" s="58" t="s">
        <v>8299</v>
      </c>
      <c r="AV743" s="58"/>
      <c r="AW743" s="58" t="s">
        <v>69</v>
      </c>
      <c r="AX743" s="58" t="s">
        <v>5585</v>
      </c>
      <c r="AY743" s="60">
        <v>42578</v>
      </c>
      <c r="AZ743" s="58" t="s">
        <v>5570</v>
      </c>
      <c r="BA743" s="60">
        <v>43000</v>
      </c>
      <c r="BB743" s="382">
        <v>43019</v>
      </c>
      <c r="BC743" s="70" t="s">
        <v>912</v>
      </c>
      <c r="BD743" s="70" t="s">
        <v>566</v>
      </c>
      <c r="BE743" s="58"/>
      <c r="BF743" s="62"/>
      <c r="BG743" s="62"/>
      <c r="BH743" s="62"/>
      <c r="BI743" s="62"/>
      <c r="BJ743" s="209">
        <f>+[265]MATRIZ!$J$85</f>
        <v>0</v>
      </c>
      <c r="BK743" s="67"/>
      <c r="BL743" s="68"/>
      <c r="BM743" s="60"/>
      <c r="BN743" s="61"/>
      <c r="BO743" s="463"/>
      <c r="BP743" s="122"/>
      <c r="BQ743" s="58"/>
      <c r="BR743" s="70"/>
      <c r="BS743" s="62"/>
      <c r="BT743" s="62"/>
      <c r="BU743" s="62"/>
      <c r="BV743" s="62"/>
      <c r="BW743" s="71"/>
      <c r="BX743" s="66"/>
      <c r="BY743" s="60"/>
      <c r="BZ743" s="72"/>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c r="JW743" s="1"/>
      <c r="JX743" s="1"/>
      <c r="JY743" s="1"/>
      <c r="JZ743" s="1"/>
      <c r="KA743" s="1"/>
      <c r="KB743" s="1"/>
      <c r="KC743" s="1"/>
      <c r="KD743" s="1"/>
      <c r="KE743" s="1"/>
      <c r="KF743" s="1"/>
      <c r="KG743" s="1"/>
      <c r="KH743" s="1"/>
      <c r="KI743" s="1"/>
      <c r="KJ743" s="1"/>
      <c r="KK743" s="1"/>
      <c r="KL743" s="1"/>
      <c r="KM743" s="1"/>
      <c r="KN743" s="1"/>
      <c r="KO743" s="1"/>
      <c r="KP743" s="1"/>
      <c r="KQ743" s="1"/>
      <c r="KR743" s="1"/>
      <c r="KS743" s="1"/>
      <c r="KT743" s="1"/>
      <c r="KU743" s="1"/>
      <c r="KV743" s="1"/>
      <c r="KW743" s="1"/>
      <c r="KX743" s="1"/>
      <c r="KY743" s="1"/>
      <c r="KZ743" s="1"/>
      <c r="LA743" s="1"/>
      <c r="LB743" s="1"/>
      <c r="LC743" s="1"/>
      <c r="LD743" s="1"/>
      <c r="LE743" s="1"/>
      <c r="LF743" s="1"/>
      <c r="LG743" s="1"/>
      <c r="LH743" s="1"/>
      <c r="LI743" s="1"/>
      <c r="LJ743" s="1"/>
      <c r="LK743" s="1"/>
      <c r="LL743" s="1"/>
      <c r="LM743" s="1"/>
      <c r="LN743" s="1"/>
      <c r="LO743" s="1"/>
      <c r="LP743" s="1"/>
      <c r="LQ743" s="1"/>
      <c r="LR743" s="1"/>
      <c r="LS743" s="1"/>
      <c r="LT743" s="1"/>
      <c r="LU743" s="1"/>
      <c r="LV743" s="1"/>
      <c r="LW743" s="1"/>
      <c r="LX743" s="1"/>
      <c r="LY743" s="1"/>
      <c r="LZ743" s="1"/>
      <c r="MA743" s="1"/>
      <c r="MB743" s="1"/>
      <c r="MC743" s="1"/>
      <c r="MD743" s="1"/>
      <c r="ME743" s="1"/>
      <c r="MF743" s="1"/>
      <c r="MG743" s="1"/>
      <c r="MH743" s="1"/>
      <c r="MI743" s="1"/>
      <c r="MJ743" s="1"/>
      <c r="MK743" s="1"/>
      <c r="ML743" s="1"/>
      <c r="MM743" s="1"/>
      <c r="MN743" s="1"/>
      <c r="MO743" s="1"/>
      <c r="MP743" s="1"/>
      <c r="MQ743" s="1"/>
      <c r="MR743" s="1"/>
      <c r="MS743" s="1"/>
      <c r="MT743" s="1"/>
      <c r="MU743" s="1"/>
      <c r="MV743" s="1"/>
      <c r="MW743" s="1"/>
      <c r="MX743" s="1"/>
      <c r="MY743" s="1"/>
      <c r="MZ743" s="1"/>
      <c r="NA743" s="1"/>
      <c r="NB743" s="1"/>
      <c r="NC743" s="1"/>
      <c r="ND743" s="1"/>
      <c r="NE743" s="1"/>
      <c r="NF743" s="1"/>
      <c r="NG743" s="1"/>
      <c r="NH743" s="1"/>
      <c r="NI743" s="1"/>
      <c r="NJ743" s="1"/>
      <c r="NK743" s="1"/>
      <c r="NL743" s="1"/>
      <c r="NM743" s="1"/>
      <c r="NN743" s="1"/>
      <c r="NO743" s="1"/>
      <c r="NP743" s="1"/>
      <c r="NQ743" s="1"/>
      <c r="NR743" s="1"/>
      <c r="NS743" s="1"/>
      <c r="NT743" s="1"/>
      <c r="NU743" s="1"/>
      <c r="NV743" s="1"/>
      <c r="NW743" s="1"/>
      <c r="NX743" s="1"/>
      <c r="NY743" s="1"/>
      <c r="NZ743" s="1"/>
      <c r="OA743" s="1"/>
      <c r="OB743" s="1"/>
      <c r="OC743" s="1"/>
      <c r="OD743" s="1"/>
      <c r="OE743" s="1"/>
      <c r="OF743" s="1"/>
      <c r="OG743" s="1"/>
      <c r="OH743" s="1"/>
      <c r="OI743" s="1"/>
      <c r="OJ743" s="1"/>
      <c r="OK743" s="1"/>
      <c r="OL743" s="1"/>
      <c r="OM743" s="1"/>
      <c r="ON743" s="1"/>
      <c r="OO743" s="1"/>
      <c r="OP743" s="1"/>
      <c r="OQ743" s="1"/>
      <c r="OR743" s="1"/>
      <c r="OS743" s="1"/>
      <c r="OT743" s="1"/>
      <c r="OU743" s="1"/>
      <c r="OV743" s="1"/>
      <c r="OW743" s="1"/>
      <c r="OX743" s="1"/>
      <c r="OY743" s="1"/>
      <c r="OZ743" s="1"/>
      <c r="PA743" s="1"/>
      <c r="PB743" s="1"/>
      <c r="PC743" s="1"/>
      <c r="PD743" s="1"/>
      <c r="PE743" s="1"/>
      <c r="PF743" s="1"/>
      <c r="PG743" s="1"/>
      <c r="PH743" s="1"/>
      <c r="PI743" s="1"/>
      <c r="PJ743" s="1"/>
      <c r="PK743" s="1"/>
      <c r="PL743" s="1"/>
      <c r="PM743" s="1"/>
      <c r="PN743" s="1"/>
      <c r="PO743" s="1"/>
      <c r="PP743" s="1"/>
      <c r="PQ743" s="1"/>
      <c r="PR743" s="1"/>
      <c r="PS743" s="1"/>
      <c r="PT743" s="1"/>
      <c r="PU743" s="1"/>
      <c r="PV743" s="1"/>
      <c r="PW743" s="1"/>
      <c r="PX743" s="1"/>
      <c r="PY743" s="1"/>
      <c r="PZ743" s="1"/>
      <c r="QA743" s="1"/>
      <c r="QB743" s="1"/>
      <c r="QC743" s="1"/>
      <c r="QD743" s="1"/>
      <c r="QE743" s="1"/>
      <c r="QF743" s="1"/>
      <c r="QG743" s="1"/>
      <c r="QH743" s="1"/>
      <c r="QI743" s="1"/>
      <c r="QJ743" s="1"/>
      <c r="QK743" s="1"/>
      <c r="QL743" s="1"/>
      <c r="QM743" s="1"/>
      <c r="QN743" s="1"/>
      <c r="QO743" s="1"/>
      <c r="QP743" s="1"/>
      <c r="QQ743" s="1"/>
      <c r="QR743" s="1"/>
      <c r="QS743" s="1"/>
      <c r="QT743" s="1"/>
      <c r="QU743" s="1"/>
      <c r="QV743" s="1"/>
      <c r="QW743" s="1"/>
      <c r="QX743" s="1"/>
      <c r="QY743" s="1"/>
      <c r="QZ743" s="1"/>
      <c r="RA743" s="1"/>
      <c r="RB743" s="1"/>
      <c r="RC743" s="1"/>
      <c r="RD743" s="1"/>
      <c r="RE743" s="1"/>
      <c r="RF743" s="1"/>
      <c r="RG743" s="1"/>
      <c r="RH743" s="1"/>
      <c r="RI743" s="1"/>
      <c r="RJ743" s="1"/>
      <c r="RK743" s="1"/>
      <c r="RL743" s="1"/>
      <c r="RM743" s="1"/>
      <c r="RN743" s="1"/>
      <c r="RO743" s="1"/>
      <c r="RP743" s="1"/>
      <c r="RQ743" s="1"/>
      <c r="RR743" s="1"/>
      <c r="RS743" s="1"/>
      <c r="RT743" s="1"/>
      <c r="RU743" s="1"/>
      <c r="RV743" s="1"/>
      <c r="RW743" s="1"/>
      <c r="RX743" s="1"/>
      <c r="RY743" s="1"/>
      <c r="RZ743" s="1"/>
      <c r="SA743" s="1"/>
      <c r="SB743" s="1"/>
      <c r="SC743" s="1"/>
      <c r="SD743" s="1"/>
      <c r="SE743" s="1"/>
      <c r="SF743" s="1"/>
      <c r="SG743" s="1"/>
      <c r="SH743" s="1"/>
      <c r="SI743" s="1"/>
      <c r="SJ743" s="1"/>
      <c r="SK743" s="1"/>
      <c r="SL743" s="1"/>
      <c r="SM743" s="1"/>
      <c r="SN743" s="1"/>
      <c r="SO743" s="1"/>
      <c r="SP743" s="1"/>
      <c r="SQ743" s="1"/>
      <c r="SR743" s="1"/>
      <c r="SS743" s="1"/>
      <c r="ST743" s="1"/>
      <c r="SU743" s="1"/>
      <c r="SV743" s="1"/>
      <c r="SW743" s="1"/>
      <c r="SX743" s="1"/>
      <c r="SY743" s="1"/>
      <c r="SZ743" s="1"/>
      <c r="TA743" s="1"/>
      <c r="TB743" s="1"/>
      <c r="TC743" s="1"/>
      <c r="TD743" s="1"/>
      <c r="TE743" s="1"/>
      <c r="TF743" s="1"/>
      <c r="TG743" s="1"/>
      <c r="TH743" s="1"/>
      <c r="TI743" s="1"/>
      <c r="TJ743" s="1"/>
      <c r="TK743" s="1"/>
      <c r="TL743" s="1"/>
      <c r="TM743" s="1"/>
      <c r="TN743" s="1"/>
      <c r="TO743" s="1"/>
      <c r="TP743" s="1"/>
      <c r="TQ743" s="1"/>
      <c r="TR743" s="1"/>
      <c r="TS743" s="1"/>
      <c r="TT743" s="1"/>
      <c r="TU743" s="1"/>
      <c r="TV743" s="1"/>
      <c r="TW743" s="1"/>
      <c r="TX743" s="1"/>
      <c r="TY743" s="1"/>
      <c r="TZ743" s="1"/>
      <c r="UA743" s="1"/>
      <c r="UB743" s="1"/>
      <c r="UC743" s="1"/>
      <c r="UD743" s="1"/>
      <c r="UE743" s="1"/>
      <c r="UF743" s="1"/>
      <c r="UG743" s="1"/>
      <c r="UH743" s="1"/>
      <c r="UI743" s="1"/>
    </row>
    <row r="744" spans="1:555" ht="81">
      <c r="A744" s="502">
        <v>652</v>
      </c>
      <c r="B744" s="686" t="s">
        <v>4354</v>
      </c>
      <c r="C744" s="687">
        <v>80657200</v>
      </c>
      <c r="D744" s="688" t="s">
        <v>906</v>
      </c>
      <c r="E744" s="27">
        <v>43033</v>
      </c>
      <c r="F744" s="689">
        <v>43009</v>
      </c>
      <c r="G744" s="690" t="s">
        <v>5586</v>
      </c>
      <c r="H744" s="686" t="s">
        <v>3423</v>
      </c>
      <c r="I744" s="686" t="s">
        <v>625</v>
      </c>
      <c r="J744" s="27">
        <v>43067</v>
      </c>
      <c r="K744" s="689">
        <v>43040</v>
      </c>
      <c r="L744" s="690" t="s">
        <v>5587</v>
      </c>
      <c r="M744" s="686" t="s">
        <v>625</v>
      </c>
      <c r="N744" s="686" t="s">
        <v>3423</v>
      </c>
      <c r="O744" s="27">
        <v>43067</v>
      </c>
      <c r="P744" s="691">
        <v>43040</v>
      </c>
      <c r="Q744" s="690" t="s">
        <v>5588</v>
      </c>
      <c r="R744" s="686" t="s">
        <v>198</v>
      </c>
      <c r="S744" s="686" t="s">
        <v>1491</v>
      </c>
      <c r="T744" s="27">
        <v>43076</v>
      </c>
      <c r="U744" s="689">
        <v>43070</v>
      </c>
      <c r="V744" s="690" t="s">
        <v>5589</v>
      </c>
      <c r="W744" s="686" t="s">
        <v>195</v>
      </c>
      <c r="X744" s="686" t="s">
        <v>4920</v>
      </c>
      <c r="Y744" s="16">
        <v>43325</v>
      </c>
      <c r="Z744" s="689">
        <v>43325</v>
      </c>
      <c r="AA744" s="706" t="s">
        <v>5590</v>
      </c>
      <c r="AB744" s="686" t="s">
        <v>5</v>
      </c>
      <c r="AC744" s="686" t="s">
        <v>570</v>
      </c>
      <c r="AD744" s="27"/>
      <c r="AE744" s="689"/>
      <c r="AF744" s="690"/>
      <c r="AG744" s="686"/>
      <c r="AH744" s="686"/>
      <c r="AI744" s="704"/>
      <c r="AJ744" s="689"/>
      <c r="AK744" s="690"/>
      <c r="AL744" s="686"/>
      <c r="AM744" s="686"/>
      <c r="AN744" s="686" t="s">
        <v>3671</v>
      </c>
      <c r="AO744" s="705"/>
      <c r="AP744" s="686"/>
      <c r="AQ744" s="690" t="s">
        <v>5591</v>
      </c>
      <c r="AR744" s="686" t="s">
        <v>161</v>
      </c>
      <c r="AS744" s="27">
        <v>37433</v>
      </c>
      <c r="AT744" s="27">
        <v>40908</v>
      </c>
      <c r="AU744" s="686" t="s">
        <v>5592</v>
      </c>
      <c r="AV744" s="686"/>
      <c r="AW744" s="686" t="s">
        <v>69</v>
      </c>
      <c r="AX744" s="686" t="s">
        <v>5593</v>
      </c>
      <c r="AY744" s="27">
        <v>42861</v>
      </c>
      <c r="AZ744" s="686" t="s">
        <v>5594</v>
      </c>
      <c r="BA744" s="27">
        <v>43013</v>
      </c>
      <c r="BB744" s="27">
        <v>43038</v>
      </c>
      <c r="BC744" s="701" t="s">
        <v>912</v>
      </c>
      <c r="BD744" s="701" t="s">
        <v>566</v>
      </c>
      <c r="BE744" s="686"/>
      <c r="BF744" s="690"/>
      <c r="BG744" s="690"/>
      <c r="BH744" s="690"/>
      <c r="BI744" s="690"/>
      <c r="BJ744" s="708">
        <f>+[266]MATRIZ!$J$67</f>
        <v>0</v>
      </c>
      <c r="BK744" s="696"/>
      <c r="BL744" s="697"/>
      <c r="BM744" s="27"/>
      <c r="BN744" s="689"/>
      <c r="BO744" s="699"/>
      <c r="BP744" s="700"/>
      <c r="BQ744" s="686"/>
      <c r="BR744" s="701"/>
      <c r="BS744" s="690"/>
      <c r="BT744" s="690"/>
      <c r="BU744" s="690"/>
      <c r="BV744" s="690"/>
      <c r="BW744" s="702"/>
      <c r="BX744" s="693"/>
      <c r="BY744" s="27"/>
      <c r="BZ744" s="703"/>
      <c r="CA744" s="259"/>
      <c r="CB744" s="259"/>
      <c r="CC744" s="259"/>
      <c r="CD744" s="259"/>
      <c r="CE744" s="259"/>
      <c r="CF744" s="259"/>
      <c r="CG744" s="259"/>
      <c r="CH744" s="259"/>
      <c r="CI744" s="259"/>
      <c r="CJ744" s="259"/>
      <c r="CK744" s="259"/>
      <c r="CL744" s="259"/>
      <c r="CM744" s="259"/>
      <c r="CN744" s="259"/>
      <c r="CO744" s="259"/>
      <c r="CP744" s="259"/>
      <c r="CQ744" s="259"/>
      <c r="CR744" s="259"/>
      <c r="CS744" s="259"/>
      <c r="CT744" s="259"/>
      <c r="CU744" s="259"/>
      <c r="CV744" s="259"/>
      <c r="CW744" s="259"/>
      <c r="CX744" s="259"/>
      <c r="CY744" s="259"/>
      <c r="CZ744" s="259"/>
      <c r="DA744" s="259"/>
      <c r="DB744" s="259"/>
      <c r="DC744" s="259"/>
      <c r="DD744" s="259"/>
      <c r="DE744" s="259"/>
      <c r="DF744" s="259"/>
      <c r="DG744" s="259"/>
      <c r="DH744" s="259"/>
      <c r="DI744" s="259"/>
      <c r="DJ744" s="259"/>
      <c r="DK744" s="259"/>
      <c r="DL744" s="259"/>
      <c r="DM744" s="259"/>
      <c r="DN744" s="259"/>
      <c r="DO744" s="259"/>
      <c r="DP744" s="259"/>
      <c r="DQ744" s="259"/>
      <c r="DR744" s="259"/>
      <c r="DS744" s="259"/>
      <c r="DT744" s="259"/>
      <c r="DU744" s="259"/>
      <c r="DV744" s="259"/>
      <c r="DW744" s="259"/>
      <c r="DX744" s="259"/>
      <c r="DY744" s="259"/>
      <c r="DZ744" s="259"/>
      <c r="EA744" s="259"/>
      <c r="EB744" s="259"/>
      <c r="EC744" s="259"/>
      <c r="ED744" s="259"/>
      <c r="EE744" s="259"/>
      <c r="EF744" s="259"/>
      <c r="EG744" s="259"/>
      <c r="EH744" s="259"/>
      <c r="EI744" s="259"/>
      <c r="EJ744" s="259"/>
      <c r="EK744" s="259"/>
      <c r="EL744" s="259"/>
      <c r="EM744" s="259"/>
      <c r="EN744" s="259"/>
      <c r="EO744" s="259"/>
      <c r="EP744" s="259"/>
      <c r="EQ744" s="259"/>
      <c r="ER744" s="259"/>
      <c r="ES744" s="259"/>
      <c r="ET744" s="259"/>
      <c r="EU744" s="259"/>
      <c r="EV744" s="259"/>
      <c r="EW744" s="259"/>
      <c r="EX744" s="259"/>
      <c r="EY744" s="259"/>
      <c r="EZ744" s="259"/>
      <c r="FA744" s="259"/>
      <c r="FB744" s="259"/>
      <c r="FC744" s="259"/>
      <c r="FD744" s="259"/>
      <c r="FE744" s="259"/>
      <c r="FF744" s="259"/>
      <c r="FG744" s="259"/>
      <c r="FH744" s="259"/>
      <c r="FI744" s="259"/>
      <c r="FJ744" s="259"/>
      <c r="FK744" s="259"/>
      <c r="FL744" s="259"/>
      <c r="FM744" s="259"/>
      <c r="FN744" s="259"/>
      <c r="FO744" s="259"/>
      <c r="FP744" s="259"/>
      <c r="FQ744" s="259"/>
      <c r="FR744" s="259"/>
      <c r="FS744" s="259"/>
      <c r="FT744" s="259"/>
      <c r="FU744" s="259"/>
      <c r="FV744" s="259"/>
      <c r="FW744" s="259"/>
      <c r="FX744" s="259"/>
      <c r="FY744" s="259"/>
      <c r="FZ744" s="259"/>
      <c r="GA744" s="259"/>
      <c r="GB744" s="259"/>
      <c r="GC744" s="259"/>
      <c r="GD744" s="259"/>
      <c r="GE744" s="259"/>
      <c r="GF744" s="259"/>
      <c r="GG744" s="259"/>
      <c r="GH744" s="259"/>
      <c r="GI744" s="259"/>
      <c r="GJ744" s="259"/>
      <c r="GK744" s="259"/>
      <c r="GL744" s="259"/>
      <c r="GM744" s="259"/>
      <c r="GN744" s="259"/>
      <c r="GO744" s="259"/>
      <c r="GP744" s="259"/>
      <c r="GQ744" s="259"/>
      <c r="GR744" s="259"/>
      <c r="GS744" s="259"/>
      <c r="GT744" s="259"/>
      <c r="GU744" s="259"/>
      <c r="GV744" s="259"/>
      <c r="GW744" s="259"/>
      <c r="GX744" s="259"/>
      <c r="GY744" s="259"/>
      <c r="GZ744" s="259"/>
      <c r="HA744" s="259"/>
      <c r="HB744" s="259"/>
      <c r="HC744" s="259"/>
      <c r="HD744" s="259"/>
      <c r="HE744" s="259"/>
      <c r="HF744" s="259"/>
      <c r="HG744" s="259"/>
      <c r="HH744" s="259"/>
      <c r="HI744" s="259"/>
      <c r="HJ744" s="259"/>
      <c r="HK744" s="259"/>
      <c r="HL744" s="259"/>
      <c r="HM744" s="259"/>
      <c r="HN744" s="259"/>
      <c r="HO744" s="259"/>
      <c r="HP744" s="259"/>
      <c r="HQ744" s="259"/>
      <c r="HR744" s="259"/>
      <c r="HS744" s="259"/>
      <c r="HT744" s="259"/>
      <c r="HU744" s="259"/>
      <c r="HV744" s="259"/>
      <c r="HW744" s="259"/>
      <c r="HX744" s="259"/>
      <c r="HY744" s="259"/>
      <c r="HZ744" s="259"/>
      <c r="IA744" s="259"/>
      <c r="IB744" s="259"/>
      <c r="IC744" s="259"/>
      <c r="ID744" s="259"/>
      <c r="IE744" s="259"/>
      <c r="IF744" s="259"/>
      <c r="IG744" s="259"/>
      <c r="IH744" s="259"/>
      <c r="II744" s="259"/>
      <c r="IJ744" s="259"/>
      <c r="IK744" s="259"/>
      <c r="IL744" s="259"/>
      <c r="IM744" s="259"/>
      <c r="IN744" s="259"/>
      <c r="IO744" s="259"/>
      <c r="IP744" s="259"/>
      <c r="IQ744" s="259"/>
      <c r="IR744" s="259"/>
      <c r="IS744" s="259"/>
      <c r="IT744" s="259"/>
      <c r="IU744" s="259"/>
      <c r="IV744" s="259"/>
      <c r="IW744" s="259"/>
      <c r="IX744" s="259"/>
      <c r="IY744" s="259"/>
      <c r="IZ744" s="259"/>
      <c r="JA744" s="259"/>
      <c r="JB744" s="259"/>
      <c r="JC744" s="259"/>
      <c r="JD744" s="259"/>
      <c r="JE744" s="259"/>
      <c r="JF744" s="259"/>
      <c r="JG744" s="259"/>
      <c r="JH744" s="259"/>
      <c r="JI744" s="259"/>
      <c r="JJ744" s="259"/>
      <c r="JK744" s="259"/>
      <c r="JL744" s="259"/>
      <c r="JM744" s="259"/>
      <c r="JN744" s="259"/>
      <c r="JO744" s="259"/>
      <c r="JP744" s="259"/>
      <c r="JQ744" s="259"/>
      <c r="JR744" s="259"/>
      <c r="JS744" s="259"/>
      <c r="JT744" s="259"/>
      <c r="JU744" s="259"/>
      <c r="JV744" s="259"/>
      <c r="JW744" s="259"/>
      <c r="JX744" s="259"/>
      <c r="JY744" s="259"/>
      <c r="JZ744" s="259"/>
      <c r="KA744" s="259"/>
      <c r="KB744" s="259"/>
      <c r="KC744" s="259"/>
      <c r="KD744" s="259"/>
      <c r="KE744" s="259"/>
      <c r="KF744" s="259"/>
      <c r="KG744" s="259"/>
      <c r="KH744" s="259"/>
      <c r="KI744" s="259"/>
      <c r="KJ744" s="259"/>
      <c r="KK744" s="259"/>
      <c r="KL744" s="259"/>
      <c r="KM744" s="259"/>
      <c r="KN744" s="259"/>
      <c r="KO744" s="259"/>
      <c r="KP744" s="259"/>
      <c r="KQ744" s="259"/>
      <c r="KR744" s="259"/>
      <c r="KS744" s="259"/>
      <c r="KT744" s="259"/>
      <c r="KU744" s="259"/>
      <c r="KV744" s="259"/>
      <c r="KW744" s="259"/>
      <c r="KX744" s="259"/>
      <c r="KY744" s="259"/>
      <c r="KZ744" s="259"/>
      <c r="LA744" s="259"/>
      <c r="LB744" s="259"/>
      <c r="LC744" s="259"/>
      <c r="LD744" s="259"/>
      <c r="LE744" s="259"/>
      <c r="LF744" s="259"/>
      <c r="LG744" s="259"/>
      <c r="LH744" s="259"/>
      <c r="LI744" s="259"/>
      <c r="LJ744" s="259"/>
      <c r="LK744" s="259"/>
      <c r="LL744" s="259"/>
      <c r="LM744" s="259"/>
      <c r="LN744" s="259"/>
      <c r="LO744" s="259"/>
      <c r="LP744" s="259"/>
      <c r="LQ744" s="259"/>
      <c r="LR744" s="259"/>
      <c r="LS744" s="259"/>
      <c r="LT744" s="259"/>
      <c r="LU744" s="259"/>
      <c r="LV744" s="259"/>
      <c r="LW744" s="259"/>
      <c r="LX744" s="259"/>
      <c r="LY744" s="259"/>
      <c r="LZ744" s="259"/>
      <c r="MA744" s="259"/>
      <c r="MB744" s="259"/>
      <c r="MC744" s="259"/>
      <c r="MD744" s="259"/>
      <c r="ME744" s="259"/>
      <c r="MF744" s="259"/>
      <c r="MG744" s="259"/>
      <c r="MH744" s="259"/>
      <c r="MI744" s="259"/>
      <c r="MJ744" s="259"/>
      <c r="MK744" s="259"/>
      <c r="ML744" s="259"/>
      <c r="MM744" s="259"/>
      <c r="MN744" s="259"/>
      <c r="MO744" s="259"/>
      <c r="MP744" s="259"/>
      <c r="MQ744" s="259"/>
      <c r="MR744" s="259"/>
      <c r="MS744" s="259"/>
      <c r="MT744" s="259"/>
      <c r="MU744" s="259"/>
      <c r="MV744" s="259"/>
      <c r="MW744" s="259"/>
      <c r="MX744" s="259"/>
      <c r="MY744" s="259"/>
      <c r="MZ744" s="259"/>
      <c r="NA744" s="259"/>
      <c r="NB744" s="259"/>
      <c r="NC744" s="259"/>
      <c r="ND744" s="259"/>
      <c r="NE744" s="259"/>
      <c r="NF744" s="259"/>
      <c r="NG744" s="259"/>
      <c r="NH744" s="259"/>
      <c r="NI744" s="259"/>
      <c r="NJ744" s="259"/>
      <c r="NK744" s="259"/>
      <c r="NL744" s="259"/>
      <c r="NM744" s="259"/>
      <c r="NN744" s="259"/>
      <c r="NO744" s="259"/>
      <c r="NP744" s="259"/>
      <c r="NQ744" s="259"/>
      <c r="NR744" s="259"/>
      <c r="NS744" s="259"/>
      <c r="NT744" s="259"/>
      <c r="NU744" s="259"/>
      <c r="NV744" s="259"/>
      <c r="NW744" s="259"/>
      <c r="NX744" s="259"/>
      <c r="NY744" s="259"/>
      <c r="NZ744" s="259"/>
      <c r="OA744" s="259"/>
      <c r="OB744" s="259"/>
      <c r="OC744" s="259"/>
      <c r="OD744" s="259"/>
      <c r="OE744" s="259"/>
      <c r="OF744" s="259"/>
      <c r="OG744" s="259"/>
      <c r="OH744" s="259"/>
      <c r="OI744" s="259"/>
      <c r="OJ744" s="259"/>
      <c r="OK744" s="259"/>
      <c r="OL744" s="259"/>
      <c r="OM744" s="259"/>
      <c r="ON744" s="259"/>
      <c r="OO744" s="259"/>
      <c r="OP744" s="259"/>
      <c r="OQ744" s="259"/>
      <c r="OR744" s="259"/>
      <c r="OS744" s="259"/>
      <c r="OT744" s="259"/>
      <c r="OU744" s="259"/>
      <c r="OV744" s="259"/>
      <c r="OW744" s="259"/>
      <c r="OX744" s="259"/>
      <c r="OY744" s="259"/>
      <c r="OZ744" s="259"/>
      <c r="PA744" s="259"/>
      <c r="PB744" s="259"/>
      <c r="PC744" s="259"/>
      <c r="PD744" s="259"/>
      <c r="PE744" s="259"/>
      <c r="PF744" s="259"/>
      <c r="PG744" s="259"/>
      <c r="PH744" s="259"/>
      <c r="PI744" s="259"/>
      <c r="PJ744" s="259"/>
      <c r="PK744" s="259"/>
      <c r="PL744" s="259"/>
      <c r="PM744" s="259"/>
      <c r="PN744" s="259"/>
      <c r="PO744" s="259"/>
      <c r="PP744" s="259"/>
      <c r="PQ744" s="259"/>
      <c r="PR744" s="259"/>
      <c r="PS744" s="259"/>
      <c r="PT744" s="259"/>
      <c r="PU744" s="259"/>
      <c r="PV744" s="259"/>
      <c r="PW744" s="259"/>
      <c r="PX744" s="259"/>
      <c r="PY744" s="259"/>
      <c r="PZ744" s="259"/>
      <c r="QA744" s="259"/>
      <c r="QB744" s="259"/>
      <c r="QC744" s="259"/>
      <c r="QD744" s="259"/>
      <c r="QE744" s="259"/>
      <c r="QF744" s="259"/>
      <c r="QG744" s="259"/>
      <c r="QH744" s="259"/>
      <c r="QI744" s="259"/>
      <c r="QJ744" s="259"/>
      <c r="QK744" s="259"/>
      <c r="QL744" s="259"/>
      <c r="QM744" s="259"/>
      <c r="QN744" s="259"/>
      <c r="QO744" s="259"/>
      <c r="QP744" s="259"/>
      <c r="QQ744" s="259"/>
      <c r="QR744" s="259"/>
      <c r="QS744" s="259"/>
      <c r="QT744" s="259"/>
      <c r="QU744" s="259"/>
      <c r="QV744" s="259"/>
      <c r="QW744" s="259"/>
      <c r="QX744" s="259"/>
      <c r="QY744" s="259"/>
      <c r="QZ744" s="259"/>
      <c r="RA744" s="259"/>
      <c r="RB744" s="259"/>
      <c r="RC744" s="259"/>
      <c r="RD744" s="259"/>
      <c r="RE744" s="259"/>
      <c r="RF744" s="259"/>
      <c r="RG744" s="259"/>
      <c r="RH744" s="259"/>
      <c r="RI744" s="259"/>
      <c r="RJ744" s="259"/>
      <c r="RK744" s="259"/>
      <c r="RL744" s="259"/>
      <c r="RM744" s="259"/>
      <c r="RN744" s="259"/>
      <c r="RO744" s="259"/>
      <c r="RP744" s="259"/>
      <c r="RQ744" s="259"/>
      <c r="RR744" s="259"/>
      <c r="RS744" s="259"/>
      <c r="RT744" s="259"/>
      <c r="RU744" s="259"/>
      <c r="RV744" s="259"/>
      <c r="RW744" s="259"/>
      <c r="RX744" s="259"/>
      <c r="RY744" s="259"/>
      <c r="RZ744" s="259"/>
      <c r="SA744" s="259"/>
      <c r="SB744" s="259"/>
      <c r="SC744" s="259"/>
      <c r="SD744" s="259"/>
      <c r="SE744" s="259"/>
      <c r="SF744" s="259"/>
      <c r="SG744" s="259"/>
      <c r="SH744" s="259"/>
      <c r="SI744" s="259"/>
      <c r="SJ744" s="259"/>
      <c r="SK744" s="259"/>
      <c r="SL744" s="259"/>
      <c r="SM744" s="259"/>
      <c r="SN744" s="259"/>
      <c r="SO744" s="259"/>
      <c r="SP744" s="259"/>
      <c r="SQ744" s="259"/>
      <c r="SR744" s="259"/>
      <c r="SS744" s="259"/>
      <c r="ST744" s="259"/>
      <c r="SU744" s="259"/>
      <c r="SV744" s="259"/>
      <c r="SW744" s="259"/>
      <c r="SX744" s="259"/>
      <c r="SY744" s="259"/>
      <c r="SZ744" s="259"/>
      <c r="TA744" s="259"/>
      <c r="TB744" s="259"/>
      <c r="TC744" s="259"/>
      <c r="TD744" s="259"/>
      <c r="TE744" s="259"/>
      <c r="TF744" s="259"/>
      <c r="TG744" s="259"/>
      <c r="TH744" s="259"/>
      <c r="TI744" s="259"/>
      <c r="TJ744" s="259"/>
      <c r="TK744" s="259"/>
      <c r="TL744" s="259"/>
      <c r="TM744" s="259"/>
      <c r="TN744" s="259"/>
      <c r="TO744" s="259"/>
      <c r="TP744" s="259"/>
      <c r="TQ744" s="259"/>
      <c r="TR744" s="259"/>
      <c r="TS744" s="259"/>
      <c r="TT744" s="259"/>
      <c r="TU744" s="259"/>
      <c r="TV744" s="259"/>
      <c r="TW744" s="259"/>
      <c r="TX744" s="259"/>
      <c r="TY744" s="259"/>
      <c r="TZ744" s="259"/>
      <c r="UA744" s="259"/>
      <c r="UB744" s="259"/>
      <c r="UC744" s="259"/>
      <c r="UD744" s="259"/>
      <c r="UE744" s="259"/>
      <c r="UF744" s="259"/>
      <c r="UG744" s="259"/>
      <c r="UH744" s="259"/>
      <c r="UI744" s="259"/>
    </row>
    <row r="745" spans="1:555" ht="108">
      <c r="A745" s="57">
        <v>653</v>
      </c>
      <c r="B745" s="58" t="s">
        <v>5595</v>
      </c>
      <c r="C745" s="59">
        <v>91480321</v>
      </c>
      <c r="D745" s="170" t="s">
        <v>382</v>
      </c>
      <c r="E745" s="60">
        <v>43038</v>
      </c>
      <c r="F745" s="61">
        <v>43009</v>
      </c>
      <c r="G745" s="62" t="s">
        <v>5596</v>
      </c>
      <c r="H745" s="58" t="s">
        <v>3423</v>
      </c>
      <c r="I745" s="58" t="s">
        <v>576</v>
      </c>
      <c r="J745" s="60">
        <v>43053</v>
      </c>
      <c r="K745" s="61">
        <v>43040</v>
      </c>
      <c r="L745" s="62" t="s">
        <v>5597</v>
      </c>
      <c r="M745" s="58" t="s">
        <v>195</v>
      </c>
      <c r="N745" s="58" t="s">
        <v>1491</v>
      </c>
      <c r="O745" s="60">
        <v>43209</v>
      </c>
      <c r="P745" s="63">
        <v>43191</v>
      </c>
      <c r="Q745" s="62" t="s">
        <v>5598</v>
      </c>
      <c r="R745" s="58" t="s">
        <v>5</v>
      </c>
      <c r="S745" s="58" t="s">
        <v>79</v>
      </c>
      <c r="T745" s="60">
        <v>43227</v>
      </c>
      <c r="U745" s="61">
        <v>43221</v>
      </c>
      <c r="V745" s="62" t="s">
        <v>5599</v>
      </c>
      <c r="W745" s="58" t="s">
        <v>5</v>
      </c>
      <c r="X745" s="58" t="s">
        <v>1753</v>
      </c>
      <c r="Y745" s="64">
        <v>43259</v>
      </c>
      <c r="Z745" s="61">
        <v>43252</v>
      </c>
      <c r="AA745" s="92" t="s">
        <v>5600</v>
      </c>
      <c r="AB745" s="58" t="s">
        <v>5</v>
      </c>
      <c r="AC745" s="70" t="s">
        <v>85</v>
      </c>
      <c r="AD745" s="60"/>
      <c r="AE745" s="61"/>
      <c r="AF745" s="62"/>
      <c r="AG745" s="58"/>
      <c r="AH745" s="58"/>
      <c r="AI745" s="117"/>
      <c r="AJ745" s="61"/>
      <c r="AK745" s="62"/>
      <c r="AL745" s="58"/>
      <c r="AM745" s="58"/>
      <c r="AN745" s="58" t="s">
        <v>918</v>
      </c>
      <c r="AO745" s="478"/>
      <c r="AP745" s="118" t="s">
        <v>2558</v>
      </c>
      <c r="AQ745" s="62" t="s">
        <v>5601</v>
      </c>
      <c r="AR745" s="58" t="s">
        <v>161</v>
      </c>
      <c r="AS745" s="60">
        <v>39052</v>
      </c>
      <c r="AT745" s="60">
        <v>40862</v>
      </c>
      <c r="AU745" s="58" t="s">
        <v>5602</v>
      </c>
      <c r="AV745" s="58"/>
      <c r="AW745" s="58" t="s">
        <v>69</v>
      </c>
      <c r="AX745" s="58" t="s">
        <v>5603</v>
      </c>
      <c r="AY745" s="60">
        <v>42961</v>
      </c>
      <c r="AZ745" s="58" t="s">
        <v>5541</v>
      </c>
      <c r="BA745" s="60">
        <v>42929</v>
      </c>
      <c r="BB745" s="382">
        <v>43040</v>
      </c>
      <c r="BC745" s="58" t="s">
        <v>95</v>
      </c>
      <c r="BD745" s="58" t="s">
        <v>566</v>
      </c>
      <c r="BE745" s="58"/>
      <c r="BF745" s="62"/>
      <c r="BG745" s="62"/>
      <c r="BH745" s="62"/>
      <c r="BI745" s="62"/>
      <c r="BJ745" s="209">
        <f>+[267]MATRIZ!$J$89</f>
        <v>0</v>
      </c>
      <c r="BK745" s="67"/>
      <c r="BL745" s="68"/>
      <c r="BM745" s="60"/>
      <c r="BN745" s="61"/>
      <c r="BO745" s="463"/>
      <c r="BP745" s="122"/>
      <c r="BQ745" s="58"/>
      <c r="BR745" s="70"/>
      <c r="BS745" s="62"/>
      <c r="BT745" s="62"/>
      <c r="BU745" s="62"/>
      <c r="BV745" s="62"/>
      <c r="BW745" s="71"/>
      <c r="BX745" s="66"/>
      <c r="BY745" s="60"/>
      <c r="BZ745" s="72"/>
    </row>
    <row r="746" spans="1:555" ht="54">
      <c r="A746" s="502">
        <v>654</v>
      </c>
      <c r="B746" s="686" t="s">
        <v>5604</v>
      </c>
      <c r="C746" s="687">
        <v>179377</v>
      </c>
      <c r="D746" s="688" t="s">
        <v>906</v>
      </c>
      <c r="E746" s="27">
        <v>42082</v>
      </c>
      <c r="F746" s="689">
        <v>42064</v>
      </c>
      <c r="G746" s="690" t="s">
        <v>5605</v>
      </c>
      <c r="H746" s="686" t="s">
        <v>2395</v>
      </c>
      <c r="I746" s="686" t="s">
        <v>5606</v>
      </c>
      <c r="J746" s="27">
        <v>43034</v>
      </c>
      <c r="K746" s="689">
        <v>43009</v>
      </c>
      <c r="L746" s="690" t="s">
        <v>5607</v>
      </c>
      <c r="M746" s="686" t="s">
        <v>5</v>
      </c>
      <c r="N746" s="686" t="s">
        <v>3510</v>
      </c>
      <c r="O746" s="27"/>
      <c r="P746" s="691"/>
      <c r="Q746" s="690"/>
      <c r="R746" s="686"/>
      <c r="S746" s="686"/>
      <c r="T746" s="27"/>
      <c r="U746" s="689"/>
      <c r="V746" s="690"/>
      <c r="W746" s="686"/>
      <c r="X746" s="686"/>
      <c r="Y746" s="27"/>
      <c r="Z746" s="689"/>
      <c r="AA746" s="690"/>
      <c r="AB746" s="686"/>
      <c r="AC746" s="686"/>
      <c r="AD746" s="27"/>
      <c r="AE746" s="689"/>
      <c r="AF746" s="690"/>
      <c r="AG746" s="686"/>
      <c r="AH746" s="686"/>
      <c r="AI746" s="704"/>
      <c r="AJ746" s="689"/>
      <c r="AK746" s="690"/>
      <c r="AL746" s="686"/>
      <c r="AM746" s="686"/>
      <c r="AN746" s="686" t="s">
        <v>2487</v>
      </c>
      <c r="AO746" s="694">
        <v>41938</v>
      </c>
      <c r="AP746" s="686"/>
      <c r="AQ746" s="690" t="s">
        <v>5608</v>
      </c>
      <c r="AR746" s="686" t="s">
        <v>161</v>
      </c>
      <c r="AS746" s="27">
        <v>33123</v>
      </c>
      <c r="AT746" s="27">
        <v>40908</v>
      </c>
      <c r="AU746" s="686" t="s">
        <v>5609</v>
      </c>
      <c r="AV746" s="686"/>
      <c r="AW746" s="686" t="s">
        <v>69</v>
      </c>
      <c r="AX746" s="686" t="s">
        <v>5610</v>
      </c>
      <c r="AY746" s="27">
        <v>43029</v>
      </c>
      <c r="AZ746" s="686" t="s">
        <v>1896</v>
      </c>
      <c r="BA746" s="27">
        <v>42698</v>
      </c>
      <c r="BB746" s="27">
        <v>42704</v>
      </c>
      <c r="BC746" s="701" t="s">
        <v>912</v>
      </c>
      <c r="BD746" s="701" t="s">
        <v>566</v>
      </c>
      <c r="BE746" s="686"/>
      <c r="BF746" s="690"/>
      <c r="BG746" s="690"/>
      <c r="BH746" s="690"/>
      <c r="BI746" s="690"/>
      <c r="BJ746" s="696">
        <f>+[268]MATRIZ!$J$54</f>
        <v>0</v>
      </c>
      <c r="BK746" s="696"/>
      <c r="BL746" s="697"/>
      <c r="BM746" s="27"/>
      <c r="BN746" s="689"/>
      <c r="BO746" s="798" t="s">
        <v>5611</v>
      </c>
      <c r="BP746" s="799"/>
      <c r="BQ746" s="800"/>
      <c r="BR746" s="801"/>
      <c r="BS746" s="690"/>
      <c r="BT746" s="690"/>
      <c r="BU746" s="690"/>
      <c r="BV746" s="690"/>
      <c r="BW746" s="702"/>
      <c r="BX746" s="693"/>
      <c r="BY746" s="27"/>
      <c r="BZ746" s="703"/>
      <c r="CA746" s="259"/>
      <c r="CB746" s="259"/>
      <c r="CC746" s="259"/>
      <c r="CD746" s="259"/>
      <c r="CE746" s="259"/>
      <c r="CF746" s="259"/>
      <c r="CG746" s="259"/>
      <c r="CH746" s="259"/>
      <c r="CI746" s="259"/>
      <c r="CJ746" s="259"/>
      <c r="CK746" s="259"/>
      <c r="CL746" s="259"/>
      <c r="CM746" s="259"/>
      <c r="CN746" s="259"/>
      <c r="CO746" s="259"/>
      <c r="CP746" s="259"/>
      <c r="CQ746" s="259"/>
      <c r="CR746" s="259"/>
      <c r="CS746" s="259"/>
      <c r="CT746" s="259"/>
      <c r="CU746" s="259"/>
      <c r="CV746" s="259"/>
      <c r="CW746" s="259"/>
      <c r="CX746" s="259"/>
      <c r="CY746" s="259"/>
      <c r="CZ746" s="259"/>
      <c r="DA746" s="259"/>
      <c r="DB746" s="259"/>
      <c r="DC746" s="259"/>
      <c r="DD746" s="259"/>
      <c r="DE746" s="259"/>
      <c r="DF746" s="259"/>
      <c r="DG746" s="259"/>
      <c r="DH746" s="259"/>
      <c r="DI746" s="259"/>
      <c r="DJ746" s="259"/>
      <c r="DK746" s="259"/>
      <c r="DL746" s="259"/>
      <c r="DM746" s="259"/>
      <c r="DN746" s="259"/>
      <c r="DO746" s="259"/>
      <c r="DP746" s="259"/>
      <c r="DQ746" s="259"/>
      <c r="DR746" s="259"/>
      <c r="DS746" s="259"/>
      <c r="DT746" s="259"/>
      <c r="DU746" s="259"/>
      <c r="DV746" s="259"/>
      <c r="DW746" s="259"/>
      <c r="DX746" s="259"/>
      <c r="DY746" s="259"/>
      <c r="DZ746" s="259"/>
      <c r="EA746" s="259"/>
      <c r="EB746" s="259"/>
      <c r="EC746" s="259"/>
      <c r="ED746" s="259"/>
      <c r="EE746" s="259"/>
      <c r="EF746" s="259"/>
      <c r="EG746" s="259"/>
      <c r="EH746" s="259"/>
      <c r="EI746" s="259"/>
      <c r="EJ746" s="259"/>
      <c r="EK746" s="259"/>
      <c r="EL746" s="259"/>
      <c r="EM746" s="259"/>
      <c r="EN746" s="259"/>
      <c r="EO746" s="259"/>
      <c r="EP746" s="259"/>
      <c r="EQ746" s="259"/>
      <c r="ER746" s="259"/>
      <c r="ES746" s="259"/>
      <c r="ET746" s="259"/>
      <c r="EU746" s="259"/>
      <c r="EV746" s="259"/>
      <c r="EW746" s="259"/>
      <c r="EX746" s="259"/>
      <c r="EY746" s="259"/>
      <c r="EZ746" s="259"/>
      <c r="FA746" s="259"/>
      <c r="FB746" s="259"/>
      <c r="FC746" s="259"/>
      <c r="FD746" s="259"/>
      <c r="FE746" s="259"/>
      <c r="FF746" s="259"/>
      <c r="FG746" s="259"/>
      <c r="FH746" s="259"/>
      <c r="FI746" s="259"/>
      <c r="FJ746" s="259"/>
      <c r="FK746" s="259"/>
      <c r="FL746" s="259"/>
      <c r="FM746" s="259"/>
      <c r="FN746" s="259"/>
      <c r="FO746" s="259"/>
      <c r="FP746" s="259"/>
      <c r="FQ746" s="259"/>
      <c r="FR746" s="259"/>
      <c r="FS746" s="259"/>
      <c r="FT746" s="259"/>
      <c r="FU746" s="259"/>
      <c r="FV746" s="259"/>
      <c r="FW746" s="259"/>
      <c r="FX746" s="259"/>
      <c r="FY746" s="259"/>
      <c r="FZ746" s="259"/>
      <c r="GA746" s="259"/>
      <c r="GB746" s="259"/>
      <c r="GC746" s="259"/>
      <c r="GD746" s="259"/>
      <c r="GE746" s="259"/>
      <c r="GF746" s="259"/>
      <c r="GG746" s="259"/>
      <c r="GH746" s="259"/>
      <c r="GI746" s="259"/>
      <c r="GJ746" s="259"/>
      <c r="GK746" s="259"/>
      <c r="GL746" s="259"/>
      <c r="GM746" s="259"/>
      <c r="GN746" s="259"/>
      <c r="GO746" s="259"/>
      <c r="GP746" s="259"/>
      <c r="GQ746" s="259"/>
      <c r="GR746" s="259"/>
      <c r="GS746" s="259"/>
      <c r="GT746" s="259"/>
      <c r="GU746" s="259"/>
      <c r="GV746" s="259"/>
      <c r="GW746" s="259"/>
      <c r="GX746" s="259"/>
      <c r="GY746" s="259"/>
      <c r="GZ746" s="259"/>
      <c r="HA746" s="259"/>
      <c r="HB746" s="259"/>
      <c r="HC746" s="259"/>
      <c r="HD746" s="259"/>
      <c r="HE746" s="259"/>
      <c r="HF746" s="259"/>
      <c r="HG746" s="259"/>
      <c r="HH746" s="259"/>
      <c r="HI746" s="259"/>
      <c r="HJ746" s="259"/>
      <c r="HK746" s="259"/>
      <c r="HL746" s="259"/>
      <c r="HM746" s="259"/>
      <c r="HN746" s="259"/>
      <c r="HO746" s="259"/>
      <c r="HP746" s="259"/>
      <c r="HQ746" s="259"/>
      <c r="HR746" s="259"/>
      <c r="HS746" s="259"/>
      <c r="HT746" s="259"/>
      <c r="HU746" s="259"/>
      <c r="HV746" s="259"/>
      <c r="HW746" s="259"/>
      <c r="HX746" s="259"/>
      <c r="HY746" s="259"/>
      <c r="HZ746" s="259"/>
      <c r="IA746" s="259"/>
      <c r="IB746" s="259"/>
      <c r="IC746" s="259"/>
      <c r="ID746" s="259"/>
      <c r="IE746" s="259"/>
      <c r="IF746" s="259"/>
      <c r="IG746" s="259"/>
      <c r="IH746" s="259"/>
      <c r="II746" s="259"/>
      <c r="IJ746" s="259"/>
      <c r="IK746" s="259"/>
      <c r="IL746" s="259"/>
      <c r="IM746" s="259"/>
      <c r="IN746" s="259"/>
      <c r="IO746" s="259"/>
      <c r="IP746" s="259"/>
      <c r="IQ746" s="259"/>
      <c r="IR746" s="259"/>
      <c r="IS746" s="259"/>
      <c r="IT746" s="259"/>
      <c r="IU746" s="259"/>
      <c r="IV746" s="259"/>
      <c r="IW746" s="259"/>
      <c r="IX746" s="259"/>
      <c r="IY746" s="259"/>
      <c r="IZ746" s="259"/>
      <c r="JA746" s="259"/>
      <c r="JB746" s="259"/>
      <c r="JC746" s="259"/>
      <c r="JD746" s="259"/>
      <c r="JE746" s="259"/>
      <c r="JF746" s="259"/>
      <c r="JG746" s="259"/>
      <c r="JH746" s="259"/>
      <c r="JI746" s="259"/>
      <c r="JJ746" s="259"/>
      <c r="JK746" s="259"/>
      <c r="JL746" s="259"/>
      <c r="JM746" s="259"/>
      <c r="JN746" s="259"/>
      <c r="JO746" s="259"/>
      <c r="JP746" s="259"/>
      <c r="JQ746" s="259"/>
      <c r="JR746" s="259"/>
      <c r="JS746" s="259"/>
      <c r="JT746" s="259"/>
      <c r="JU746" s="259"/>
      <c r="JV746" s="259"/>
      <c r="JW746" s="259"/>
      <c r="JX746" s="259"/>
      <c r="JY746" s="259"/>
      <c r="JZ746" s="259"/>
      <c r="KA746" s="259"/>
      <c r="KB746" s="259"/>
      <c r="KC746" s="259"/>
      <c r="KD746" s="259"/>
      <c r="KE746" s="259"/>
      <c r="KF746" s="259"/>
      <c r="KG746" s="259"/>
      <c r="KH746" s="259"/>
      <c r="KI746" s="259"/>
      <c r="KJ746" s="259"/>
      <c r="KK746" s="259"/>
      <c r="KL746" s="259"/>
      <c r="KM746" s="259"/>
      <c r="KN746" s="259"/>
      <c r="KO746" s="259"/>
      <c r="KP746" s="259"/>
      <c r="KQ746" s="259"/>
      <c r="KR746" s="259"/>
      <c r="KS746" s="259"/>
      <c r="KT746" s="259"/>
      <c r="KU746" s="259"/>
      <c r="KV746" s="259"/>
      <c r="KW746" s="259"/>
      <c r="KX746" s="259"/>
      <c r="KY746" s="259"/>
      <c r="KZ746" s="259"/>
      <c r="LA746" s="259"/>
      <c r="LB746" s="259"/>
      <c r="LC746" s="259"/>
      <c r="LD746" s="259"/>
      <c r="LE746" s="259"/>
      <c r="LF746" s="259"/>
      <c r="LG746" s="259"/>
      <c r="LH746" s="259"/>
      <c r="LI746" s="259"/>
      <c r="LJ746" s="259"/>
      <c r="LK746" s="259"/>
      <c r="LL746" s="259"/>
      <c r="LM746" s="259"/>
      <c r="LN746" s="259"/>
      <c r="LO746" s="259"/>
      <c r="LP746" s="259"/>
      <c r="LQ746" s="259"/>
      <c r="LR746" s="259"/>
      <c r="LS746" s="259"/>
      <c r="LT746" s="259"/>
      <c r="LU746" s="259"/>
      <c r="LV746" s="259"/>
      <c r="LW746" s="259"/>
      <c r="LX746" s="259"/>
      <c r="LY746" s="259"/>
      <c r="LZ746" s="259"/>
      <c r="MA746" s="259"/>
      <c r="MB746" s="259"/>
      <c r="MC746" s="259"/>
      <c r="MD746" s="259"/>
      <c r="ME746" s="259"/>
      <c r="MF746" s="259"/>
      <c r="MG746" s="259"/>
      <c r="MH746" s="259"/>
      <c r="MI746" s="259"/>
      <c r="MJ746" s="259"/>
      <c r="MK746" s="259"/>
      <c r="ML746" s="259"/>
      <c r="MM746" s="259"/>
      <c r="MN746" s="259"/>
      <c r="MO746" s="259"/>
      <c r="MP746" s="259"/>
      <c r="MQ746" s="259"/>
      <c r="MR746" s="259"/>
      <c r="MS746" s="259"/>
      <c r="MT746" s="259"/>
      <c r="MU746" s="259"/>
      <c r="MV746" s="259"/>
      <c r="MW746" s="259"/>
      <c r="MX746" s="259"/>
      <c r="MY746" s="259"/>
      <c r="MZ746" s="259"/>
      <c r="NA746" s="259"/>
      <c r="NB746" s="259"/>
      <c r="NC746" s="259"/>
      <c r="ND746" s="259"/>
      <c r="NE746" s="259"/>
      <c r="NF746" s="259"/>
      <c r="NG746" s="259"/>
      <c r="NH746" s="259"/>
      <c r="NI746" s="259"/>
      <c r="NJ746" s="259"/>
      <c r="NK746" s="259"/>
      <c r="NL746" s="259"/>
      <c r="NM746" s="259"/>
      <c r="NN746" s="259"/>
      <c r="NO746" s="259"/>
      <c r="NP746" s="259"/>
      <c r="NQ746" s="259"/>
      <c r="NR746" s="259"/>
      <c r="NS746" s="259"/>
      <c r="NT746" s="259"/>
      <c r="NU746" s="259"/>
      <c r="NV746" s="259"/>
      <c r="NW746" s="259"/>
      <c r="NX746" s="259"/>
      <c r="NY746" s="259"/>
      <c r="NZ746" s="259"/>
      <c r="OA746" s="259"/>
      <c r="OB746" s="259"/>
      <c r="OC746" s="259"/>
      <c r="OD746" s="259"/>
      <c r="OE746" s="259"/>
      <c r="OF746" s="259"/>
      <c r="OG746" s="259"/>
      <c r="OH746" s="259"/>
      <c r="OI746" s="259"/>
      <c r="OJ746" s="259"/>
      <c r="OK746" s="259"/>
      <c r="OL746" s="259"/>
      <c r="OM746" s="259"/>
      <c r="ON746" s="259"/>
      <c r="OO746" s="259"/>
      <c r="OP746" s="259"/>
      <c r="OQ746" s="259"/>
      <c r="OR746" s="259"/>
      <c r="OS746" s="259"/>
      <c r="OT746" s="259"/>
      <c r="OU746" s="259"/>
      <c r="OV746" s="259"/>
      <c r="OW746" s="259"/>
      <c r="OX746" s="259"/>
      <c r="OY746" s="259"/>
      <c r="OZ746" s="259"/>
      <c r="PA746" s="259"/>
      <c r="PB746" s="259"/>
      <c r="PC746" s="259"/>
      <c r="PD746" s="259"/>
      <c r="PE746" s="259"/>
      <c r="PF746" s="259"/>
      <c r="PG746" s="259"/>
      <c r="PH746" s="259"/>
      <c r="PI746" s="259"/>
      <c r="PJ746" s="259"/>
      <c r="PK746" s="259"/>
      <c r="PL746" s="259"/>
      <c r="PM746" s="259"/>
      <c r="PN746" s="259"/>
      <c r="PO746" s="259"/>
      <c r="PP746" s="259"/>
      <c r="PQ746" s="259"/>
      <c r="PR746" s="259"/>
      <c r="PS746" s="259"/>
      <c r="PT746" s="259"/>
      <c r="PU746" s="259"/>
      <c r="PV746" s="259"/>
      <c r="PW746" s="259"/>
      <c r="PX746" s="259"/>
      <c r="PY746" s="259"/>
      <c r="PZ746" s="259"/>
      <c r="QA746" s="259"/>
      <c r="QB746" s="259"/>
      <c r="QC746" s="259"/>
      <c r="QD746" s="259"/>
      <c r="QE746" s="259"/>
      <c r="QF746" s="259"/>
      <c r="QG746" s="259"/>
      <c r="QH746" s="259"/>
      <c r="QI746" s="259"/>
      <c r="QJ746" s="259"/>
      <c r="QK746" s="259"/>
      <c r="QL746" s="259"/>
      <c r="QM746" s="259"/>
      <c r="QN746" s="259"/>
      <c r="QO746" s="259"/>
      <c r="QP746" s="259"/>
      <c r="QQ746" s="259"/>
      <c r="QR746" s="259"/>
      <c r="QS746" s="259"/>
      <c r="QT746" s="259"/>
      <c r="QU746" s="259"/>
      <c r="QV746" s="259"/>
      <c r="QW746" s="259"/>
      <c r="QX746" s="259"/>
      <c r="QY746" s="259"/>
      <c r="QZ746" s="259"/>
      <c r="RA746" s="259"/>
      <c r="RB746" s="259"/>
      <c r="RC746" s="259"/>
      <c r="RD746" s="259"/>
      <c r="RE746" s="259"/>
      <c r="RF746" s="259"/>
      <c r="RG746" s="259"/>
      <c r="RH746" s="259"/>
      <c r="RI746" s="259"/>
      <c r="RJ746" s="259"/>
      <c r="RK746" s="259"/>
      <c r="RL746" s="259"/>
      <c r="RM746" s="259"/>
      <c r="RN746" s="259"/>
      <c r="RO746" s="259"/>
      <c r="RP746" s="259"/>
      <c r="RQ746" s="259"/>
      <c r="RR746" s="259"/>
      <c r="RS746" s="259"/>
      <c r="RT746" s="259"/>
      <c r="RU746" s="259"/>
      <c r="RV746" s="259"/>
      <c r="RW746" s="259"/>
      <c r="RX746" s="259"/>
      <c r="RY746" s="259"/>
      <c r="RZ746" s="259"/>
      <c r="SA746" s="259"/>
      <c r="SB746" s="259"/>
      <c r="SC746" s="259"/>
      <c r="SD746" s="259"/>
      <c r="SE746" s="259"/>
      <c r="SF746" s="259"/>
      <c r="SG746" s="259"/>
      <c r="SH746" s="259"/>
      <c r="SI746" s="259"/>
      <c r="SJ746" s="259"/>
      <c r="SK746" s="259"/>
      <c r="SL746" s="259"/>
      <c r="SM746" s="259"/>
      <c r="SN746" s="259"/>
      <c r="SO746" s="259"/>
      <c r="SP746" s="259"/>
      <c r="SQ746" s="259"/>
      <c r="SR746" s="259"/>
      <c r="SS746" s="259"/>
      <c r="ST746" s="259"/>
      <c r="SU746" s="259"/>
      <c r="SV746" s="259"/>
      <c r="SW746" s="259"/>
      <c r="SX746" s="259"/>
      <c r="SY746" s="259"/>
      <c r="SZ746" s="259"/>
      <c r="TA746" s="259"/>
      <c r="TB746" s="259"/>
      <c r="TC746" s="259"/>
      <c r="TD746" s="259"/>
      <c r="TE746" s="259"/>
      <c r="TF746" s="259"/>
      <c r="TG746" s="259"/>
      <c r="TH746" s="259"/>
      <c r="TI746" s="259"/>
      <c r="TJ746" s="259"/>
      <c r="TK746" s="259"/>
      <c r="TL746" s="259"/>
      <c r="TM746" s="259"/>
      <c r="TN746" s="259"/>
      <c r="TO746" s="259"/>
      <c r="TP746" s="259"/>
      <c r="TQ746" s="259"/>
      <c r="TR746" s="259"/>
      <c r="TS746" s="259"/>
      <c r="TT746" s="259"/>
      <c r="TU746" s="259"/>
      <c r="TV746" s="259"/>
      <c r="TW746" s="259"/>
      <c r="TX746" s="259"/>
      <c r="TY746" s="259"/>
      <c r="TZ746" s="259"/>
      <c r="UA746" s="259"/>
      <c r="UB746" s="259"/>
      <c r="UC746" s="259"/>
      <c r="UD746" s="259"/>
      <c r="UE746" s="259"/>
      <c r="UF746" s="259"/>
      <c r="UG746" s="259"/>
      <c r="UH746" s="259"/>
      <c r="UI746" s="259"/>
    </row>
    <row r="747" spans="1:555" ht="80.25" customHeight="1">
      <c r="A747" s="729">
        <v>655</v>
      </c>
      <c r="B747" s="381" t="s">
        <v>5612</v>
      </c>
      <c r="C747" s="730"/>
      <c r="D747" s="747"/>
      <c r="E747" s="382"/>
      <c r="F747" s="379"/>
      <c r="G747" s="383"/>
      <c r="H747" s="381"/>
      <c r="I747" s="381"/>
      <c r="J747" s="382"/>
      <c r="K747" s="379"/>
      <c r="L747" s="383"/>
      <c r="M747" s="381"/>
      <c r="N747" s="381"/>
      <c r="O747" s="382"/>
      <c r="P747" s="732"/>
      <c r="Q747" s="383"/>
      <c r="R747" s="381"/>
      <c r="S747" s="381"/>
      <c r="T747" s="382"/>
      <c r="U747" s="379"/>
      <c r="V747" s="383"/>
      <c r="W747" s="381"/>
      <c r="X747" s="381"/>
      <c r="Y747" s="382"/>
      <c r="Z747" s="379"/>
      <c r="AA747" s="383"/>
      <c r="AB747" s="381"/>
      <c r="AC747" s="381"/>
      <c r="AD747" s="382"/>
      <c r="AE747" s="379"/>
      <c r="AF747" s="383"/>
      <c r="AG747" s="381"/>
      <c r="AH747" s="381"/>
      <c r="AI747" s="745"/>
      <c r="AJ747" s="379"/>
      <c r="AK747" s="383"/>
      <c r="AL747" s="381"/>
      <c r="AM747" s="381"/>
      <c r="AN747" s="381"/>
      <c r="AO747" s="381"/>
      <c r="AP747" s="381"/>
      <c r="AQ747" s="383"/>
      <c r="AR747" s="381"/>
      <c r="AS747" s="382"/>
      <c r="AT747" s="382"/>
      <c r="AU747" s="381"/>
      <c r="AV747" s="381"/>
      <c r="AW747" s="381"/>
      <c r="AX747" s="381"/>
      <c r="AY747" s="382"/>
      <c r="AZ747" s="381"/>
      <c r="BA747" s="382"/>
      <c r="BB747" s="382"/>
      <c r="BC747" s="742"/>
      <c r="BD747" s="742"/>
      <c r="BE747" s="381"/>
      <c r="BF747" s="383"/>
      <c r="BG747" s="383"/>
      <c r="BH747" s="383"/>
      <c r="BI747" s="383"/>
      <c r="BJ747" s="737"/>
      <c r="BK747" s="737"/>
      <c r="BL747" s="738"/>
      <c r="BM747" s="382"/>
      <c r="BN747" s="379"/>
      <c r="BO747" s="740"/>
      <c r="BP747" s="741"/>
      <c r="BQ747" s="381"/>
      <c r="BR747" s="742"/>
      <c r="BS747" s="383"/>
      <c r="BT747" s="383"/>
      <c r="BU747" s="383"/>
      <c r="BV747" s="383"/>
      <c r="BW747" s="743"/>
      <c r="BX747" s="733"/>
      <c r="BY747" s="382"/>
      <c r="BZ747" s="744"/>
      <c r="CA747" s="685"/>
      <c r="CB747" s="685"/>
      <c r="CC747" s="685"/>
      <c r="CD747" s="685"/>
      <c r="CE747" s="685"/>
      <c r="CF747" s="685"/>
      <c r="CG747" s="685"/>
      <c r="CH747" s="685"/>
      <c r="CI747" s="685"/>
      <c r="CJ747" s="685"/>
      <c r="CK747" s="685"/>
      <c r="CL747" s="685"/>
      <c r="CM747" s="685"/>
      <c r="CN747" s="685"/>
      <c r="CO747" s="685"/>
      <c r="CP747" s="685"/>
      <c r="CQ747" s="685"/>
      <c r="CR747" s="685"/>
      <c r="CS747" s="685"/>
      <c r="CT747" s="685"/>
      <c r="CU747" s="685"/>
      <c r="CV747" s="685"/>
      <c r="CW747" s="685"/>
      <c r="CX747" s="685"/>
      <c r="CY747" s="685"/>
      <c r="CZ747" s="685"/>
      <c r="DA747" s="685"/>
      <c r="DB747" s="685"/>
      <c r="DC747" s="685"/>
      <c r="DD747" s="685"/>
      <c r="DE747" s="685"/>
      <c r="DF747" s="685"/>
      <c r="DG747" s="685"/>
      <c r="DH747" s="685"/>
      <c r="DI747" s="685"/>
      <c r="DJ747" s="685"/>
      <c r="DK747" s="685"/>
      <c r="DL747" s="685"/>
      <c r="DM747" s="685"/>
      <c r="DN747" s="685"/>
      <c r="DO747" s="685"/>
      <c r="DP747" s="685"/>
      <c r="DQ747" s="685"/>
      <c r="DR747" s="685"/>
      <c r="DS747" s="685"/>
      <c r="DT747" s="685"/>
      <c r="DU747" s="685"/>
      <c r="DV747" s="685"/>
      <c r="DW747" s="685"/>
      <c r="DX747" s="685"/>
      <c r="DY747" s="685"/>
      <c r="DZ747" s="685"/>
      <c r="EA747" s="685"/>
      <c r="EB747" s="685"/>
      <c r="EC747" s="685"/>
      <c r="ED747" s="685"/>
      <c r="EE747" s="685"/>
      <c r="EF747" s="685"/>
      <c r="EG747" s="685"/>
      <c r="EH747" s="685"/>
      <c r="EI747" s="685"/>
      <c r="EJ747" s="685"/>
      <c r="EK747" s="685"/>
      <c r="EL747" s="685"/>
      <c r="EM747" s="685"/>
      <c r="EN747" s="685"/>
      <c r="EO747" s="685"/>
      <c r="EP747" s="685"/>
      <c r="EQ747" s="685"/>
      <c r="ER747" s="685"/>
      <c r="ES747" s="685"/>
      <c r="ET747" s="685"/>
      <c r="EU747" s="685"/>
      <c r="EV747" s="685"/>
      <c r="EW747" s="685"/>
      <c r="EX747" s="685"/>
      <c r="EY747" s="685"/>
      <c r="EZ747" s="685"/>
      <c r="FA747" s="685"/>
      <c r="FB747" s="685"/>
      <c r="FC747" s="685"/>
      <c r="FD747" s="685"/>
      <c r="FE747" s="685"/>
      <c r="FF747" s="685"/>
      <c r="FG747" s="685"/>
      <c r="FH747" s="685"/>
      <c r="FI747" s="685"/>
      <c r="FJ747" s="685"/>
      <c r="FK747" s="685"/>
      <c r="FL747" s="685"/>
      <c r="FM747" s="685"/>
      <c r="FN747" s="685"/>
      <c r="FO747" s="685"/>
      <c r="FP747" s="685"/>
      <c r="FQ747" s="685"/>
      <c r="FR747" s="685"/>
      <c r="FS747" s="685"/>
      <c r="FT747" s="685"/>
      <c r="FU747" s="685"/>
      <c r="FV747" s="685"/>
      <c r="FW747" s="685"/>
      <c r="FX747" s="685"/>
      <c r="FY747" s="685"/>
      <c r="FZ747" s="685"/>
      <c r="GA747" s="685"/>
      <c r="GB747" s="685"/>
      <c r="GC747" s="685"/>
      <c r="GD747" s="685"/>
      <c r="GE747" s="685"/>
      <c r="GF747" s="685"/>
      <c r="GG747" s="685"/>
      <c r="GH747" s="685"/>
      <c r="GI747" s="685"/>
      <c r="GJ747" s="685"/>
      <c r="GK747" s="685"/>
      <c r="GL747" s="685"/>
      <c r="GM747" s="685"/>
      <c r="GN747" s="685"/>
      <c r="GO747" s="685"/>
      <c r="GP747" s="685"/>
      <c r="GQ747" s="685"/>
      <c r="GR747" s="685"/>
      <c r="GS747" s="685"/>
      <c r="GT747" s="685"/>
      <c r="GU747" s="685"/>
      <c r="GV747" s="685"/>
      <c r="GW747" s="685"/>
      <c r="GX747" s="685"/>
      <c r="GY747" s="685"/>
      <c r="GZ747" s="685"/>
      <c r="HA747" s="685"/>
      <c r="HB747" s="685"/>
      <c r="HC747" s="685"/>
      <c r="HD747" s="685"/>
      <c r="HE747" s="685"/>
      <c r="HF747" s="685"/>
      <c r="HG747" s="685"/>
      <c r="HH747" s="685"/>
      <c r="HI747" s="685"/>
      <c r="HJ747" s="685"/>
      <c r="HK747" s="685"/>
      <c r="HL747" s="685"/>
      <c r="HM747" s="685"/>
      <c r="HN747" s="685"/>
      <c r="HO747" s="685"/>
      <c r="HP747" s="685"/>
      <c r="HQ747" s="685"/>
      <c r="HR747" s="685"/>
      <c r="HS747" s="685"/>
      <c r="HT747" s="685"/>
      <c r="HU747" s="685"/>
      <c r="HV747" s="685"/>
      <c r="HW747" s="685"/>
      <c r="HX747" s="685"/>
      <c r="HY747" s="685"/>
      <c r="HZ747" s="685"/>
      <c r="IA747" s="685"/>
      <c r="IB747" s="685"/>
      <c r="IC747" s="685"/>
      <c r="ID747" s="685"/>
      <c r="IE747" s="685"/>
      <c r="IF747" s="685"/>
      <c r="IG747" s="685"/>
      <c r="IH747" s="685"/>
      <c r="II747" s="685"/>
      <c r="IJ747" s="685"/>
      <c r="IK747" s="685"/>
      <c r="IL747" s="685"/>
      <c r="IM747" s="685"/>
      <c r="IN747" s="685"/>
      <c r="IO747" s="685"/>
      <c r="IP747" s="685"/>
      <c r="IQ747" s="685"/>
      <c r="IR747" s="685"/>
      <c r="IS747" s="685"/>
      <c r="IT747" s="685"/>
      <c r="IU747" s="685"/>
      <c r="IV747" s="685"/>
      <c r="IW747" s="685"/>
      <c r="IX747" s="685"/>
      <c r="IY747" s="685"/>
      <c r="IZ747" s="685"/>
      <c r="JA747" s="685"/>
      <c r="JB747" s="685"/>
      <c r="JC747" s="685"/>
      <c r="JD747" s="685"/>
      <c r="JE747" s="685"/>
      <c r="JF747" s="685"/>
      <c r="JG747" s="685"/>
      <c r="JH747" s="685"/>
      <c r="JI747" s="685"/>
      <c r="JJ747" s="685"/>
      <c r="JK747" s="685"/>
      <c r="JL747" s="685"/>
      <c r="JM747" s="685"/>
      <c r="JN747" s="685"/>
      <c r="JO747" s="685"/>
      <c r="JP747" s="685"/>
      <c r="JQ747" s="685"/>
      <c r="JR747" s="685"/>
      <c r="JS747" s="685"/>
      <c r="JT747" s="685"/>
      <c r="JU747" s="685"/>
      <c r="JV747" s="685"/>
      <c r="JW747" s="685"/>
      <c r="JX747" s="685"/>
      <c r="JY747" s="685"/>
      <c r="JZ747" s="685"/>
      <c r="KA747" s="685"/>
      <c r="KB747" s="685"/>
      <c r="KC747" s="685"/>
      <c r="KD747" s="685"/>
      <c r="KE747" s="685"/>
      <c r="KF747" s="685"/>
      <c r="KG747" s="685"/>
      <c r="KH747" s="685"/>
      <c r="KI747" s="685"/>
      <c r="KJ747" s="685"/>
      <c r="KK747" s="685"/>
      <c r="KL747" s="685"/>
      <c r="KM747" s="685"/>
      <c r="KN747" s="685"/>
      <c r="KO747" s="685"/>
      <c r="KP747" s="685"/>
      <c r="KQ747" s="685"/>
      <c r="KR747" s="685"/>
      <c r="KS747" s="685"/>
      <c r="KT747" s="685"/>
      <c r="KU747" s="685"/>
      <c r="KV747" s="685"/>
      <c r="KW747" s="685"/>
      <c r="KX747" s="685"/>
      <c r="KY747" s="685"/>
      <c r="KZ747" s="685"/>
      <c r="LA747" s="685"/>
      <c r="LB747" s="685"/>
      <c r="LC747" s="685"/>
      <c r="LD747" s="685"/>
      <c r="LE747" s="685"/>
      <c r="LF747" s="685"/>
      <c r="LG747" s="685"/>
      <c r="LH747" s="685"/>
      <c r="LI747" s="685"/>
      <c r="LJ747" s="685"/>
      <c r="LK747" s="685"/>
      <c r="LL747" s="685"/>
      <c r="LM747" s="685"/>
      <c r="LN747" s="685"/>
      <c r="LO747" s="685"/>
      <c r="LP747" s="685"/>
      <c r="LQ747" s="685"/>
      <c r="LR747" s="685"/>
      <c r="LS747" s="685"/>
      <c r="LT747" s="685"/>
      <c r="LU747" s="685"/>
      <c r="LV747" s="685"/>
      <c r="LW747" s="685"/>
      <c r="LX747" s="685"/>
      <c r="LY747" s="685"/>
      <c r="LZ747" s="685"/>
      <c r="MA747" s="685"/>
      <c r="MB747" s="685"/>
      <c r="MC747" s="685"/>
      <c r="MD747" s="685"/>
      <c r="ME747" s="685"/>
      <c r="MF747" s="685"/>
      <c r="MG747" s="685"/>
      <c r="MH747" s="685"/>
      <c r="MI747" s="685"/>
      <c r="MJ747" s="685"/>
      <c r="MK747" s="685"/>
      <c r="ML747" s="685"/>
      <c r="MM747" s="685"/>
      <c r="MN747" s="685"/>
      <c r="MO747" s="685"/>
      <c r="MP747" s="685"/>
      <c r="MQ747" s="685"/>
      <c r="MR747" s="685"/>
      <c r="MS747" s="685"/>
      <c r="MT747" s="685"/>
      <c r="MU747" s="685"/>
      <c r="MV747" s="685"/>
      <c r="MW747" s="685"/>
      <c r="MX747" s="685"/>
      <c r="MY747" s="685"/>
      <c r="MZ747" s="685"/>
      <c r="NA747" s="685"/>
      <c r="NB747" s="685"/>
      <c r="NC747" s="685"/>
      <c r="ND747" s="685"/>
      <c r="NE747" s="685"/>
      <c r="NF747" s="685"/>
      <c r="NG747" s="685"/>
      <c r="NH747" s="685"/>
      <c r="NI747" s="685"/>
      <c r="NJ747" s="685"/>
      <c r="NK747" s="685"/>
      <c r="NL747" s="685"/>
      <c r="NM747" s="685"/>
      <c r="NN747" s="685"/>
      <c r="NO747" s="685"/>
      <c r="NP747" s="685"/>
      <c r="NQ747" s="685"/>
      <c r="NR747" s="685"/>
      <c r="NS747" s="685"/>
      <c r="NT747" s="685"/>
      <c r="NU747" s="685"/>
      <c r="NV747" s="685"/>
      <c r="NW747" s="685"/>
      <c r="NX747" s="685"/>
      <c r="NY747" s="685"/>
      <c r="NZ747" s="685"/>
      <c r="OA747" s="685"/>
      <c r="OB747" s="685"/>
      <c r="OC747" s="685"/>
      <c r="OD747" s="685"/>
      <c r="OE747" s="685"/>
      <c r="OF747" s="685"/>
      <c r="OG747" s="685"/>
      <c r="OH747" s="685"/>
      <c r="OI747" s="685"/>
      <c r="OJ747" s="685"/>
      <c r="OK747" s="685"/>
      <c r="OL747" s="685"/>
      <c r="OM747" s="685"/>
      <c r="ON747" s="685"/>
      <c r="OO747" s="685"/>
      <c r="OP747" s="685"/>
      <c r="OQ747" s="685"/>
      <c r="OR747" s="685"/>
      <c r="OS747" s="685"/>
      <c r="OT747" s="685"/>
      <c r="OU747" s="685"/>
      <c r="OV747" s="685"/>
      <c r="OW747" s="685"/>
      <c r="OX747" s="685"/>
      <c r="OY747" s="685"/>
      <c r="OZ747" s="685"/>
      <c r="PA747" s="685"/>
      <c r="PB747" s="685"/>
      <c r="PC747" s="685"/>
      <c r="PD747" s="685"/>
      <c r="PE747" s="685"/>
      <c r="PF747" s="685"/>
      <c r="PG747" s="685"/>
      <c r="PH747" s="685"/>
      <c r="PI747" s="685"/>
      <c r="PJ747" s="685"/>
      <c r="PK747" s="685"/>
      <c r="PL747" s="685"/>
      <c r="PM747" s="685"/>
      <c r="PN747" s="685"/>
      <c r="PO747" s="685"/>
      <c r="PP747" s="685"/>
      <c r="PQ747" s="685"/>
      <c r="PR747" s="685"/>
      <c r="PS747" s="685"/>
      <c r="PT747" s="685"/>
      <c r="PU747" s="685"/>
      <c r="PV747" s="685"/>
      <c r="PW747" s="685"/>
      <c r="PX747" s="685"/>
      <c r="PY747" s="685"/>
      <c r="PZ747" s="685"/>
      <c r="QA747" s="685"/>
      <c r="QB747" s="685"/>
      <c r="QC747" s="685"/>
      <c r="QD747" s="685"/>
      <c r="QE747" s="685"/>
      <c r="QF747" s="685"/>
      <c r="QG747" s="685"/>
      <c r="QH747" s="685"/>
      <c r="QI747" s="685"/>
      <c r="QJ747" s="685"/>
      <c r="QK747" s="685"/>
      <c r="QL747" s="685"/>
      <c r="QM747" s="685"/>
      <c r="QN747" s="685"/>
      <c r="QO747" s="685"/>
      <c r="QP747" s="685"/>
      <c r="QQ747" s="685"/>
      <c r="QR747" s="685"/>
      <c r="QS747" s="685"/>
      <c r="QT747" s="685"/>
      <c r="QU747" s="685"/>
      <c r="QV747" s="685"/>
      <c r="QW747" s="685"/>
      <c r="QX747" s="685"/>
      <c r="QY747" s="685"/>
      <c r="QZ747" s="685"/>
      <c r="RA747" s="685"/>
      <c r="RB747" s="685"/>
      <c r="RC747" s="685"/>
      <c r="RD747" s="685"/>
      <c r="RE747" s="685"/>
      <c r="RF747" s="685"/>
      <c r="RG747" s="685"/>
      <c r="RH747" s="685"/>
      <c r="RI747" s="685"/>
      <c r="RJ747" s="685"/>
      <c r="RK747" s="685"/>
      <c r="RL747" s="685"/>
      <c r="RM747" s="685"/>
      <c r="RN747" s="685"/>
      <c r="RO747" s="685"/>
      <c r="RP747" s="685"/>
      <c r="RQ747" s="685"/>
      <c r="RR747" s="685"/>
      <c r="RS747" s="685"/>
      <c r="RT747" s="685"/>
      <c r="RU747" s="685"/>
      <c r="RV747" s="685"/>
      <c r="RW747" s="685"/>
      <c r="RX747" s="685"/>
      <c r="RY747" s="685"/>
      <c r="RZ747" s="685"/>
      <c r="SA747" s="685"/>
      <c r="SB747" s="685"/>
      <c r="SC747" s="685"/>
      <c r="SD747" s="685"/>
      <c r="SE747" s="685"/>
      <c r="SF747" s="685"/>
      <c r="SG747" s="685"/>
      <c r="SH747" s="685"/>
      <c r="SI747" s="685"/>
      <c r="SJ747" s="685"/>
      <c r="SK747" s="685"/>
      <c r="SL747" s="685"/>
      <c r="SM747" s="685"/>
      <c r="SN747" s="685"/>
      <c r="SO747" s="685"/>
      <c r="SP747" s="685"/>
      <c r="SQ747" s="685"/>
      <c r="SR747" s="685"/>
      <c r="SS747" s="685"/>
      <c r="ST747" s="685"/>
      <c r="SU747" s="685"/>
      <c r="SV747" s="685"/>
      <c r="SW747" s="685"/>
      <c r="SX747" s="685"/>
      <c r="SY747" s="685"/>
      <c r="SZ747" s="685"/>
      <c r="TA747" s="685"/>
      <c r="TB747" s="685"/>
      <c r="TC747" s="685"/>
      <c r="TD747" s="685"/>
      <c r="TE747" s="685"/>
      <c r="TF747" s="685"/>
      <c r="TG747" s="685"/>
      <c r="TH747" s="685"/>
      <c r="TI747" s="685"/>
      <c r="TJ747" s="685"/>
      <c r="TK747" s="685"/>
      <c r="TL747" s="685"/>
      <c r="TM747" s="685"/>
      <c r="TN747" s="685"/>
      <c r="TO747" s="685"/>
      <c r="TP747" s="685"/>
      <c r="TQ747" s="685"/>
      <c r="TR747" s="685"/>
      <c r="TS747" s="685"/>
      <c r="TT747" s="685"/>
      <c r="TU747" s="685"/>
      <c r="TV747" s="685"/>
      <c r="TW747" s="685"/>
      <c r="TX747" s="685"/>
      <c r="TY747" s="685"/>
      <c r="TZ747" s="685"/>
      <c r="UA747" s="685"/>
      <c r="UB747" s="685"/>
      <c r="UC747" s="685"/>
      <c r="UD747" s="685"/>
      <c r="UE747" s="685"/>
      <c r="UF747" s="685"/>
      <c r="UG747" s="685"/>
      <c r="UH747" s="685"/>
      <c r="UI747" s="685"/>
    </row>
    <row r="748" spans="1:555" s="259" customFormat="1" ht="70.5" customHeight="1">
      <c r="A748" s="502">
        <v>657</v>
      </c>
      <c r="B748" s="686" t="s">
        <v>5634</v>
      </c>
      <c r="C748" s="687">
        <v>20737161</v>
      </c>
      <c r="D748" s="688" t="s">
        <v>906</v>
      </c>
      <c r="E748" s="27">
        <v>43054</v>
      </c>
      <c r="F748" s="689">
        <v>43040</v>
      </c>
      <c r="G748" s="690" t="s">
        <v>5635</v>
      </c>
      <c r="H748" s="686" t="s">
        <v>625</v>
      </c>
      <c r="I748" s="686" t="s">
        <v>4254</v>
      </c>
      <c r="J748" s="27">
        <v>43067</v>
      </c>
      <c r="K748" s="689">
        <v>43040</v>
      </c>
      <c r="L748" s="690" t="s">
        <v>5636</v>
      </c>
      <c r="M748" s="686" t="s">
        <v>625</v>
      </c>
      <c r="N748" s="686" t="s">
        <v>3423</v>
      </c>
      <c r="O748" s="27">
        <v>43076</v>
      </c>
      <c r="P748" s="691">
        <v>43070</v>
      </c>
      <c r="Q748" s="690" t="s">
        <v>5637</v>
      </c>
      <c r="R748" s="686" t="s">
        <v>195</v>
      </c>
      <c r="S748" s="686" t="s">
        <v>1491</v>
      </c>
      <c r="T748" s="16">
        <v>43266</v>
      </c>
      <c r="U748" s="689">
        <v>43266</v>
      </c>
      <c r="V748" s="706" t="s">
        <v>5638</v>
      </c>
      <c r="W748" s="686" t="s">
        <v>5</v>
      </c>
      <c r="X748" s="686" t="s">
        <v>85</v>
      </c>
      <c r="Y748" s="27"/>
      <c r="Z748" s="689"/>
      <c r="AA748" s="690"/>
      <c r="AB748" s="686"/>
      <c r="AC748" s="686"/>
      <c r="AD748" s="27"/>
      <c r="AE748" s="689"/>
      <c r="AF748" s="690"/>
      <c r="AG748" s="686"/>
      <c r="AH748" s="686"/>
      <c r="AI748" s="704"/>
      <c r="AJ748" s="689"/>
      <c r="AK748" s="690"/>
      <c r="AL748" s="686"/>
      <c r="AM748" s="686"/>
      <c r="AN748" s="686" t="s">
        <v>3671</v>
      </c>
      <c r="AO748" s="705"/>
      <c r="AP748" s="686"/>
      <c r="AQ748" s="690" t="s">
        <v>5639</v>
      </c>
      <c r="AR748" s="686" t="s">
        <v>161</v>
      </c>
      <c r="AS748" s="27">
        <v>30531</v>
      </c>
      <c r="AT748" s="27">
        <v>40908</v>
      </c>
      <c r="AU748" s="686" t="s">
        <v>5640</v>
      </c>
      <c r="AV748" s="686"/>
      <c r="AW748" s="686" t="s">
        <v>69</v>
      </c>
      <c r="AX748" s="686" t="s">
        <v>5641</v>
      </c>
      <c r="AY748" s="27">
        <v>42578</v>
      </c>
      <c r="AZ748" s="686" t="s">
        <v>5226</v>
      </c>
      <c r="BA748" s="27">
        <v>43035</v>
      </c>
      <c r="BB748" s="27">
        <v>43059</v>
      </c>
      <c r="BC748" s="701" t="s">
        <v>912</v>
      </c>
      <c r="BD748" s="701" t="s">
        <v>566</v>
      </c>
      <c r="BE748" s="686"/>
      <c r="BF748" s="690"/>
      <c r="BG748" s="690"/>
      <c r="BH748" s="690"/>
      <c r="BI748" s="690"/>
      <c r="BJ748" s="708">
        <f>+'[269]MATRIZ DE CONTRATOS '!$J$69</f>
        <v>0</v>
      </c>
      <c r="BK748" s="696"/>
      <c r="BL748" s="697"/>
      <c r="BM748" s="27"/>
      <c r="BN748" s="689"/>
      <c r="BO748" s="699"/>
      <c r="BP748" s="700"/>
      <c r="BQ748" s="686"/>
      <c r="BR748" s="701"/>
      <c r="BS748" s="690"/>
      <c r="BT748" s="690"/>
      <c r="BU748" s="690"/>
      <c r="BV748" s="690"/>
      <c r="BW748" s="702"/>
      <c r="BX748" s="693"/>
      <c r="BY748" s="27"/>
      <c r="BZ748" s="703"/>
    </row>
    <row r="749" spans="1:555" ht="67.5">
      <c r="A749" s="502">
        <v>658</v>
      </c>
      <c r="B749" s="686" t="s">
        <v>5642</v>
      </c>
      <c r="C749" s="687">
        <v>79616974</v>
      </c>
      <c r="D749" s="688" t="s">
        <v>906</v>
      </c>
      <c r="E749" s="27">
        <v>43054</v>
      </c>
      <c r="F749" s="689">
        <v>43040</v>
      </c>
      <c r="G749" s="690" t="s">
        <v>5643</v>
      </c>
      <c r="H749" s="686" t="s">
        <v>625</v>
      </c>
      <c r="I749" s="686" t="s">
        <v>4254</v>
      </c>
      <c r="J749" s="27">
        <v>43055</v>
      </c>
      <c r="K749" s="689">
        <v>43040</v>
      </c>
      <c r="L749" s="690" t="s">
        <v>5644</v>
      </c>
      <c r="M749" s="686" t="s">
        <v>625</v>
      </c>
      <c r="N749" s="686" t="s">
        <v>4254</v>
      </c>
      <c r="O749" s="27">
        <v>43067</v>
      </c>
      <c r="P749" s="691">
        <v>43040</v>
      </c>
      <c r="Q749" s="690" t="s">
        <v>5645</v>
      </c>
      <c r="R749" s="686" t="s">
        <v>625</v>
      </c>
      <c r="S749" s="686" t="s">
        <v>3423</v>
      </c>
      <c r="T749" s="27">
        <v>43076</v>
      </c>
      <c r="U749" s="689">
        <v>43070</v>
      </c>
      <c r="V749" s="690" t="s">
        <v>5646</v>
      </c>
      <c r="W749" s="686" t="s">
        <v>195</v>
      </c>
      <c r="X749" s="686" t="s">
        <v>4920</v>
      </c>
      <c r="Y749" s="27"/>
      <c r="Z749" s="689"/>
      <c r="AA749" s="690"/>
      <c r="AB749" s="686"/>
      <c r="AC749" s="686"/>
      <c r="AD749" s="27"/>
      <c r="AE749" s="689"/>
      <c r="AF749" s="690"/>
      <c r="AG749" s="686"/>
      <c r="AH749" s="686"/>
      <c r="AI749" s="704"/>
      <c r="AJ749" s="689"/>
      <c r="AK749" s="690"/>
      <c r="AL749" s="686"/>
      <c r="AM749" s="686"/>
      <c r="AN749" s="686" t="s">
        <v>4827</v>
      </c>
      <c r="AO749" s="705"/>
      <c r="AP749" s="686"/>
      <c r="AQ749" s="690" t="s">
        <v>5647</v>
      </c>
      <c r="AR749" s="686" t="s">
        <v>161</v>
      </c>
      <c r="AS749" s="27">
        <v>34564</v>
      </c>
      <c r="AT749" s="27">
        <v>40908</v>
      </c>
      <c r="AU749" s="686" t="s">
        <v>4499</v>
      </c>
      <c r="AV749" s="686"/>
      <c r="AW749" s="686" t="s">
        <v>69</v>
      </c>
      <c r="AX749" s="686" t="s">
        <v>5648</v>
      </c>
      <c r="AY749" s="27">
        <v>42578</v>
      </c>
      <c r="AZ749" s="686" t="s">
        <v>5226</v>
      </c>
      <c r="BA749" s="27">
        <v>43035</v>
      </c>
      <c r="BB749" s="27">
        <v>43059</v>
      </c>
      <c r="BC749" s="701" t="s">
        <v>912</v>
      </c>
      <c r="BD749" s="701" t="s">
        <v>566</v>
      </c>
      <c r="BE749" s="686"/>
      <c r="BF749" s="690"/>
      <c r="BG749" s="690"/>
      <c r="BH749" s="690"/>
      <c r="BI749" s="690"/>
      <c r="BJ749" s="708">
        <f>+'[270]MATRIZ DE CONTRATOS '!$J$71</f>
        <v>0</v>
      </c>
      <c r="BK749" s="696"/>
      <c r="BL749" s="697"/>
      <c r="BM749" s="27"/>
      <c r="BN749" s="689"/>
      <c r="BO749" s="699"/>
      <c r="BP749" s="700"/>
      <c r="BQ749" s="686"/>
      <c r="BR749" s="701"/>
      <c r="BS749" s="690"/>
      <c r="BT749" s="690"/>
      <c r="BU749" s="690"/>
      <c r="BV749" s="690"/>
      <c r="BW749" s="702"/>
      <c r="BX749" s="693"/>
      <c r="BY749" s="27"/>
      <c r="BZ749" s="703"/>
      <c r="CA749" s="259"/>
      <c r="CB749" s="259"/>
      <c r="CC749" s="259"/>
      <c r="CD749" s="259"/>
      <c r="CE749" s="259"/>
      <c r="CF749" s="259"/>
      <c r="CG749" s="259"/>
      <c r="CH749" s="259"/>
      <c r="CI749" s="259"/>
      <c r="CJ749" s="259"/>
      <c r="CK749" s="259"/>
      <c r="CL749" s="259"/>
      <c r="CM749" s="259"/>
      <c r="CN749" s="259"/>
      <c r="CO749" s="259"/>
      <c r="CP749" s="259"/>
      <c r="CQ749" s="259"/>
      <c r="CR749" s="259"/>
      <c r="CS749" s="259"/>
      <c r="CT749" s="259"/>
      <c r="CU749" s="259"/>
      <c r="CV749" s="259"/>
      <c r="CW749" s="259"/>
      <c r="CX749" s="259"/>
      <c r="CY749" s="259"/>
      <c r="CZ749" s="259"/>
      <c r="DA749" s="259"/>
      <c r="DB749" s="259"/>
      <c r="DC749" s="259"/>
      <c r="DD749" s="259"/>
      <c r="DE749" s="259"/>
      <c r="DF749" s="259"/>
      <c r="DG749" s="259"/>
      <c r="DH749" s="259"/>
      <c r="DI749" s="259"/>
      <c r="DJ749" s="259"/>
      <c r="DK749" s="259"/>
      <c r="DL749" s="259"/>
      <c r="DM749" s="259"/>
      <c r="DN749" s="259"/>
      <c r="DO749" s="259"/>
      <c r="DP749" s="259"/>
      <c r="DQ749" s="259"/>
      <c r="DR749" s="259"/>
      <c r="DS749" s="259"/>
      <c r="DT749" s="259"/>
      <c r="DU749" s="259"/>
      <c r="DV749" s="259"/>
      <c r="DW749" s="259"/>
      <c r="DX749" s="259"/>
      <c r="DY749" s="259"/>
      <c r="DZ749" s="259"/>
      <c r="EA749" s="259"/>
      <c r="EB749" s="259"/>
      <c r="EC749" s="259"/>
      <c r="ED749" s="259"/>
      <c r="EE749" s="259"/>
      <c r="EF749" s="259"/>
      <c r="EG749" s="259"/>
      <c r="EH749" s="259"/>
      <c r="EI749" s="259"/>
      <c r="EJ749" s="259"/>
      <c r="EK749" s="259"/>
      <c r="EL749" s="259"/>
      <c r="EM749" s="259"/>
      <c r="EN749" s="259"/>
      <c r="EO749" s="259"/>
      <c r="EP749" s="259"/>
      <c r="EQ749" s="259"/>
      <c r="ER749" s="259"/>
      <c r="ES749" s="259"/>
      <c r="ET749" s="259"/>
      <c r="EU749" s="259"/>
      <c r="EV749" s="259"/>
      <c r="EW749" s="259"/>
      <c r="EX749" s="259"/>
      <c r="EY749" s="259"/>
      <c r="EZ749" s="259"/>
      <c r="FA749" s="259"/>
      <c r="FB749" s="259"/>
      <c r="FC749" s="259"/>
      <c r="FD749" s="259"/>
      <c r="FE749" s="259"/>
      <c r="FF749" s="259"/>
      <c r="FG749" s="259"/>
      <c r="FH749" s="259"/>
      <c r="FI749" s="259"/>
      <c r="FJ749" s="259"/>
      <c r="FK749" s="259"/>
      <c r="FL749" s="259"/>
      <c r="FM749" s="259"/>
      <c r="FN749" s="259"/>
      <c r="FO749" s="259"/>
      <c r="FP749" s="259"/>
      <c r="FQ749" s="259"/>
      <c r="FR749" s="259"/>
      <c r="FS749" s="259"/>
      <c r="FT749" s="259"/>
      <c r="FU749" s="259"/>
      <c r="FV749" s="259"/>
      <c r="FW749" s="259"/>
      <c r="FX749" s="259"/>
      <c r="FY749" s="259"/>
      <c r="FZ749" s="259"/>
      <c r="GA749" s="259"/>
      <c r="GB749" s="259"/>
      <c r="GC749" s="259"/>
      <c r="GD749" s="259"/>
      <c r="GE749" s="259"/>
      <c r="GF749" s="259"/>
      <c r="GG749" s="259"/>
      <c r="GH749" s="259"/>
      <c r="GI749" s="259"/>
      <c r="GJ749" s="259"/>
      <c r="GK749" s="259"/>
      <c r="GL749" s="259"/>
      <c r="GM749" s="259"/>
      <c r="GN749" s="259"/>
      <c r="GO749" s="259"/>
      <c r="GP749" s="259"/>
      <c r="GQ749" s="259"/>
      <c r="GR749" s="259"/>
      <c r="GS749" s="259"/>
      <c r="GT749" s="259"/>
      <c r="GU749" s="259"/>
      <c r="GV749" s="259"/>
      <c r="GW749" s="259"/>
      <c r="GX749" s="259"/>
      <c r="GY749" s="259"/>
      <c r="GZ749" s="259"/>
      <c r="HA749" s="259"/>
      <c r="HB749" s="259"/>
      <c r="HC749" s="259"/>
      <c r="HD749" s="259"/>
      <c r="HE749" s="259"/>
      <c r="HF749" s="259"/>
      <c r="HG749" s="259"/>
      <c r="HH749" s="259"/>
      <c r="HI749" s="259"/>
      <c r="HJ749" s="259"/>
      <c r="HK749" s="259"/>
      <c r="HL749" s="259"/>
      <c r="HM749" s="259"/>
      <c r="HN749" s="259"/>
      <c r="HO749" s="259"/>
      <c r="HP749" s="259"/>
      <c r="HQ749" s="259"/>
      <c r="HR749" s="259"/>
      <c r="HS749" s="259"/>
      <c r="HT749" s="259"/>
      <c r="HU749" s="259"/>
      <c r="HV749" s="259"/>
      <c r="HW749" s="259"/>
      <c r="HX749" s="259"/>
      <c r="HY749" s="259"/>
      <c r="HZ749" s="259"/>
      <c r="IA749" s="259"/>
      <c r="IB749" s="259"/>
      <c r="IC749" s="259"/>
      <c r="ID749" s="259"/>
      <c r="IE749" s="259"/>
      <c r="IF749" s="259"/>
      <c r="IG749" s="259"/>
      <c r="IH749" s="259"/>
      <c r="II749" s="259"/>
      <c r="IJ749" s="259"/>
      <c r="IK749" s="259"/>
      <c r="IL749" s="259"/>
      <c r="IM749" s="259"/>
      <c r="IN749" s="259"/>
      <c r="IO749" s="259"/>
      <c r="IP749" s="259"/>
      <c r="IQ749" s="259"/>
      <c r="IR749" s="259"/>
      <c r="IS749" s="259"/>
      <c r="IT749" s="259"/>
      <c r="IU749" s="259"/>
      <c r="IV749" s="259"/>
      <c r="IW749" s="259"/>
      <c r="IX749" s="259"/>
      <c r="IY749" s="259"/>
      <c r="IZ749" s="259"/>
      <c r="JA749" s="259"/>
      <c r="JB749" s="259"/>
      <c r="JC749" s="259"/>
      <c r="JD749" s="259"/>
      <c r="JE749" s="259"/>
      <c r="JF749" s="259"/>
      <c r="JG749" s="259"/>
      <c r="JH749" s="259"/>
      <c r="JI749" s="259"/>
      <c r="JJ749" s="259"/>
      <c r="JK749" s="259"/>
      <c r="JL749" s="259"/>
      <c r="JM749" s="259"/>
      <c r="JN749" s="259"/>
      <c r="JO749" s="259"/>
      <c r="JP749" s="259"/>
      <c r="JQ749" s="259"/>
      <c r="JR749" s="259"/>
      <c r="JS749" s="259"/>
      <c r="JT749" s="259"/>
      <c r="JU749" s="259"/>
      <c r="JV749" s="259"/>
      <c r="JW749" s="259"/>
      <c r="JX749" s="259"/>
      <c r="JY749" s="259"/>
      <c r="JZ749" s="259"/>
      <c r="KA749" s="259"/>
      <c r="KB749" s="259"/>
      <c r="KC749" s="259"/>
      <c r="KD749" s="259"/>
      <c r="KE749" s="259"/>
      <c r="KF749" s="259"/>
      <c r="KG749" s="259"/>
      <c r="KH749" s="259"/>
      <c r="KI749" s="259"/>
      <c r="KJ749" s="259"/>
      <c r="KK749" s="259"/>
      <c r="KL749" s="259"/>
      <c r="KM749" s="259"/>
      <c r="KN749" s="259"/>
      <c r="KO749" s="259"/>
      <c r="KP749" s="259"/>
      <c r="KQ749" s="259"/>
      <c r="KR749" s="259"/>
      <c r="KS749" s="259"/>
      <c r="KT749" s="259"/>
      <c r="KU749" s="259"/>
      <c r="KV749" s="259"/>
      <c r="KW749" s="259"/>
      <c r="KX749" s="259"/>
      <c r="KY749" s="259"/>
      <c r="KZ749" s="259"/>
      <c r="LA749" s="259"/>
      <c r="LB749" s="259"/>
      <c r="LC749" s="259"/>
      <c r="LD749" s="259"/>
      <c r="LE749" s="259"/>
      <c r="LF749" s="259"/>
      <c r="LG749" s="259"/>
      <c r="LH749" s="259"/>
      <c r="LI749" s="259"/>
      <c r="LJ749" s="259"/>
      <c r="LK749" s="259"/>
      <c r="LL749" s="259"/>
      <c r="LM749" s="259"/>
      <c r="LN749" s="259"/>
      <c r="LO749" s="259"/>
      <c r="LP749" s="259"/>
      <c r="LQ749" s="259"/>
      <c r="LR749" s="259"/>
      <c r="LS749" s="259"/>
      <c r="LT749" s="259"/>
      <c r="LU749" s="259"/>
      <c r="LV749" s="259"/>
      <c r="LW749" s="259"/>
      <c r="LX749" s="259"/>
      <c r="LY749" s="259"/>
      <c r="LZ749" s="259"/>
      <c r="MA749" s="259"/>
      <c r="MB749" s="259"/>
      <c r="MC749" s="259"/>
      <c r="MD749" s="259"/>
      <c r="ME749" s="259"/>
      <c r="MF749" s="259"/>
      <c r="MG749" s="259"/>
      <c r="MH749" s="259"/>
      <c r="MI749" s="259"/>
      <c r="MJ749" s="259"/>
      <c r="MK749" s="259"/>
      <c r="ML749" s="259"/>
      <c r="MM749" s="259"/>
      <c r="MN749" s="259"/>
      <c r="MO749" s="259"/>
      <c r="MP749" s="259"/>
      <c r="MQ749" s="259"/>
      <c r="MR749" s="259"/>
      <c r="MS749" s="259"/>
      <c r="MT749" s="259"/>
      <c r="MU749" s="259"/>
      <c r="MV749" s="259"/>
      <c r="MW749" s="259"/>
      <c r="MX749" s="259"/>
      <c r="MY749" s="259"/>
      <c r="MZ749" s="259"/>
      <c r="NA749" s="259"/>
      <c r="NB749" s="259"/>
      <c r="NC749" s="259"/>
      <c r="ND749" s="259"/>
      <c r="NE749" s="259"/>
      <c r="NF749" s="259"/>
      <c r="NG749" s="259"/>
      <c r="NH749" s="259"/>
      <c r="NI749" s="259"/>
      <c r="NJ749" s="259"/>
      <c r="NK749" s="259"/>
      <c r="NL749" s="259"/>
      <c r="NM749" s="259"/>
      <c r="NN749" s="259"/>
      <c r="NO749" s="259"/>
      <c r="NP749" s="259"/>
      <c r="NQ749" s="259"/>
      <c r="NR749" s="259"/>
      <c r="NS749" s="259"/>
      <c r="NT749" s="259"/>
      <c r="NU749" s="259"/>
      <c r="NV749" s="259"/>
      <c r="NW749" s="259"/>
      <c r="NX749" s="259"/>
      <c r="NY749" s="259"/>
      <c r="NZ749" s="259"/>
      <c r="OA749" s="259"/>
      <c r="OB749" s="259"/>
      <c r="OC749" s="259"/>
      <c r="OD749" s="259"/>
      <c r="OE749" s="259"/>
      <c r="OF749" s="259"/>
      <c r="OG749" s="259"/>
      <c r="OH749" s="259"/>
      <c r="OI749" s="259"/>
      <c r="OJ749" s="259"/>
      <c r="OK749" s="259"/>
      <c r="OL749" s="259"/>
      <c r="OM749" s="259"/>
      <c r="ON749" s="259"/>
      <c r="OO749" s="259"/>
      <c r="OP749" s="259"/>
      <c r="OQ749" s="259"/>
      <c r="OR749" s="259"/>
      <c r="OS749" s="259"/>
      <c r="OT749" s="259"/>
      <c r="OU749" s="259"/>
      <c r="OV749" s="259"/>
      <c r="OW749" s="259"/>
      <c r="OX749" s="259"/>
      <c r="OY749" s="259"/>
      <c r="OZ749" s="259"/>
      <c r="PA749" s="259"/>
      <c r="PB749" s="259"/>
      <c r="PC749" s="259"/>
      <c r="PD749" s="259"/>
      <c r="PE749" s="259"/>
      <c r="PF749" s="259"/>
      <c r="PG749" s="259"/>
      <c r="PH749" s="259"/>
      <c r="PI749" s="259"/>
      <c r="PJ749" s="259"/>
      <c r="PK749" s="259"/>
      <c r="PL749" s="259"/>
      <c r="PM749" s="259"/>
      <c r="PN749" s="259"/>
      <c r="PO749" s="259"/>
      <c r="PP749" s="259"/>
      <c r="PQ749" s="259"/>
      <c r="PR749" s="259"/>
      <c r="PS749" s="259"/>
      <c r="PT749" s="259"/>
      <c r="PU749" s="259"/>
      <c r="PV749" s="259"/>
      <c r="PW749" s="259"/>
      <c r="PX749" s="259"/>
      <c r="PY749" s="259"/>
      <c r="PZ749" s="259"/>
      <c r="QA749" s="259"/>
      <c r="QB749" s="259"/>
      <c r="QC749" s="259"/>
      <c r="QD749" s="259"/>
      <c r="QE749" s="259"/>
      <c r="QF749" s="259"/>
      <c r="QG749" s="259"/>
      <c r="QH749" s="259"/>
      <c r="QI749" s="259"/>
      <c r="QJ749" s="259"/>
      <c r="QK749" s="259"/>
      <c r="QL749" s="259"/>
      <c r="QM749" s="259"/>
      <c r="QN749" s="259"/>
      <c r="QO749" s="259"/>
      <c r="QP749" s="259"/>
      <c r="QQ749" s="259"/>
      <c r="QR749" s="259"/>
      <c r="QS749" s="259"/>
      <c r="QT749" s="259"/>
      <c r="QU749" s="259"/>
      <c r="QV749" s="259"/>
      <c r="QW749" s="259"/>
      <c r="QX749" s="259"/>
      <c r="QY749" s="259"/>
      <c r="QZ749" s="259"/>
      <c r="RA749" s="259"/>
      <c r="RB749" s="259"/>
      <c r="RC749" s="259"/>
      <c r="RD749" s="259"/>
      <c r="RE749" s="259"/>
      <c r="RF749" s="259"/>
      <c r="RG749" s="259"/>
      <c r="RH749" s="259"/>
      <c r="RI749" s="259"/>
      <c r="RJ749" s="259"/>
      <c r="RK749" s="259"/>
      <c r="RL749" s="259"/>
      <c r="RM749" s="259"/>
      <c r="RN749" s="259"/>
      <c r="RO749" s="259"/>
      <c r="RP749" s="259"/>
      <c r="RQ749" s="259"/>
      <c r="RR749" s="259"/>
      <c r="RS749" s="259"/>
      <c r="RT749" s="259"/>
      <c r="RU749" s="259"/>
      <c r="RV749" s="259"/>
      <c r="RW749" s="259"/>
      <c r="RX749" s="259"/>
      <c r="RY749" s="259"/>
      <c r="RZ749" s="259"/>
      <c r="SA749" s="259"/>
      <c r="SB749" s="259"/>
      <c r="SC749" s="259"/>
      <c r="SD749" s="259"/>
      <c r="SE749" s="259"/>
      <c r="SF749" s="259"/>
      <c r="SG749" s="259"/>
      <c r="SH749" s="259"/>
      <c r="SI749" s="259"/>
      <c r="SJ749" s="259"/>
      <c r="SK749" s="259"/>
      <c r="SL749" s="259"/>
      <c r="SM749" s="259"/>
      <c r="SN749" s="259"/>
      <c r="SO749" s="259"/>
      <c r="SP749" s="259"/>
      <c r="SQ749" s="259"/>
      <c r="SR749" s="259"/>
      <c r="SS749" s="259"/>
      <c r="ST749" s="259"/>
      <c r="SU749" s="259"/>
      <c r="SV749" s="259"/>
      <c r="SW749" s="259"/>
      <c r="SX749" s="259"/>
      <c r="SY749" s="259"/>
      <c r="SZ749" s="259"/>
      <c r="TA749" s="259"/>
      <c r="TB749" s="259"/>
      <c r="TC749" s="259"/>
      <c r="TD749" s="259"/>
      <c r="TE749" s="259"/>
      <c r="TF749" s="259"/>
      <c r="TG749" s="259"/>
      <c r="TH749" s="259"/>
      <c r="TI749" s="259"/>
      <c r="TJ749" s="259"/>
      <c r="TK749" s="259"/>
      <c r="TL749" s="259"/>
      <c r="TM749" s="259"/>
      <c r="TN749" s="259"/>
      <c r="TO749" s="259"/>
      <c r="TP749" s="259"/>
      <c r="TQ749" s="259"/>
      <c r="TR749" s="259"/>
      <c r="TS749" s="259"/>
      <c r="TT749" s="259"/>
      <c r="TU749" s="259"/>
      <c r="TV749" s="259"/>
      <c r="TW749" s="259"/>
      <c r="TX749" s="259"/>
      <c r="TY749" s="259"/>
      <c r="TZ749" s="259"/>
      <c r="UA749" s="259"/>
      <c r="UB749" s="259"/>
      <c r="UC749" s="259"/>
      <c r="UD749" s="259"/>
      <c r="UE749" s="259"/>
      <c r="UF749" s="259"/>
      <c r="UG749" s="259"/>
      <c r="UH749" s="259"/>
      <c r="UI749" s="259"/>
    </row>
    <row r="750" spans="1:555" ht="202.5">
      <c r="A750" s="502">
        <v>659</v>
      </c>
      <c r="B750" s="686" t="s">
        <v>5649</v>
      </c>
      <c r="C750" s="687">
        <v>73145809</v>
      </c>
      <c r="D750" s="688" t="s">
        <v>8003</v>
      </c>
      <c r="E750" s="27">
        <v>43005</v>
      </c>
      <c r="F750" s="689">
        <v>42979</v>
      </c>
      <c r="G750" s="690" t="s">
        <v>5650</v>
      </c>
      <c r="H750" s="686" t="s">
        <v>208</v>
      </c>
      <c r="I750" s="686" t="s">
        <v>5651</v>
      </c>
      <c r="J750" s="27">
        <v>43054</v>
      </c>
      <c r="K750" s="689">
        <v>43040</v>
      </c>
      <c r="L750" s="690" t="s">
        <v>5652</v>
      </c>
      <c r="M750" s="686" t="s">
        <v>208</v>
      </c>
      <c r="N750" s="686" t="s">
        <v>5653</v>
      </c>
      <c r="O750" s="27">
        <v>43180</v>
      </c>
      <c r="P750" s="691">
        <v>43160</v>
      </c>
      <c r="Q750" s="690" t="s">
        <v>5654</v>
      </c>
      <c r="R750" s="686" t="s">
        <v>208</v>
      </c>
      <c r="S750" s="686" t="s">
        <v>107</v>
      </c>
      <c r="T750" s="16">
        <v>43333</v>
      </c>
      <c r="U750" s="689">
        <v>43333</v>
      </c>
      <c r="V750" s="706" t="s">
        <v>5655</v>
      </c>
      <c r="W750" s="706" t="s">
        <v>208</v>
      </c>
      <c r="X750" s="706" t="s">
        <v>107</v>
      </c>
      <c r="Y750" s="16">
        <v>43468</v>
      </c>
      <c r="Z750" s="689">
        <v>43468</v>
      </c>
      <c r="AA750" s="706" t="s">
        <v>8010</v>
      </c>
      <c r="AB750" s="706" t="s">
        <v>208</v>
      </c>
      <c r="AC750" s="706" t="s">
        <v>1114</v>
      </c>
      <c r="AD750" s="27">
        <v>43698</v>
      </c>
      <c r="AE750" s="689">
        <v>43698</v>
      </c>
      <c r="AF750" s="690" t="s">
        <v>9107</v>
      </c>
      <c r="AG750" s="686" t="s">
        <v>208</v>
      </c>
      <c r="AH750" s="27" t="s">
        <v>8243</v>
      </c>
      <c r="AI750" s="27" t="s">
        <v>10732</v>
      </c>
      <c r="AJ750" s="689" t="s">
        <v>10733</v>
      </c>
      <c r="AK750" s="690" t="s">
        <v>10729</v>
      </c>
      <c r="AL750" s="686" t="s">
        <v>10730</v>
      </c>
      <c r="AM750" s="686" t="s">
        <v>10731</v>
      </c>
      <c r="AN750" s="686" t="s">
        <v>5656</v>
      </c>
      <c r="AO750" s="694">
        <v>43473</v>
      </c>
      <c r="AP750" s="686"/>
      <c r="AQ750" s="690" t="s">
        <v>5657</v>
      </c>
      <c r="AR750" s="686" t="s">
        <v>161</v>
      </c>
      <c r="AS750" s="27">
        <v>37823</v>
      </c>
      <c r="AT750" s="27">
        <v>40594</v>
      </c>
      <c r="AU750" s="686" t="s">
        <v>8004</v>
      </c>
      <c r="AV750" s="686"/>
      <c r="AW750" s="686" t="s">
        <v>92</v>
      </c>
      <c r="AX750" s="686" t="s">
        <v>5658</v>
      </c>
      <c r="AY750" s="27">
        <v>42723</v>
      </c>
      <c r="AZ750" s="686" t="s">
        <v>67</v>
      </c>
      <c r="BA750" s="27" t="s">
        <v>67</v>
      </c>
      <c r="BB750" s="27">
        <v>42786</v>
      </c>
      <c r="BC750" s="686" t="s">
        <v>8919</v>
      </c>
      <c r="BD750" s="686" t="s">
        <v>566</v>
      </c>
      <c r="BE750" s="686"/>
      <c r="BF750" s="690"/>
      <c r="BG750" s="690"/>
      <c r="BH750" s="690"/>
      <c r="BI750" s="690"/>
      <c r="BJ750" s="708">
        <f>+[271]MATRIZ!$J$80</f>
        <v>0</v>
      </c>
      <c r="BK750" s="696"/>
      <c r="BL750" s="697"/>
      <c r="BM750" s="27"/>
      <c r="BN750" s="689"/>
      <c r="BO750" s="699"/>
      <c r="BP750" s="700"/>
      <c r="BQ750" s="686"/>
      <c r="BR750" s="701"/>
      <c r="BS750" s="690"/>
      <c r="BT750" s="690"/>
      <c r="BU750" s="690"/>
      <c r="BV750" s="690"/>
      <c r="BW750" s="702"/>
      <c r="BX750" s="693"/>
      <c r="BY750" s="27"/>
      <c r="BZ750" s="703"/>
      <c r="CA750" s="259"/>
      <c r="CB750" s="259"/>
      <c r="CC750" s="259"/>
      <c r="CD750" s="259"/>
      <c r="CE750" s="259"/>
      <c r="CF750" s="259"/>
      <c r="CG750" s="259"/>
      <c r="CH750" s="259"/>
      <c r="CI750" s="259"/>
      <c r="CJ750" s="259"/>
      <c r="CK750" s="259"/>
      <c r="CL750" s="259"/>
      <c r="CM750" s="259"/>
      <c r="CN750" s="259"/>
      <c r="CO750" s="259"/>
      <c r="CP750" s="259"/>
      <c r="CQ750" s="259"/>
      <c r="CR750" s="259"/>
      <c r="CS750" s="259"/>
      <c r="CT750" s="259"/>
      <c r="CU750" s="259"/>
      <c r="CV750" s="259"/>
      <c r="CW750" s="259"/>
      <c r="CX750" s="259"/>
      <c r="CY750" s="259"/>
      <c r="CZ750" s="259"/>
      <c r="DA750" s="259"/>
      <c r="DB750" s="259"/>
      <c r="DC750" s="259"/>
      <c r="DD750" s="259"/>
      <c r="DE750" s="259"/>
      <c r="DF750" s="259"/>
      <c r="DG750" s="259"/>
      <c r="DH750" s="259"/>
      <c r="DI750" s="259"/>
      <c r="DJ750" s="259"/>
      <c r="DK750" s="259"/>
      <c r="DL750" s="259"/>
      <c r="DM750" s="259"/>
      <c r="DN750" s="259"/>
      <c r="DO750" s="259"/>
      <c r="DP750" s="259"/>
      <c r="DQ750" s="259"/>
      <c r="DR750" s="259"/>
      <c r="DS750" s="259"/>
      <c r="DT750" s="259"/>
      <c r="DU750" s="259"/>
      <c r="DV750" s="259"/>
      <c r="DW750" s="259"/>
      <c r="DX750" s="259"/>
      <c r="DY750" s="259"/>
      <c r="DZ750" s="259"/>
      <c r="EA750" s="259"/>
      <c r="EB750" s="259"/>
      <c r="EC750" s="259"/>
      <c r="ED750" s="259"/>
      <c r="EE750" s="259"/>
      <c r="EF750" s="259"/>
      <c r="EG750" s="259"/>
      <c r="EH750" s="259"/>
      <c r="EI750" s="259"/>
      <c r="EJ750" s="259"/>
      <c r="EK750" s="259"/>
      <c r="EL750" s="259"/>
      <c r="EM750" s="259"/>
      <c r="EN750" s="259"/>
      <c r="EO750" s="259"/>
      <c r="EP750" s="259"/>
      <c r="EQ750" s="259"/>
      <c r="ER750" s="259"/>
      <c r="ES750" s="259"/>
      <c r="ET750" s="259"/>
      <c r="EU750" s="259"/>
      <c r="EV750" s="259"/>
      <c r="EW750" s="259"/>
      <c r="EX750" s="259"/>
      <c r="EY750" s="259"/>
      <c r="EZ750" s="259"/>
      <c r="FA750" s="259"/>
      <c r="FB750" s="259"/>
      <c r="FC750" s="259"/>
      <c r="FD750" s="259"/>
      <c r="FE750" s="259"/>
      <c r="FF750" s="259"/>
      <c r="FG750" s="259"/>
      <c r="FH750" s="259"/>
      <c r="FI750" s="259"/>
      <c r="FJ750" s="259"/>
      <c r="FK750" s="259"/>
      <c r="FL750" s="259"/>
      <c r="FM750" s="259"/>
      <c r="FN750" s="259"/>
      <c r="FO750" s="259"/>
      <c r="FP750" s="259"/>
      <c r="FQ750" s="259"/>
      <c r="FR750" s="259"/>
      <c r="FS750" s="259"/>
      <c r="FT750" s="259"/>
      <c r="FU750" s="259"/>
      <c r="FV750" s="259"/>
      <c r="FW750" s="259"/>
      <c r="FX750" s="259"/>
      <c r="FY750" s="259"/>
      <c r="FZ750" s="259"/>
      <c r="GA750" s="259"/>
      <c r="GB750" s="259"/>
      <c r="GC750" s="259"/>
      <c r="GD750" s="259"/>
      <c r="GE750" s="259"/>
      <c r="GF750" s="259"/>
      <c r="GG750" s="259"/>
      <c r="GH750" s="259"/>
      <c r="GI750" s="259"/>
      <c r="GJ750" s="259"/>
      <c r="GK750" s="259"/>
      <c r="GL750" s="259"/>
      <c r="GM750" s="259"/>
      <c r="GN750" s="259"/>
      <c r="GO750" s="259"/>
      <c r="GP750" s="259"/>
      <c r="GQ750" s="259"/>
      <c r="GR750" s="259"/>
      <c r="GS750" s="259"/>
      <c r="GT750" s="259"/>
      <c r="GU750" s="259"/>
      <c r="GV750" s="259"/>
      <c r="GW750" s="259"/>
      <c r="GX750" s="259"/>
      <c r="GY750" s="259"/>
      <c r="GZ750" s="259"/>
      <c r="HA750" s="259"/>
      <c r="HB750" s="259"/>
      <c r="HC750" s="259"/>
      <c r="HD750" s="259"/>
      <c r="HE750" s="259"/>
      <c r="HF750" s="259"/>
      <c r="HG750" s="259"/>
      <c r="HH750" s="259"/>
      <c r="HI750" s="259"/>
      <c r="HJ750" s="259"/>
      <c r="HK750" s="259"/>
      <c r="HL750" s="259"/>
      <c r="HM750" s="259"/>
      <c r="HN750" s="259"/>
      <c r="HO750" s="259"/>
      <c r="HP750" s="259"/>
      <c r="HQ750" s="259"/>
      <c r="HR750" s="259"/>
      <c r="HS750" s="259"/>
      <c r="HT750" s="259"/>
      <c r="HU750" s="259"/>
      <c r="HV750" s="259"/>
      <c r="HW750" s="259"/>
      <c r="HX750" s="259"/>
      <c r="HY750" s="259"/>
      <c r="HZ750" s="259"/>
      <c r="IA750" s="259"/>
      <c r="IB750" s="259"/>
      <c r="IC750" s="259"/>
      <c r="ID750" s="259"/>
      <c r="IE750" s="259"/>
      <c r="IF750" s="259"/>
      <c r="IG750" s="259"/>
      <c r="IH750" s="259"/>
      <c r="II750" s="259"/>
      <c r="IJ750" s="259"/>
      <c r="IK750" s="259"/>
      <c r="IL750" s="259"/>
      <c r="IM750" s="259"/>
      <c r="IN750" s="259"/>
      <c r="IO750" s="259"/>
      <c r="IP750" s="259"/>
      <c r="IQ750" s="259"/>
      <c r="IR750" s="259"/>
      <c r="IS750" s="259"/>
      <c r="IT750" s="259"/>
      <c r="IU750" s="259"/>
      <c r="IV750" s="259"/>
      <c r="IW750" s="259"/>
      <c r="IX750" s="259"/>
      <c r="IY750" s="259"/>
      <c r="IZ750" s="259"/>
      <c r="JA750" s="259"/>
      <c r="JB750" s="259"/>
      <c r="JC750" s="259"/>
      <c r="JD750" s="259"/>
      <c r="JE750" s="259"/>
      <c r="JF750" s="259"/>
      <c r="JG750" s="259"/>
      <c r="JH750" s="259"/>
      <c r="JI750" s="259"/>
      <c r="JJ750" s="259"/>
      <c r="JK750" s="259"/>
      <c r="JL750" s="259"/>
      <c r="JM750" s="259"/>
      <c r="JN750" s="259"/>
      <c r="JO750" s="259"/>
      <c r="JP750" s="259"/>
      <c r="JQ750" s="259"/>
      <c r="JR750" s="259"/>
      <c r="JS750" s="259"/>
      <c r="JT750" s="259"/>
      <c r="JU750" s="259"/>
      <c r="JV750" s="259"/>
      <c r="JW750" s="259"/>
      <c r="JX750" s="259"/>
      <c r="JY750" s="259"/>
      <c r="JZ750" s="259"/>
      <c r="KA750" s="259"/>
      <c r="KB750" s="259"/>
      <c r="KC750" s="259"/>
      <c r="KD750" s="259"/>
      <c r="KE750" s="259"/>
      <c r="KF750" s="259"/>
      <c r="KG750" s="259"/>
      <c r="KH750" s="259"/>
      <c r="KI750" s="259"/>
      <c r="KJ750" s="259"/>
      <c r="KK750" s="259"/>
      <c r="KL750" s="259"/>
      <c r="KM750" s="259"/>
      <c r="KN750" s="259"/>
      <c r="KO750" s="259"/>
      <c r="KP750" s="259"/>
      <c r="KQ750" s="259"/>
      <c r="KR750" s="259"/>
      <c r="KS750" s="259"/>
      <c r="KT750" s="259"/>
      <c r="KU750" s="259"/>
      <c r="KV750" s="259"/>
      <c r="KW750" s="259"/>
      <c r="KX750" s="259"/>
      <c r="KY750" s="259"/>
      <c r="KZ750" s="259"/>
      <c r="LA750" s="259"/>
      <c r="LB750" s="259"/>
      <c r="LC750" s="259"/>
      <c r="LD750" s="259"/>
      <c r="LE750" s="259"/>
      <c r="LF750" s="259"/>
      <c r="LG750" s="259"/>
      <c r="LH750" s="259"/>
      <c r="LI750" s="259"/>
      <c r="LJ750" s="259"/>
      <c r="LK750" s="259"/>
      <c r="LL750" s="259"/>
      <c r="LM750" s="259"/>
      <c r="LN750" s="259"/>
      <c r="LO750" s="259"/>
      <c r="LP750" s="259"/>
      <c r="LQ750" s="259"/>
      <c r="LR750" s="259"/>
      <c r="LS750" s="259"/>
      <c r="LT750" s="259"/>
      <c r="LU750" s="259"/>
      <c r="LV750" s="259"/>
      <c r="LW750" s="259"/>
      <c r="LX750" s="259"/>
      <c r="LY750" s="259"/>
      <c r="LZ750" s="259"/>
      <c r="MA750" s="259"/>
      <c r="MB750" s="259"/>
      <c r="MC750" s="259"/>
      <c r="MD750" s="259"/>
      <c r="ME750" s="259"/>
      <c r="MF750" s="259"/>
      <c r="MG750" s="259"/>
      <c r="MH750" s="259"/>
      <c r="MI750" s="259"/>
      <c r="MJ750" s="259"/>
      <c r="MK750" s="259"/>
      <c r="ML750" s="259"/>
      <c r="MM750" s="259"/>
      <c r="MN750" s="259"/>
      <c r="MO750" s="259"/>
      <c r="MP750" s="259"/>
      <c r="MQ750" s="259"/>
      <c r="MR750" s="259"/>
      <c r="MS750" s="259"/>
      <c r="MT750" s="259"/>
      <c r="MU750" s="259"/>
      <c r="MV750" s="259"/>
      <c r="MW750" s="259"/>
      <c r="MX750" s="259"/>
      <c r="MY750" s="259"/>
      <c r="MZ750" s="259"/>
      <c r="NA750" s="259"/>
      <c r="NB750" s="259"/>
      <c r="NC750" s="259"/>
      <c r="ND750" s="259"/>
      <c r="NE750" s="259"/>
      <c r="NF750" s="259"/>
      <c r="NG750" s="259"/>
      <c r="NH750" s="259"/>
      <c r="NI750" s="259"/>
      <c r="NJ750" s="259"/>
      <c r="NK750" s="259"/>
      <c r="NL750" s="259"/>
      <c r="NM750" s="259"/>
      <c r="NN750" s="259"/>
      <c r="NO750" s="259"/>
      <c r="NP750" s="259"/>
      <c r="NQ750" s="259"/>
      <c r="NR750" s="259"/>
      <c r="NS750" s="259"/>
      <c r="NT750" s="259"/>
      <c r="NU750" s="259"/>
      <c r="NV750" s="259"/>
      <c r="NW750" s="259"/>
      <c r="NX750" s="259"/>
      <c r="NY750" s="259"/>
      <c r="NZ750" s="259"/>
      <c r="OA750" s="259"/>
      <c r="OB750" s="259"/>
      <c r="OC750" s="259"/>
      <c r="OD750" s="259"/>
      <c r="OE750" s="259"/>
      <c r="OF750" s="259"/>
      <c r="OG750" s="259"/>
      <c r="OH750" s="259"/>
      <c r="OI750" s="259"/>
      <c r="OJ750" s="259"/>
      <c r="OK750" s="259"/>
      <c r="OL750" s="259"/>
      <c r="OM750" s="259"/>
      <c r="ON750" s="259"/>
      <c r="OO750" s="259"/>
      <c r="OP750" s="259"/>
      <c r="OQ750" s="259"/>
      <c r="OR750" s="259"/>
      <c r="OS750" s="259"/>
      <c r="OT750" s="259"/>
      <c r="OU750" s="259"/>
      <c r="OV750" s="259"/>
      <c r="OW750" s="259"/>
      <c r="OX750" s="259"/>
      <c r="OY750" s="259"/>
      <c r="OZ750" s="259"/>
      <c r="PA750" s="259"/>
      <c r="PB750" s="259"/>
      <c r="PC750" s="259"/>
      <c r="PD750" s="259"/>
      <c r="PE750" s="259"/>
      <c r="PF750" s="259"/>
      <c r="PG750" s="259"/>
      <c r="PH750" s="259"/>
      <c r="PI750" s="259"/>
      <c r="PJ750" s="259"/>
      <c r="PK750" s="259"/>
      <c r="PL750" s="259"/>
      <c r="PM750" s="259"/>
      <c r="PN750" s="259"/>
      <c r="PO750" s="259"/>
      <c r="PP750" s="259"/>
      <c r="PQ750" s="259"/>
      <c r="PR750" s="259"/>
      <c r="PS750" s="259"/>
      <c r="PT750" s="259"/>
      <c r="PU750" s="259"/>
      <c r="PV750" s="259"/>
      <c r="PW750" s="259"/>
      <c r="PX750" s="259"/>
      <c r="PY750" s="259"/>
      <c r="PZ750" s="259"/>
      <c r="QA750" s="259"/>
      <c r="QB750" s="259"/>
      <c r="QC750" s="259"/>
      <c r="QD750" s="259"/>
      <c r="QE750" s="259"/>
      <c r="QF750" s="259"/>
      <c r="QG750" s="259"/>
      <c r="QH750" s="259"/>
      <c r="QI750" s="259"/>
      <c r="QJ750" s="259"/>
      <c r="QK750" s="259"/>
      <c r="QL750" s="259"/>
      <c r="QM750" s="259"/>
      <c r="QN750" s="259"/>
      <c r="QO750" s="259"/>
      <c r="QP750" s="259"/>
      <c r="QQ750" s="259"/>
      <c r="QR750" s="259"/>
      <c r="QS750" s="259"/>
      <c r="QT750" s="259"/>
      <c r="QU750" s="259"/>
      <c r="QV750" s="259"/>
      <c r="QW750" s="259"/>
      <c r="QX750" s="259"/>
      <c r="QY750" s="259"/>
      <c r="QZ750" s="259"/>
      <c r="RA750" s="259"/>
      <c r="RB750" s="259"/>
      <c r="RC750" s="259"/>
      <c r="RD750" s="259"/>
      <c r="RE750" s="259"/>
      <c r="RF750" s="259"/>
      <c r="RG750" s="259"/>
      <c r="RH750" s="259"/>
      <c r="RI750" s="259"/>
      <c r="RJ750" s="259"/>
      <c r="RK750" s="259"/>
      <c r="RL750" s="259"/>
      <c r="RM750" s="259"/>
      <c r="RN750" s="259"/>
      <c r="RO750" s="259"/>
      <c r="RP750" s="259"/>
      <c r="RQ750" s="259"/>
      <c r="RR750" s="259"/>
      <c r="RS750" s="259"/>
      <c r="RT750" s="259"/>
      <c r="RU750" s="259"/>
      <c r="RV750" s="259"/>
      <c r="RW750" s="259"/>
      <c r="RX750" s="259"/>
      <c r="RY750" s="259"/>
      <c r="RZ750" s="259"/>
      <c r="SA750" s="259"/>
      <c r="SB750" s="259"/>
      <c r="SC750" s="259"/>
      <c r="SD750" s="259"/>
      <c r="SE750" s="259"/>
      <c r="SF750" s="259"/>
      <c r="SG750" s="259"/>
      <c r="SH750" s="259"/>
      <c r="SI750" s="259"/>
      <c r="SJ750" s="259"/>
      <c r="SK750" s="259"/>
      <c r="SL750" s="259"/>
      <c r="SM750" s="259"/>
      <c r="SN750" s="259"/>
      <c r="SO750" s="259"/>
      <c r="SP750" s="259"/>
      <c r="SQ750" s="259"/>
      <c r="SR750" s="259"/>
      <c r="SS750" s="259"/>
      <c r="ST750" s="259"/>
      <c r="SU750" s="259"/>
      <c r="SV750" s="259"/>
      <c r="SW750" s="259"/>
      <c r="SX750" s="259"/>
      <c r="SY750" s="259"/>
      <c r="SZ750" s="259"/>
      <c r="TA750" s="259"/>
      <c r="TB750" s="259"/>
      <c r="TC750" s="259"/>
      <c r="TD750" s="259"/>
      <c r="TE750" s="259"/>
      <c r="TF750" s="259"/>
      <c r="TG750" s="259"/>
      <c r="TH750" s="259"/>
      <c r="TI750" s="259"/>
      <c r="TJ750" s="259"/>
      <c r="TK750" s="259"/>
      <c r="TL750" s="259"/>
      <c r="TM750" s="259"/>
      <c r="TN750" s="259"/>
      <c r="TO750" s="259"/>
      <c r="TP750" s="259"/>
      <c r="TQ750" s="259"/>
      <c r="TR750" s="259"/>
      <c r="TS750" s="259"/>
      <c r="TT750" s="259"/>
      <c r="TU750" s="259"/>
      <c r="TV750" s="259"/>
      <c r="TW750" s="259"/>
      <c r="TX750" s="259"/>
      <c r="TY750" s="259"/>
      <c r="TZ750" s="259"/>
      <c r="UA750" s="259"/>
      <c r="UB750" s="259"/>
      <c r="UC750" s="259"/>
      <c r="UD750" s="259"/>
      <c r="UE750" s="259"/>
      <c r="UF750" s="259"/>
      <c r="UG750" s="259"/>
      <c r="UH750" s="259"/>
      <c r="UI750" s="259"/>
    </row>
    <row r="751" spans="1:555" ht="88.5" customHeight="1">
      <c r="A751" s="502">
        <v>661</v>
      </c>
      <c r="B751" s="686" t="s">
        <v>5671</v>
      </c>
      <c r="C751" s="687">
        <v>16206310</v>
      </c>
      <c r="D751" s="688" t="s">
        <v>257</v>
      </c>
      <c r="E751" s="27">
        <v>43012</v>
      </c>
      <c r="F751" s="689">
        <v>43009</v>
      </c>
      <c r="G751" s="690" t="s">
        <v>5672</v>
      </c>
      <c r="H751" s="686" t="s">
        <v>63</v>
      </c>
      <c r="I751" s="686" t="s">
        <v>79</v>
      </c>
      <c r="J751" s="27">
        <v>43053</v>
      </c>
      <c r="K751" s="689">
        <v>43040</v>
      </c>
      <c r="L751" s="690" t="s">
        <v>5673</v>
      </c>
      <c r="M751" s="686" t="s">
        <v>63</v>
      </c>
      <c r="N751" s="686" t="s">
        <v>79</v>
      </c>
      <c r="O751" s="27">
        <v>43415</v>
      </c>
      <c r="P751" s="691">
        <v>43415</v>
      </c>
      <c r="Q751" s="690" t="s">
        <v>7250</v>
      </c>
      <c r="R751" s="686" t="s">
        <v>2637</v>
      </c>
      <c r="S751" s="686" t="s">
        <v>107</v>
      </c>
      <c r="T751" s="27">
        <v>43405</v>
      </c>
      <c r="U751" s="689">
        <v>43405</v>
      </c>
      <c r="V751" s="690" t="s">
        <v>7378</v>
      </c>
      <c r="W751" s="686" t="s">
        <v>63</v>
      </c>
      <c r="X751" s="686" t="s">
        <v>107</v>
      </c>
      <c r="Y751" s="27">
        <v>44047</v>
      </c>
      <c r="Z751" s="689">
        <v>44047</v>
      </c>
      <c r="AA751" s="690" t="s">
        <v>9578</v>
      </c>
      <c r="AB751" s="686" t="s">
        <v>63</v>
      </c>
      <c r="AC751" s="686" t="s">
        <v>9546</v>
      </c>
      <c r="AD751" s="27">
        <v>44371</v>
      </c>
      <c r="AE751" s="689">
        <v>44371</v>
      </c>
      <c r="AF751" s="690" t="s">
        <v>10538</v>
      </c>
      <c r="AG751" s="686" t="s">
        <v>63</v>
      </c>
      <c r="AH751" s="686" t="s">
        <v>8243</v>
      </c>
      <c r="AI751" s="704"/>
      <c r="AJ751" s="689"/>
      <c r="AK751" s="690"/>
      <c r="AL751" s="686"/>
      <c r="AM751" s="686"/>
      <c r="AN751" s="686" t="s">
        <v>3671</v>
      </c>
      <c r="AO751" s="705"/>
      <c r="AP751" s="686"/>
      <c r="AQ751" s="690" t="s">
        <v>5674</v>
      </c>
      <c r="AR751" s="686" t="s">
        <v>161</v>
      </c>
      <c r="AS751" s="27">
        <v>37347</v>
      </c>
      <c r="AT751" s="27">
        <v>40142</v>
      </c>
      <c r="AU751" s="686" t="s">
        <v>7379</v>
      </c>
      <c r="AV751" s="686"/>
      <c r="AW751" s="686" t="s">
        <v>69</v>
      </c>
      <c r="AX751" s="686" t="s">
        <v>5675</v>
      </c>
      <c r="AY751" s="27">
        <v>41872</v>
      </c>
      <c r="AZ751" s="686" t="s">
        <v>4665</v>
      </c>
      <c r="BA751" s="27">
        <v>42872</v>
      </c>
      <c r="BB751" s="27">
        <v>42907</v>
      </c>
      <c r="BC751" s="686" t="s">
        <v>95</v>
      </c>
      <c r="BD751" s="686" t="s">
        <v>566</v>
      </c>
      <c r="BE751" s="686"/>
      <c r="BF751" s="690" t="s">
        <v>5676</v>
      </c>
      <c r="BG751" s="690"/>
      <c r="BH751" s="690"/>
      <c r="BI751" s="690"/>
      <c r="BJ751" s="708">
        <f>+[272]MATRIZ!$J$82</f>
        <v>0</v>
      </c>
      <c r="BK751" s="696"/>
      <c r="BL751" s="697"/>
      <c r="BM751" s="27"/>
      <c r="BN751" s="689"/>
      <c r="BO751" s="699"/>
      <c r="BP751" s="700"/>
      <c r="BQ751" s="686"/>
      <c r="BR751" s="701" t="s">
        <v>9398</v>
      </c>
      <c r="BS751" s="690"/>
      <c r="BT751" s="690"/>
      <c r="BU751" s="690"/>
      <c r="BV751" s="690"/>
      <c r="BW751" s="702"/>
      <c r="BX751" s="693"/>
      <c r="BY751" s="27"/>
      <c r="BZ751" s="703"/>
      <c r="CA751" s="259"/>
      <c r="CB751" s="259"/>
      <c r="CC751" s="259"/>
      <c r="CD751" s="259"/>
      <c r="CE751" s="259"/>
      <c r="CF751" s="259"/>
      <c r="CG751" s="259"/>
      <c r="CH751" s="259"/>
      <c r="CI751" s="259"/>
      <c r="CJ751" s="259"/>
      <c r="CK751" s="259"/>
      <c r="CL751" s="259"/>
      <c r="CM751" s="259"/>
      <c r="CN751" s="259"/>
      <c r="CO751" s="259"/>
      <c r="CP751" s="259"/>
      <c r="CQ751" s="259"/>
      <c r="CR751" s="259"/>
      <c r="CS751" s="259"/>
      <c r="CT751" s="259"/>
      <c r="CU751" s="259"/>
      <c r="CV751" s="259"/>
      <c r="CW751" s="259"/>
      <c r="CX751" s="259"/>
      <c r="CY751" s="259"/>
      <c r="CZ751" s="259"/>
      <c r="DA751" s="259"/>
      <c r="DB751" s="259"/>
      <c r="DC751" s="259"/>
      <c r="DD751" s="259"/>
      <c r="DE751" s="259"/>
      <c r="DF751" s="259"/>
      <c r="DG751" s="259"/>
      <c r="DH751" s="259"/>
      <c r="DI751" s="259"/>
      <c r="DJ751" s="259"/>
      <c r="DK751" s="259"/>
      <c r="DL751" s="259"/>
      <c r="DM751" s="259"/>
      <c r="DN751" s="259"/>
      <c r="DO751" s="259"/>
      <c r="DP751" s="259"/>
      <c r="DQ751" s="259"/>
      <c r="DR751" s="259"/>
      <c r="DS751" s="259"/>
      <c r="DT751" s="259"/>
      <c r="DU751" s="259"/>
      <c r="DV751" s="259"/>
      <c r="DW751" s="259"/>
      <c r="DX751" s="259"/>
      <c r="DY751" s="259"/>
      <c r="DZ751" s="259"/>
      <c r="EA751" s="259"/>
      <c r="EB751" s="259"/>
      <c r="EC751" s="259"/>
      <c r="ED751" s="259"/>
      <c r="EE751" s="259"/>
      <c r="EF751" s="259"/>
      <c r="EG751" s="259"/>
      <c r="EH751" s="259"/>
      <c r="EI751" s="259"/>
      <c r="EJ751" s="259"/>
      <c r="EK751" s="259"/>
      <c r="EL751" s="259"/>
      <c r="EM751" s="259"/>
      <c r="EN751" s="259"/>
      <c r="EO751" s="259"/>
      <c r="EP751" s="259"/>
      <c r="EQ751" s="259"/>
      <c r="ER751" s="259"/>
      <c r="ES751" s="259"/>
      <c r="ET751" s="259"/>
      <c r="EU751" s="259"/>
      <c r="EV751" s="259"/>
      <c r="EW751" s="259"/>
      <c r="EX751" s="259"/>
      <c r="EY751" s="259"/>
      <c r="EZ751" s="259"/>
      <c r="FA751" s="259"/>
      <c r="FB751" s="259"/>
      <c r="FC751" s="259"/>
      <c r="FD751" s="259"/>
      <c r="FE751" s="259"/>
      <c r="FF751" s="259"/>
      <c r="FG751" s="259"/>
      <c r="FH751" s="259"/>
      <c r="FI751" s="259"/>
      <c r="FJ751" s="259"/>
      <c r="FK751" s="259"/>
      <c r="FL751" s="259"/>
      <c r="FM751" s="259"/>
      <c r="FN751" s="259"/>
      <c r="FO751" s="259"/>
      <c r="FP751" s="259"/>
      <c r="FQ751" s="259"/>
      <c r="FR751" s="259"/>
      <c r="FS751" s="259"/>
      <c r="FT751" s="259"/>
      <c r="FU751" s="259"/>
      <c r="FV751" s="259"/>
      <c r="FW751" s="259"/>
      <c r="FX751" s="259"/>
      <c r="FY751" s="259"/>
      <c r="FZ751" s="259"/>
      <c r="GA751" s="259"/>
      <c r="GB751" s="259"/>
      <c r="GC751" s="259"/>
      <c r="GD751" s="259"/>
      <c r="GE751" s="259"/>
      <c r="GF751" s="259"/>
      <c r="GG751" s="259"/>
      <c r="GH751" s="259"/>
      <c r="GI751" s="259"/>
      <c r="GJ751" s="259"/>
      <c r="GK751" s="259"/>
      <c r="GL751" s="259"/>
      <c r="GM751" s="259"/>
      <c r="GN751" s="259"/>
      <c r="GO751" s="259"/>
      <c r="GP751" s="259"/>
      <c r="GQ751" s="259"/>
      <c r="GR751" s="259"/>
      <c r="GS751" s="259"/>
      <c r="GT751" s="259"/>
      <c r="GU751" s="259"/>
      <c r="GV751" s="259"/>
      <c r="GW751" s="259"/>
      <c r="GX751" s="259"/>
      <c r="GY751" s="259"/>
      <c r="GZ751" s="259"/>
      <c r="HA751" s="259"/>
      <c r="HB751" s="259"/>
      <c r="HC751" s="259"/>
      <c r="HD751" s="259"/>
      <c r="HE751" s="259"/>
      <c r="HF751" s="259"/>
      <c r="HG751" s="259"/>
      <c r="HH751" s="259"/>
      <c r="HI751" s="259"/>
      <c r="HJ751" s="259"/>
      <c r="HK751" s="259"/>
      <c r="HL751" s="259"/>
      <c r="HM751" s="259"/>
      <c r="HN751" s="259"/>
      <c r="HO751" s="259"/>
      <c r="HP751" s="259"/>
      <c r="HQ751" s="259"/>
      <c r="HR751" s="259"/>
      <c r="HS751" s="259"/>
      <c r="HT751" s="259"/>
      <c r="HU751" s="259"/>
      <c r="HV751" s="259"/>
      <c r="HW751" s="259"/>
      <c r="HX751" s="259"/>
      <c r="HY751" s="259"/>
      <c r="HZ751" s="259"/>
      <c r="IA751" s="259"/>
      <c r="IB751" s="259"/>
      <c r="IC751" s="259"/>
      <c r="ID751" s="259"/>
      <c r="IE751" s="259"/>
      <c r="IF751" s="259"/>
      <c r="IG751" s="259"/>
      <c r="IH751" s="259"/>
      <c r="II751" s="259"/>
      <c r="IJ751" s="259"/>
      <c r="IK751" s="259"/>
      <c r="IL751" s="259"/>
      <c r="IM751" s="259"/>
      <c r="IN751" s="259"/>
      <c r="IO751" s="259"/>
      <c r="IP751" s="259"/>
      <c r="IQ751" s="259"/>
      <c r="IR751" s="259"/>
      <c r="IS751" s="259"/>
      <c r="IT751" s="259"/>
      <c r="IU751" s="259"/>
      <c r="IV751" s="259"/>
      <c r="IW751" s="259"/>
      <c r="IX751" s="259"/>
      <c r="IY751" s="259"/>
      <c r="IZ751" s="259"/>
      <c r="JA751" s="259"/>
      <c r="JB751" s="259"/>
      <c r="JC751" s="259"/>
      <c r="JD751" s="259"/>
      <c r="JE751" s="259"/>
      <c r="JF751" s="259"/>
      <c r="JG751" s="259"/>
      <c r="JH751" s="259"/>
      <c r="JI751" s="259"/>
      <c r="JJ751" s="259"/>
      <c r="JK751" s="259"/>
      <c r="JL751" s="259"/>
      <c r="JM751" s="259"/>
      <c r="JN751" s="259"/>
      <c r="JO751" s="259"/>
      <c r="JP751" s="259"/>
      <c r="JQ751" s="259"/>
      <c r="JR751" s="259"/>
      <c r="JS751" s="259"/>
      <c r="JT751" s="259"/>
      <c r="JU751" s="259"/>
      <c r="JV751" s="259"/>
      <c r="JW751" s="259"/>
      <c r="JX751" s="259"/>
      <c r="JY751" s="259"/>
      <c r="JZ751" s="259"/>
      <c r="KA751" s="259"/>
      <c r="KB751" s="259"/>
      <c r="KC751" s="259"/>
      <c r="KD751" s="259"/>
      <c r="KE751" s="259"/>
      <c r="KF751" s="259"/>
      <c r="KG751" s="259"/>
      <c r="KH751" s="259"/>
      <c r="KI751" s="259"/>
      <c r="KJ751" s="259"/>
      <c r="KK751" s="259"/>
      <c r="KL751" s="259"/>
      <c r="KM751" s="259"/>
      <c r="KN751" s="259"/>
      <c r="KO751" s="259"/>
      <c r="KP751" s="259"/>
      <c r="KQ751" s="259"/>
      <c r="KR751" s="259"/>
      <c r="KS751" s="259"/>
      <c r="KT751" s="259"/>
      <c r="KU751" s="259"/>
      <c r="KV751" s="259"/>
      <c r="KW751" s="259"/>
      <c r="KX751" s="259"/>
      <c r="KY751" s="259"/>
      <c r="KZ751" s="259"/>
      <c r="LA751" s="259"/>
      <c r="LB751" s="259"/>
      <c r="LC751" s="259"/>
      <c r="LD751" s="259"/>
      <c r="LE751" s="259"/>
      <c r="LF751" s="259"/>
      <c r="LG751" s="259"/>
      <c r="LH751" s="259"/>
      <c r="LI751" s="259"/>
      <c r="LJ751" s="259"/>
      <c r="LK751" s="259"/>
      <c r="LL751" s="259"/>
      <c r="LM751" s="259"/>
      <c r="LN751" s="259"/>
      <c r="LO751" s="259"/>
      <c r="LP751" s="259"/>
      <c r="LQ751" s="259"/>
      <c r="LR751" s="259"/>
      <c r="LS751" s="259"/>
      <c r="LT751" s="259"/>
      <c r="LU751" s="259"/>
      <c r="LV751" s="259"/>
      <c r="LW751" s="259"/>
      <c r="LX751" s="259"/>
      <c r="LY751" s="259"/>
      <c r="LZ751" s="259"/>
      <c r="MA751" s="259"/>
      <c r="MB751" s="259"/>
      <c r="MC751" s="259"/>
      <c r="MD751" s="259"/>
      <c r="ME751" s="259"/>
      <c r="MF751" s="259"/>
      <c r="MG751" s="259"/>
      <c r="MH751" s="259"/>
      <c r="MI751" s="259"/>
      <c r="MJ751" s="259"/>
      <c r="MK751" s="259"/>
      <c r="ML751" s="259"/>
      <c r="MM751" s="259"/>
      <c r="MN751" s="259"/>
      <c r="MO751" s="259"/>
      <c r="MP751" s="259"/>
      <c r="MQ751" s="259"/>
      <c r="MR751" s="259"/>
      <c r="MS751" s="259"/>
      <c r="MT751" s="259"/>
      <c r="MU751" s="259"/>
      <c r="MV751" s="259"/>
      <c r="MW751" s="259"/>
      <c r="MX751" s="259"/>
      <c r="MY751" s="259"/>
      <c r="MZ751" s="259"/>
      <c r="NA751" s="259"/>
      <c r="NB751" s="259"/>
      <c r="NC751" s="259"/>
      <c r="ND751" s="259"/>
      <c r="NE751" s="259"/>
      <c r="NF751" s="259"/>
      <c r="NG751" s="259"/>
      <c r="NH751" s="259"/>
      <c r="NI751" s="259"/>
      <c r="NJ751" s="259"/>
      <c r="NK751" s="259"/>
      <c r="NL751" s="259"/>
      <c r="NM751" s="259"/>
      <c r="NN751" s="259"/>
      <c r="NO751" s="259"/>
      <c r="NP751" s="259"/>
      <c r="NQ751" s="259"/>
      <c r="NR751" s="259"/>
      <c r="NS751" s="259"/>
      <c r="NT751" s="259"/>
      <c r="NU751" s="259"/>
      <c r="NV751" s="259"/>
      <c r="NW751" s="259"/>
      <c r="NX751" s="259"/>
      <c r="NY751" s="259"/>
      <c r="NZ751" s="259"/>
      <c r="OA751" s="259"/>
      <c r="OB751" s="259"/>
      <c r="OC751" s="259"/>
      <c r="OD751" s="259"/>
      <c r="OE751" s="259"/>
      <c r="OF751" s="259"/>
      <c r="OG751" s="259"/>
      <c r="OH751" s="259"/>
      <c r="OI751" s="259"/>
      <c r="OJ751" s="259"/>
      <c r="OK751" s="259"/>
      <c r="OL751" s="259"/>
      <c r="OM751" s="259"/>
      <c r="ON751" s="259"/>
      <c r="OO751" s="259"/>
      <c r="OP751" s="259"/>
      <c r="OQ751" s="259"/>
      <c r="OR751" s="259"/>
      <c r="OS751" s="259"/>
      <c r="OT751" s="259"/>
      <c r="OU751" s="259"/>
      <c r="OV751" s="259"/>
      <c r="OW751" s="259"/>
      <c r="OX751" s="259"/>
      <c r="OY751" s="259"/>
      <c r="OZ751" s="259"/>
      <c r="PA751" s="259"/>
      <c r="PB751" s="259"/>
      <c r="PC751" s="259"/>
      <c r="PD751" s="259"/>
      <c r="PE751" s="259"/>
      <c r="PF751" s="259"/>
      <c r="PG751" s="259"/>
      <c r="PH751" s="259"/>
      <c r="PI751" s="259"/>
      <c r="PJ751" s="259"/>
      <c r="PK751" s="259"/>
      <c r="PL751" s="259"/>
      <c r="PM751" s="259"/>
      <c r="PN751" s="259"/>
      <c r="PO751" s="259"/>
      <c r="PP751" s="259"/>
      <c r="PQ751" s="259"/>
      <c r="PR751" s="259"/>
      <c r="PS751" s="259"/>
      <c r="PT751" s="259"/>
      <c r="PU751" s="259"/>
      <c r="PV751" s="259"/>
      <c r="PW751" s="259"/>
      <c r="PX751" s="259"/>
      <c r="PY751" s="259"/>
      <c r="PZ751" s="259"/>
      <c r="QA751" s="259"/>
      <c r="QB751" s="259"/>
      <c r="QC751" s="259"/>
      <c r="QD751" s="259"/>
      <c r="QE751" s="259"/>
      <c r="QF751" s="259"/>
      <c r="QG751" s="259"/>
      <c r="QH751" s="259"/>
      <c r="QI751" s="259"/>
      <c r="QJ751" s="259"/>
      <c r="QK751" s="259"/>
      <c r="QL751" s="259"/>
      <c r="QM751" s="259"/>
      <c r="QN751" s="259"/>
      <c r="QO751" s="259"/>
      <c r="QP751" s="259"/>
      <c r="QQ751" s="259"/>
      <c r="QR751" s="259"/>
      <c r="QS751" s="259"/>
      <c r="QT751" s="259"/>
      <c r="QU751" s="259"/>
      <c r="QV751" s="259"/>
      <c r="QW751" s="259"/>
      <c r="QX751" s="259"/>
      <c r="QY751" s="259"/>
      <c r="QZ751" s="259"/>
      <c r="RA751" s="259"/>
      <c r="RB751" s="259"/>
      <c r="RC751" s="259"/>
      <c r="RD751" s="259"/>
      <c r="RE751" s="259"/>
      <c r="RF751" s="259"/>
      <c r="RG751" s="259"/>
      <c r="RH751" s="259"/>
      <c r="RI751" s="259"/>
      <c r="RJ751" s="259"/>
      <c r="RK751" s="259"/>
      <c r="RL751" s="259"/>
      <c r="RM751" s="259"/>
      <c r="RN751" s="259"/>
      <c r="RO751" s="259"/>
      <c r="RP751" s="259"/>
      <c r="RQ751" s="259"/>
      <c r="RR751" s="259"/>
      <c r="RS751" s="259"/>
      <c r="RT751" s="259"/>
      <c r="RU751" s="259"/>
      <c r="RV751" s="259"/>
      <c r="RW751" s="259"/>
      <c r="RX751" s="259"/>
      <c r="RY751" s="259"/>
      <c r="RZ751" s="259"/>
      <c r="SA751" s="259"/>
      <c r="SB751" s="259"/>
      <c r="SC751" s="259"/>
      <c r="SD751" s="259"/>
      <c r="SE751" s="259"/>
      <c r="SF751" s="259"/>
      <c r="SG751" s="259"/>
      <c r="SH751" s="259"/>
      <c r="SI751" s="259"/>
      <c r="SJ751" s="259"/>
      <c r="SK751" s="259"/>
      <c r="SL751" s="259"/>
      <c r="SM751" s="259"/>
      <c r="SN751" s="259"/>
      <c r="SO751" s="259"/>
      <c r="SP751" s="259"/>
      <c r="SQ751" s="259"/>
      <c r="SR751" s="259"/>
      <c r="SS751" s="259"/>
      <c r="ST751" s="259"/>
      <c r="SU751" s="259"/>
      <c r="SV751" s="259"/>
      <c r="SW751" s="259"/>
      <c r="SX751" s="259"/>
      <c r="SY751" s="259"/>
      <c r="SZ751" s="259"/>
      <c r="TA751" s="259"/>
      <c r="TB751" s="259"/>
      <c r="TC751" s="259"/>
      <c r="TD751" s="259"/>
      <c r="TE751" s="259"/>
      <c r="TF751" s="259"/>
      <c r="TG751" s="259"/>
      <c r="TH751" s="259"/>
      <c r="TI751" s="259"/>
      <c r="TJ751" s="259"/>
      <c r="TK751" s="259"/>
      <c r="TL751" s="259"/>
      <c r="TM751" s="259"/>
      <c r="TN751" s="259"/>
      <c r="TO751" s="259"/>
      <c r="TP751" s="259"/>
      <c r="TQ751" s="259"/>
      <c r="TR751" s="259"/>
      <c r="TS751" s="259"/>
      <c r="TT751" s="259"/>
      <c r="TU751" s="259"/>
      <c r="TV751" s="259"/>
      <c r="TW751" s="259"/>
      <c r="TX751" s="259"/>
      <c r="TY751" s="259"/>
      <c r="TZ751" s="259"/>
      <c r="UA751" s="259"/>
      <c r="UB751" s="259"/>
      <c r="UC751" s="259"/>
      <c r="UD751" s="259"/>
      <c r="UE751" s="259"/>
      <c r="UF751" s="259"/>
      <c r="UG751" s="259"/>
      <c r="UH751" s="259"/>
      <c r="UI751" s="259"/>
    </row>
    <row r="752" spans="1:555" s="259" customFormat="1" ht="94.5">
      <c r="A752" s="96">
        <v>662</v>
      </c>
      <c r="B752" s="422" t="s">
        <v>5677</v>
      </c>
      <c r="C752" s="419">
        <v>19601374</v>
      </c>
      <c r="D752" s="439" t="s">
        <v>463</v>
      </c>
      <c r="E752" s="423">
        <v>42887</v>
      </c>
      <c r="F752" s="21">
        <v>42887</v>
      </c>
      <c r="G752" s="22" t="s">
        <v>5678</v>
      </c>
      <c r="H752" s="422" t="s">
        <v>5</v>
      </c>
      <c r="I752" s="422" t="s">
        <v>79</v>
      </c>
      <c r="J752" s="423">
        <v>43060</v>
      </c>
      <c r="K752" s="21">
        <v>43040</v>
      </c>
      <c r="L752" s="22" t="s">
        <v>5679</v>
      </c>
      <c r="M752" s="422" t="s">
        <v>5</v>
      </c>
      <c r="N752" s="422" t="s">
        <v>5680</v>
      </c>
      <c r="O752" s="423">
        <v>43703</v>
      </c>
      <c r="P752" s="23">
        <v>43703</v>
      </c>
      <c r="Q752" s="22" t="s">
        <v>9138</v>
      </c>
      <c r="R752" s="422" t="s">
        <v>5</v>
      </c>
      <c r="S752" s="422" t="s">
        <v>8243</v>
      </c>
      <c r="T752" s="423">
        <v>43909</v>
      </c>
      <c r="U752" s="21">
        <v>43909</v>
      </c>
      <c r="V752" s="22" t="s">
        <v>9499</v>
      </c>
      <c r="W752" s="422" t="s">
        <v>208</v>
      </c>
      <c r="X752" s="422" t="s">
        <v>8255</v>
      </c>
      <c r="Y752" s="423"/>
      <c r="Z752" s="21"/>
      <c r="AA752" s="22"/>
      <c r="AB752" s="422"/>
      <c r="AC752" s="422"/>
      <c r="AD752" s="423"/>
      <c r="AE752" s="21"/>
      <c r="AF752" s="22"/>
      <c r="AG752" s="422"/>
      <c r="AH752" s="422"/>
      <c r="AI752" s="126"/>
      <c r="AJ752" s="21"/>
      <c r="AK752" s="22"/>
      <c r="AL752" s="422"/>
      <c r="AM752" s="422"/>
      <c r="AN752" s="422" t="s">
        <v>4690</v>
      </c>
      <c r="AO752" s="478"/>
      <c r="AP752" s="422"/>
      <c r="AQ752" s="22" t="s">
        <v>5681</v>
      </c>
      <c r="AR752" s="422" t="s">
        <v>161</v>
      </c>
      <c r="AS752" s="423">
        <v>38869</v>
      </c>
      <c r="AT752" s="423">
        <v>40268</v>
      </c>
      <c r="AU752" s="422" t="s">
        <v>5682</v>
      </c>
      <c r="AV752" s="422"/>
      <c r="AW752" s="422" t="s">
        <v>69</v>
      </c>
      <c r="AX752" s="422" t="s">
        <v>1071</v>
      </c>
      <c r="AY752" s="423">
        <v>42299</v>
      </c>
      <c r="AZ752" s="422" t="s">
        <v>230</v>
      </c>
      <c r="BA752" s="423">
        <v>42795</v>
      </c>
      <c r="BB752" s="382">
        <v>42828</v>
      </c>
      <c r="BC752" s="422" t="s">
        <v>95</v>
      </c>
      <c r="BD752" s="422" t="s">
        <v>566</v>
      </c>
      <c r="BE752" s="155"/>
      <c r="BF752" s="156"/>
      <c r="BG752" s="22"/>
      <c r="BH752" s="22"/>
      <c r="BI752" s="22"/>
      <c r="BJ752" s="209">
        <f>+[273]MATRIZ!$J$65</f>
        <v>0</v>
      </c>
      <c r="BK752" s="28"/>
      <c r="BL752" s="29"/>
      <c r="BM752" s="423"/>
      <c r="BN752" s="21"/>
      <c r="BO752" s="461"/>
      <c r="BP752" s="399"/>
      <c r="BQ752" s="422"/>
      <c r="BR752" s="31"/>
      <c r="BS752" s="22"/>
      <c r="BT752" s="22"/>
      <c r="BU752" s="22"/>
      <c r="BV752" s="22"/>
      <c r="BW752" s="97"/>
      <c r="BX752" s="26"/>
      <c r="BY752" s="423"/>
      <c r="BZ752" s="134"/>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c r="JW752" s="1"/>
      <c r="JX752" s="1"/>
      <c r="JY752" s="1"/>
      <c r="JZ752" s="1"/>
      <c r="KA752" s="1"/>
      <c r="KB752" s="1"/>
      <c r="KC752" s="1"/>
      <c r="KD752" s="1"/>
      <c r="KE752" s="1"/>
      <c r="KF752" s="1"/>
      <c r="KG752" s="1"/>
      <c r="KH752" s="1"/>
      <c r="KI752" s="1"/>
      <c r="KJ752" s="1"/>
      <c r="KK752" s="1"/>
      <c r="KL752" s="1"/>
      <c r="KM752" s="1"/>
      <c r="KN752" s="1"/>
      <c r="KO752" s="1"/>
      <c r="KP752" s="1"/>
      <c r="KQ752" s="1"/>
      <c r="KR752" s="1"/>
      <c r="KS752" s="1"/>
      <c r="KT752" s="1"/>
      <c r="KU752" s="1"/>
      <c r="KV752" s="1"/>
      <c r="KW752" s="1"/>
      <c r="KX752" s="1"/>
      <c r="KY752" s="1"/>
      <c r="KZ752" s="1"/>
      <c r="LA752" s="1"/>
      <c r="LB752" s="1"/>
      <c r="LC752" s="1"/>
      <c r="LD752" s="1"/>
      <c r="LE752" s="1"/>
      <c r="LF752" s="1"/>
      <c r="LG752" s="1"/>
      <c r="LH752" s="1"/>
      <c r="LI752" s="1"/>
      <c r="LJ752" s="1"/>
      <c r="LK752" s="1"/>
      <c r="LL752" s="1"/>
      <c r="LM752" s="1"/>
      <c r="LN752" s="1"/>
      <c r="LO752" s="1"/>
      <c r="LP752" s="1"/>
      <c r="LQ752" s="1"/>
      <c r="LR752" s="1"/>
      <c r="LS752" s="1"/>
      <c r="LT752" s="1"/>
      <c r="LU752" s="1"/>
      <c r="LV752" s="1"/>
      <c r="LW752" s="1"/>
      <c r="LX752" s="1"/>
      <c r="LY752" s="1"/>
      <c r="LZ752" s="1"/>
      <c r="MA752" s="1"/>
      <c r="MB752" s="1"/>
      <c r="MC752" s="1"/>
      <c r="MD752" s="1"/>
      <c r="ME752" s="1"/>
      <c r="MF752" s="1"/>
      <c r="MG752" s="1"/>
      <c r="MH752" s="1"/>
      <c r="MI752" s="1"/>
      <c r="MJ752" s="1"/>
      <c r="MK752" s="1"/>
      <c r="ML752" s="1"/>
      <c r="MM752" s="1"/>
      <c r="MN752" s="1"/>
      <c r="MO752" s="1"/>
      <c r="MP752" s="1"/>
      <c r="MQ752" s="1"/>
      <c r="MR752" s="1"/>
      <c r="MS752" s="1"/>
      <c r="MT752" s="1"/>
      <c r="MU752" s="1"/>
      <c r="MV752" s="1"/>
      <c r="MW752" s="1"/>
      <c r="MX752" s="1"/>
      <c r="MY752" s="1"/>
      <c r="MZ752" s="1"/>
      <c r="NA752" s="1"/>
      <c r="NB752" s="1"/>
      <c r="NC752" s="1"/>
      <c r="ND752" s="1"/>
      <c r="NE752" s="1"/>
      <c r="NF752" s="1"/>
      <c r="NG752" s="1"/>
      <c r="NH752" s="1"/>
      <c r="NI752" s="1"/>
      <c r="NJ752" s="1"/>
      <c r="NK752" s="1"/>
      <c r="NL752" s="1"/>
      <c r="NM752" s="1"/>
      <c r="NN752" s="1"/>
      <c r="NO752" s="1"/>
      <c r="NP752" s="1"/>
      <c r="NQ752" s="1"/>
      <c r="NR752" s="1"/>
      <c r="NS752" s="1"/>
      <c r="NT752" s="1"/>
      <c r="NU752" s="1"/>
      <c r="NV752" s="1"/>
      <c r="NW752" s="1"/>
      <c r="NX752" s="1"/>
      <c r="NY752" s="1"/>
      <c r="NZ752" s="1"/>
      <c r="OA752" s="1"/>
      <c r="OB752" s="1"/>
      <c r="OC752" s="1"/>
      <c r="OD752" s="1"/>
      <c r="OE752" s="1"/>
      <c r="OF752" s="1"/>
      <c r="OG752" s="1"/>
      <c r="OH752" s="1"/>
      <c r="OI752" s="1"/>
      <c r="OJ752" s="1"/>
      <c r="OK752" s="1"/>
      <c r="OL752" s="1"/>
      <c r="OM752" s="1"/>
      <c r="ON752" s="1"/>
      <c r="OO752" s="1"/>
      <c r="OP752" s="1"/>
      <c r="OQ752" s="1"/>
      <c r="OR752" s="1"/>
      <c r="OS752" s="1"/>
      <c r="OT752" s="1"/>
      <c r="OU752" s="1"/>
      <c r="OV752" s="1"/>
      <c r="OW752" s="1"/>
      <c r="OX752" s="1"/>
      <c r="OY752" s="1"/>
      <c r="OZ752" s="1"/>
      <c r="PA752" s="1"/>
      <c r="PB752" s="1"/>
      <c r="PC752" s="1"/>
      <c r="PD752" s="1"/>
      <c r="PE752" s="1"/>
      <c r="PF752" s="1"/>
      <c r="PG752" s="1"/>
      <c r="PH752" s="1"/>
      <c r="PI752" s="1"/>
      <c r="PJ752" s="1"/>
      <c r="PK752" s="1"/>
      <c r="PL752" s="1"/>
      <c r="PM752" s="1"/>
      <c r="PN752" s="1"/>
      <c r="PO752" s="1"/>
      <c r="PP752" s="1"/>
      <c r="PQ752" s="1"/>
      <c r="PR752" s="1"/>
      <c r="PS752" s="1"/>
      <c r="PT752" s="1"/>
      <c r="PU752" s="1"/>
      <c r="PV752" s="1"/>
      <c r="PW752" s="1"/>
      <c r="PX752" s="1"/>
      <c r="PY752" s="1"/>
      <c r="PZ752" s="1"/>
      <c r="QA752" s="1"/>
      <c r="QB752" s="1"/>
      <c r="QC752" s="1"/>
      <c r="QD752" s="1"/>
      <c r="QE752" s="1"/>
      <c r="QF752" s="1"/>
      <c r="QG752" s="1"/>
      <c r="QH752" s="1"/>
      <c r="QI752" s="1"/>
      <c r="QJ752" s="1"/>
      <c r="QK752" s="1"/>
      <c r="QL752" s="1"/>
      <c r="QM752" s="1"/>
      <c r="QN752" s="1"/>
      <c r="QO752" s="1"/>
      <c r="QP752" s="1"/>
      <c r="QQ752" s="1"/>
      <c r="QR752" s="1"/>
      <c r="QS752" s="1"/>
      <c r="QT752" s="1"/>
      <c r="QU752" s="1"/>
      <c r="QV752" s="1"/>
      <c r="QW752" s="1"/>
      <c r="QX752" s="1"/>
      <c r="QY752" s="1"/>
      <c r="QZ752" s="1"/>
      <c r="RA752" s="1"/>
      <c r="RB752" s="1"/>
      <c r="RC752" s="1"/>
      <c r="RD752" s="1"/>
      <c r="RE752" s="1"/>
      <c r="RF752" s="1"/>
      <c r="RG752" s="1"/>
      <c r="RH752" s="1"/>
      <c r="RI752" s="1"/>
      <c r="RJ752" s="1"/>
      <c r="RK752" s="1"/>
      <c r="RL752" s="1"/>
      <c r="RM752" s="1"/>
      <c r="RN752" s="1"/>
      <c r="RO752" s="1"/>
      <c r="RP752" s="1"/>
      <c r="RQ752" s="1"/>
      <c r="RR752" s="1"/>
      <c r="RS752" s="1"/>
      <c r="RT752" s="1"/>
      <c r="RU752" s="1"/>
      <c r="RV752" s="1"/>
      <c r="RW752" s="1"/>
      <c r="RX752" s="1"/>
      <c r="RY752" s="1"/>
      <c r="RZ752" s="1"/>
      <c r="SA752" s="1"/>
      <c r="SB752" s="1"/>
      <c r="SC752" s="1"/>
      <c r="SD752" s="1"/>
      <c r="SE752" s="1"/>
      <c r="SF752" s="1"/>
      <c r="SG752" s="1"/>
      <c r="SH752" s="1"/>
      <c r="SI752" s="1"/>
      <c r="SJ752" s="1"/>
      <c r="SK752" s="1"/>
      <c r="SL752" s="1"/>
      <c r="SM752" s="1"/>
      <c r="SN752" s="1"/>
      <c r="SO752" s="1"/>
      <c r="SP752" s="1"/>
      <c r="SQ752" s="1"/>
      <c r="SR752" s="1"/>
      <c r="SS752" s="1"/>
      <c r="ST752" s="1"/>
      <c r="SU752" s="1"/>
      <c r="SV752" s="1"/>
      <c r="SW752" s="1"/>
      <c r="SX752" s="1"/>
      <c r="SY752" s="1"/>
      <c r="SZ752" s="1"/>
      <c r="TA752" s="1"/>
      <c r="TB752" s="1"/>
      <c r="TC752" s="1"/>
      <c r="TD752" s="1"/>
      <c r="TE752" s="1"/>
      <c r="TF752" s="1"/>
      <c r="TG752" s="1"/>
      <c r="TH752" s="1"/>
      <c r="TI752" s="1"/>
      <c r="TJ752" s="1"/>
      <c r="TK752" s="1"/>
      <c r="TL752" s="1"/>
      <c r="TM752" s="1"/>
      <c r="TN752" s="1"/>
      <c r="TO752" s="1"/>
      <c r="TP752" s="1"/>
      <c r="TQ752" s="1"/>
      <c r="TR752" s="1"/>
      <c r="TS752" s="1"/>
      <c r="TT752" s="1"/>
      <c r="TU752" s="1"/>
      <c r="TV752" s="1"/>
      <c r="TW752" s="1"/>
      <c r="TX752" s="1"/>
      <c r="TY752" s="1"/>
      <c r="TZ752" s="1"/>
      <c r="UA752" s="1"/>
      <c r="UB752" s="1"/>
      <c r="UC752" s="1"/>
      <c r="UD752" s="1"/>
      <c r="UE752" s="1"/>
      <c r="UF752" s="1"/>
      <c r="UG752" s="1"/>
      <c r="UH752" s="1"/>
      <c r="UI752" s="1"/>
    </row>
    <row r="753" spans="1:555" ht="73.5" customHeight="1">
      <c r="A753" s="57">
        <v>663</v>
      </c>
      <c r="B753" s="58" t="s">
        <v>5683</v>
      </c>
      <c r="C753" s="59">
        <v>75083150</v>
      </c>
      <c r="D753" s="170" t="s">
        <v>677</v>
      </c>
      <c r="E753" s="60">
        <v>43074</v>
      </c>
      <c r="F753" s="61">
        <v>43070</v>
      </c>
      <c r="G753" s="62" t="s">
        <v>5684</v>
      </c>
      <c r="H753" s="58" t="s">
        <v>5</v>
      </c>
      <c r="I753" s="58" t="s">
        <v>5685</v>
      </c>
      <c r="J753" s="60">
        <v>43287</v>
      </c>
      <c r="K753" s="61">
        <v>43287</v>
      </c>
      <c r="L753" s="66" t="s">
        <v>5686</v>
      </c>
      <c r="M753" s="58" t="s">
        <v>5</v>
      </c>
      <c r="N753" s="58" t="s">
        <v>107</v>
      </c>
      <c r="O753" s="60">
        <v>43299</v>
      </c>
      <c r="P753" s="63">
        <v>43299</v>
      </c>
      <c r="Q753" s="62" t="s">
        <v>5687</v>
      </c>
      <c r="R753" s="58" t="s">
        <v>171</v>
      </c>
      <c r="S753" s="58" t="s">
        <v>2395</v>
      </c>
      <c r="T753" s="60">
        <v>43405</v>
      </c>
      <c r="U753" s="61">
        <v>43405</v>
      </c>
      <c r="V753" s="62" t="s">
        <v>7382</v>
      </c>
      <c r="W753" s="58" t="s">
        <v>5</v>
      </c>
      <c r="X753" s="58" t="s">
        <v>79</v>
      </c>
      <c r="Y753" s="60"/>
      <c r="Z753" s="61"/>
      <c r="AA753" s="62" t="s">
        <v>9345</v>
      </c>
      <c r="AB753" s="58"/>
      <c r="AC753" s="58"/>
      <c r="AD753" s="420">
        <v>44018</v>
      </c>
      <c r="AE753" s="23">
        <v>44018</v>
      </c>
      <c r="AF753" s="428" t="s">
        <v>9544</v>
      </c>
      <c r="AG753" s="26" t="s">
        <v>5</v>
      </c>
      <c r="AH753" s="423" t="s">
        <v>9511</v>
      </c>
      <c r="AI753" s="117"/>
      <c r="AJ753" s="61"/>
      <c r="AK753" s="62"/>
      <c r="AL753" s="58"/>
      <c r="AM753" s="58"/>
      <c r="AN753" s="58" t="s">
        <v>3671</v>
      </c>
      <c r="AO753" s="478"/>
      <c r="AP753" s="58"/>
      <c r="AQ753" s="62" t="s">
        <v>5688</v>
      </c>
      <c r="AR753" s="58" t="s">
        <v>161</v>
      </c>
      <c r="AS753" s="60">
        <v>39278</v>
      </c>
      <c r="AT753" s="60">
        <v>40862</v>
      </c>
      <c r="AU753" s="58" t="s">
        <v>7388</v>
      </c>
      <c r="AV753" s="58"/>
      <c r="AW753" s="58" t="s">
        <v>69</v>
      </c>
      <c r="AX753" s="58" t="s">
        <v>5689</v>
      </c>
      <c r="AY753" s="60">
        <v>42993</v>
      </c>
      <c r="AZ753" s="58" t="s">
        <v>67</v>
      </c>
      <c r="BA753" s="60" t="s">
        <v>67</v>
      </c>
      <c r="BB753" s="382">
        <v>43011</v>
      </c>
      <c r="BC753" s="70" t="s">
        <v>95</v>
      </c>
      <c r="BD753" s="70" t="s">
        <v>5690</v>
      </c>
      <c r="BE753" s="58"/>
      <c r="BF753" s="62"/>
      <c r="BG753" s="62"/>
      <c r="BH753" s="62"/>
      <c r="BI753" s="62"/>
      <c r="BJ753" s="209">
        <f>+[274]MATRIZ!$J$72</f>
        <v>0</v>
      </c>
      <c r="BK753" s="67"/>
      <c r="BL753" s="68"/>
      <c r="BM753" s="60"/>
      <c r="BN753" s="61"/>
      <c r="BO753" s="463"/>
      <c r="BP753" s="122"/>
      <c r="BQ753" s="58"/>
      <c r="BR753" s="70"/>
      <c r="BS753" s="62"/>
      <c r="BT753" s="62"/>
      <c r="BU753" s="62"/>
      <c r="BV753" s="62"/>
      <c r="BW753" s="71"/>
      <c r="BX753" s="66"/>
      <c r="BY753" s="60"/>
      <c r="BZ753" s="72"/>
    </row>
    <row r="754" spans="1:555" ht="77.25" customHeight="1">
      <c r="A754" s="502">
        <v>664</v>
      </c>
      <c r="B754" s="686" t="s">
        <v>5691</v>
      </c>
      <c r="C754" s="687">
        <v>16209927</v>
      </c>
      <c r="D754" s="688" t="s">
        <v>1153</v>
      </c>
      <c r="E754" s="27">
        <v>42963</v>
      </c>
      <c r="F754" s="689">
        <v>42948</v>
      </c>
      <c r="G754" s="690" t="s">
        <v>5692</v>
      </c>
      <c r="H754" s="686" t="s">
        <v>576</v>
      </c>
      <c r="I754" s="686" t="s">
        <v>5693</v>
      </c>
      <c r="J754" s="27">
        <v>43073</v>
      </c>
      <c r="K754" s="689">
        <v>43070</v>
      </c>
      <c r="L754" s="690" t="s">
        <v>5694</v>
      </c>
      <c r="M754" s="686" t="s">
        <v>5</v>
      </c>
      <c r="N754" s="686" t="s">
        <v>79</v>
      </c>
      <c r="O754" s="16">
        <v>43564</v>
      </c>
      <c r="P754" s="689">
        <v>43564</v>
      </c>
      <c r="Q754" s="690" t="s">
        <v>8586</v>
      </c>
      <c r="R754" s="686" t="s">
        <v>5</v>
      </c>
      <c r="S754" s="686" t="s">
        <v>85</v>
      </c>
      <c r="T754" s="27"/>
      <c r="U754" s="689"/>
      <c r="V754" s="690"/>
      <c r="W754" s="686"/>
      <c r="X754" s="686"/>
      <c r="Y754" s="27"/>
      <c r="Z754" s="689"/>
      <c r="AA754" s="690"/>
      <c r="AB754" s="686"/>
      <c r="AC754" s="686"/>
      <c r="AD754" s="27"/>
      <c r="AE754" s="689"/>
      <c r="AF754" s="690"/>
      <c r="AG754" s="686"/>
      <c r="AH754" s="686"/>
      <c r="AI754" s="704"/>
      <c r="AJ754" s="689"/>
      <c r="AK754" s="690"/>
      <c r="AL754" s="686"/>
      <c r="AM754" s="686"/>
      <c r="AN754" s="686" t="s">
        <v>3671</v>
      </c>
      <c r="AO754" s="705"/>
      <c r="AP754" s="686"/>
      <c r="AQ754" s="690" t="s">
        <v>5695</v>
      </c>
      <c r="AR754" s="686" t="s">
        <v>161</v>
      </c>
      <c r="AS754" s="27">
        <v>37773</v>
      </c>
      <c r="AT754" s="27">
        <v>40707</v>
      </c>
      <c r="AU754" s="686" t="s">
        <v>5696</v>
      </c>
      <c r="AV754" s="686"/>
      <c r="AW754" s="686" t="s">
        <v>92</v>
      </c>
      <c r="AX754" s="686" t="s">
        <v>5697</v>
      </c>
      <c r="AY754" s="27">
        <v>42144</v>
      </c>
      <c r="AZ754" s="686" t="s">
        <v>5541</v>
      </c>
      <c r="BA754" s="27">
        <v>42931</v>
      </c>
      <c r="BB754" s="27">
        <v>42930</v>
      </c>
      <c r="BC754" s="686" t="s">
        <v>95</v>
      </c>
      <c r="BD754" s="686" t="s">
        <v>566</v>
      </c>
      <c r="BE754" s="686"/>
      <c r="BF754" s="690" t="s">
        <v>5284</v>
      </c>
      <c r="BG754" s="690"/>
      <c r="BH754" s="690"/>
      <c r="BI754" s="690"/>
      <c r="BJ754" s="708">
        <f>+[275]MATRIZ!$J$87</f>
        <v>0</v>
      </c>
      <c r="BK754" s="696"/>
      <c r="BL754" s="697"/>
      <c r="BM754" s="27"/>
      <c r="BN754" s="689"/>
      <c r="BO754" s="699"/>
      <c r="BP754" s="700"/>
      <c r="BQ754" s="686"/>
      <c r="BR754" s="701"/>
      <c r="BS754" s="690"/>
      <c r="BT754" s="690"/>
      <c r="BU754" s="690"/>
      <c r="BV754" s="690"/>
      <c r="BW754" s="702"/>
      <c r="BX754" s="693"/>
      <c r="BY754" s="27"/>
      <c r="BZ754" s="703"/>
      <c r="CA754" s="259"/>
      <c r="CB754" s="259"/>
      <c r="CC754" s="259"/>
      <c r="CD754" s="259"/>
      <c r="CE754" s="259"/>
      <c r="CF754" s="259"/>
      <c r="CG754" s="259"/>
      <c r="CH754" s="259"/>
      <c r="CI754" s="259"/>
      <c r="CJ754" s="259"/>
      <c r="CK754" s="259"/>
      <c r="CL754" s="259"/>
      <c r="CM754" s="259"/>
      <c r="CN754" s="259"/>
      <c r="CO754" s="259"/>
      <c r="CP754" s="259"/>
      <c r="CQ754" s="259"/>
      <c r="CR754" s="259"/>
      <c r="CS754" s="259"/>
      <c r="CT754" s="259"/>
      <c r="CU754" s="259"/>
      <c r="CV754" s="259"/>
      <c r="CW754" s="259"/>
      <c r="CX754" s="259"/>
      <c r="CY754" s="259"/>
      <c r="CZ754" s="259"/>
      <c r="DA754" s="259"/>
      <c r="DB754" s="259"/>
      <c r="DC754" s="259"/>
      <c r="DD754" s="259"/>
      <c r="DE754" s="259"/>
      <c r="DF754" s="259"/>
      <c r="DG754" s="259"/>
      <c r="DH754" s="259"/>
      <c r="DI754" s="259"/>
      <c r="DJ754" s="259"/>
      <c r="DK754" s="259"/>
      <c r="DL754" s="259"/>
      <c r="DM754" s="259"/>
      <c r="DN754" s="259"/>
      <c r="DO754" s="259"/>
      <c r="DP754" s="259"/>
      <c r="DQ754" s="259"/>
      <c r="DR754" s="259"/>
      <c r="DS754" s="259"/>
      <c r="DT754" s="259"/>
      <c r="DU754" s="259"/>
      <c r="DV754" s="259"/>
      <c r="DW754" s="259"/>
      <c r="DX754" s="259"/>
      <c r="DY754" s="259"/>
      <c r="DZ754" s="259"/>
      <c r="EA754" s="259"/>
      <c r="EB754" s="259"/>
      <c r="EC754" s="259"/>
      <c r="ED754" s="259"/>
      <c r="EE754" s="259"/>
      <c r="EF754" s="259"/>
      <c r="EG754" s="259"/>
      <c r="EH754" s="259"/>
      <c r="EI754" s="259"/>
      <c r="EJ754" s="259"/>
      <c r="EK754" s="259"/>
      <c r="EL754" s="259"/>
      <c r="EM754" s="259"/>
      <c r="EN754" s="259"/>
      <c r="EO754" s="259"/>
      <c r="EP754" s="259"/>
      <c r="EQ754" s="259"/>
      <c r="ER754" s="259"/>
      <c r="ES754" s="259"/>
      <c r="ET754" s="259"/>
      <c r="EU754" s="259"/>
      <c r="EV754" s="259"/>
      <c r="EW754" s="259"/>
      <c r="EX754" s="259"/>
      <c r="EY754" s="259"/>
      <c r="EZ754" s="259"/>
      <c r="FA754" s="259"/>
      <c r="FB754" s="259"/>
      <c r="FC754" s="259"/>
      <c r="FD754" s="259"/>
      <c r="FE754" s="259"/>
      <c r="FF754" s="259"/>
      <c r="FG754" s="259"/>
      <c r="FH754" s="259"/>
      <c r="FI754" s="259"/>
      <c r="FJ754" s="259"/>
      <c r="FK754" s="259"/>
      <c r="FL754" s="259"/>
      <c r="FM754" s="259"/>
      <c r="FN754" s="259"/>
      <c r="FO754" s="259"/>
      <c r="FP754" s="259"/>
      <c r="FQ754" s="259"/>
      <c r="FR754" s="259"/>
      <c r="FS754" s="259"/>
      <c r="FT754" s="259"/>
      <c r="FU754" s="259"/>
      <c r="FV754" s="259"/>
      <c r="FW754" s="259"/>
      <c r="FX754" s="259"/>
      <c r="FY754" s="259"/>
      <c r="FZ754" s="259"/>
      <c r="GA754" s="259"/>
      <c r="GB754" s="259"/>
      <c r="GC754" s="259"/>
      <c r="GD754" s="259"/>
      <c r="GE754" s="259"/>
      <c r="GF754" s="259"/>
      <c r="GG754" s="259"/>
      <c r="GH754" s="259"/>
      <c r="GI754" s="259"/>
      <c r="GJ754" s="259"/>
      <c r="GK754" s="259"/>
      <c r="GL754" s="259"/>
      <c r="GM754" s="259"/>
      <c r="GN754" s="259"/>
      <c r="GO754" s="259"/>
      <c r="GP754" s="259"/>
      <c r="GQ754" s="259"/>
      <c r="GR754" s="259"/>
      <c r="GS754" s="259"/>
      <c r="GT754" s="259"/>
      <c r="GU754" s="259"/>
      <c r="GV754" s="259"/>
      <c r="GW754" s="259"/>
      <c r="GX754" s="259"/>
      <c r="GY754" s="259"/>
      <c r="GZ754" s="259"/>
      <c r="HA754" s="259"/>
      <c r="HB754" s="259"/>
      <c r="HC754" s="259"/>
      <c r="HD754" s="259"/>
      <c r="HE754" s="259"/>
      <c r="HF754" s="259"/>
      <c r="HG754" s="259"/>
      <c r="HH754" s="259"/>
      <c r="HI754" s="259"/>
      <c r="HJ754" s="259"/>
      <c r="HK754" s="259"/>
      <c r="HL754" s="259"/>
      <c r="HM754" s="259"/>
      <c r="HN754" s="259"/>
      <c r="HO754" s="259"/>
      <c r="HP754" s="259"/>
      <c r="HQ754" s="259"/>
      <c r="HR754" s="259"/>
      <c r="HS754" s="259"/>
      <c r="HT754" s="259"/>
      <c r="HU754" s="259"/>
      <c r="HV754" s="259"/>
      <c r="HW754" s="259"/>
      <c r="HX754" s="259"/>
      <c r="HY754" s="259"/>
      <c r="HZ754" s="259"/>
      <c r="IA754" s="259"/>
      <c r="IB754" s="259"/>
      <c r="IC754" s="259"/>
      <c r="ID754" s="259"/>
      <c r="IE754" s="259"/>
      <c r="IF754" s="259"/>
      <c r="IG754" s="259"/>
      <c r="IH754" s="259"/>
      <c r="II754" s="259"/>
      <c r="IJ754" s="259"/>
      <c r="IK754" s="259"/>
      <c r="IL754" s="259"/>
      <c r="IM754" s="259"/>
      <c r="IN754" s="259"/>
      <c r="IO754" s="259"/>
      <c r="IP754" s="259"/>
      <c r="IQ754" s="259"/>
      <c r="IR754" s="259"/>
      <c r="IS754" s="259"/>
      <c r="IT754" s="259"/>
      <c r="IU754" s="259"/>
      <c r="IV754" s="259"/>
      <c r="IW754" s="259"/>
      <c r="IX754" s="259"/>
      <c r="IY754" s="259"/>
      <c r="IZ754" s="259"/>
      <c r="JA754" s="259"/>
      <c r="JB754" s="259"/>
      <c r="JC754" s="259"/>
      <c r="JD754" s="259"/>
      <c r="JE754" s="259"/>
      <c r="JF754" s="259"/>
      <c r="JG754" s="259"/>
      <c r="JH754" s="259"/>
      <c r="JI754" s="259"/>
      <c r="JJ754" s="259"/>
      <c r="JK754" s="259"/>
      <c r="JL754" s="259"/>
      <c r="JM754" s="259"/>
      <c r="JN754" s="259"/>
      <c r="JO754" s="259"/>
      <c r="JP754" s="259"/>
      <c r="JQ754" s="259"/>
      <c r="JR754" s="259"/>
      <c r="JS754" s="259"/>
      <c r="JT754" s="259"/>
      <c r="JU754" s="259"/>
      <c r="JV754" s="259"/>
      <c r="JW754" s="259"/>
      <c r="JX754" s="259"/>
      <c r="JY754" s="259"/>
      <c r="JZ754" s="259"/>
      <c r="KA754" s="259"/>
      <c r="KB754" s="259"/>
      <c r="KC754" s="259"/>
      <c r="KD754" s="259"/>
      <c r="KE754" s="259"/>
      <c r="KF754" s="259"/>
      <c r="KG754" s="259"/>
      <c r="KH754" s="259"/>
      <c r="KI754" s="259"/>
      <c r="KJ754" s="259"/>
      <c r="KK754" s="259"/>
      <c r="KL754" s="259"/>
      <c r="KM754" s="259"/>
      <c r="KN754" s="259"/>
      <c r="KO754" s="259"/>
      <c r="KP754" s="259"/>
      <c r="KQ754" s="259"/>
      <c r="KR754" s="259"/>
      <c r="KS754" s="259"/>
      <c r="KT754" s="259"/>
      <c r="KU754" s="259"/>
      <c r="KV754" s="259"/>
      <c r="KW754" s="259"/>
      <c r="KX754" s="259"/>
      <c r="KY754" s="259"/>
      <c r="KZ754" s="259"/>
      <c r="LA754" s="259"/>
      <c r="LB754" s="259"/>
      <c r="LC754" s="259"/>
      <c r="LD754" s="259"/>
      <c r="LE754" s="259"/>
      <c r="LF754" s="259"/>
      <c r="LG754" s="259"/>
      <c r="LH754" s="259"/>
      <c r="LI754" s="259"/>
      <c r="LJ754" s="259"/>
      <c r="LK754" s="259"/>
      <c r="LL754" s="259"/>
      <c r="LM754" s="259"/>
      <c r="LN754" s="259"/>
      <c r="LO754" s="259"/>
      <c r="LP754" s="259"/>
      <c r="LQ754" s="259"/>
      <c r="LR754" s="259"/>
      <c r="LS754" s="259"/>
      <c r="LT754" s="259"/>
      <c r="LU754" s="259"/>
      <c r="LV754" s="259"/>
      <c r="LW754" s="259"/>
      <c r="LX754" s="259"/>
      <c r="LY754" s="259"/>
      <c r="LZ754" s="259"/>
      <c r="MA754" s="259"/>
      <c r="MB754" s="259"/>
      <c r="MC754" s="259"/>
      <c r="MD754" s="259"/>
      <c r="ME754" s="259"/>
      <c r="MF754" s="259"/>
      <c r="MG754" s="259"/>
      <c r="MH754" s="259"/>
      <c r="MI754" s="259"/>
      <c r="MJ754" s="259"/>
      <c r="MK754" s="259"/>
      <c r="ML754" s="259"/>
      <c r="MM754" s="259"/>
      <c r="MN754" s="259"/>
      <c r="MO754" s="259"/>
      <c r="MP754" s="259"/>
      <c r="MQ754" s="259"/>
      <c r="MR754" s="259"/>
      <c r="MS754" s="259"/>
      <c r="MT754" s="259"/>
      <c r="MU754" s="259"/>
      <c r="MV754" s="259"/>
      <c r="MW754" s="259"/>
      <c r="MX754" s="259"/>
      <c r="MY754" s="259"/>
      <c r="MZ754" s="259"/>
      <c r="NA754" s="259"/>
      <c r="NB754" s="259"/>
      <c r="NC754" s="259"/>
      <c r="ND754" s="259"/>
      <c r="NE754" s="259"/>
      <c r="NF754" s="259"/>
      <c r="NG754" s="259"/>
      <c r="NH754" s="259"/>
      <c r="NI754" s="259"/>
      <c r="NJ754" s="259"/>
      <c r="NK754" s="259"/>
      <c r="NL754" s="259"/>
      <c r="NM754" s="259"/>
      <c r="NN754" s="259"/>
      <c r="NO754" s="259"/>
      <c r="NP754" s="259"/>
      <c r="NQ754" s="259"/>
      <c r="NR754" s="259"/>
      <c r="NS754" s="259"/>
      <c r="NT754" s="259"/>
      <c r="NU754" s="259"/>
      <c r="NV754" s="259"/>
      <c r="NW754" s="259"/>
      <c r="NX754" s="259"/>
      <c r="NY754" s="259"/>
      <c r="NZ754" s="259"/>
      <c r="OA754" s="259"/>
      <c r="OB754" s="259"/>
      <c r="OC754" s="259"/>
      <c r="OD754" s="259"/>
      <c r="OE754" s="259"/>
      <c r="OF754" s="259"/>
      <c r="OG754" s="259"/>
      <c r="OH754" s="259"/>
      <c r="OI754" s="259"/>
      <c r="OJ754" s="259"/>
      <c r="OK754" s="259"/>
      <c r="OL754" s="259"/>
      <c r="OM754" s="259"/>
      <c r="ON754" s="259"/>
      <c r="OO754" s="259"/>
      <c r="OP754" s="259"/>
      <c r="OQ754" s="259"/>
      <c r="OR754" s="259"/>
      <c r="OS754" s="259"/>
      <c r="OT754" s="259"/>
      <c r="OU754" s="259"/>
      <c r="OV754" s="259"/>
      <c r="OW754" s="259"/>
      <c r="OX754" s="259"/>
      <c r="OY754" s="259"/>
      <c r="OZ754" s="259"/>
      <c r="PA754" s="259"/>
      <c r="PB754" s="259"/>
      <c r="PC754" s="259"/>
      <c r="PD754" s="259"/>
      <c r="PE754" s="259"/>
      <c r="PF754" s="259"/>
      <c r="PG754" s="259"/>
      <c r="PH754" s="259"/>
      <c r="PI754" s="259"/>
      <c r="PJ754" s="259"/>
      <c r="PK754" s="259"/>
      <c r="PL754" s="259"/>
      <c r="PM754" s="259"/>
      <c r="PN754" s="259"/>
      <c r="PO754" s="259"/>
      <c r="PP754" s="259"/>
      <c r="PQ754" s="259"/>
      <c r="PR754" s="259"/>
      <c r="PS754" s="259"/>
      <c r="PT754" s="259"/>
      <c r="PU754" s="259"/>
      <c r="PV754" s="259"/>
      <c r="PW754" s="259"/>
      <c r="PX754" s="259"/>
      <c r="PY754" s="259"/>
      <c r="PZ754" s="259"/>
      <c r="QA754" s="259"/>
      <c r="QB754" s="259"/>
      <c r="QC754" s="259"/>
      <c r="QD754" s="259"/>
      <c r="QE754" s="259"/>
      <c r="QF754" s="259"/>
      <c r="QG754" s="259"/>
      <c r="QH754" s="259"/>
      <c r="QI754" s="259"/>
      <c r="QJ754" s="259"/>
      <c r="QK754" s="259"/>
      <c r="QL754" s="259"/>
      <c r="QM754" s="259"/>
      <c r="QN754" s="259"/>
      <c r="QO754" s="259"/>
      <c r="QP754" s="259"/>
      <c r="QQ754" s="259"/>
      <c r="QR754" s="259"/>
      <c r="QS754" s="259"/>
      <c r="QT754" s="259"/>
      <c r="QU754" s="259"/>
      <c r="QV754" s="259"/>
      <c r="QW754" s="259"/>
      <c r="QX754" s="259"/>
      <c r="QY754" s="259"/>
      <c r="QZ754" s="259"/>
      <c r="RA754" s="259"/>
      <c r="RB754" s="259"/>
      <c r="RC754" s="259"/>
      <c r="RD754" s="259"/>
      <c r="RE754" s="259"/>
      <c r="RF754" s="259"/>
      <c r="RG754" s="259"/>
      <c r="RH754" s="259"/>
      <c r="RI754" s="259"/>
      <c r="RJ754" s="259"/>
      <c r="RK754" s="259"/>
      <c r="RL754" s="259"/>
      <c r="RM754" s="259"/>
      <c r="RN754" s="259"/>
      <c r="RO754" s="259"/>
      <c r="RP754" s="259"/>
      <c r="RQ754" s="259"/>
      <c r="RR754" s="259"/>
      <c r="RS754" s="259"/>
      <c r="RT754" s="259"/>
      <c r="RU754" s="259"/>
      <c r="RV754" s="259"/>
      <c r="RW754" s="259"/>
      <c r="RX754" s="259"/>
      <c r="RY754" s="259"/>
      <c r="RZ754" s="259"/>
      <c r="SA754" s="259"/>
      <c r="SB754" s="259"/>
      <c r="SC754" s="259"/>
      <c r="SD754" s="259"/>
      <c r="SE754" s="259"/>
      <c r="SF754" s="259"/>
      <c r="SG754" s="259"/>
      <c r="SH754" s="259"/>
      <c r="SI754" s="259"/>
      <c r="SJ754" s="259"/>
      <c r="SK754" s="259"/>
      <c r="SL754" s="259"/>
      <c r="SM754" s="259"/>
      <c r="SN754" s="259"/>
      <c r="SO754" s="259"/>
      <c r="SP754" s="259"/>
      <c r="SQ754" s="259"/>
      <c r="SR754" s="259"/>
      <c r="SS754" s="259"/>
      <c r="ST754" s="259"/>
      <c r="SU754" s="259"/>
      <c r="SV754" s="259"/>
      <c r="SW754" s="259"/>
      <c r="SX754" s="259"/>
      <c r="SY754" s="259"/>
      <c r="SZ754" s="259"/>
      <c r="TA754" s="259"/>
      <c r="TB754" s="259"/>
      <c r="TC754" s="259"/>
      <c r="TD754" s="259"/>
      <c r="TE754" s="259"/>
      <c r="TF754" s="259"/>
      <c r="TG754" s="259"/>
      <c r="TH754" s="259"/>
      <c r="TI754" s="259"/>
      <c r="TJ754" s="259"/>
      <c r="TK754" s="259"/>
      <c r="TL754" s="259"/>
      <c r="TM754" s="259"/>
      <c r="TN754" s="259"/>
      <c r="TO754" s="259"/>
      <c r="TP754" s="259"/>
      <c r="TQ754" s="259"/>
      <c r="TR754" s="259"/>
      <c r="TS754" s="259"/>
      <c r="TT754" s="259"/>
      <c r="TU754" s="259"/>
      <c r="TV754" s="259"/>
      <c r="TW754" s="259"/>
      <c r="TX754" s="259"/>
      <c r="TY754" s="259"/>
      <c r="TZ754" s="259"/>
      <c r="UA754" s="259"/>
      <c r="UB754" s="259"/>
      <c r="UC754" s="259"/>
      <c r="UD754" s="259"/>
      <c r="UE754" s="259"/>
      <c r="UF754" s="259"/>
      <c r="UG754" s="259"/>
      <c r="UH754" s="259"/>
      <c r="UI754" s="259"/>
    </row>
    <row r="755" spans="1:555" ht="73.5" customHeight="1">
      <c r="A755" s="502">
        <v>665</v>
      </c>
      <c r="B755" s="686" t="s">
        <v>5698</v>
      </c>
      <c r="C755" s="687">
        <v>79444708</v>
      </c>
      <c r="D755" s="688" t="s">
        <v>906</v>
      </c>
      <c r="E755" s="27">
        <v>43070</v>
      </c>
      <c r="F755" s="689">
        <v>43070</v>
      </c>
      <c r="G755" s="690" t="s">
        <v>5699</v>
      </c>
      <c r="H755" s="686" t="s">
        <v>5</v>
      </c>
      <c r="I755" s="686" t="s">
        <v>3375</v>
      </c>
      <c r="J755" s="27"/>
      <c r="K755" s="689"/>
      <c r="L755" s="690"/>
      <c r="M755" s="686"/>
      <c r="N755" s="686"/>
      <c r="O755" s="27"/>
      <c r="P755" s="691"/>
      <c r="Q755" s="690"/>
      <c r="R755" s="686"/>
      <c r="S755" s="686"/>
      <c r="T755" s="27"/>
      <c r="U755" s="689"/>
      <c r="V755" s="690"/>
      <c r="W755" s="686"/>
      <c r="X755" s="686"/>
      <c r="Y755" s="27"/>
      <c r="Z755" s="689"/>
      <c r="AA755" s="690"/>
      <c r="AB755" s="686"/>
      <c r="AC755" s="686"/>
      <c r="AD755" s="27"/>
      <c r="AE755" s="689"/>
      <c r="AF755" s="690"/>
      <c r="AG755" s="686"/>
      <c r="AH755" s="686"/>
      <c r="AI755" s="704"/>
      <c r="AJ755" s="689"/>
      <c r="AK755" s="690"/>
      <c r="AL755" s="686"/>
      <c r="AM755" s="686"/>
      <c r="AN755" s="686" t="s">
        <v>3671</v>
      </c>
      <c r="AO755" s="705"/>
      <c r="AP755" s="686"/>
      <c r="AQ755" s="690" t="s">
        <v>5700</v>
      </c>
      <c r="AR755" s="686" t="s">
        <v>161</v>
      </c>
      <c r="AS755" s="27">
        <v>33197</v>
      </c>
      <c r="AT755" s="27">
        <v>40908</v>
      </c>
      <c r="AU755" s="686" t="s">
        <v>5701</v>
      </c>
      <c r="AV755" s="686"/>
      <c r="AW755" s="686" t="s">
        <v>69</v>
      </c>
      <c r="AX755" s="686" t="s">
        <v>5702</v>
      </c>
      <c r="AY755" s="27">
        <v>42578</v>
      </c>
      <c r="AZ755" s="686" t="s">
        <v>5703</v>
      </c>
      <c r="BA755" s="27">
        <v>42859</v>
      </c>
      <c r="BB755" s="27">
        <v>43006</v>
      </c>
      <c r="BC755" s="701" t="s">
        <v>912</v>
      </c>
      <c r="BD755" s="701" t="s">
        <v>566</v>
      </c>
      <c r="BE755" s="686"/>
      <c r="BF755" s="690"/>
      <c r="BG755" s="690"/>
      <c r="BH755" s="690"/>
      <c r="BI755" s="690"/>
      <c r="BJ755" s="708">
        <f>+[276]MATRIZ!$J$57</f>
        <v>0</v>
      </c>
      <c r="BK755" s="696"/>
      <c r="BL755" s="697"/>
      <c r="BM755" s="27"/>
      <c r="BN755" s="689"/>
      <c r="BO755" s="699"/>
      <c r="BP755" s="700"/>
      <c r="BQ755" s="686"/>
      <c r="BR755" s="701"/>
      <c r="BS755" s="690"/>
      <c r="BT755" s="690"/>
      <c r="BU755" s="690"/>
      <c r="BV755" s="690"/>
      <c r="BW755" s="702"/>
      <c r="BX755" s="693"/>
      <c r="BY755" s="27"/>
      <c r="BZ755" s="703"/>
      <c r="CA755" s="259"/>
      <c r="CB755" s="259"/>
      <c r="CC755" s="259"/>
      <c r="CD755" s="259"/>
      <c r="CE755" s="259"/>
      <c r="CF755" s="259"/>
      <c r="CG755" s="259"/>
      <c r="CH755" s="259"/>
      <c r="CI755" s="259"/>
      <c r="CJ755" s="259"/>
      <c r="CK755" s="259"/>
      <c r="CL755" s="259"/>
      <c r="CM755" s="259"/>
      <c r="CN755" s="259"/>
      <c r="CO755" s="259"/>
      <c r="CP755" s="259"/>
      <c r="CQ755" s="259"/>
      <c r="CR755" s="259"/>
      <c r="CS755" s="259"/>
      <c r="CT755" s="259"/>
      <c r="CU755" s="259"/>
      <c r="CV755" s="259"/>
      <c r="CW755" s="259"/>
      <c r="CX755" s="259"/>
      <c r="CY755" s="259"/>
      <c r="CZ755" s="259"/>
      <c r="DA755" s="259"/>
      <c r="DB755" s="259"/>
      <c r="DC755" s="259"/>
      <c r="DD755" s="259"/>
      <c r="DE755" s="259"/>
      <c r="DF755" s="259"/>
      <c r="DG755" s="259"/>
      <c r="DH755" s="259"/>
      <c r="DI755" s="259"/>
      <c r="DJ755" s="259"/>
      <c r="DK755" s="259"/>
      <c r="DL755" s="259"/>
      <c r="DM755" s="259"/>
      <c r="DN755" s="259"/>
      <c r="DO755" s="259"/>
      <c r="DP755" s="259"/>
      <c r="DQ755" s="259"/>
      <c r="DR755" s="259"/>
      <c r="DS755" s="259"/>
      <c r="DT755" s="259"/>
      <c r="DU755" s="259"/>
      <c r="DV755" s="259"/>
      <c r="DW755" s="259"/>
      <c r="DX755" s="259"/>
      <c r="DY755" s="259"/>
      <c r="DZ755" s="259"/>
      <c r="EA755" s="259"/>
      <c r="EB755" s="259"/>
      <c r="EC755" s="259"/>
      <c r="ED755" s="259"/>
      <c r="EE755" s="259"/>
      <c r="EF755" s="259"/>
      <c r="EG755" s="259"/>
      <c r="EH755" s="259"/>
      <c r="EI755" s="259"/>
      <c r="EJ755" s="259"/>
      <c r="EK755" s="259"/>
      <c r="EL755" s="259"/>
      <c r="EM755" s="259"/>
      <c r="EN755" s="259"/>
      <c r="EO755" s="259"/>
      <c r="EP755" s="259"/>
      <c r="EQ755" s="259"/>
      <c r="ER755" s="259"/>
      <c r="ES755" s="259"/>
      <c r="ET755" s="259"/>
      <c r="EU755" s="259"/>
      <c r="EV755" s="259"/>
      <c r="EW755" s="259"/>
      <c r="EX755" s="259"/>
      <c r="EY755" s="259"/>
      <c r="EZ755" s="259"/>
      <c r="FA755" s="259"/>
      <c r="FB755" s="259"/>
      <c r="FC755" s="259"/>
      <c r="FD755" s="259"/>
      <c r="FE755" s="259"/>
      <c r="FF755" s="259"/>
      <c r="FG755" s="259"/>
      <c r="FH755" s="259"/>
      <c r="FI755" s="259"/>
      <c r="FJ755" s="259"/>
      <c r="FK755" s="259"/>
      <c r="FL755" s="259"/>
      <c r="FM755" s="259"/>
      <c r="FN755" s="259"/>
      <c r="FO755" s="259"/>
      <c r="FP755" s="259"/>
      <c r="FQ755" s="259"/>
      <c r="FR755" s="259"/>
      <c r="FS755" s="259"/>
      <c r="FT755" s="259"/>
      <c r="FU755" s="259"/>
      <c r="FV755" s="259"/>
      <c r="FW755" s="259"/>
      <c r="FX755" s="259"/>
      <c r="FY755" s="259"/>
      <c r="FZ755" s="259"/>
      <c r="GA755" s="259"/>
      <c r="GB755" s="259"/>
      <c r="GC755" s="259"/>
      <c r="GD755" s="259"/>
      <c r="GE755" s="259"/>
      <c r="GF755" s="259"/>
      <c r="GG755" s="259"/>
      <c r="GH755" s="259"/>
      <c r="GI755" s="259"/>
      <c r="GJ755" s="259"/>
      <c r="GK755" s="259"/>
      <c r="GL755" s="259"/>
      <c r="GM755" s="259"/>
      <c r="GN755" s="259"/>
      <c r="GO755" s="259"/>
      <c r="GP755" s="259"/>
      <c r="GQ755" s="259"/>
      <c r="GR755" s="259"/>
      <c r="GS755" s="259"/>
      <c r="GT755" s="259"/>
      <c r="GU755" s="259"/>
      <c r="GV755" s="259"/>
      <c r="GW755" s="259"/>
      <c r="GX755" s="259"/>
      <c r="GY755" s="259"/>
      <c r="GZ755" s="259"/>
      <c r="HA755" s="259"/>
      <c r="HB755" s="259"/>
      <c r="HC755" s="259"/>
      <c r="HD755" s="259"/>
      <c r="HE755" s="259"/>
      <c r="HF755" s="259"/>
      <c r="HG755" s="259"/>
      <c r="HH755" s="259"/>
      <c r="HI755" s="259"/>
      <c r="HJ755" s="259"/>
      <c r="HK755" s="259"/>
      <c r="HL755" s="259"/>
      <c r="HM755" s="259"/>
      <c r="HN755" s="259"/>
      <c r="HO755" s="259"/>
      <c r="HP755" s="259"/>
      <c r="HQ755" s="259"/>
      <c r="HR755" s="259"/>
      <c r="HS755" s="259"/>
      <c r="HT755" s="259"/>
      <c r="HU755" s="259"/>
      <c r="HV755" s="259"/>
      <c r="HW755" s="259"/>
      <c r="HX755" s="259"/>
      <c r="HY755" s="259"/>
      <c r="HZ755" s="259"/>
      <c r="IA755" s="259"/>
      <c r="IB755" s="259"/>
      <c r="IC755" s="259"/>
      <c r="ID755" s="259"/>
      <c r="IE755" s="259"/>
      <c r="IF755" s="259"/>
      <c r="IG755" s="259"/>
      <c r="IH755" s="259"/>
      <c r="II755" s="259"/>
      <c r="IJ755" s="259"/>
      <c r="IK755" s="259"/>
      <c r="IL755" s="259"/>
      <c r="IM755" s="259"/>
      <c r="IN755" s="259"/>
      <c r="IO755" s="259"/>
      <c r="IP755" s="259"/>
      <c r="IQ755" s="259"/>
      <c r="IR755" s="259"/>
      <c r="IS755" s="259"/>
      <c r="IT755" s="259"/>
      <c r="IU755" s="259"/>
      <c r="IV755" s="259"/>
      <c r="IW755" s="259"/>
      <c r="IX755" s="259"/>
      <c r="IY755" s="259"/>
      <c r="IZ755" s="259"/>
      <c r="JA755" s="259"/>
      <c r="JB755" s="259"/>
      <c r="JC755" s="259"/>
      <c r="JD755" s="259"/>
      <c r="JE755" s="259"/>
      <c r="JF755" s="259"/>
      <c r="JG755" s="259"/>
      <c r="JH755" s="259"/>
      <c r="JI755" s="259"/>
      <c r="JJ755" s="259"/>
      <c r="JK755" s="259"/>
      <c r="JL755" s="259"/>
      <c r="JM755" s="259"/>
      <c r="JN755" s="259"/>
      <c r="JO755" s="259"/>
      <c r="JP755" s="259"/>
      <c r="JQ755" s="259"/>
      <c r="JR755" s="259"/>
      <c r="JS755" s="259"/>
      <c r="JT755" s="259"/>
      <c r="JU755" s="259"/>
      <c r="JV755" s="259"/>
      <c r="JW755" s="259"/>
      <c r="JX755" s="259"/>
      <c r="JY755" s="259"/>
      <c r="JZ755" s="259"/>
      <c r="KA755" s="259"/>
      <c r="KB755" s="259"/>
      <c r="KC755" s="259"/>
      <c r="KD755" s="259"/>
      <c r="KE755" s="259"/>
      <c r="KF755" s="259"/>
      <c r="KG755" s="259"/>
      <c r="KH755" s="259"/>
      <c r="KI755" s="259"/>
      <c r="KJ755" s="259"/>
      <c r="KK755" s="259"/>
      <c r="KL755" s="259"/>
      <c r="KM755" s="259"/>
      <c r="KN755" s="259"/>
      <c r="KO755" s="259"/>
      <c r="KP755" s="259"/>
      <c r="KQ755" s="259"/>
      <c r="KR755" s="259"/>
      <c r="KS755" s="259"/>
      <c r="KT755" s="259"/>
      <c r="KU755" s="259"/>
      <c r="KV755" s="259"/>
      <c r="KW755" s="259"/>
      <c r="KX755" s="259"/>
      <c r="KY755" s="259"/>
      <c r="KZ755" s="259"/>
      <c r="LA755" s="259"/>
      <c r="LB755" s="259"/>
      <c r="LC755" s="259"/>
      <c r="LD755" s="259"/>
      <c r="LE755" s="259"/>
      <c r="LF755" s="259"/>
      <c r="LG755" s="259"/>
      <c r="LH755" s="259"/>
      <c r="LI755" s="259"/>
      <c r="LJ755" s="259"/>
      <c r="LK755" s="259"/>
      <c r="LL755" s="259"/>
      <c r="LM755" s="259"/>
      <c r="LN755" s="259"/>
      <c r="LO755" s="259"/>
      <c r="LP755" s="259"/>
      <c r="LQ755" s="259"/>
      <c r="LR755" s="259"/>
      <c r="LS755" s="259"/>
      <c r="LT755" s="259"/>
      <c r="LU755" s="259"/>
      <c r="LV755" s="259"/>
      <c r="LW755" s="259"/>
      <c r="LX755" s="259"/>
      <c r="LY755" s="259"/>
      <c r="LZ755" s="259"/>
      <c r="MA755" s="259"/>
      <c r="MB755" s="259"/>
      <c r="MC755" s="259"/>
      <c r="MD755" s="259"/>
      <c r="ME755" s="259"/>
      <c r="MF755" s="259"/>
      <c r="MG755" s="259"/>
      <c r="MH755" s="259"/>
      <c r="MI755" s="259"/>
      <c r="MJ755" s="259"/>
      <c r="MK755" s="259"/>
      <c r="ML755" s="259"/>
      <c r="MM755" s="259"/>
      <c r="MN755" s="259"/>
      <c r="MO755" s="259"/>
      <c r="MP755" s="259"/>
      <c r="MQ755" s="259"/>
      <c r="MR755" s="259"/>
      <c r="MS755" s="259"/>
      <c r="MT755" s="259"/>
      <c r="MU755" s="259"/>
      <c r="MV755" s="259"/>
      <c r="MW755" s="259"/>
      <c r="MX755" s="259"/>
      <c r="MY755" s="259"/>
      <c r="MZ755" s="259"/>
      <c r="NA755" s="259"/>
      <c r="NB755" s="259"/>
      <c r="NC755" s="259"/>
      <c r="ND755" s="259"/>
      <c r="NE755" s="259"/>
      <c r="NF755" s="259"/>
      <c r="NG755" s="259"/>
      <c r="NH755" s="259"/>
      <c r="NI755" s="259"/>
      <c r="NJ755" s="259"/>
      <c r="NK755" s="259"/>
      <c r="NL755" s="259"/>
      <c r="NM755" s="259"/>
      <c r="NN755" s="259"/>
      <c r="NO755" s="259"/>
      <c r="NP755" s="259"/>
      <c r="NQ755" s="259"/>
      <c r="NR755" s="259"/>
      <c r="NS755" s="259"/>
      <c r="NT755" s="259"/>
      <c r="NU755" s="259"/>
      <c r="NV755" s="259"/>
      <c r="NW755" s="259"/>
      <c r="NX755" s="259"/>
      <c r="NY755" s="259"/>
      <c r="NZ755" s="259"/>
      <c r="OA755" s="259"/>
      <c r="OB755" s="259"/>
      <c r="OC755" s="259"/>
      <c r="OD755" s="259"/>
      <c r="OE755" s="259"/>
      <c r="OF755" s="259"/>
      <c r="OG755" s="259"/>
      <c r="OH755" s="259"/>
      <c r="OI755" s="259"/>
      <c r="OJ755" s="259"/>
      <c r="OK755" s="259"/>
      <c r="OL755" s="259"/>
      <c r="OM755" s="259"/>
      <c r="ON755" s="259"/>
      <c r="OO755" s="259"/>
      <c r="OP755" s="259"/>
      <c r="OQ755" s="259"/>
      <c r="OR755" s="259"/>
      <c r="OS755" s="259"/>
      <c r="OT755" s="259"/>
      <c r="OU755" s="259"/>
      <c r="OV755" s="259"/>
      <c r="OW755" s="259"/>
      <c r="OX755" s="259"/>
      <c r="OY755" s="259"/>
      <c r="OZ755" s="259"/>
      <c r="PA755" s="259"/>
      <c r="PB755" s="259"/>
      <c r="PC755" s="259"/>
      <c r="PD755" s="259"/>
      <c r="PE755" s="259"/>
      <c r="PF755" s="259"/>
      <c r="PG755" s="259"/>
      <c r="PH755" s="259"/>
      <c r="PI755" s="259"/>
      <c r="PJ755" s="259"/>
      <c r="PK755" s="259"/>
      <c r="PL755" s="259"/>
      <c r="PM755" s="259"/>
      <c r="PN755" s="259"/>
      <c r="PO755" s="259"/>
      <c r="PP755" s="259"/>
      <c r="PQ755" s="259"/>
      <c r="PR755" s="259"/>
      <c r="PS755" s="259"/>
      <c r="PT755" s="259"/>
      <c r="PU755" s="259"/>
      <c r="PV755" s="259"/>
      <c r="PW755" s="259"/>
      <c r="PX755" s="259"/>
      <c r="PY755" s="259"/>
      <c r="PZ755" s="259"/>
      <c r="QA755" s="259"/>
      <c r="QB755" s="259"/>
      <c r="QC755" s="259"/>
      <c r="QD755" s="259"/>
      <c r="QE755" s="259"/>
      <c r="QF755" s="259"/>
      <c r="QG755" s="259"/>
      <c r="QH755" s="259"/>
      <c r="QI755" s="259"/>
      <c r="QJ755" s="259"/>
      <c r="QK755" s="259"/>
      <c r="QL755" s="259"/>
      <c r="QM755" s="259"/>
      <c r="QN755" s="259"/>
      <c r="QO755" s="259"/>
      <c r="QP755" s="259"/>
      <c r="QQ755" s="259"/>
      <c r="QR755" s="259"/>
      <c r="QS755" s="259"/>
      <c r="QT755" s="259"/>
      <c r="QU755" s="259"/>
      <c r="QV755" s="259"/>
      <c r="QW755" s="259"/>
      <c r="QX755" s="259"/>
      <c r="QY755" s="259"/>
      <c r="QZ755" s="259"/>
      <c r="RA755" s="259"/>
      <c r="RB755" s="259"/>
      <c r="RC755" s="259"/>
      <c r="RD755" s="259"/>
      <c r="RE755" s="259"/>
      <c r="RF755" s="259"/>
      <c r="RG755" s="259"/>
      <c r="RH755" s="259"/>
      <c r="RI755" s="259"/>
      <c r="RJ755" s="259"/>
      <c r="RK755" s="259"/>
      <c r="RL755" s="259"/>
      <c r="RM755" s="259"/>
      <c r="RN755" s="259"/>
      <c r="RO755" s="259"/>
      <c r="RP755" s="259"/>
      <c r="RQ755" s="259"/>
      <c r="RR755" s="259"/>
      <c r="RS755" s="259"/>
      <c r="RT755" s="259"/>
      <c r="RU755" s="259"/>
      <c r="RV755" s="259"/>
      <c r="RW755" s="259"/>
      <c r="RX755" s="259"/>
      <c r="RY755" s="259"/>
      <c r="RZ755" s="259"/>
      <c r="SA755" s="259"/>
      <c r="SB755" s="259"/>
      <c r="SC755" s="259"/>
      <c r="SD755" s="259"/>
      <c r="SE755" s="259"/>
      <c r="SF755" s="259"/>
      <c r="SG755" s="259"/>
      <c r="SH755" s="259"/>
      <c r="SI755" s="259"/>
      <c r="SJ755" s="259"/>
      <c r="SK755" s="259"/>
      <c r="SL755" s="259"/>
      <c r="SM755" s="259"/>
      <c r="SN755" s="259"/>
      <c r="SO755" s="259"/>
      <c r="SP755" s="259"/>
      <c r="SQ755" s="259"/>
      <c r="SR755" s="259"/>
      <c r="SS755" s="259"/>
      <c r="ST755" s="259"/>
      <c r="SU755" s="259"/>
      <c r="SV755" s="259"/>
      <c r="SW755" s="259"/>
      <c r="SX755" s="259"/>
      <c r="SY755" s="259"/>
      <c r="SZ755" s="259"/>
      <c r="TA755" s="259"/>
      <c r="TB755" s="259"/>
      <c r="TC755" s="259"/>
      <c r="TD755" s="259"/>
      <c r="TE755" s="259"/>
      <c r="TF755" s="259"/>
      <c r="TG755" s="259"/>
      <c r="TH755" s="259"/>
      <c r="TI755" s="259"/>
      <c r="TJ755" s="259"/>
      <c r="TK755" s="259"/>
      <c r="TL755" s="259"/>
      <c r="TM755" s="259"/>
      <c r="TN755" s="259"/>
      <c r="TO755" s="259"/>
      <c r="TP755" s="259"/>
      <c r="TQ755" s="259"/>
      <c r="TR755" s="259"/>
      <c r="TS755" s="259"/>
      <c r="TT755" s="259"/>
      <c r="TU755" s="259"/>
      <c r="TV755" s="259"/>
      <c r="TW755" s="259"/>
      <c r="TX755" s="259"/>
      <c r="TY755" s="259"/>
      <c r="TZ755" s="259"/>
      <c r="UA755" s="259"/>
      <c r="UB755" s="259"/>
      <c r="UC755" s="259"/>
      <c r="UD755" s="259"/>
      <c r="UE755" s="259"/>
      <c r="UF755" s="259"/>
      <c r="UG755" s="259"/>
      <c r="UH755" s="259"/>
      <c r="UI755" s="259"/>
    </row>
    <row r="756" spans="1:555" s="259" customFormat="1" ht="66" customHeight="1">
      <c r="A756" s="502">
        <v>667</v>
      </c>
      <c r="B756" s="686" t="s">
        <v>5710</v>
      </c>
      <c r="C756" s="687">
        <v>71666066</v>
      </c>
      <c r="D756" s="688" t="s">
        <v>906</v>
      </c>
      <c r="E756" s="27">
        <v>43070</v>
      </c>
      <c r="F756" s="689">
        <v>43070</v>
      </c>
      <c r="G756" s="690" t="s">
        <v>5711</v>
      </c>
      <c r="H756" s="686" t="s">
        <v>5</v>
      </c>
      <c r="I756" s="686" t="s">
        <v>570</v>
      </c>
      <c r="J756" s="27"/>
      <c r="K756" s="689"/>
      <c r="L756" s="690"/>
      <c r="M756" s="686"/>
      <c r="N756" s="686"/>
      <c r="O756" s="27"/>
      <c r="P756" s="691"/>
      <c r="Q756" s="690"/>
      <c r="R756" s="686"/>
      <c r="S756" s="686"/>
      <c r="T756" s="27"/>
      <c r="U756" s="689"/>
      <c r="V756" s="690"/>
      <c r="W756" s="686"/>
      <c r="X756" s="686"/>
      <c r="Y756" s="27"/>
      <c r="Z756" s="689"/>
      <c r="AA756" s="690"/>
      <c r="AB756" s="686"/>
      <c r="AC756" s="686"/>
      <c r="AD756" s="27"/>
      <c r="AE756" s="689"/>
      <c r="AF756" s="690"/>
      <c r="AG756" s="686"/>
      <c r="AH756" s="686"/>
      <c r="AI756" s="704"/>
      <c r="AJ756" s="689"/>
      <c r="AK756" s="690"/>
      <c r="AL756" s="686"/>
      <c r="AM756" s="686"/>
      <c r="AN756" s="686" t="s">
        <v>4827</v>
      </c>
      <c r="AO756" s="705"/>
      <c r="AP756" s="686"/>
      <c r="AQ756" s="690" t="s">
        <v>5712</v>
      </c>
      <c r="AR756" s="686" t="s">
        <v>161</v>
      </c>
      <c r="AS756" s="27">
        <v>34352</v>
      </c>
      <c r="AT756" s="27">
        <v>40908</v>
      </c>
      <c r="AU756" s="686" t="s">
        <v>5713</v>
      </c>
      <c r="AV756" s="686"/>
      <c r="AW756" s="686" t="s">
        <v>69</v>
      </c>
      <c r="AX756" s="686" t="s">
        <v>5714</v>
      </c>
      <c r="AY756" s="27">
        <v>42819</v>
      </c>
      <c r="AZ756" s="686" t="s">
        <v>5715</v>
      </c>
      <c r="BA756" s="27">
        <v>42578</v>
      </c>
      <c r="BB756" s="27">
        <v>42604</v>
      </c>
      <c r="BC756" s="686" t="s">
        <v>912</v>
      </c>
      <c r="BD756" s="686" t="s">
        <v>566</v>
      </c>
      <c r="BE756" s="686"/>
      <c r="BF756" s="690"/>
      <c r="BG756" s="690"/>
      <c r="BH756" s="690"/>
      <c r="BI756" s="690"/>
      <c r="BJ756" s="708">
        <f>+[277]MATRIZ!$J$52</f>
        <v>0</v>
      </c>
      <c r="BK756" s="696"/>
      <c r="BL756" s="697"/>
      <c r="BM756" s="27"/>
      <c r="BN756" s="689"/>
      <c r="BO756" s="699"/>
      <c r="BP756" s="700"/>
      <c r="BQ756" s="686"/>
      <c r="BR756" s="701"/>
      <c r="BS756" s="690"/>
      <c r="BT756" s="690"/>
      <c r="BU756" s="690"/>
      <c r="BV756" s="690"/>
      <c r="BW756" s="702"/>
      <c r="BX756" s="693"/>
      <c r="BY756" s="27"/>
      <c r="BZ756" s="703"/>
    </row>
    <row r="757" spans="1:555" ht="67.5">
      <c r="A757" s="296">
        <v>668</v>
      </c>
      <c r="B757" s="297" t="s">
        <v>4374</v>
      </c>
      <c r="C757" s="298">
        <v>52852014</v>
      </c>
      <c r="D757" s="354" t="s">
        <v>906</v>
      </c>
      <c r="E757" s="299">
        <v>43070</v>
      </c>
      <c r="F757" s="300">
        <v>43070</v>
      </c>
      <c r="G757" s="301" t="s">
        <v>5716</v>
      </c>
      <c r="H757" s="297" t="s">
        <v>5</v>
      </c>
      <c r="I757" s="297" t="s">
        <v>570</v>
      </c>
      <c r="J757" s="299"/>
      <c r="K757" s="300"/>
      <c r="L757" s="301"/>
      <c r="M757" s="297"/>
      <c r="N757" s="297"/>
      <c r="O757" s="299"/>
      <c r="P757" s="302"/>
      <c r="Q757" s="301"/>
      <c r="R757" s="297"/>
      <c r="S757" s="297"/>
      <c r="T757" s="299"/>
      <c r="U757" s="300"/>
      <c r="V757" s="301"/>
      <c r="W757" s="297"/>
      <c r="X757" s="297"/>
      <c r="Y757" s="299"/>
      <c r="Z757" s="300"/>
      <c r="AA757" s="301"/>
      <c r="AB757" s="297"/>
      <c r="AC757" s="297"/>
      <c r="AD757" s="299"/>
      <c r="AE757" s="300"/>
      <c r="AF757" s="301"/>
      <c r="AG757" s="297"/>
      <c r="AH757" s="297"/>
      <c r="AI757" s="322"/>
      <c r="AJ757" s="300"/>
      <c r="AK757" s="301"/>
      <c r="AL757" s="297"/>
      <c r="AM757" s="297"/>
      <c r="AN757" s="297" t="s">
        <v>3671</v>
      </c>
      <c r="AO757" s="554"/>
      <c r="AP757" s="297"/>
      <c r="AQ757" s="301" t="s">
        <v>5717</v>
      </c>
      <c r="AR757" s="297" t="s">
        <v>161</v>
      </c>
      <c r="AS757" s="299">
        <v>39010</v>
      </c>
      <c r="AT757" s="299">
        <v>40908</v>
      </c>
      <c r="AU757" s="297" t="s">
        <v>5718</v>
      </c>
      <c r="AV757" s="297"/>
      <c r="AW757" s="297" t="s">
        <v>69</v>
      </c>
      <c r="AX757" s="297" t="s">
        <v>5719</v>
      </c>
      <c r="AY757" s="299">
        <v>42158</v>
      </c>
      <c r="AZ757" s="297" t="s">
        <v>5720</v>
      </c>
      <c r="BA757" s="299">
        <v>42608</v>
      </c>
      <c r="BB757" s="299">
        <v>42642</v>
      </c>
      <c r="BC757" s="303" t="s">
        <v>912</v>
      </c>
      <c r="BD757" s="303" t="s">
        <v>566</v>
      </c>
      <c r="BE757" s="297"/>
      <c r="BF757" s="301"/>
      <c r="BG757" s="301"/>
      <c r="BH757" s="301"/>
      <c r="BI757" s="301"/>
      <c r="BJ757" s="312">
        <f>+[278]MATRIZ!$J$56</f>
        <v>0</v>
      </c>
      <c r="BK757" s="312"/>
      <c r="BL757" s="313"/>
      <c r="BM757" s="299"/>
      <c r="BN757" s="300"/>
      <c r="BO757" s="460"/>
      <c r="BP757" s="390"/>
      <c r="BQ757" s="297"/>
      <c r="BR757" s="303"/>
      <c r="BS757" s="301"/>
      <c r="BT757" s="301"/>
      <c r="BU757" s="301"/>
      <c r="BV757" s="301"/>
      <c r="BW757" s="316"/>
      <c r="BX757" s="304"/>
      <c r="BY757" s="299"/>
      <c r="BZ757" s="317"/>
    </row>
    <row r="758" spans="1:555" ht="67.5" customHeight="1">
      <c r="A758" s="57">
        <v>669</v>
      </c>
      <c r="B758" s="58" t="s">
        <v>5721</v>
      </c>
      <c r="C758" s="59">
        <v>80023736</v>
      </c>
      <c r="D758" s="170" t="s">
        <v>167</v>
      </c>
      <c r="E758" s="60">
        <v>43087</v>
      </c>
      <c r="F758" s="61">
        <v>43070</v>
      </c>
      <c r="G758" s="62" t="s">
        <v>5722</v>
      </c>
      <c r="H758" s="58" t="s">
        <v>625</v>
      </c>
      <c r="I758" s="58" t="s">
        <v>3423</v>
      </c>
      <c r="J758" s="60">
        <v>43381</v>
      </c>
      <c r="K758" s="61">
        <v>43381</v>
      </c>
      <c r="L758" s="62" t="s">
        <v>7260</v>
      </c>
      <c r="M758" s="58" t="s">
        <v>5</v>
      </c>
      <c r="N758" s="58" t="s">
        <v>2413</v>
      </c>
      <c r="O758" s="60"/>
      <c r="P758" s="63"/>
      <c r="Q758" s="62"/>
      <c r="R758" s="58"/>
      <c r="S758" s="58"/>
      <c r="T758" s="60"/>
      <c r="U758" s="61"/>
      <c r="V758" s="62"/>
      <c r="W758" s="58"/>
      <c r="X758" s="58"/>
      <c r="Y758" s="60"/>
      <c r="Z758" s="61"/>
      <c r="AA758" s="62"/>
      <c r="AB758" s="58"/>
      <c r="AC758" s="58"/>
      <c r="AD758" s="60"/>
      <c r="AE758" s="61"/>
      <c r="AF758" s="62"/>
      <c r="AG758" s="58"/>
      <c r="AH758" s="58"/>
      <c r="AI758" s="117"/>
      <c r="AJ758" s="61"/>
      <c r="AK758" s="62"/>
      <c r="AL758" s="58"/>
      <c r="AM758" s="58"/>
      <c r="AN758" s="58" t="s">
        <v>4827</v>
      </c>
      <c r="AO758" s="478"/>
      <c r="AP758" s="58"/>
      <c r="AQ758" s="62" t="s">
        <v>5723</v>
      </c>
      <c r="AR758" s="58" t="s">
        <v>161</v>
      </c>
      <c r="AS758" s="60" t="s">
        <v>5724</v>
      </c>
      <c r="AT758" s="60" t="s">
        <v>5725</v>
      </c>
      <c r="AU758" s="58" t="s">
        <v>7261</v>
      </c>
      <c r="AV758" s="58"/>
      <c r="AW758" s="58" t="s">
        <v>69</v>
      </c>
      <c r="AX758" s="58" t="s">
        <v>5525</v>
      </c>
      <c r="AY758" s="60">
        <v>41943</v>
      </c>
      <c r="AZ758" s="58" t="s">
        <v>5726</v>
      </c>
      <c r="BA758" s="60">
        <v>42964</v>
      </c>
      <c r="BB758" s="382">
        <v>42978</v>
      </c>
      <c r="BC758" s="58" t="s">
        <v>95</v>
      </c>
      <c r="BD758" s="58" t="s">
        <v>566</v>
      </c>
      <c r="BE758" s="58"/>
      <c r="BF758" s="62" t="s">
        <v>5727</v>
      </c>
      <c r="BG758" s="62"/>
      <c r="BH758" s="62"/>
      <c r="BI758" s="62"/>
      <c r="BJ758" s="209">
        <f>+[279]MATRIZ!$K$83</f>
        <v>0</v>
      </c>
      <c r="BK758" s="67"/>
      <c r="BL758" s="68"/>
      <c r="BM758" s="60"/>
      <c r="BN758" s="61"/>
      <c r="BO758" s="463"/>
      <c r="BP758" s="122"/>
      <c r="BQ758" s="58"/>
      <c r="BR758" s="70"/>
      <c r="BS758" s="62"/>
      <c r="BT758" s="62"/>
      <c r="BU758" s="62"/>
      <c r="BV758" s="62"/>
      <c r="BW758" s="71"/>
      <c r="BX758" s="66"/>
      <c r="BY758" s="60"/>
      <c r="BZ758" s="72"/>
    </row>
    <row r="759" spans="1:555" ht="67.5">
      <c r="A759" s="96">
        <v>670</v>
      </c>
      <c r="B759" s="422" t="s">
        <v>5728</v>
      </c>
      <c r="C759" s="419">
        <v>14600155</v>
      </c>
      <c r="D759" s="439" t="s">
        <v>1153</v>
      </c>
      <c r="E759" s="423">
        <v>43082</v>
      </c>
      <c r="F759" s="21">
        <v>43070</v>
      </c>
      <c r="G759" s="22" t="s">
        <v>5729</v>
      </c>
      <c r="H759" s="422" t="s">
        <v>171</v>
      </c>
      <c r="I759" s="422" t="s">
        <v>3423</v>
      </c>
      <c r="J759" s="420">
        <v>43542</v>
      </c>
      <c r="K759" s="21">
        <v>43542</v>
      </c>
      <c r="L759" s="428" t="s">
        <v>8395</v>
      </c>
      <c r="M759" s="428" t="s">
        <v>5</v>
      </c>
      <c r="N759" s="422" t="s">
        <v>1114</v>
      </c>
      <c r="O759" s="423"/>
      <c r="P759" s="23"/>
      <c r="Q759" s="22"/>
      <c r="R759" s="422"/>
      <c r="S759" s="422"/>
      <c r="T759" s="423"/>
      <c r="U759" s="21"/>
      <c r="V759" s="22"/>
      <c r="W759" s="422"/>
      <c r="X759" s="422"/>
      <c r="Y759" s="423"/>
      <c r="Z759" s="21"/>
      <c r="AA759" s="22"/>
      <c r="AB759" s="422"/>
      <c r="AC759" s="422"/>
      <c r="AD759" s="423"/>
      <c r="AE759" s="21"/>
      <c r="AF759" s="22"/>
      <c r="AG759" s="422"/>
      <c r="AH759" s="422"/>
      <c r="AI759" s="126"/>
      <c r="AJ759" s="21"/>
      <c r="AK759" s="22"/>
      <c r="AL759" s="422"/>
      <c r="AM759" s="422"/>
      <c r="AN759" s="422" t="s">
        <v>430</v>
      </c>
      <c r="AO759" s="479">
        <v>43082</v>
      </c>
      <c r="AP759" s="422"/>
      <c r="AQ759" s="22" t="s">
        <v>5730</v>
      </c>
      <c r="AR759" s="422" t="s">
        <v>161</v>
      </c>
      <c r="AS759" s="423">
        <v>37073</v>
      </c>
      <c r="AT759" s="423">
        <v>39813</v>
      </c>
      <c r="AU759" s="422" t="s">
        <v>5731</v>
      </c>
      <c r="AV759" s="422"/>
      <c r="AW759" s="422" t="s">
        <v>92</v>
      </c>
      <c r="AX759" s="422" t="s">
        <v>265</v>
      </c>
      <c r="AY759" s="423">
        <v>41485</v>
      </c>
      <c r="AZ759" s="422" t="s">
        <v>5732</v>
      </c>
      <c r="BA759" s="423">
        <v>42266</v>
      </c>
      <c r="BB759" s="382">
        <v>42848</v>
      </c>
      <c r="BC759" s="422" t="s">
        <v>95</v>
      </c>
      <c r="BD759" s="422" t="s">
        <v>5690</v>
      </c>
      <c r="BE759" s="422"/>
      <c r="BF759" s="22" t="s">
        <v>5284</v>
      </c>
      <c r="BG759" s="22"/>
      <c r="BH759" s="22"/>
      <c r="BI759" s="22"/>
      <c r="BJ759" s="209">
        <f>+[280]MATRIZ!$J$55</f>
        <v>194161311.64092571</v>
      </c>
      <c r="BK759" s="28"/>
      <c r="BL759" s="29"/>
      <c r="BM759" s="423"/>
      <c r="BN759" s="21"/>
      <c r="BO759" s="461"/>
      <c r="BP759" s="399"/>
      <c r="BQ759" s="422"/>
      <c r="BR759" s="31"/>
      <c r="BS759" s="22"/>
      <c r="BT759" s="22"/>
      <c r="BU759" s="22"/>
      <c r="BV759" s="22"/>
      <c r="BW759" s="97"/>
      <c r="BX759" s="26"/>
      <c r="BY759" s="423"/>
      <c r="BZ759" s="134"/>
    </row>
    <row r="760" spans="1:555" ht="81">
      <c r="A760" s="57">
        <v>673</v>
      </c>
      <c r="B760" s="58" t="s">
        <v>5745</v>
      </c>
      <c r="C760" s="59">
        <v>16537639</v>
      </c>
      <c r="D760" s="170" t="s">
        <v>1153</v>
      </c>
      <c r="E760" s="60">
        <v>43104</v>
      </c>
      <c r="F760" s="61">
        <v>43101</v>
      </c>
      <c r="G760" s="62" t="s">
        <v>5746</v>
      </c>
      <c r="H760" s="58" t="s">
        <v>5</v>
      </c>
      <c r="I760" s="58" t="s">
        <v>5747</v>
      </c>
      <c r="J760" s="60">
        <v>43165</v>
      </c>
      <c r="K760" s="61">
        <v>43160</v>
      </c>
      <c r="L760" s="62" t="s">
        <v>5748</v>
      </c>
      <c r="M760" s="58" t="s">
        <v>5</v>
      </c>
      <c r="N760" s="58" t="s">
        <v>5749</v>
      </c>
      <c r="O760" s="60">
        <v>43026</v>
      </c>
      <c r="P760" s="63">
        <v>43026</v>
      </c>
      <c r="Q760" s="62" t="s">
        <v>5750</v>
      </c>
      <c r="R760" s="58" t="s">
        <v>576</v>
      </c>
      <c r="S760" s="58" t="s">
        <v>1491</v>
      </c>
      <c r="T760" s="64">
        <v>43564</v>
      </c>
      <c r="U760" s="61">
        <v>43564</v>
      </c>
      <c r="V760" s="62" t="s">
        <v>8586</v>
      </c>
      <c r="W760" s="58" t="s">
        <v>5</v>
      </c>
      <c r="X760" s="58" t="s">
        <v>85</v>
      </c>
      <c r="Y760" s="60"/>
      <c r="Z760" s="61"/>
      <c r="AA760" s="62"/>
      <c r="AB760" s="58"/>
      <c r="AC760" s="58"/>
      <c r="AD760" s="60"/>
      <c r="AE760" s="61"/>
      <c r="AF760" s="62"/>
      <c r="AG760" s="58"/>
      <c r="AH760" s="58"/>
      <c r="AI760" s="117"/>
      <c r="AJ760" s="61"/>
      <c r="AK760" s="62"/>
      <c r="AL760" s="58"/>
      <c r="AM760" s="58"/>
      <c r="AN760" s="58" t="s">
        <v>918</v>
      </c>
      <c r="AO760" s="479">
        <v>43104</v>
      </c>
      <c r="AP760" s="119" t="s">
        <v>2558</v>
      </c>
      <c r="AQ760" s="62" t="s">
        <v>5751</v>
      </c>
      <c r="AR760" s="58" t="s">
        <v>161</v>
      </c>
      <c r="AS760" s="60">
        <v>38504</v>
      </c>
      <c r="AT760" s="60">
        <v>40633</v>
      </c>
      <c r="AU760" s="58" t="s">
        <v>5752</v>
      </c>
      <c r="AV760" s="58"/>
      <c r="AW760" s="58" t="s">
        <v>92</v>
      </c>
      <c r="AX760" s="58" t="s">
        <v>5412</v>
      </c>
      <c r="AY760" s="60">
        <v>42290</v>
      </c>
      <c r="AZ760" s="58" t="s">
        <v>5541</v>
      </c>
      <c r="BA760" s="60">
        <v>42986</v>
      </c>
      <c r="BB760" s="382">
        <v>43000</v>
      </c>
      <c r="BC760" s="58" t="s">
        <v>95</v>
      </c>
      <c r="BD760" s="58" t="s">
        <v>566</v>
      </c>
      <c r="BE760" s="58"/>
      <c r="BF760" s="62" t="s">
        <v>5284</v>
      </c>
      <c r="BG760" s="62"/>
      <c r="BH760" s="62"/>
      <c r="BI760" s="62"/>
      <c r="BJ760" s="209">
        <f>+'[281]MATRIZ DE CONTRATOS '!$J$50</f>
        <v>197000367.1581625</v>
      </c>
      <c r="BK760" s="67"/>
      <c r="BL760" s="68"/>
      <c r="BM760" s="60"/>
      <c r="BN760" s="61"/>
      <c r="BO760" s="463"/>
      <c r="BP760" s="122"/>
      <c r="BQ760" s="58"/>
      <c r="BR760" s="70"/>
      <c r="BS760" s="62"/>
      <c r="BT760" s="62"/>
      <c r="BU760" s="62"/>
      <c r="BV760" s="62"/>
      <c r="BW760" s="71"/>
      <c r="BX760" s="66"/>
      <c r="BY760" s="60"/>
      <c r="BZ760" s="72"/>
    </row>
    <row r="761" spans="1:555" ht="81">
      <c r="A761" s="96">
        <v>674</v>
      </c>
      <c r="B761" s="141" t="s">
        <v>5753</v>
      </c>
      <c r="C761" s="419" t="s">
        <v>5754</v>
      </c>
      <c r="D761" s="439" t="s">
        <v>167</v>
      </c>
      <c r="E761" s="143">
        <v>43063</v>
      </c>
      <c r="F761" s="144">
        <v>43040</v>
      </c>
      <c r="G761" s="145" t="s">
        <v>5755</v>
      </c>
      <c r="H761" s="141" t="s">
        <v>625</v>
      </c>
      <c r="I761" s="141" t="s">
        <v>4254</v>
      </c>
      <c r="J761" s="147">
        <v>43280</v>
      </c>
      <c r="K761" s="144">
        <v>43252</v>
      </c>
      <c r="L761" s="157" t="s">
        <v>5756</v>
      </c>
      <c r="M761" s="151" t="s">
        <v>5</v>
      </c>
      <c r="N761" s="151" t="s">
        <v>79</v>
      </c>
      <c r="O761" s="143"/>
      <c r="P761" s="146"/>
      <c r="Q761" s="145"/>
      <c r="R761" s="141"/>
      <c r="S761" s="141"/>
      <c r="T761" s="143"/>
      <c r="U761" s="144"/>
      <c r="V761" s="145"/>
      <c r="W761" s="141"/>
      <c r="X761" s="141"/>
      <c r="Y761" s="143"/>
      <c r="Z761" s="144"/>
      <c r="AA761" s="145"/>
      <c r="AB761" s="141"/>
      <c r="AC761" s="141"/>
      <c r="AD761" s="143"/>
      <c r="AE761" s="144"/>
      <c r="AF761" s="145"/>
      <c r="AG761" s="141"/>
      <c r="AH761" s="141"/>
      <c r="AI761" s="148"/>
      <c r="AJ761" s="144"/>
      <c r="AK761" s="145"/>
      <c r="AL761" s="141"/>
      <c r="AM761" s="141"/>
      <c r="AN761" s="422" t="s">
        <v>430</v>
      </c>
      <c r="AO761" s="478" t="s">
        <v>7947</v>
      </c>
      <c r="AP761" s="422"/>
      <c r="AQ761" s="145" t="s">
        <v>5757</v>
      </c>
      <c r="AR761" s="141" t="s">
        <v>161</v>
      </c>
      <c r="AS761" s="143">
        <v>38351</v>
      </c>
      <c r="AT761" s="143">
        <v>39822</v>
      </c>
      <c r="AU761" s="141" t="s">
        <v>5758</v>
      </c>
      <c r="AV761" s="141"/>
      <c r="AW761" s="141" t="s">
        <v>69</v>
      </c>
      <c r="AX761" s="141" t="s">
        <v>5759</v>
      </c>
      <c r="AY761" s="143">
        <v>42409</v>
      </c>
      <c r="AZ761" s="141" t="s">
        <v>5760</v>
      </c>
      <c r="BA761" s="143">
        <v>43027</v>
      </c>
      <c r="BB761" s="382">
        <v>43067</v>
      </c>
      <c r="BC761" s="158" t="s">
        <v>95</v>
      </c>
      <c r="BD761" s="158" t="s">
        <v>566</v>
      </c>
      <c r="BE761" s="141"/>
      <c r="BF761" s="145" t="s">
        <v>5320</v>
      </c>
      <c r="BG761" s="145"/>
      <c r="BH761" s="145"/>
      <c r="BI761" s="145"/>
      <c r="BJ761" s="209">
        <f>+'[282]MATRIZ DE CONTRATOS '!$J$51</f>
        <v>0</v>
      </c>
      <c r="BK761" s="149"/>
      <c r="BL761" s="150"/>
      <c r="BM761" s="143"/>
      <c r="BN761" s="144"/>
      <c r="BO761" s="470"/>
      <c r="BP761" s="402"/>
      <c r="BQ761" s="141"/>
      <c r="BR761" s="151"/>
      <c r="BS761" s="145"/>
      <c r="BT761" s="145"/>
      <c r="BU761" s="145"/>
      <c r="BV761" s="145"/>
      <c r="BW761" s="152"/>
      <c r="BX761" s="153"/>
      <c r="BY761" s="143"/>
      <c r="BZ761" s="154"/>
    </row>
    <row r="762" spans="1:555" ht="94.5">
      <c r="A762" s="502">
        <v>675</v>
      </c>
      <c r="B762" s="686" t="s">
        <v>5761</v>
      </c>
      <c r="C762" s="687">
        <v>94426484</v>
      </c>
      <c r="D762" s="688" t="s">
        <v>1153</v>
      </c>
      <c r="E762" s="27">
        <v>43055</v>
      </c>
      <c r="F762" s="689">
        <v>43040</v>
      </c>
      <c r="G762" s="690" t="s">
        <v>5762</v>
      </c>
      <c r="H762" s="686" t="s">
        <v>576</v>
      </c>
      <c r="I762" s="686" t="s">
        <v>4254</v>
      </c>
      <c r="J762" s="27">
        <v>43214</v>
      </c>
      <c r="K762" s="689">
        <v>43191</v>
      </c>
      <c r="L762" s="690" t="s">
        <v>5763</v>
      </c>
      <c r="M762" s="686" t="s">
        <v>5</v>
      </c>
      <c r="N762" s="686" t="s">
        <v>570</v>
      </c>
      <c r="O762" s="27">
        <v>43425</v>
      </c>
      <c r="P762" s="691">
        <v>43425</v>
      </c>
      <c r="Q762" s="690" t="s">
        <v>7407</v>
      </c>
      <c r="R762" s="686" t="s">
        <v>195</v>
      </c>
      <c r="S762" s="686" t="s">
        <v>570</v>
      </c>
      <c r="T762" s="16">
        <v>43564</v>
      </c>
      <c r="U762" s="689">
        <v>43564</v>
      </c>
      <c r="V762" s="690" t="s">
        <v>8586</v>
      </c>
      <c r="W762" s="686" t="s">
        <v>5</v>
      </c>
      <c r="X762" s="686" t="s">
        <v>85</v>
      </c>
      <c r="Y762" s="27"/>
      <c r="Z762" s="689"/>
      <c r="AA762" s="690"/>
      <c r="AB762" s="686"/>
      <c r="AC762" s="686"/>
      <c r="AD762" s="27"/>
      <c r="AE762" s="689"/>
      <c r="AF762" s="690"/>
      <c r="AG762" s="686"/>
      <c r="AH762" s="686"/>
      <c r="AI762" s="704"/>
      <c r="AJ762" s="689"/>
      <c r="AK762" s="690"/>
      <c r="AL762" s="686"/>
      <c r="AM762" s="686"/>
      <c r="AN762" s="686" t="s">
        <v>5764</v>
      </c>
      <c r="AO762" s="694">
        <v>43214</v>
      </c>
      <c r="AP762" s="686" t="s">
        <v>2558</v>
      </c>
      <c r="AQ762" s="690" t="s">
        <v>5765</v>
      </c>
      <c r="AR762" s="686" t="s">
        <v>161</v>
      </c>
      <c r="AS762" s="27">
        <v>38412</v>
      </c>
      <c r="AT762" s="27">
        <v>40707</v>
      </c>
      <c r="AU762" s="686" t="s">
        <v>5766</v>
      </c>
      <c r="AV762" s="686"/>
      <c r="AW762" s="686" t="s">
        <v>92</v>
      </c>
      <c r="AX762" s="686" t="s">
        <v>4665</v>
      </c>
      <c r="AY762" s="27">
        <v>42290</v>
      </c>
      <c r="AZ762" s="686" t="s">
        <v>5541</v>
      </c>
      <c r="BA762" s="27">
        <v>43006</v>
      </c>
      <c r="BB762" s="27">
        <v>43031</v>
      </c>
      <c r="BC762" s="686" t="s">
        <v>95</v>
      </c>
      <c r="BD762" s="686" t="s">
        <v>566</v>
      </c>
      <c r="BE762" s="686"/>
      <c r="BF762" s="690" t="s">
        <v>5284</v>
      </c>
      <c r="BG762" s="690"/>
      <c r="BH762" s="690"/>
      <c r="BI762" s="690"/>
      <c r="BJ762" s="708">
        <f>+[283]MATRIZ!$J$50</f>
        <v>241339959.8587876</v>
      </c>
      <c r="BK762" s="696"/>
      <c r="BL762" s="697"/>
      <c r="BM762" s="27"/>
      <c r="BN762" s="689"/>
      <c r="BO762" s="699"/>
      <c r="BP762" s="700"/>
      <c r="BQ762" s="686"/>
      <c r="BR762" s="701"/>
      <c r="BS762" s="690"/>
      <c r="BT762" s="690"/>
      <c r="BU762" s="690"/>
      <c r="BV762" s="690"/>
      <c r="BW762" s="702"/>
      <c r="BX762" s="693"/>
      <c r="BY762" s="27"/>
      <c r="BZ762" s="703"/>
      <c r="CA762" s="259"/>
      <c r="CB762" s="259"/>
      <c r="CC762" s="259"/>
      <c r="CD762" s="259"/>
      <c r="CE762" s="259"/>
      <c r="CF762" s="259"/>
      <c r="CG762" s="259"/>
      <c r="CH762" s="259"/>
      <c r="CI762" s="259"/>
      <c r="CJ762" s="259"/>
      <c r="CK762" s="259"/>
      <c r="CL762" s="259"/>
      <c r="CM762" s="259"/>
      <c r="CN762" s="259"/>
      <c r="CO762" s="259"/>
      <c r="CP762" s="259"/>
      <c r="CQ762" s="259"/>
      <c r="CR762" s="259"/>
      <c r="CS762" s="259"/>
      <c r="CT762" s="259"/>
      <c r="CU762" s="259"/>
      <c r="CV762" s="259"/>
      <c r="CW762" s="259"/>
      <c r="CX762" s="259"/>
      <c r="CY762" s="259"/>
      <c r="CZ762" s="259"/>
      <c r="DA762" s="259"/>
      <c r="DB762" s="259"/>
      <c r="DC762" s="259"/>
      <c r="DD762" s="259"/>
      <c r="DE762" s="259"/>
      <c r="DF762" s="259"/>
      <c r="DG762" s="259"/>
      <c r="DH762" s="259"/>
      <c r="DI762" s="259"/>
      <c r="DJ762" s="259"/>
      <c r="DK762" s="259"/>
      <c r="DL762" s="259"/>
      <c r="DM762" s="259"/>
      <c r="DN762" s="259"/>
      <c r="DO762" s="259"/>
      <c r="DP762" s="259"/>
      <c r="DQ762" s="259"/>
      <c r="DR762" s="259"/>
      <c r="DS762" s="259"/>
      <c r="DT762" s="259"/>
      <c r="DU762" s="259"/>
      <c r="DV762" s="259"/>
      <c r="DW762" s="259"/>
      <c r="DX762" s="259"/>
      <c r="DY762" s="259"/>
      <c r="DZ762" s="259"/>
      <c r="EA762" s="259"/>
      <c r="EB762" s="259"/>
      <c r="EC762" s="259"/>
      <c r="ED762" s="259"/>
      <c r="EE762" s="259"/>
      <c r="EF762" s="259"/>
      <c r="EG762" s="259"/>
      <c r="EH762" s="259"/>
      <c r="EI762" s="259"/>
      <c r="EJ762" s="259"/>
      <c r="EK762" s="259"/>
      <c r="EL762" s="259"/>
      <c r="EM762" s="259"/>
      <c r="EN762" s="259"/>
      <c r="EO762" s="259"/>
      <c r="EP762" s="259"/>
      <c r="EQ762" s="259"/>
      <c r="ER762" s="259"/>
      <c r="ES762" s="259"/>
      <c r="ET762" s="259"/>
      <c r="EU762" s="259"/>
      <c r="EV762" s="259"/>
      <c r="EW762" s="259"/>
      <c r="EX762" s="259"/>
      <c r="EY762" s="259"/>
      <c r="EZ762" s="259"/>
      <c r="FA762" s="259"/>
      <c r="FB762" s="259"/>
      <c r="FC762" s="259"/>
      <c r="FD762" s="259"/>
      <c r="FE762" s="259"/>
      <c r="FF762" s="259"/>
      <c r="FG762" s="259"/>
      <c r="FH762" s="259"/>
      <c r="FI762" s="259"/>
      <c r="FJ762" s="259"/>
      <c r="FK762" s="259"/>
      <c r="FL762" s="259"/>
      <c r="FM762" s="259"/>
      <c r="FN762" s="259"/>
      <c r="FO762" s="259"/>
      <c r="FP762" s="259"/>
      <c r="FQ762" s="259"/>
      <c r="FR762" s="259"/>
      <c r="FS762" s="259"/>
      <c r="FT762" s="259"/>
      <c r="FU762" s="259"/>
      <c r="FV762" s="259"/>
      <c r="FW762" s="259"/>
      <c r="FX762" s="259"/>
      <c r="FY762" s="259"/>
      <c r="FZ762" s="259"/>
      <c r="GA762" s="259"/>
      <c r="GB762" s="259"/>
      <c r="GC762" s="259"/>
      <c r="GD762" s="259"/>
      <c r="GE762" s="259"/>
      <c r="GF762" s="259"/>
      <c r="GG762" s="259"/>
      <c r="GH762" s="259"/>
      <c r="GI762" s="259"/>
      <c r="GJ762" s="259"/>
      <c r="GK762" s="259"/>
      <c r="GL762" s="259"/>
      <c r="GM762" s="259"/>
      <c r="GN762" s="259"/>
      <c r="GO762" s="259"/>
      <c r="GP762" s="259"/>
      <c r="GQ762" s="259"/>
      <c r="GR762" s="259"/>
      <c r="GS762" s="259"/>
      <c r="GT762" s="259"/>
      <c r="GU762" s="259"/>
      <c r="GV762" s="259"/>
      <c r="GW762" s="259"/>
      <c r="GX762" s="259"/>
      <c r="GY762" s="259"/>
      <c r="GZ762" s="259"/>
      <c r="HA762" s="259"/>
      <c r="HB762" s="259"/>
      <c r="HC762" s="259"/>
      <c r="HD762" s="259"/>
      <c r="HE762" s="259"/>
      <c r="HF762" s="259"/>
      <c r="HG762" s="259"/>
      <c r="HH762" s="259"/>
      <c r="HI762" s="259"/>
      <c r="HJ762" s="259"/>
      <c r="HK762" s="259"/>
      <c r="HL762" s="259"/>
      <c r="HM762" s="259"/>
      <c r="HN762" s="259"/>
      <c r="HO762" s="259"/>
      <c r="HP762" s="259"/>
      <c r="HQ762" s="259"/>
      <c r="HR762" s="259"/>
      <c r="HS762" s="259"/>
      <c r="HT762" s="259"/>
      <c r="HU762" s="259"/>
      <c r="HV762" s="259"/>
      <c r="HW762" s="259"/>
      <c r="HX762" s="259"/>
      <c r="HY762" s="259"/>
      <c r="HZ762" s="259"/>
      <c r="IA762" s="259"/>
      <c r="IB762" s="259"/>
      <c r="IC762" s="259"/>
      <c r="ID762" s="259"/>
      <c r="IE762" s="259"/>
      <c r="IF762" s="259"/>
      <c r="IG762" s="259"/>
      <c r="IH762" s="259"/>
      <c r="II762" s="259"/>
      <c r="IJ762" s="259"/>
      <c r="IK762" s="259"/>
      <c r="IL762" s="259"/>
      <c r="IM762" s="259"/>
      <c r="IN762" s="259"/>
      <c r="IO762" s="259"/>
      <c r="IP762" s="259"/>
      <c r="IQ762" s="259"/>
      <c r="IR762" s="259"/>
      <c r="IS762" s="259"/>
      <c r="IT762" s="259"/>
      <c r="IU762" s="259"/>
      <c r="IV762" s="259"/>
      <c r="IW762" s="259"/>
      <c r="IX762" s="259"/>
      <c r="IY762" s="259"/>
      <c r="IZ762" s="259"/>
      <c r="JA762" s="259"/>
      <c r="JB762" s="259"/>
      <c r="JC762" s="259"/>
      <c r="JD762" s="259"/>
      <c r="JE762" s="259"/>
      <c r="JF762" s="259"/>
      <c r="JG762" s="259"/>
      <c r="JH762" s="259"/>
      <c r="JI762" s="259"/>
      <c r="JJ762" s="259"/>
      <c r="JK762" s="259"/>
      <c r="JL762" s="259"/>
      <c r="JM762" s="259"/>
      <c r="JN762" s="259"/>
      <c r="JO762" s="259"/>
      <c r="JP762" s="259"/>
      <c r="JQ762" s="259"/>
      <c r="JR762" s="259"/>
      <c r="JS762" s="259"/>
      <c r="JT762" s="259"/>
      <c r="JU762" s="259"/>
      <c r="JV762" s="259"/>
      <c r="JW762" s="259"/>
      <c r="JX762" s="259"/>
      <c r="JY762" s="259"/>
      <c r="JZ762" s="259"/>
      <c r="KA762" s="259"/>
      <c r="KB762" s="259"/>
      <c r="KC762" s="259"/>
      <c r="KD762" s="259"/>
      <c r="KE762" s="259"/>
      <c r="KF762" s="259"/>
      <c r="KG762" s="259"/>
      <c r="KH762" s="259"/>
      <c r="KI762" s="259"/>
      <c r="KJ762" s="259"/>
      <c r="KK762" s="259"/>
      <c r="KL762" s="259"/>
      <c r="KM762" s="259"/>
      <c r="KN762" s="259"/>
      <c r="KO762" s="259"/>
      <c r="KP762" s="259"/>
      <c r="KQ762" s="259"/>
      <c r="KR762" s="259"/>
      <c r="KS762" s="259"/>
      <c r="KT762" s="259"/>
      <c r="KU762" s="259"/>
      <c r="KV762" s="259"/>
      <c r="KW762" s="259"/>
      <c r="KX762" s="259"/>
      <c r="KY762" s="259"/>
      <c r="KZ762" s="259"/>
      <c r="LA762" s="259"/>
      <c r="LB762" s="259"/>
      <c r="LC762" s="259"/>
      <c r="LD762" s="259"/>
      <c r="LE762" s="259"/>
      <c r="LF762" s="259"/>
      <c r="LG762" s="259"/>
      <c r="LH762" s="259"/>
      <c r="LI762" s="259"/>
      <c r="LJ762" s="259"/>
      <c r="LK762" s="259"/>
      <c r="LL762" s="259"/>
      <c r="LM762" s="259"/>
      <c r="LN762" s="259"/>
      <c r="LO762" s="259"/>
      <c r="LP762" s="259"/>
      <c r="LQ762" s="259"/>
      <c r="LR762" s="259"/>
      <c r="LS762" s="259"/>
      <c r="LT762" s="259"/>
      <c r="LU762" s="259"/>
      <c r="LV762" s="259"/>
      <c r="LW762" s="259"/>
      <c r="LX762" s="259"/>
      <c r="LY762" s="259"/>
      <c r="LZ762" s="259"/>
      <c r="MA762" s="259"/>
      <c r="MB762" s="259"/>
      <c r="MC762" s="259"/>
      <c r="MD762" s="259"/>
      <c r="ME762" s="259"/>
      <c r="MF762" s="259"/>
      <c r="MG762" s="259"/>
      <c r="MH762" s="259"/>
      <c r="MI762" s="259"/>
      <c r="MJ762" s="259"/>
      <c r="MK762" s="259"/>
      <c r="ML762" s="259"/>
      <c r="MM762" s="259"/>
      <c r="MN762" s="259"/>
      <c r="MO762" s="259"/>
      <c r="MP762" s="259"/>
      <c r="MQ762" s="259"/>
      <c r="MR762" s="259"/>
      <c r="MS762" s="259"/>
      <c r="MT762" s="259"/>
      <c r="MU762" s="259"/>
      <c r="MV762" s="259"/>
      <c r="MW762" s="259"/>
      <c r="MX762" s="259"/>
      <c r="MY762" s="259"/>
      <c r="MZ762" s="259"/>
      <c r="NA762" s="259"/>
      <c r="NB762" s="259"/>
      <c r="NC762" s="259"/>
      <c r="ND762" s="259"/>
      <c r="NE762" s="259"/>
      <c r="NF762" s="259"/>
      <c r="NG762" s="259"/>
      <c r="NH762" s="259"/>
      <c r="NI762" s="259"/>
      <c r="NJ762" s="259"/>
      <c r="NK762" s="259"/>
      <c r="NL762" s="259"/>
      <c r="NM762" s="259"/>
      <c r="NN762" s="259"/>
      <c r="NO762" s="259"/>
      <c r="NP762" s="259"/>
      <c r="NQ762" s="259"/>
      <c r="NR762" s="259"/>
      <c r="NS762" s="259"/>
      <c r="NT762" s="259"/>
      <c r="NU762" s="259"/>
      <c r="NV762" s="259"/>
      <c r="NW762" s="259"/>
      <c r="NX762" s="259"/>
      <c r="NY762" s="259"/>
      <c r="NZ762" s="259"/>
      <c r="OA762" s="259"/>
      <c r="OB762" s="259"/>
      <c r="OC762" s="259"/>
      <c r="OD762" s="259"/>
      <c r="OE762" s="259"/>
      <c r="OF762" s="259"/>
      <c r="OG762" s="259"/>
      <c r="OH762" s="259"/>
      <c r="OI762" s="259"/>
      <c r="OJ762" s="259"/>
      <c r="OK762" s="259"/>
      <c r="OL762" s="259"/>
      <c r="OM762" s="259"/>
      <c r="ON762" s="259"/>
      <c r="OO762" s="259"/>
      <c r="OP762" s="259"/>
      <c r="OQ762" s="259"/>
      <c r="OR762" s="259"/>
      <c r="OS762" s="259"/>
      <c r="OT762" s="259"/>
      <c r="OU762" s="259"/>
      <c r="OV762" s="259"/>
      <c r="OW762" s="259"/>
      <c r="OX762" s="259"/>
      <c r="OY762" s="259"/>
      <c r="OZ762" s="259"/>
      <c r="PA762" s="259"/>
      <c r="PB762" s="259"/>
      <c r="PC762" s="259"/>
      <c r="PD762" s="259"/>
      <c r="PE762" s="259"/>
      <c r="PF762" s="259"/>
      <c r="PG762" s="259"/>
      <c r="PH762" s="259"/>
      <c r="PI762" s="259"/>
      <c r="PJ762" s="259"/>
      <c r="PK762" s="259"/>
      <c r="PL762" s="259"/>
      <c r="PM762" s="259"/>
      <c r="PN762" s="259"/>
      <c r="PO762" s="259"/>
      <c r="PP762" s="259"/>
      <c r="PQ762" s="259"/>
      <c r="PR762" s="259"/>
      <c r="PS762" s="259"/>
      <c r="PT762" s="259"/>
      <c r="PU762" s="259"/>
      <c r="PV762" s="259"/>
      <c r="PW762" s="259"/>
      <c r="PX762" s="259"/>
      <c r="PY762" s="259"/>
      <c r="PZ762" s="259"/>
      <c r="QA762" s="259"/>
      <c r="QB762" s="259"/>
      <c r="QC762" s="259"/>
      <c r="QD762" s="259"/>
      <c r="QE762" s="259"/>
      <c r="QF762" s="259"/>
      <c r="QG762" s="259"/>
      <c r="QH762" s="259"/>
      <c r="QI762" s="259"/>
      <c r="QJ762" s="259"/>
      <c r="QK762" s="259"/>
      <c r="QL762" s="259"/>
      <c r="QM762" s="259"/>
      <c r="QN762" s="259"/>
      <c r="QO762" s="259"/>
      <c r="QP762" s="259"/>
      <c r="QQ762" s="259"/>
      <c r="QR762" s="259"/>
      <c r="QS762" s="259"/>
      <c r="QT762" s="259"/>
      <c r="QU762" s="259"/>
      <c r="QV762" s="259"/>
      <c r="QW762" s="259"/>
      <c r="QX762" s="259"/>
      <c r="QY762" s="259"/>
      <c r="QZ762" s="259"/>
      <c r="RA762" s="259"/>
      <c r="RB762" s="259"/>
      <c r="RC762" s="259"/>
      <c r="RD762" s="259"/>
      <c r="RE762" s="259"/>
      <c r="RF762" s="259"/>
      <c r="RG762" s="259"/>
      <c r="RH762" s="259"/>
      <c r="RI762" s="259"/>
      <c r="RJ762" s="259"/>
      <c r="RK762" s="259"/>
      <c r="RL762" s="259"/>
      <c r="RM762" s="259"/>
      <c r="RN762" s="259"/>
      <c r="RO762" s="259"/>
      <c r="RP762" s="259"/>
      <c r="RQ762" s="259"/>
      <c r="RR762" s="259"/>
      <c r="RS762" s="259"/>
      <c r="RT762" s="259"/>
      <c r="RU762" s="259"/>
      <c r="RV762" s="259"/>
      <c r="RW762" s="259"/>
      <c r="RX762" s="259"/>
      <c r="RY762" s="259"/>
      <c r="RZ762" s="259"/>
      <c r="SA762" s="259"/>
      <c r="SB762" s="259"/>
      <c r="SC762" s="259"/>
      <c r="SD762" s="259"/>
      <c r="SE762" s="259"/>
      <c r="SF762" s="259"/>
      <c r="SG762" s="259"/>
      <c r="SH762" s="259"/>
      <c r="SI762" s="259"/>
      <c r="SJ762" s="259"/>
      <c r="SK762" s="259"/>
      <c r="SL762" s="259"/>
      <c r="SM762" s="259"/>
      <c r="SN762" s="259"/>
      <c r="SO762" s="259"/>
      <c r="SP762" s="259"/>
      <c r="SQ762" s="259"/>
      <c r="SR762" s="259"/>
      <c r="SS762" s="259"/>
      <c r="ST762" s="259"/>
      <c r="SU762" s="259"/>
      <c r="SV762" s="259"/>
      <c r="SW762" s="259"/>
      <c r="SX762" s="259"/>
      <c r="SY762" s="259"/>
      <c r="SZ762" s="259"/>
      <c r="TA762" s="259"/>
      <c r="TB762" s="259"/>
      <c r="TC762" s="259"/>
      <c r="TD762" s="259"/>
      <c r="TE762" s="259"/>
      <c r="TF762" s="259"/>
      <c r="TG762" s="259"/>
      <c r="TH762" s="259"/>
      <c r="TI762" s="259"/>
      <c r="TJ762" s="259"/>
      <c r="TK762" s="259"/>
      <c r="TL762" s="259"/>
      <c r="TM762" s="259"/>
      <c r="TN762" s="259"/>
      <c r="TO762" s="259"/>
      <c r="TP762" s="259"/>
      <c r="TQ762" s="259"/>
      <c r="TR762" s="259"/>
      <c r="TS762" s="259"/>
      <c r="TT762" s="259"/>
      <c r="TU762" s="259"/>
      <c r="TV762" s="259"/>
      <c r="TW762" s="259"/>
      <c r="TX762" s="259"/>
      <c r="TY762" s="259"/>
      <c r="TZ762" s="259"/>
      <c r="UA762" s="259"/>
      <c r="UB762" s="259"/>
      <c r="UC762" s="259"/>
      <c r="UD762" s="259"/>
      <c r="UE762" s="259"/>
      <c r="UF762" s="259"/>
      <c r="UG762" s="259"/>
      <c r="UH762" s="259"/>
      <c r="UI762" s="259"/>
    </row>
    <row r="763" spans="1:555" ht="108">
      <c r="A763" s="502">
        <v>676</v>
      </c>
      <c r="B763" s="686" t="s">
        <v>5767</v>
      </c>
      <c r="C763" s="687">
        <v>72259738</v>
      </c>
      <c r="D763" s="688" t="s">
        <v>906</v>
      </c>
      <c r="E763" s="27">
        <v>43046</v>
      </c>
      <c r="F763" s="689">
        <v>43040</v>
      </c>
      <c r="G763" s="690" t="s">
        <v>5768</v>
      </c>
      <c r="H763" s="686" t="s">
        <v>625</v>
      </c>
      <c r="I763" s="686" t="s">
        <v>4254</v>
      </c>
      <c r="J763" s="27">
        <v>41928</v>
      </c>
      <c r="K763" s="689">
        <v>41913</v>
      </c>
      <c r="L763" s="690" t="s">
        <v>5769</v>
      </c>
      <c r="M763" s="686" t="s">
        <v>171</v>
      </c>
      <c r="N763" s="686" t="s">
        <v>5770</v>
      </c>
      <c r="O763" s="27">
        <v>42608</v>
      </c>
      <c r="P763" s="691">
        <v>42583</v>
      </c>
      <c r="Q763" s="690" t="s">
        <v>5771</v>
      </c>
      <c r="R763" s="686" t="s">
        <v>171</v>
      </c>
      <c r="S763" s="686" t="s">
        <v>777</v>
      </c>
      <c r="T763" s="27">
        <v>42632</v>
      </c>
      <c r="U763" s="689">
        <v>42614</v>
      </c>
      <c r="V763" s="690" t="s">
        <v>5772</v>
      </c>
      <c r="W763" s="686" t="s">
        <v>625</v>
      </c>
      <c r="X763" s="686" t="s">
        <v>777</v>
      </c>
      <c r="Y763" s="27">
        <v>42654</v>
      </c>
      <c r="Z763" s="689">
        <v>42644</v>
      </c>
      <c r="AA763" s="690" t="s">
        <v>5773</v>
      </c>
      <c r="AB763" s="686" t="s">
        <v>625</v>
      </c>
      <c r="AC763" s="686" t="s">
        <v>5774</v>
      </c>
      <c r="AD763" s="27" t="s">
        <v>5775</v>
      </c>
      <c r="AE763" s="689" t="s">
        <v>5776</v>
      </c>
      <c r="AF763" s="690" t="s">
        <v>5777</v>
      </c>
      <c r="AG763" s="686" t="s">
        <v>5778</v>
      </c>
      <c r="AH763" s="686" t="s">
        <v>5779</v>
      </c>
      <c r="AI763" s="27">
        <v>44077</v>
      </c>
      <c r="AJ763" s="689">
        <v>44077</v>
      </c>
      <c r="AK763" s="690" t="s">
        <v>9618</v>
      </c>
      <c r="AL763" s="686" t="s">
        <v>286</v>
      </c>
      <c r="AM763" s="686" t="s">
        <v>6267</v>
      </c>
      <c r="AN763" s="686" t="s">
        <v>4331</v>
      </c>
      <c r="AO763" s="705" t="s">
        <v>7947</v>
      </c>
      <c r="AP763" s="686" t="s">
        <v>2558</v>
      </c>
      <c r="AQ763" s="690" t="s">
        <v>5780</v>
      </c>
      <c r="AR763" s="686" t="s">
        <v>161</v>
      </c>
      <c r="AS763" s="27">
        <v>37187</v>
      </c>
      <c r="AT763" s="27">
        <v>40908</v>
      </c>
      <c r="AU763" s="686" t="s">
        <v>4499</v>
      </c>
      <c r="AV763" s="686"/>
      <c r="AW763" s="686" t="s">
        <v>69</v>
      </c>
      <c r="AX763" s="686" t="s">
        <v>5781</v>
      </c>
      <c r="AY763" s="27">
        <v>42573</v>
      </c>
      <c r="AZ763" s="686" t="s">
        <v>5536</v>
      </c>
      <c r="BA763" s="27">
        <v>42999</v>
      </c>
      <c r="BB763" s="27">
        <v>43004</v>
      </c>
      <c r="BC763" s="701" t="s">
        <v>912</v>
      </c>
      <c r="BD763" s="701" t="s">
        <v>566</v>
      </c>
      <c r="BE763" s="686"/>
      <c r="BF763" s="690"/>
      <c r="BG763" s="690"/>
      <c r="BH763" s="690"/>
      <c r="BI763" s="690"/>
      <c r="BJ763" s="708">
        <f>+[284]MATRIZ!$J$72</f>
        <v>0</v>
      </c>
      <c r="BK763" s="696"/>
      <c r="BL763" s="697"/>
      <c r="BM763" s="27"/>
      <c r="BN763" s="689"/>
      <c r="BO763" s="699"/>
      <c r="BP763" s="700"/>
      <c r="BQ763" s="686"/>
      <c r="BR763" s="701"/>
      <c r="BS763" s="690"/>
      <c r="BT763" s="690"/>
      <c r="BU763" s="690"/>
      <c r="BV763" s="690"/>
      <c r="BW763" s="702"/>
      <c r="BX763" s="693"/>
      <c r="BY763" s="27"/>
      <c r="BZ763" s="703"/>
      <c r="CA763" s="259"/>
      <c r="CB763" s="259"/>
      <c r="CC763" s="259"/>
      <c r="CD763" s="259"/>
      <c r="CE763" s="259"/>
      <c r="CF763" s="259"/>
      <c r="CG763" s="259"/>
      <c r="CH763" s="259"/>
      <c r="CI763" s="259"/>
      <c r="CJ763" s="259"/>
      <c r="CK763" s="259"/>
      <c r="CL763" s="259"/>
      <c r="CM763" s="259"/>
      <c r="CN763" s="259"/>
      <c r="CO763" s="259"/>
      <c r="CP763" s="259"/>
      <c r="CQ763" s="259"/>
      <c r="CR763" s="259"/>
      <c r="CS763" s="259"/>
      <c r="CT763" s="259"/>
      <c r="CU763" s="259"/>
      <c r="CV763" s="259"/>
      <c r="CW763" s="259"/>
      <c r="CX763" s="259"/>
      <c r="CY763" s="259"/>
      <c r="CZ763" s="259"/>
      <c r="DA763" s="259"/>
      <c r="DB763" s="259"/>
      <c r="DC763" s="259"/>
      <c r="DD763" s="259"/>
      <c r="DE763" s="259"/>
      <c r="DF763" s="259"/>
      <c r="DG763" s="259"/>
      <c r="DH763" s="259"/>
      <c r="DI763" s="259"/>
      <c r="DJ763" s="259"/>
      <c r="DK763" s="259"/>
      <c r="DL763" s="259"/>
      <c r="DM763" s="259"/>
      <c r="DN763" s="259"/>
      <c r="DO763" s="259"/>
      <c r="DP763" s="259"/>
      <c r="DQ763" s="259"/>
      <c r="DR763" s="259"/>
      <c r="DS763" s="259"/>
      <c r="DT763" s="259"/>
      <c r="DU763" s="259"/>
      <c r="DV763" s="259"/>
      <c r="DW763" s="259"/>
      <c r="DX763" s="259"/>
      <c r="DY763" s="259"/>
      <c r="DZ763" s="259"/>
      <c r="EA763" s="259"/>
      <c r="EB763" s="259"/>
      <c r="EC763" s="259"/>
      <c r="ED763" s="259"/>
      <c r="EE763" s="259"/>
      <c r="EF763" s="259"/>
      <c r="EG763" s="259"/>
      <c r="EH763" s="259"/>
      <c r="EI763" s="259"/>
      <c r="EJ763" s="259"/>
      <c r="EK763" s="259"/>
      <c r="EL763" s="259"/>
      <c r="EM763" s="259"/>
      <c r="EN763" s="259"/>
      <c r="EO763" s="259"/>
      <c r="EP763" s="259"/>
      <c r="EQ763" s="259"/>
      <c r="ER763" s="259"/>
      <c r="ES763" s="259"/>
      <c r="ET763" s="259"/>
      <c r="EU763" s="259"/>
      <c r="EV763" s="259"/>
      <c r="EW763" s="259"/>
      <c r="EX763" s="259"/>
      <c r="EY763" s="259"/>
      <c r="EZ763" s="259"/>
      <c r="FA763" s="259"/>
      <c r="FB763" s="259"/>
      <c r="FC763" s="259"/>
      <c r="FD763" s="259"/>
      <c r="FE763" s="259"/>
      <c r="FF763" s="259"/>
      <c r="FG763" s="259"/>
      <c r="FH763" s="259"/>
      <c r="FI763" s="259"/>
      <c r="FJ763" s="259"/>
      <c r="FK763" s="259"/>
      <c r="FL763" s="259"/>
      <c r="FM763" s="259"/>
      <c r="FN763" s="259"/>
      <c r="FO763" s="259"/>
      <c r="FP763" s="259"/>
      <c r="FQ763" s="259"/>
      <c r="FR763" s="259"/>
      <c r="FS763" s="259"/>
      <c r="FT763" s="259"/>
      <c r="FU763" s="259"/>
      <c r="FV763" s="259"/>
      <c r="FW763" s="259"/>
      <c r="FX763" s="259"/>
      <c r="FY763" s="259"/>
      <c r="FZ763" s="259"/>
      <c r="GA763" s="259"/>
      <c r="GB763" s="259"/>
      <c r="GC763" s="259"/>
      <c r="GD763" s="259"/>
      <c r="GE763" s="259"/>
      <c r="GF763" s="259"/>
      <c r="GG763" s="259"/>
      <c r="GH763" s="259"/>
      <c r="GI763" s="259"/>
      <c r="GJ763" s="259"/>
      <c r="GK763" s="259"/>
      <c r="GL763" s="259"/>
      <c r="GM763" s="259"/>
      <c r="GN763" s="259"/>
      <c r="GO763" s="259"/>
      <c r="GP763" s="259"/>
      <c r="GQ763" s="259"/>
      <c r="GR763" s="259"/>
      <c r="GS763" s="259"/>
      <c r="GT763" s="259"/>
      <c r="GU763" s="259"/>
      <c r="GV763" s="259"/>
      <c r="GW763" s="259"/>
      <c r="GX763" s="259"/>
      <c r="GY763" s="259"/>
      <c r="GZ763" s="259"/>
      <c r="HA763" s="259"/>
      <c r="HB763" s="259"/>
      <c r="HC763" s="259"/>
      <c r="HD763" s="259"/>
      <c r="HE763" s="259"/>
      <c r="HF763" s="259"/>
      <c r="HG763" s="259"/>
      <c r="HH763" s="259"/>
      <c r="HI763" s="259"/>
      <c r="HJ763" s="259"/>
      <c r="HK763" s="259"/>
      <c r="HL763" s="259"/>
      <c r="HM763" s="259"/>
      <c r="HN763" s="259"/>
      <c r="HO763" s="259"/>
      <c r="HP763" s="259"/>
      <c r="HQ763" s="259"/>
      <c r="HR763" s="259"/>
      <c r="HS763" s="259"/>
      <c r="HT763" s="259"/>
      <c r="HU763" s="259"/>
      <c r="HV763" s="259"/>
      <c r="HW763" s="259"/>
      <c r="HX763" s="259"/>
      <c r="HY763" s="259"/>
      <c r="HZ763" s="259"/>
      <c r="IA763" s="259"/>
      <c r="IB763" s="259"/>
      <c r="IC763" s="259"/>
      <c r="ID763" s="259"/>
      <c r="IE763" s="259"/>
      <c r="IF763" s="259"/>
      <c r="IG763" s="259"/>
      <c r="IH763" s="259"/>
      <c r="II763" s="259"/>
      <c r="IJ763" s="259"/>
      <c r="IK763" s="259"/>
      <c r="IL763" s="259"/>
      <c r="IM763" s="259"/>
      <c r="IN763" s="259"/>
      <c r="IO763" s="259"/>
      <c r="IP763" s="259"/>
      <c r="IQ763" s="259"/>
      <c r="IR763" s="259"/>
      <c r="IS763" s="259"/>
      <c r="IT763" s="259"/>
      <c r="IU763" s="259"/>
      <c r="IV763" s="259"/>
      <c r="IW763" s="259"/>
      <c r="IX763" s="259"/>
      <c r="IY763" s="259"/>
      <c r="IZ763" s="259"/>
      <c r="JA763" s="259"/>
      <c r="JB763" s="259"/>
      <c r="JC763" s="259"/>
      <c r="JD763" s="259"/>
      <c r="JE763" s="259"/>
      <c r="JF763" s="259"/>
      <c r="JG763" s="259"/>
      <c r="JH763" s="259"/>
      <c r="JI763" s="259"/>
      <c r="JJ763" s="259"/>
      <c r="JK763" s="259"/>
      <c r="JL763" s="259"/>
      <c r="JM763" s="259"/>
      <c r="JN763" s="259"/>
      <c r="JO763" s="259"/>
      <c r="JP763" s="259"/>
      <c r="JQ763" s="259"/>
      <c r="JR763" s="259"/>
      <c r="JS763" s="259"/>
      <c r="JT763" s="259"/>
      <c r="JU763" s="259"/>
      <c r="JV763" s="259"/>
      <c r="JW763" s="259"/>
      <c r="JX763" s="259"/>
      <c r="JY763" s="259"/>
      <c r="JZ763" s="259"/>
      <c r="KA763" s="259"/>
      <c r="KB763" s="259"/>
      <c r="KC763" s="259"/>
      <c r="KD763" s="259"/>
      <c r="KE763" s="259"/>
      <c r="KF763" s="259"/>
      <c r="KG763" s="259"/>
      <c r="KH763" s="259"/>
      <c r="KI763" s="259"/>
      <c r="KJ763" s="259"/>
      <c r="KK763" s="259"/>
      <c r="KL763" s="259"/>
      <c r="KM763" s="259"/>
      <c r="KN763" s="259"/>
      <c r="KO763" s="259"/>
      <c r="KP763" s="259"/>
      <c r="KQ763" s="259"/>
      <c r="KR763" s="259"/>
      <c r="KS763" s="259"/>
      <c r="KT763" s="259"/>
      <c r="KU763" s="259"/>
      <c r="KV763" s="259"/>
      <c r="KW763" s="259"/>
      <c r="KX763" s="259"/>
      <c r="KY763" s="259"/>
      <c r="KZ763" s="259"/>
      <c r="LA763" s="259"/>
      <c r="LB763" s="259"/>
      <c r="LC763" s="259"/>
      <c r="LD763" s="259"/>
      <c r="LE763" s="259"/>
      <c r="LF763" s="259"/>
      <c r="LG763" s="259"/>
      <c r="LH763" s="259"/>
      <c r="LI763" s="259"/>
      <c r="LJ763" s="259"/>
      <c r="LK763" s="259"/>
      <c r="LL763" s="259"/>
      <c r="LM763" s="259"/>
      <c r="LN763" s="259"/>
      <c r="LO763" s="259"/>
      <c r="LP763" s="259"/>
      <c r="LQ763" s="259"/>
      <c r="LR763" s="259"/>
      <c r="LS763" s="259"/>
      <c r="LT763" s="259"/>
      <c r="LU763" s="259"/>
      <c r="LV763" s="259"/>
      <c r="LW763" s="259"/>
      <c r="LX763" s="259"/>
      <c r="LY763" s="259"/>
      <c r="LZ763" s="259"/>
      <c r="MA763" s="259"/>
      <c r="MB763" s="259"/>
      <c r="MC763" s="259"/>
      <c r="MD763" s="259"/>
      <c r="ME763" s="259"/>
      <c r="MF763" s="259"/>
      <c r="MG763" s="259"/>
      <c r="MH763" s="259"/>
      <c r="MI763" s="259"/>
      <c r="MJ763" s="259"/>
      <c r="MK763" s="259"/>
      <c r="ML763" s="259"/>
      <c r="MM763" s="259"/>
      <c r="MN763" s="259"/>
      <c r="MO763" s="259"/>
      <c r="MP763" s="259"/>
      <c r="MQ763" s="259"/>
      <c r="MR763" s="259"/>
      <c r="MS763" s="259"/>
      <c r="MT763" s="259"/>
      <c r="MU763" s="259"/>
      <c r="MV763" s="259"/>
      <c r="MW763" s="259"/>
      <c r="MX763" s="259"/>
      <c r="MY763" s="259"/>
      <c r="MZ763" s="259"/>
      <c r="NA763" s="259"/>
      <c r="NB763" s="259"/>
      <c r="NC763" s="259"/>
      <c r="ND763" s="259"/>
      <c r="NE763" s="259"/>
      <c r="NF763" s="259"/>
      <c r="NG763" s="259"/>
      <c r="NH763" s="259"/>
      <c r="NI763" s="259"/>
      <c r="NJ763" s="259"/>
      <c r="NK763" s="259"/>
      <c r="NL763" s="259"/>
      <c r="NM763" s="259"/>
      <c r="NN763" s="259"/>
      <c r="NO763" s="259"/>
      <c r="NP763" s="259"/>
      <c r="NQ763" s="259"/>
      <c r="NR763" s="259"/>
      <c r="NS763" s="259"/>
      <c r="NT763" s="259"/>
      <c r="NU763" s="259"/>
      <c r="NV763" s="259"/>
      <c r="NW763" s="259"/>
      <c r="NX763" s="259"/>
      <c r="NY763" s="259"/>
      <c r="NZ763" s="259"/>
      <c r="OA763" s="259"/>
      <c r="OB763" s="259"/>
      <c r="OC763" s="259"/>
      <c r="OD763" s="259"/>
      <c r="OE763" s="259"/>
      <c r="OF763" s="259"/>
      <c r="OG763" s="259"/>
      <c r="OH763" s="259"/>
      <c r="OI763" s="259"/>
      <c r="OJ763" s="259"/>
      <c r="OK763" s="259"/>
      <c r="OL763" s="259"/>
      <c r="OM763" s="259"/>
      <c r="ON763" s="259"/>
      <c r="OO763" s="259"/>
      <c r="OP763" s="259"/>
      <c r="OQ763" s="259"/>
      <c r="OR763" s="259"/>
      <c r="OS763" s="259"/>
      <c r="OT763" s="259"/>
      <c r="OU763" s="259"/>
      <c r="OV763" s="259"/>
      <c r="OW763" s="259"/>
      <c r="OX763" s="259"/>
      <c r="OY763" s="259"/>
      <c r="OZ763" s="259"/>
      <c r="PA763" s="259"/>
      <c r="PB763" s="259"/>
      <c r="PC763" s="259"/>
      <c r="PD763" s="259"/>
      <c r="PE763" s="259"/>
      <c r="PF763" s="259"/>
      <c r="PG763" s="259"/>
      <c r="PH763" s="259"/>
      <c r="PI763" s="259"/>
      <c r="PJ763" s="259"/>
      <c r="PK763" s="259"/>
      <c r="PL763" s="259"/>
      <c r="PM763" s="259"/>
      <c r="PN763" s="259"/>
      <c r="PO763" s="259"/>
      <c r="PP763" s="259"/>
      <c r="PQ763" s="259"/>
      <c r="PR763" s="259"/>
      <c r="PS763" s="259"/>
      <c r="PT763" s="259"/>
      <c r="PU763" s="259"/>
      <c r="PV763" s="259"/>
      <c r="PW763" s="259"/>
      <c r="PX763" s="259"/>
      <c r="PY763" s="259"/>
      <c r="PZ763" s="259"/>
      <c r="QA763" s="259"/>
      <c r="QB763" s="259"/>
      <c r="QC763" s="259"/>
      <c r="QD763" s="259"/>
      <c r="QE763" s="259"/>
      <c r="QF763" s="259"/>
      <c r="QG763" s="259"/>
      <c r="QH763" s="259"/>
      <c r="QI763" s="259"/>
      <c r="QJ763" s="259"/>
      <c r="QK763" s="259"/>
      <c r="QL763" s="259"/>
      <c r="QM763" s="259"/>
      <c r="QN763" s="259"/>
      <c r="QO763" s="259"/>
      <c r="QP763" s="259"/>
      <c r="QQ763" s="259"/>
      <c r="QR763" s="259"/>
      <c r="QS763" s="259"/>
      <c r="QT763" s="259"/>
      <c r="QU763" s="259"/>
      <c r="QV763" s="259"/>
      <c r="QW763" s="259"/>
      <c r="QX763" s="259"/>
      <c r="QY763" s="259"/>
      <c r="QZ763" s="259"/>
      <c r="RA763" s="259"/>
      <c r="RB763" s="259"/>
      <c r="RC763" s="259"/>
      <c r="RD763" s="259"/>
      <c r="RE763" s="259"/>
      <c r="RF763" s="259"/>
      <c r="RG763" s="259"/>
      <c r="RH763" s="259"/>
      <c r="RI763" s="259"/>
      <c r="RJ763" s="259"/>
      <c r="RK763" s="259"/>
      <c r="RL763" s="259"/>
      <c r="RM763" s="259"/>
      <c r="RN763" s="259"/>
      <c r="RO763" s="259"/>
      <c r="RP763" s="259"/>
      <c r="RQ763" s="259"/>
      <c r="RR763" s="259"/>
      <c r="RS763" s="259"/>
      <c r="RT763" s="259"/>
      <c r="RU763" s="259"/>
      <c r="RV763" s="259"/>
      <c r="RW763" s="259"/>
      <c r="RX763" s="259"/>
      <c r="RY763" s="259"/>
      <c r="RZ763" s="259"/>
      <c r="SA763" s="259"/>
      <c r="SB763" s="259"/>
      <c r="SC763" s="259"/>
      <c r="SD763" s="259"/>
      <c r="SE763" s="259"/>
      <c r="SF763" s="259"/>
      <c r="SG763" s="259"/>
      <c r="SH763" s="259"/>
      <c r="SI763" s="259"/>
      <c r="SJ763" s="259"/>
      <c r="SK763" s="259"/>
      <c r="SL763" s="259"/>
      <c r="SM763" s="259"/>
      <c r="SN763" s="259"/>
      <c r="SO763" s="259"/>
      <c r="SP763" s="259"/>
      <c r="SQ763" s="259"/>
      <c r="SR763" s="259"/>
      <c r="SS763" s="259"/>
      <c r="ST763" s="259"/>
      <c r="SU763" s="259"/>
      <c r="SV763" s="259"/>
      <c r="SW763" s="259"/>
      <c r="SX763" s="259"/>
      <c r="SY763" s="259"/>
      <c r="SZ763" s="259"/>
      <c r="TA763" s="259"/>
      <c r="TB763" s="259"/>
      <c r="TC763" s="259"/>
      <c r="TD763" s="259"/>
      <c r="TE763" s="259"/>
      <c r="TF763" s="259"/>
      <c r="TG763" s="259"/>
      <c r="TH763" s="259"/>
      <c r="TI763" s="259"/>
      <c r="TJ763" s="259"/>
      <c r="TK763" s="259"/>
      <c r="TL763" s="259"/>
      <c r="TM763" s="259"/>
      <c r="TN763" s="259"/>
      <c r="TO763" s="259"/>
      <c r="TP763" s="259"/>
      <c r="TQ763" s="259"/>
      <c r="TR763" s="259"/>
      <c r="TS763" s="259"/>
      <c r="TT763" s="259"/>
      <c r="TU763" s="259"/>
      <c r="TV763" s="259"/>
      <c r="TW763" s="259"/>
      <c r="TX763" s="259"/>
      <c r="TY763" s="259"/>
      <c r="TZ763" s="259"/>
      <c r="UA763" s="259"/>
      <c r="UB763" s="259"/>
      <c r="UC763" s="259"/>
      <c r="UD763" s="259"/>
      <c r="UE763" s="259"/>
      <c r="UF763" s="259"/>
      <c r="UG763" s="259"/>
      <c r="UH763" s="259"/>
      <c r="UI763" s="259"/>
    </row>
    <row r="764" spans="1:555" s="259" customFormat="1" ht="67.5">
      <c r="A764" s="57">
        <v>677</v>
      </c>
      <c r="B764" s="58" t="s">
        <v>5782</v>
      </c>
      <c r="C764" s="59">
        <v>3173333</v>
      </c>
      <c r="D764" s="170" t="s">
        <v>906</v>
      </c>
      <c r="E764" s="60">
        <v>43046</v>
      </c>
      <c r="F764" s="61">
        <v>43040</v>
      </c>
      <c r="G764" s="62" t="s">
        <v>5783</v>
      </c>
      <c r="H764" s="58" t="s">
        <v>625</v>
      </c>
      <c r="I764" s="58" t="s">
        <v>3423</v>
      </c>
      <c r="J764" s="60">
        <v>43154</v>
      </c>
      <c r="K764" s="61">
        <v>43132</v>
      </c>
      <c r="L764" s="62" t="s">
        <v>5784</v>
      </c>
      <c r="M764" s="58" t="s">
        <v>171</v>
      </c>
      <c r="N764" s="58" t="s">
        <v>777</v>
      </c>
      <c r="O764" s="60"/>
      <c r="P764" s="63"/>
      <c r="Q764" s="62"/>
      <c r="R764" s="58"/>
      <c r="S764" s="58"/>
      <c r="T764" s="60"/>
      <c r="U764" s="61"/>
      <c r="V764" s="62"/>
      <c r="W764" s="58"/>
      <c r="X764" s="58"/>
      <c r="Y764" s="60"/>
      <c r="Z764" s="61"/>
      <c r="AA764" s="62"/>
      <c r="AB764" s="58"/>
      <c r="AC764" s="58"/>
      <c r="AD764" s="60"/>
      <c r="AE764" s="61"/>
      <c r="AF764" s="62"/>
      <c r="AG764" s="58"/>
      <c r="AH764" s="58"/>
      <c r="AI764" s="117"/>
      <c r="AJ764" s="61"/>
      <c r="AK764" s="62"/>
      <c r="AL764" s="58"/>
      <c r="AM764" s="58"/>
      <c r="AN764" s="58" t="s">
        <v>918</v>
      </c>
      <c r="AO764" s="478" t="s">
        <v>7947</v>
      </c>
      <c r="AP764" s="119" t="s">
        <v>2558</v>
      </c>
      <c r="AQ764" s="62" t="s">
        <v>5785</v>
      </c>
      <c r="AR764" s="58" t="s">
        <v>161</v>
      </c>
      <c r="AS764" s="60">
        <v>40522</v>
      </c>
      <c r="AT764" s="60">
        <v>41152</v>
      </c>
      <c r="AU764" s="58" t="s">
        <v>4499</v>
      </c>
      <c r="AV764" s="58"/>
      <c r="AW764" s="58" t="s">
        <v>69</v>
      </c>
      <c r="AX764" s="58" t="s">
        <v>5786</v>
      </c>
      <c r="AY764" s="60">
        <v>42515</v>
      </c>
      <c r="AZ764" s="58" t="s">
        <v>5536</v>
      </c>
      <c r="BA764" s="60">
        <v>42986</v>
      </c>
      <c r="BB764" s="382">
        <v>43018</v>
      </c>
      <c r="BC764" s="70" t="s">
        <v>912</v>
      </c>
      <c r="BD764" s="70" t="s">
        <v>566</v>
      </c>
      <c r="BE764" s="58"/>
      <c r="BF764" s="62" t="s">
        <v>5366</v>
      </c>
      <c r="BG764" s="62"/>
      <c r="BH764" s="62"/>
      <c r="BI764" s="62"/>
      <c r="BJ764" s="209">
        <f>+[285]MATRIZ!$J$68</f>
        <v>46686308.095653281</v>
      </c>
      <c r="BK764" s="67"/>
      <c r="BL764" s="68"/>
      <c r="BM764" s="60"/>
      <c r="BN764" s="61"/>
      <c r="BO764" s="463"/>
      <c r="BP764" s="122"/>
      <c r="BQ764" s="58"/>
      <c r="BR764" s="70"/>
      <c r="BS764" s="62"/>
      <c r="BT764" s="62"/>
      <c r="BU764" s="62"/>
      <c r="BV764" s="62"/>
      <c r="BW764" s="71"/>
      <c r="BX764" s="66"/>
      <c r="BY764" s="60"/>
      <c r="BZ764" s="72"/>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c r="JW764" s="1"/>
      <c r="JX764" s="1"/>
      <c r="JY764" s="1"/>
      <c r="JZ764" s="1"/>
      <c r="KA764" s="1"/>
      <c r="KB764" s="1"/>
      <c r="KC764" s="1"/>
      <c r="KD764" s="1"/>
      <c r="KE764" s="1"/>
      <c r="KF764" s="1"/>
      <c r="KG764" s="1"/>
      <c r="KH764" s="1"/>
      <c r="KI764" s="1"/>
      <c r="KJ764" s="1"/>
      <c r="KK764" s="1"/>
      <c r="KL764" s="1"/>
      <c r="KM764" s="1"/>
      <c r="KN764" s="1"/>
      <c r="KO764" s="1"/>
      <c r="KP764" s="1"/>
      <c r="KQ764" s="1"/>
      <c r="KR764" s="1"/>
      <c r="KS764" s="1"/>
      <c r="KT764" s="1"/>
      <c r="KU764" s="1"/>
      <c r="KV764" s="1"/>
      <c r="KW764" s="1"/>
      <c r="KX764" s="1"/>
      <c r="KY764" s="1"/>
      <c r="KZ764" s="1"/>
      <c r="LA764" s="1"/>
      <c r="LB764" s="1"/>
      <c r="LC764" s="1"/>
      <c r="LD764" s="1"/>
      <c r="LE764" s="1"/>
      <c r="LF764" s="1"/>
      <c r="LG764" s="1"/>
      <c r="LH764" s="1"/>
      <c r="LI764" s="1"/>
      <c r="LJ764" s="1"/>
      <c r="LK764" s="1"/>
      <c r="LL764" s="1"/>
      <c r="LM764" s="1"/>
      <c r="LN764" s="1"/>
      <c r="LO764" s="1"/>
      <c r="LP764" s="1"/>
      <c r="LQ764" s="1"/>
      <c r="LR764" s="1"/>
      <c r="LS764" s="1"/>
      <c r="LT764" s="1"/>
      <c r="LU764" s="1"/>
      <c r="LV764" s="1"/>
      <c r="LW764" s="1"/>
      <c r="LX764" s="1"/>
      <c r="LY764" s="1"/>
      <c r="LZ764" s="1"/>
      <c r="MA764" s="1"/>
      <c r="MB764" s="1"/>
      <c r="MC764" s="1"/>
      <c r="MD764" s="1"/>
      <c r="ME764" s="1"/>
      <c r="MF764" s="1"/>
      <c r="MG764" s="1"/>
      <c r="MH764" s="1"/>
      <c r="MI764" s="1"/>
      <c r="MJ764" s="1"/>
      <c r="MK764" s="1"/>
      <c r="ML764" s="1"/>
      <c r="MM764" s="1"/>
      <c r="MN764" s="1"/>
      <c r="MO764" s="1"/>
      <c r="MP764" s="1"/>
      <c r="MQ764" s="1"/>
      <c r="MR764" s="1"/>
      <c r="MS764" s="1"/>
      <c r="MT764" s="1"/>
      <c r="MU764" s="1"/>
      <c r="MV764" s="1"/>
      <c r="MW764" s="1"/>
      <c r="MX764" s="1"/>
      <c r="MY764" s="1"/>
      <c r="MZ764" s="1"/>
      <c r="NA764" s="1"/>
      <c r="NB764" s="1"/>
      <c r="NC764" s="1"/>
      <c r="ND764" s="1"/>
      <c r="NE764" s="1"/>
      <c r="NF764" s="1"/>
      <c r="NG764" s="1"/>
      <c r="NH764" s="1"/>
      <c r="NI764" s="1"/>
      <c r="NJ764" s="1"/>
      <c r="NK764" s="1"/>
      <c r="NL764" s="1"/>
      <c r="NM764" s="1"/>
      <c r="NN764" s="1"/>
      <c r="NO764" s="1"/>
      <c r="NP764" s="1"/>
      <c r="NQ764" s="1"/>
      <c r="NR764" s="1"/>
      <c r="NS764" s="1"/>
      <c r="NT764" s="1"/>
      <c r="NU764" s="1"/>
      <c r="NV764" s="1"/>
      <c r="NW764" s="1"/>
      <c r="NX764" s="1"/>
      <c r="NY764" s="1"/>
      <c r="NZ764" s="1"/>
      <c r="OA764" s="1"/>
      <c r="OB764" s="1"/>
      <c r="OC764" s="1"/>
      <c r="OD764" s="1"/>
      <c r="OE764" s="1"/>
      <c r="OF764" s="1"/>
      <c r="OG764" s="1"/>
      <c r="OH764" s="1"/>
      <c r="OI764" s="1"/>
      <c r="OJ764" s="1"/>
      <c r="OK764" s="1"/>
      <c r="OL764" s="1"/>
      <c r="OM764" s="1"/>
      <c r="ON764" s="1"/>
      <c r="OO764" s="1"/>
      <c r="OP764" s="1"/>
      <c r="OQ764" s="1"/>
      <c r="OR764" s="1"/>
      <c r="OS764" s="1"/>
      <c r="OT764" s="1"/>
      <c r="OU764" s="1"/>
      <c r="OV764" s="1"/>
      <c r="OW764" s="1"/>
      <c r="OX764" s="1"/>
      <c r="OY764" s="1"/>
      <c r="OZ764" s="1"/>
      <c r="PA764" s="1"/>
      <c r="PB764" s="1"/>
      <c r="PC764" s="1"/>
      <c r="PD764" s="1"/>
      <c r="PE764" s="1"/>
      <c r="PF764" s="1"/>
      <c r="PG764" s="1"/>
      <c r="PH764" s="1"/>
      <c r="PI764" s="1"/>
      <c r="PJ764" s="1"/>
      <c r="PK764" s="1"/>
      <c r="PL764" s="1"/>
      <c r="PM764" s="1"/>
      <c r="PN764" s="1"/>
      <c r="PO764" s="1"/>
      <c r="PP764" s="1"/>
      <c r="PQ764" s="1"/>
      <c r="PR764" s="1"/>
      <c r="PS764" s="1"/>
      <c r="PT764" s="1"/>
      <c r="PU764" s="1"/>
      <c r="PV764" s="1"/>
      <c r="PW764" s="1"/>
      <c r="PX764" s="1"/>
      <c r="PY764" s="1"/>
      <c r="PZ764" s="1"/>
      <c r="QA764" s="1"/>
      <c r="QB764" s="1"/>
      <c r="QC764" s="1"/>
      <c r="QD764" s="1"/>
      <c r="QE764" s="1"/>
      <c r="QF764" s="1"/>
      <c r="QG764" s="1"/>
      <c r="QH764" s="1"/>
      <c r="QI764" s="1"/>
      <c r="QJ764" s="1"/>
      <c r="QK764" s="1"/>
      <c r="QL764" s="1"/>
      <c r="QM764" s="1"/>
      <c r="QN764" s="1"/>
      <c r="QO764" s="1"/>
      <c r="QP764" s="1"/>
      <c r="QQ764" s="1"/>
      <c r="QR764" s="1"/>
      <c r="QS764" s="1"/>
      <c r="QT764" s="1"/>
      <c r="QU764" s="1"/>
      <c r="QV764" s="1"/>
      <c r="QW764" s="1"/>
      <c r="QX764" s="1"/>
      <c r="QY764" s="1"/>
      <c r="QZ764" s="1"/>
      <c r="RA764" s="1"/>
      <c r="RB764" s="1"/>
      <c r="RC764" s="1"/>
      <c r="RD764" s="1"/>
      <c r="RE764" s="1"/>
      <c r="RF764" s="1"/>
      <c r="RG764" s="1"/>
      <c r="RH764" s="1"/>
      <c r="RI764" s="1"/>
      <c r="RJ764" s="1"/>
      <c r="RK764" s="1"/>
      <c r="RL764" s="1"/>
      <c r="RM764" s="1"/>
      <c r="RN764" s="1"/>
      <c r="RO764" s="1"/>
      <c r="RP764" s="1"/>
      <c r="RQ764" s="1"/>
      <c r="RR764" s="1"/>
      <c r="RS764" s="1"/>
      <c r="RT764" s="1"/>
      <c r="RU764" s="1"/>
      <c r="RV764" s="1"/>
      <c r="RW764" s="1"/>
      <c r="RX764" s="1"/>
      <c r="RY764" s="1"/>
      <c r="RZ764" s="1"/>
      <c r="SA764" s="1"/>
      <c r="SB764" s="1"/>
      <c r="SC764" s="1"/>
      <c r="SD764" s="1"/>
      <c r="SE764" s="1"/>
      <c r="SF764" s="1"/>
      <c r="SG764" s="1"/>
      <c r="SH764" s="1"/>
      <c r="SI764" s="1"/>
      <c r="SJ764" s="1"/>
      <c r="SK764" s="1"/>
      <c r="SL764" s="1"/>
      <c r="SM764" s="1"/>
      <c r="SN764" s="1"/>
      <c r="SO764" s="1"/>
      <c r="SP764" s="1"/>
      <c r="SQ764" s="1"/>
      <c r="SR764" s="1"/>
      <c r="SS764" s="1"/>
      <c r="ST764" s="1"/>
      <c r="SU764" s="1"/>
      <c r="SV764" s="1"/>
      <c r="SW764" s="1"/>
      <c r="SX764" s="1"/>
      <c r="SY764" s="1"/>
      <c r="SZ764" s="1"/>
      <c r="TA764" s="1"/>
      <c r="TB764" s="1"/>
      <c r="TC764" s="1"/>
      <c r="TD764" s="1"/>
      <c r="TE764" s="1"/>
      <c r="TF764" s="1"/>
      <c r="TG764" s="1"/>
      <c r="TH764" s="1"/>
      <c r="TI764" s="1"/>
      <c r="TJ764" s="1"/>
      <c r="TK764" s="1"/>
      <c r="TL764" s="1"/>
      <c r="TM764" s="1"/>
      <c r="TN764" s="1"/>
      <c r="TO764" s="1"/>
      <c r="TP764" s="1"/>
      <c r="TQ764" s="1"/>
      <c r="TR764" s="1"/>
      <c r="TS764" s="1"/>
      <c r="TT764" s="1"/>
      <c r="TU764" s="1"/>
      <c r="TV764" s="1"/>
      <c r="TW764" s="1"/>
      <c r="TX764" s="1"/>
      <c r="TY764" s="1"/>
      <c r="TZ764" s="1"/>
      <c r="UA764" s="1"/>
      <c r="UB764" s="1"/>
      <c r="UC764" s="1"/>
      <c r="UD764" s="1"/>
      <c r="UE764" s="1"/>
      <c r="UF764" s="1"/>
      <c r="UG764" s="1"/>
      <c r="UH764" s="1"/>
      <c r="UI764" s="1"/>
    </row>
    <row r="765" spans="1:555" s="685" customFormat="1" ht="78" customHeight="1">
      <c r="A765" s="96">
        <v>678</v>
      </c>
      <c r="B765" s="422" t="s">
        <v>5787</v>
      </c>
      <c r="C765" s="419"/>
      <c r="D765" s="19"/>
      <c r="E765" s="423">
        <v>43032</v>
      </c>
      <c r="F765" s="21">
        <v>43032</v>
      </c>
      <c r="G765" s="22" t="s">
        <v>5788</v>
      </c>
      <c r="H765" s="422" t="s">
        <v>171</v>
      </c>
      <c r="I765" s="422" t="s">
        <v>5789</v>
      </c>
      <c r="J765" s="423"/>
      <c r="K765" s="21"/>
      <c r="L765" s="22"/>
      <c r="M765" s="422"/>
      <c r="N765" s="422"/>
      <c r="O765" s="423"/>
      <c r="P765" s="23"/>
      <c r="Q765" s="22"/>
      <c r="R765" s="422"/>
      <c r="S765" s="422"/>
      <c r="T765" s="423"/>
      <c r="U765" s="21"/>
      <c r="V765" s="22"/>
      <c r="W765" s="422"/>
      <c r="X765" s="422"/>
      <c r="Y765" s="423"/>
      <c r="Z765" s="21"/>
      <c r="AA765" s="22"/>
      <c r="AB765" s="422"/>
      <c r="AC765" s="422"/>
      <c r="AD765" s="423"/>
      <c r="AE765" s="21"/>
      <c r="AF765" s="22"/>
      <c r="AG765" s="422"/>
      <c r="AH765" s="422"/>
      <c r="AI765" s="126"/>
      <c r="AJ765" s="21"/>
      <c r="AK765" s="22"/>
      <c r="AL765" s="422"/>
      <c r="AM765" s="422"/>
      <c r="AN765" s="422"/>
      <c r="AO765" s="473"/>
      <c r="AP765" s="422"/>
      <c r="AQ765" s="22" t="s">
        <v>7342</v>
      </c>
      <c r="AR765" s="422"/>
      <c r="AS765" s="423"/>
      <c r="AT765" s="423"/>
      <c r="AU765" s="862" t="s">
        <v>9232</v>
      </c>
      <c r="AV765" s="862"/>
      <c r="AW765" s="422"/>
      <c r="AX765" s="422" t="s">
        <v>5790</v>
      </c>
      <c r="AY765" s="423">
        <v>41425</v>
      </c>
      <c r="AZ765" s="422" t="s">
        <v>94</v>
      </c>
      <c r="BA765" s="423">
        <v>43028</v>
      </c>
      <c r="BB765" s="382" t="s">
        <v>67</v>
      </c>
      <c r="BC765" s="422" t="s">
        <v>3738</v>
      </c>
      <c r="BD765" s="422"/>
      <c r="BE765" s="422"/>
      <c r="BF765" s="22"/>
      <c r="BG765" s="22"/>
      <c r="BH765" s="22"/>
      <c r="BI765" s="22"/>
      <c r="BJ765" s="28"/>
      <c r="BK765" s="28"/>
      <c r="BL765" s="29"/>
      <c r="BM765" s="423"/>
      <c r="BN765" s="21"/>
      <c r="BO765" s="461"/>
      <c r="BP765" s="399"/>
      <c r="BQ765" s="422"/>
      <c r="BR765" s="31"/>
      <c r="BS765" s="22"/>
      <c r="BT765" s="22"/>
      <c r="BU765" s="22"/>
      <c r="BV765" s="22"/>
      <c r="BW765" s="97"/>
      <c r="BX765" s="26"/>
      <c r="BY765" s="423"/>
      <c r="BZ765" s="134"/>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c r="JW765" s="1"/>
      <c r="JX765" s="1"/>
      <c r="JY765" s="1"/>
      <c r="JZ765" s="1"/>
      <c r="KA765" s="1"/>
      <c r="KB765" s="1"/>
      <c r="KC765" s="1"/>
      <c r="KD765" s="1"/>
      <c r="KE765" s="1"/>
      <c r="KF765" s="1"/>
      <c r="KG765" s="1"/>
      <c r="KH765" s="1"/>
      <c r="KI765" s="1"/>
      <c r="KJ765" s="1"/>
      <c r="KK765" s="1"/>
      <c r="KL765" s="1"/>
      <c r="KM765" s="1"/>
      <c r="KN765" s="1"/>
      <c r="KO765" s="1"/>
      <c r="KP765" s="1"/>
      <c r="KQ765" s="1"/>
      <c r="KR765" s="1"/>
      <c r="KS765" s="1"/>
      <c r="KT765" s="1"/>
      <c r="KU765" s="1"/>
      <c r="KV765" s="1"/>
      <c r="KW765" s="1"/>
      <c r="KX765" s="1"/>
      <c r="KY765" s="1"/>
      <c r="KZ765" s="1"/>
      <c r="LA765" s="1"/>
      <c r="LB765" s="1"/>
      <c r="LC765" s="1"/>
      <c r="LD765" s="1"/>
      <c r="LE765" s="1"/>
      <c r="LF765" s="1"/>
      <c r="LG765" s="1"/>
      <c r="LH765" s="1"/>
      <c r="LI765" s="1"/>
      <c r="LJ765" s="1"/>
      <c r="LK765" s="1"/>
      <c r="LL765" s="1"/>
      <c r="LM765" s="1"/>
      <c r="LN765" s="1"/>
      <c r="LO765" s="1"/>
      <c r="LP765" s="1"/>
      <c r="LQ765" s="1"/>
      <c r="LR765" s="1"/>
      <c r="LS765" s="1"/>
      <c r="LT765" s="1"/>
      <c r="LU765" s="1"/>
      <c r="LV765" s="1"/>
      <c r="LW765" s="1"/>
      <c r="LX765" s="1"/>
      <c r="LY765" s="1"/>
      <c r="LZ765" s="1"/>
      <c r="MA765" s="1"/>
      <c r="MB765" s="1"/>
      <c r="MC765" s="1"/>
      <c r="MD765" s="1"/>
      <c r="ME765" s="1"/>
      <c r="MF765" s="1"/>
      <c r="MG765" s="1"/>
      <c r="MH765" s="1"/>
      <c r="MI765" s="1"/>
      <c r="MJ765" s="1"/>
      <c r="MK765" s="1"/>
      <c r="ML765" s="1"/>
      <c r="MM765" s="1"/>
      <c r="MN765" s="1"/>
      <c r="MO765" s="1"/>
      <c r="MP765" s="1"/>
      <c r="MQ765" s="1"/>
      <c r="MR765" s="1"/>
      <c r="MS765" s="1"/>
      <c r="MT765" s="1"/>
      <c r="MU765" s="1"/>
      <c r="MV765" s="1"/>
      <c r="MW765" s="1"/>
      <c r="MX765" s="1"/>
      <c r="MY765" s="1"/>
      <c r="MZ765" s="1"/>
      <c r="NA765" s="1"/>
      <c r="NB765" s="1"/>
      <c r="NC765" s="1"/>
      <c r="ND765" s="1"/>
      <c r="NE765" s="1"/>
      <c r="NF765" s="1"/>
      <c r="NG765" s="1"/>
      <c r="NH765" s="1"/>
      <c r="NI765" s="1"/>
      <c r="NJ765" s="1"/>
      <c r="NK765" s="1"/>
      <c r="NL765" s="1"/>
      <c r="NM765" s="1"/>
      <c r="NN765" s="1"/>
      <c r="NO765" s="1"/>
      <c r="NP765" s="1"/>
      <c r="NQ765" s="1"/>
      <c r="NR765" s="1"/>
      <c r="NS765" s="1"/>
      <c r="NT765" s="1"/>
      <c r="NU765" s="1"/>
      <c r="NV765" s="1"/>
      <c r="NW765" s="1"/>
      <c r="NX765" s="1"/>
      <c r="NY765" s="1"/>
      <c r="NZ765" s="1"/>
      <c r="OA765" s="1"/>
      <c r="OB765" s="1"/>
      <c r="OC765" s="1"/>
      <c r="OD765" s="1"/>
      <c r="OE765" s="1"/>
      <c r="OF765" s="1"/>
      <c r="OG765" s="1"/>
      <c r="OH765" s="1"/>
      <c r="OI765" s="1"/>
      <c r="OJ765" s="1"/>
      <c r="OK765" s="1"/>
      <c r="OL765" s="1"/>
      <c r="OM765" s="1"/>
      <c r="ON765" s="1"/>
      <c r="OO765" s="1"/>
      <c r="OP765" s="1"/>
      <c r="OQ765" s="1"/>
      <c r="OR765" s="1"/>
      <c r="OS765" s="1"/>
      <c r="OT765" s="1"/>
      <c r="OU765" s="1"/>
      <c r="OV765" s="1"/>
      <c r="OW765" s="1"/>
      <c r="OX765" s="1"/>
      <c r="OY765" s="1"/>
      <c r="OZ765" s="1"/>
      <c r="PA765" s="1"/>
      <c r="PB765" s="1"/>
      <c r="PC765" s="1"/>
      <c r="PD765" s="1"/>
      <c r="PE765" s="1"/>
      <c r="PF765" s="1"/>
      <c r="PG765" s="1"/>
      <c r="PH765" s="1"/>
      <c r="PI765" s="1"/>
      <c r="PJ765" s="1"/>
      <c r="PK765" s="1"/>
      <c r="PL765" s="1"/>
      <c r="PM765" s="1"/>
      <c r="PN765" s="1"/>
      <c r="PO765" s="1"/>
      <c r="PP765" s="1"/>
      <c r="PQ765" s="1"/>
      <c r="PR765" s="1"/>
      <c r="PS765" s="1"/>
      <c r="PT765" s="1"/>
      <c r="PU765" s="1"/>
      <c r="PV765" s="1"/>
      <c r="PW765" s="1"/>
      <c r="PX765" s="1"/>
      <c r="PY765" s="1"/>
      <c r="PZ765" s="1"/>
      <c r="QA765" s="1"/>
      <c r="QB765" s="1"/>
      <c r="QC765" s="1"/>
      <c r="QD765" s="1"/>
      <c r="QE765" s="1"/>
      <c r="QF765" s="1"/>
      <c r="QG765" s="1"/>
      <c r="QH765" s="1"/>
      <c r="QI765" s="1"/>
      <c r="QJ765" s="1"/>
      <c r="QK765" s="1"/>
      <c r="QL765" s="1"/>
      <c r="QM765" s="1"/>
      <c r="QN765" s="1"/>
      <c r="QO765" s="1"/>
      <c r="QP765" s="1"/>
      <c r="QQ765" s="1"/>
      <c r="QR765" s="1"/>
      <c r="QS765" s="1"/>
      <c r="QT765" s="1"/>
      <c r="QU765" s="1"/>
      <c r="QV765" s="1"/>
      <c r="QW765" s="1"/>
      <c r="QX765" s="1"/>
      <c r="QY765" s="1"/>
      <c r="QZ765" s="1"/>
      <c r="RA765" s="1"/>
      <c r="RB765" s="1"/>
      <c r="RC765" s="1"/>
      <c r="RD765" s="1"/>
      <c r="RE765" s="1"/>
      <c r="RF765" s="1"/>
      <c r="RG765" s="1"/>
      <c r="RH765" s="1"/>
      <c r="RI765" s="1"/>
      <c r="RJ765" s="1"/>
      <c r="RK765" s="1"/>
      <c r="RL765" s="1"/>
      <c r="RM765" s="1"/>
      <c r="RN765" s="1"/>
      <c r="RO765" s="1"/>
      <c r="RP765" s="1"/>
      <c r="RQ765" s="1"/>
      <c r="RR765" s="1"/>
      <c r="RS765" s="1"/>
      <c r="RT765" s="1"/>
      <c r="RU765" s="1"/>
      <c r="RV765" s="1"/>
      <c r="RW765" s="1"/>
      <c r="RX765" s="1"/>
      <c r="RY765" s="1"/>
      <c r="RZ765" s="1"/>
      <c r="SA765" s="1"/>
      <c r="SB765" s="1"/>
      <c r="SC765" s="1"/>
      <c r="SD765" s="1"/>
      <c r="SE765" s="1"/>
      <c r="SF765" s="1"/>
      <c r="SG765" s="1"/>
      <c r="SH765" s="1"/>
      <c r="SI765" s="1"/>
      <c r="SJ765" s="1"/>
      <c r="SK765" s="1"/>
      <c r="SL765" s="1"/>
      <c r="SM765" s="1"/>
      <c r="SN765" s="1"/>
      <c r="SO765" s="1"/>
      <c r="SP765" s="1"/>
      <c r="SQ765" s="1"/>
      <c r="SR765" s="1"/>
      <c r="SS765" s="1"/>
      <c r="ST765" s="1"/>
      <c r="SU765" s="1"/>
      <c r="SV765" s="1"/>
      <c r="SW765" s="1"/>
      <c r="SX765" s="1"/>
      <c r="SY765" s="1"/>
      <c r="SZ765" s="1"/>
      <c r="TA765" s="1"/>
      <c r="TB765" s="1"/>
      <c r="TC765" s="1"/>
      <c r="TD765" s="1"/>
      <c r="TE765" s="1"/>
      <c r="TF765" s="1"/>
      <c r="TG765" s="1"/>
      <c r="TH765" s="1"/>
      <c r="TI765" s="1"/>
      <c r="TJ765" s="1"/>
      <c r="TK765" s="1"/>
      <c r="TL765" s="1"/>
      <c r="TM765" s="1"/>
      <c r="TN765" s="1"/>
      <c r="TO765" s="1"/>
      <c r="TP765" s="1"/>
      <c r="TQ765" s="1"/>
      <c r="TR765" s="1"/>
      <c r="TS765" s="1"/>
      <c r="TT765" s="1"/>
      <c r="TU765" s="1"/>
      <c r="TV765" s="1"/>
      <c r="TW765" s="1"/>
      <c r="TX765" s="1"/>
      <c r="TY765" s="1"/>
      <c r="TZ765" s="1"/>
      <c r="UA765" s="1"/>
      <c r="UB765" s="1"/>
      <c r="UC765" s="1"/>
      <c r="UD765" s="1"/>
      <c r="UE765" s="1"/>
      <c r="UF765" s="1"/>
      <c r="UG765" s="1"/>
      <c r="UH765" s="1"/>
      <c r="UI765" s="1"/>
    </row>
    <row r="766" spans="1:555" s="259" customFormat="1" ht="91.5" customHeight="1">
      <c r="A766" s="33">
        <v>679</v>
      </c>
      <c r="B766" s="34" t="s">
        <v>5791</v>
      </c>
      <c r="C766" s="35"/>
      <c r="D766" s="36"/>
      <c r="E766" s="37"/>
      <c r="F766" s="38"/>
      <c r="G766" s="39"/>
      <c r="H766" s="34"/>
      <c r="I766" s="34"/>
      <c r="J766" s="37"/>
      <c r="K766" s="38"/>
      <c r="L766" s="39"/>
      <c r="M766" s="34"/>
      <c r="N766" s="34"/>
      <c r="O766" s="37"/>
      <c r="P766" s="40"/>
      <c r="Q766" s="39"/>
      <c r="R766" s="34"/>
      <c r="S766" s="34"/>
      <c r="T766" s="37"/>
      <c r="U766" s="38"/>
      <c r="V766" s="39"/>
      <c r="W766" s="34"/>
      <c r="X766" s="34"/>
      <c r="Y766" s="37"/>
      <c r="Z766" s="38"/>
      <c r="AA766" s="39"/>
      <c r="AB766" s="34"/>
      <c r="AC766" s="34"/>
      <c r="AD766" s="37"/>
      <c r="AE766" s="38"/>
      <c r="AF766" s="39"/>
      <c r="AG766" s="34"/>
      <c r="AH766" s="34"/>
      <c r="AI766" s="73"/>
      <c r="AJ766" s="38"/>
      <c r="AK766" s="39"/>
      <c r="AL766" s="34"/>
      <c r="AM766" s="34"/>
      <c r="AN766" s="34"/>
      <c r="AO766" s="473"/>
      <c r="AP766" s="34"/>
      <c r="AQ766" s="39" t="s">
        <v>5792</v>
      </c>
      <c r="AR766" s="34" t="s">
        <v>161</v>
      </c>
      <c r="AS766" s="37">
        <v>38364</v>
      </c>
      <c r="AT766" s="37">
        <v>38859</v>
      </c>
      <c r="AU766" s="34" t="s">
        <v>5793</v>
      </c>
      <c r="AV766" s="34"/>
      <c r="AW766" s="34" t="s">
        <v>92</v>
      </c>
      <c r="AX766" s="34" t="s">
        <v>5794</v>
      </c>
      <c r="AY766" s="37">
        <v>40235</v>
      </c>
      <c r="AZ766" s="34" t="s">
        <v>5720</v>
      </c>
      <c r="BA766" s="37">
        <v>40500</v>
      </c>
      <c r="BB766" s="382"/>
      <c r="BC766" s="34" t="s">
        <v>95</v>
      </c>
      <c r="BD766" s="34"/>
      <c r="BE766" s="34"/>
      <c r="BF766" s="39"/>
      <c r="BG766" s="39"/>
      <c r="BH766" s="39"/>
      <c r="BI766" s="39"/>
      <c r="BJ766" s="74"/>
      <c r="BK766" s="74"/>
      <c r="BL766" s="44"/>
      <c r="BM766" s="37"/>
      <c r="BN766" s="38"/>
      <c r="BO766" s="462"/>
      <c r="BP766" s="391"/>
      <c r="BQ766" s="34"/>
      <c r="BR766" s="42"/>
      <c r="BS766" s="39"/>
      <c r="BT766" s="39"/>
      <c r="BU766" s="39"/>
      <c r="BV766" s="39"/>
      <c r="BW766" s="51"/>
      <c r="BX766" s="41"/>
      <c r="BY766" s="37"/>
      <c r="BZ766" s="52"/>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c r="JW766" s="1"/>
      <c r="JX766" s="1"/>
      <c r="JY766" s="1"/>
      <c r="JZ766" s="1"/>
      <c r="KA766" s="1"/>
      <c r="KB766" s="1"/>
      <c r="KC766" s="1"/>
      <c r="KD766" s="1"/>
      <c r="KE766" s="1"/>
      <c r="KF766" s="1"/>
      <c r="KG766" s="1"/>
      <c r="KH766" s="1"/>
      <c r="KI766" s="1"/>
      <c r="KJ766" s="1"/>
      <c r="KK766" s="1"/>
      <c r="KL766" s="1"/>
      <c r="KM766" s="1"/>
      <c r="KN766" s="1"/>
      <c r="KO766" s="1"/>
      <c r="KP766" s="1"/>
      <c r="KQ766" s="1"/>
      <c r="KR766" s="1"/>
      <c r="KS766" s="1"/>
      <c r="KT766" s="1"/>
      <c r="KU766" s="1"/>
      <c r="KV766" s="1"/>
      <c r="KW766" s="1"/>
      <c r="KX766" s="1"/>
      <c r="KY766" s="1"/>
      <c r="KZ766" s="1"/>
      <c r="LA766" s="1"/>
      <c r="LB766" s="1"/>
      <c r="LC766" s="1"/>
      <c r="LD766" s="1"/>
      <c r="LE766" s="1"/>
      <c r="LF766" s="1"/>
      <c r="LG766" s="1"/>
      <c r="LH766" s="1"/>
      <c r="LI766" s="1"/>
      <c r="LJ766" s="1"/>
      <c r="LK766" s="1"/>
      <c r="LL766" s="1"/>
      <c r="LM766" s="1"/>
      <c r="LN766" s="1"/>
      <c r="LO766" s="1"/>
      <c r="LP766" s="1"/>
      <c r="LQ766" s="1"/>
      <c r="LR766" s="1"/>
      <c r="LS766" s="1"/>
      <c r="LT766" s="1"/>
      <c r="LU766" s="1"/>
      <c r="LV766" s="1"/>
      <c r="LW766" s="1"/>
      <c r="LX766" s="1"/>
      <c r="LY766" s="1"/>
      <c r="LZ766" s="1"/>
      <c r="MA766" s="1"/>
      <c r="MB766" s="1"/>
      <c r="MC766" s="1"/>
      <c r="MD766" s="1"/>
      <c r="ME766" s="1"/>
      <c r="MF766" s="1"/>
      <c r="MG766" s="1"/>
      <c r="MH766" s="1"/>
      <c r="MI766" s="1"/>
      <c r="MJ766" s="1"/>
      <c r="MK766" s="1"/>
      <c r="ML766" s="1"/>
      <c r="MM766" s="1"/>
      <c r="MN766" s="1"/>
      <c r="MO766" s="1"/>
      <c r="MP766" s="1"/>
      <c r="MQ766" s="1"/>
      <c r="MR766" s="1"/>
      <c r="MS766" s="1"/>
      <c r="MT766" s="1"/>
      <c r="MU766" s="1"/>
      <c r="MV766" s="1"/>
      <c r="MW766" s="1"/>
      <c r="MX766" s="1"/>
      <c r="MY766" s="1"/>
      <c r="MZ766" s="1"/>
      <c r="NA766" s="1"/>
      <c r="NB766" s="1"/>
      <c r="NC766" s="1"/>
      <c r="ND766" s="1"/>
      <c r="NE766" s="1"/>
      <c r="NF766" s="1"/>
      <c r="NG766" s="1"/>
      <c r="NH766" s="1"/>
      <c r="NI766" s="1"/>
      <c r="NJ766" s="1"/>
      <c r="NK766" s="1"/>
      <c r="NL766" s="1"/>
      <c r="NM766" s="1"/>
      <c r="NN766" s="1"/>
      <c r="NO766" s="1"/>
      <c r="NP766" s="1"/>
      <c r="NQ766" s="1"/>
      <c r="NR766" s="1"/>
      <c r="NS766" s="1"/>
      <c r="NT766" s="1"/>
      <c r="NU766" s="1"/>
      <c r="NV766" s="1"/>
      <c r="NW766" s="1"/>
      <c r="NX766" s="1"/>
      <c r="NY766" s="1"/>
      <c r="NZ766" s="1"/>
      <c r="OA766" s="1"/>
      <c r="OB766" s="1"/>
      <c r="OC766" s="1"/>
      <c r="OD766" s="1"/>
      <c r="OE766" s="1"/>
      <c r="OF766" s="1"/>
      <c r="OG766" s="1"/>
      <c r="OH766" s="1"/>
      <c r="OI766" s="1"/>
      <c r="OJ766" s="1"/>
      <c r="OK766" s="1"/>
      <c r="OL766" s="1"/>
      <c r="OM766" s="1"/>
      <c r="ON766" s="1"/>
      <c r="OO766" s="1"/>
      <c r="OP766" s="1"/>
      <c r="OQ766" s="1"/>
      <c r="OR766" s="1"/>
      <c r="OS766" s="1"/>
      <c r="OT766" s="1"/>
      <c r="OU766" s="1"/>
      <c r="OV766" s="1"/>
      <c r="OW766" s="1"/>
      <c r="OX766" s="1"/>
      <c r="OY766" s="1"/>
      <c r="OZ766" s="1"/>
      <c r="PA766" s="1"/>
      <c r="PB766" s="1"/>
      <c r="PC766" s="1"/>
      <c r="PD766" s="1"/>
      <c r="PE766" s="1"/>
      <c r="PF766" s="1"/>
      <c r="PG766" s="1"/>
      <c r="PH766" s="1"/>
      <c r="PI766" s="1"/>
      <c r="PJ766" s="1"/>
      <c r="PK766" s="1"/>
      <c r="PL766" s="1"/>
      <c r="PM766" s="1"/>
      <c r="PN766" s="1"/>
      <c r="PO766" s="1"/>
      <c r="PP766" s="1"/>
      <c r="PQ766" s="1"/>
      <c r="PR766" s="1"/>
      <c r="PS766" s="1"/>
      <c r="PT766" s="1"/>
      <c r="PU766" s="1"/>
      <c r="PV766" s="1"/>
      <c r="PW766" s="1"/>
      <c r="PX766" s="1"/>
      <c r="PY766" s="1"/>
      <c r="PZ766" s="1"/>
      <c r="QA766" s="1"/>
      <c r="QB766" s="1"/>
      <c r="QC766" s="1"/>
      <c r="QD766" s="1"/>
      <c r="QE766" s="1"/>
      <c r="QF766" s="1"/>
      <c r="QG766" s="1"/>
      <c r="QH766" s="1"/>
      <c r="QI766" s="1"/>
      <c r="QJ766" s="1"/>
      <c r="QK766" s="1"/>
      <c r="QL766" s="1"/>
      <c r="QM766" s="1"/>
      <c r="QN766" s="1"/>
      <c r="QO766" s="1"/>
      <c r="QP766" s="1"/>
      <c r="QQ766" s="1"/>
      <c r="QR766" s="1"/>
      <c r="QS766" s="1"/>
      <c r="QT766" s="1"/>
      <c r="QU766" s="1"/>
      <c r="QV766" s="1"/>
      <c r="QW766" s="1"/>
      <c r="QX766" s="1"/>
      <c r="QY766" s="1"/>
      <c r="QZ766" s="1"/>
      <c r="RA766" s="1"/>
      <c r="RB766" s="1"/>
      <c r="RC766" s="1"/>
      <c r="RD766" s="1"/>
      <c r="RE766" s="1"/>
      <c r="RF766" s="1"/>
      <c r="RG766" s="1"/>
      <c r="RH766" s="1"/>
      <c r="RI766" s="1"/>
      <c r="RJ766" s="1"/>
      <c r="RK766" s="1"/>
      <c r="RL766" s="1"/>
      <c r="RM766" s="1"/>
      <c r="RN766" s="1"/>
      <c r="RO766" s="1"/>
      <c r="RP766" s="1"/>
      <c r="RQ766" s="1"/>
      <c r="RR766" s="1"/>
      <c r="RS766" s="1"/>
      <c r="RT766" s="1"/>
      <c r="RU766" s="1"/>
      <c r="RV766" s="1"/>
      <c r="RW766" s="1"/>
      <c r="RX766" s="1"/>
      <c r="RY766" s="1"/>
      <c r="RZ766" s="1"/>
      <c r="SA766" s="1"/>
      <c r="SB766" s="1"/>
      <c r="SC766" s="1"/>
      <c r="SD766" s="1"/>
      <c r="SE766" s="1"/>
      <c r="SF766" s="1"/>
      <c r="SG766" s="1"/>
      <c r="SH766" s="1"/>
      <c r="SI766" s="1"/>
      <c r="SJ766" s="1"/>
      <c r="SK766" s="1"/>
      <c r="SL766" s="1"/>
      <c r="SM766" s="1"/>
      <c r="SN766" s="1"/>
      <c r="SO766" s="1"/>
      <c r="SP766" s="1"/>
      <c r="SQ766" s="1"/>
      <c r="SR766" s="1"/>
      <c r="SS766" s="1"/>
      <c r="ST766" s="1"/>
      <c r="SU766" s="1"/>
      <c r="SV766" s="1"/>
      <c r="SW766" s="1"/>
      <c r="SX766" s="1"/>
      <c r="SY766" s="1"/>
      <c r="SZ766" s="1"/>
      <c r="TA766" s="1"/>
      <c r="TB766" s="1"/>
      <c r="TC766" s="1"/>
      <c r="TD766" s="1"/>
      <c r="TE766" s="1"/>
      <c r="TF766" s="1"/>
      <c r="TG766" s="1"/>
      <c r="TH766" s="1"/>
      <c r="TI766" s="1"/>
      <c r="TJ766" s="1"/>
      <c r="TK766" s="1"/>
      <c r="TL766" s="1"/>
      <c r="TM766" s="1"/>
      <c r="TN766" s="1"/>
      <c r="TO766" s="1"/>
      <c r="TP766" s="1"/>
      <c r="TQ766" s="1"/>
      <c r="TR766" s="1"/>
      <c r="TS766" s="1"/>
      <c r="TT766" s="1"/>
      <c r="TU766" s="1"/>
      <c r="TV766" s="1"/>
      <c r="TW766" s="1"/>
      <c r="TX766" s="1"/>
      <c r="TY766" s="1"/>
      <c r="TZ766" s="1"/>
      <c r="UA766" s="1"/>
      <c r="UB766" s="1"/>
      <c r="UC766" s="1"/>
      <c r="UD766" s="1"/>
      <c r="UE766" s="1"/>
      <c r="UF766" s="1"/>
      <c r="UG766" s="1"/>
      <c r="UH766" s="1"/>
      <c r="UI766" s="1"/>
    </row>
    <row r="767" spans="1:555" s="259" customFormat="1" ht="82.5" customHeight="1">
      <c r="A767" s="33">
        <v>680</v>
      </c>
      <c r="B767" s="34" t="s">
        <v>5795</v>
      </c>
      <c r="C767" s="35"/>
      <c r="D767" s="36"/>
      <c r="E767" s="37"/>
      <c r="F767" s="38"/>
      <c r="G767" s="39"/>
      <c r="H767" s="34"/>
      <c r="I767" s="34"/>
      <c r="J767" s="37"/>
      <c r="K767" s="38"/>
      <c r="L767" s="39"/>
      <c r="M767" s="34"/>
      <c r="N767" s="34"/>
      <c r="O767" s="37"/>
      <c r="P767" s="40"/>
      <c r="Q767" s="39"/>
      <c r="R767" s="34"/>
      <c r="S767" s="34"/>
      <c r="T767" s="37"/>
      <c r="U767" s="38"/>
      <c r="V767" s="39"/>
      <c r="W767" s="34"/>
      <c r="X767" s="34"/>
      <c r="Y767" s="37"/>
      <c r="Z767" s="38"/>
      <c r="AA767" s="39"/>
      <c r="AB767" s="34"/>
      <c r="AC767" s="34"/>
      <c r="AD767" s="37"/>
      <c r="AE767" s="38"/>
      <c r="AF767" s="39"/>
      <c r="AG767" s="34"/>
      <c r="AH767" s="34"/>
      <c r="AI767" s="73"/>
      <c r="AJ767" s="38"/>
      <c r="AK767" s="39"/>
      <c r="AL767" s="34"/>
      <c r="AM767" s="34"/>
      <c r="AN767" s="34"/>
      <c r="AO767" s="473"/>
      <c r="AP767" s="34"/>
      <c r="AQ767" s="39" t="s">
        <v>5796</v>
      </c>
      <c r="AR767" s="34" t="s">
        <v>161</v>
      </c>
      <c r="AS767" s="37">
        <v>38108</v>
      </c>
      <c r="AT767" s="37">
        <v>39263</v>
      </c>
      <c r="AU767" s="34" t="s">
        <v>5797</v>
      </c>
      <c r="AV767" s="34"/>
      <c r="AW767" s="34" t="s">
        <v>92</v>
      </c>
      <c r="AX767" s="34" t="s">
        <v>5798</v>
      </c>
      <c r="AY767" s="37">
        <v>39758</v>
      </c>
      <c r="AZ767" s="34" t="s">
        <v>5799</v>
      </c>
      <c r="BA767" s="37">
        <v>40444</v>
      </c>
      <c r="BB767" s="382"/>
      <c r="BC767" s="34" t="s">
        <v>95</v>
      </c>
      <c r="BD767" s="34"/>
      <c r="BE767" s="34"/>
      <c r="BF767" s="39"/>
      <c r="BG767" s="39"/>
      <c r="BH767" s="39"/>
      <c r="BI767" s="39"/>
      <c r="BJ767" s="74"/>
      <c r="BK767" s="74"/>
      <c r="BL767" s="44"/>
      <c r="BM767" s="37"/>
      <c r="BN767" s="38"/>
      <c r="BO767" s="462"/>
      <c r="BP767" s="391"/>
      <c r="BQ767" s="34"/>
      <c r="BR767" s="42"/>
      <c r="BS767" s="39"/>
      <c r="BT767" s="39"/>
      <c r="BU767" s="39"/>
      <c r="BV767" s="39"/>
      <c r="BW767" s="51"/>
      <c r="BX767" s="41"/>
      <c r="BY767" s="37"/>
      <c r="BZ767" s="52"/>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c r="JW767" s="1"/>
      <c r="JX767" s="1"/>
      <c r="JY767" s="1"/>
      <c r="JZ767" s="1"/>
      <c r="KA767" s="1"/>
      <c r="KB767" s="1"/>
      <c r="KC767" s="1"/>
      <c r="KD767" s="1"/>
      <c r="KE767" s="1"/>
      <c r="KF767" s="1"/>
      <c r="KG767" s="1"/>
      <c r="KH767" s="1"/>
      <c r="KI767" s="1"/>
      <c r="KJ767" s="1"/>
      <c r="KK767" s="1"/>
      <c r="KL767" s="1"/>
      <c r="KM767" s="1"/>
      <c r="KN767" s="1"/>
      <c r="KO767" s="1"/>
      <c r="KP767" s="1"/>
      <c r="KQ767" s="1"/>
      <c r="KR767" s="1"/>
      <c r="KS767" s="1"/>
      <c r="KT767" s="1"/>
      <c r="KU767" s="1"/>
      <c r="KV767" s="1"/>
      <c r="KW767" s="1"/>
      <c r="KX767" s="1"/>
      <c r="KY767" s="1"/>
      <c r="KZ767" s="1"/>
      <c r="LA767" s="1"/>
      <c r="LB767" s="1"/>
      <c r="LC767" s="1"/>
      <c r="LD767" s="1"/>
      <c r="LE767" s="1"/>
      <c r="LF767" s="1"/>
      <c r="LG767" s="1"/>
      <c r="LH767" s="1"/>
      <c r="LI767" s="1"/>
      <c r="LJ767" s="1"/>
      <c r="LK767" s="1"/>
      <c r="LL767" s="1"/>
      <c r="LM767" s="1"/>
      <c r="LN767" s="1"/>
      <c r="LO767" s="1"/>
      <c r="LP767" s="1"/>
      <c r="LQ767" s="1"/>
      <c r="LR767" s="1"/>
      <c r="LS767" s="1"/>
      <c r="LT767" s="1"/>
      <c r="LU767" s="1"/>
      <c r="LV767" s="1"/>
      <c r="LW767" s="1"/>
      <c r="LX767" s="1"/>
      <c r="LY767" s="1"/>
      <c r="LZ767" s="1"/>
      <c r="MA767" s="1"/>
      <c r="MB767" s="1"/>
      <c r="MC767" s="1"/>
      <c r="MD767" s="1"/>
      <c r="ME767" s="1"/>
      <c r="MF767" s="1"/>
      <c r="MG767" s="1"/>
      <c r="MH767" s="1"/>
      <c r="MI767" s="1"/>
      <c r="MJ767" s="1"/>
      <c r="MK767" s="1"/>
      <c r="ML767" s="1"/>
      <c r="MM767" s="1"/>
      <c r="MN767" s="1"/>
      <c r="MO767" s="1"/>
      <c r="MP767" s="1"/>
      <c r="MQ767" s="1"/>
      <c r="MR767" s="1"/>
      <c r="MS767" s="1"/>
      <c r="MT767" s="1"/>
      <c r="MU767" s="1"/>
      <c r="MV767" s="1"/>
      <c r="MW767" s="1"/>
      <c r="MX767" s="1"/>
      <c r="MY767" s="1"/>
      <c r="MZ767" s="1"/>
      <c r="NA767" s="1"/>
      <c r="NB767" s="1"/>
      <c r="NC767" s="1"/>
      <c r="ND767" s="1"/>
      <c r="NE767" s="1"/>
      <c r="NF767" s="1"/>
      <c r="NG767" s="1"/>
      <c r="NH767" s="1"/>
      <c r="NI767" s="1"/>
      <c r="NJ767" s="1"/>
      <c r="NK767" s="1"/>
      <c r="NL767" s="1"/>
      <c r="NM767" s="1"/>
      <c r="NN767" s="1"/>
      <c r="NO767" s="1"/>
      <c r="NP767" s="1"/>
      <c r="NQ767" s="1"/>
      <c r="NR767" s="1"/>
      <c r="NS767" s="1"/>
      <c r="NT767" s="1"/>
      <c r="NU767" s="1"/>
      <c r="NV767" s="1"/>
      <c r="NW767" s="1"/>
      <c r="NX767" s="1"/>
      <c r="NY767" s="1"/>
      <c r="NZ767" s="1"/>
      <c r="OA767" s="1"/>
      <c r="OB767" s="1"/>
      <c r="OC767" s="1"/>
      <c r="OD767" s="1"/>
      <c r="OE767" s="1"/>
      <c r="OF767" s="1"/>
      <c r="OG767" s="1"/>
      <c r="OH767" s="1"/>
      <c r="OI767" s="1"/>
      <c r="OJ767" s="1"/>
      <c r="OK767" s="1"/>
      <c r="OL767" s="1"/>
      <c r="OM767" s="1"/>
      <c r="ON767" s="1"/>
      <c r="OO767" s="1"/>
      <c r="OP767" s="1"/>
      <c r="OQ767" s="1"/>
      <c r="OR767" s="1"/>
      <c r="OS767" s="1"/>
      <c r="OT767" s="1"/>
      <c r="OU767" s="1"/>
      <c r="OV767" s="1"/>
      <c r="OW767" s="1"/>
      <c r="OX767" s="1"/>
      <c r="OY767" s="1"/>
      <c r="OZ767" s="1"/>
      <c r="PA767" s="1"/>
      <c r="PB767" s="1"/>
      <c r="PC767" s="1"/>
      <c r="PD767" s="1"/>
      <c r="PE767" s="1"/>
      <c r="PF767" s="1"/>
      <c r="PG767" s="1"/>
      <c r="PH767" s="1"/>
      <c r="PI767" s="1"/>
      <c r="PJ767" s="1"/>
      <c r="PK767" s="1"/>
      <c r="PL767" s="1"/>
      <c r="PM767" s="1"/>
      <c r="PN767" s="1"/>
      <c r="PO767" s="1"/>
      <c r="PP767" s="1"/>
      <c r="PQ767" s="1"/>
      <c r="PR767" s="1"/>
      <c r="PS767" s="1"/>
      <c r="PT767" s="1"/>
      <c r="PU767" s="1"/>
      <c r="PV767" s="1"/>
      <c r="PW767" s="1"/>
      <c r="PX767" s="1"/>
      <c r="PY767" s="1"/>
      <c r="PZ767" s="1"/>
      <c r="QA767" s="1"/>
      <c r="QB767" s="1"/>
      <c r="QC767" s="1"/>
      <c r="QD767" s="1"/>
      <c r="QE767" s="1"/>
      <c r="QF767" s="1"/>
      <c r="QG767" s="1"/>
      <c r="QH767" s="1"/>
      <c r="QI767" s="1"/>
      <c r="QJ767" s="1"/>
      <c r="QK767" s="1"/>
      <c r="QL767" s="1"/>
      <c r="QM767" s="1"/>
      <c r="QN767" s="1"/>
      <c r="QO767" s="1"/>
      <c r="QP767" s="1"/>
      <c r="QQ767" s="1"/>
      <c r="QR767" s="1"/>
      <c r="QS767" s="1"/>
      <c r="QT767" s="1"/>
      <c r="QU767" s="1"/>
      <c r="QV767" s="1"/>
      <c r="QW767" s="1"/>
      <c r="QX767" s="1"/>
      <c r="QY767" s="1"/>
      <c r="QZ767" s="1"/>
      <c r="RA767" s="1"/>
      <c r="RB767" s="1"/>
      <c r="RC767" s="1"/>
      <c r="RD767" s="1"/>
      <c r="RE767" s="1"/>
      <c r="RF767" s="1"/>
      <c r="RG767" s="1"/>
      <c r="RH767" s="1"/>
      <c r="RI767" s="1"/>
      <c r="RJ767" s="1"/>
      <c r="RK767" s="1"/>
      <c r="RL767" s="1"/>
      <c r="RM767" s="1"/>
      <c r="RN767" s="1"/>
      <c r="RO767" s="1"/>
      <c r="RP767" s="1"/>
      <c r="RQ767" s="1"/>
      <c r="RR767" s="1"/>
      <c r="RS767" s="1"/>
      <c r="RT767" s="1"/>
      <c r="RU767" s="1"/>
      <c r="RV767" s="1"/>
      <c r="RW767" s="1"/>
      <c r="RX767" s="1"/>
      <c r="RY767" s="1"/>
      <c r="RZ767" s="1"/>
      <c r="SA767" s="1"/>
      <c r="SB767" s="1"/>
      <c r="SC767" s="1"/>
      <c r="SD767" s="1"/>
      <c r="SE767" s="1"/>
      <c r="SF767" s="1"/>
      <c r="SG767" s="1"/>
      <c r="SH767" s="1"/>
      <c r="SI767" s="1"/>
      <c r="SJ767" s="1"/>
      <c r="SK767" s="1"/>
      <c r="SL767" s="1"/>
      <c r="SM767" s="1"/>
      <c r="SN767" s="1"/>
      <c r="SO767" s="1"/>
      <c r="SP767" s="1"/>
      <c r="SQ767" s="1"/>
      <c r="SR767" s="1"/>
      <c r="SS767" s="1"/>
      <c r="ST767" s="1"/>
      <c r="SU767" s="1"/>
      <c r="SV767" s="1"/>
      <c r="SW767" s="1"/>
      <c r="SX767" s="1"/>
      <c r="SY767" s="1"/>
      <c r="SZ767" s="1"/>
      <c r="TA767" s="1"/>
      <c r="TB767" s="1"/>
      <c r="TC767" s="1"/>
      <c r="TD767" s="1"/>
      <c r="TE767" s="1"/>
      <c r="TF767" s="1"/>
      <c r="TG767" s="1"/>
      <c r="TH767" s="1"/>
      <c r="TI767" s="1"/>
      <c r="TJ767" s="1"/>
      <c r="TK767" s="1"/>
      <c r="TL767" s="1"/>
      <c r="TM767" s="1"/>
      <c r="TN767" s="1"/>
      <c r="TO767" s="1"/>
      <c r="TP767" s="1"/>
      <c r="TQ767" s="1"/>
      <c r="TR767" s="1"/>
      <c r="TS767" s="1"/>
      <c r="TT767" s="1"/>
      <c r="TU767" s="1"/>
      <c r="TV767" s="1"/>
      <c r="TW767" s="1"/>
      <c r="TX767" s="1"/>
      <c r="TY767" s="1"/>
      <c r="TZ767" s="1"/>
      <c r="UA767" s="1"/>
      <c r="UB767" s="1"/>
      <c r="UC767" s="1"/>
      <c r="UD767" s="1"/>
      <c r="UE767" s="1"/>
      <c r="UF767" s="1"/>
      <c r="UG767" s="1"/>
      <c r="UH767" s="1"/>
      <c r="UI767" s="1"/>
    </row>
    <row r="768" spans="1:555" ht="150.75" customHeight="1">
      <c r="A768" s="502">
        <v>681</v>
      </c>
      <c r="B768" s="686" t="s">
        <v>5800</v>
      </c>
      <c r="C768" s="792">
        <v>18611363</v>
      </c>
      <c r="D768" s="688" t="s">
        <v>677</v>
      </c>
      <c r="E768" s="27">
        <v>43074</v>
      </c>
      <c r="F768" s="689">
        <v>43074</v>
      </c>
      <c r="G768" s="690" t="s">
        <v>5801</v>
      </c>
      <c r="H768" s="686" t="s">
        <v>5</v>
      </c>
      <c r="I768" s="686" t="s">
        <v>570</v>
      </c>
      <c r="J768" s="27">
        <v>43117</v>
      </c>
      <c r="K768" s="689">
        <v>43101</v>
      </c>
      <c r="L768" s="690" t="s">
        <v>5802</v>
      </c>
      <c r="M768" s="686" t="s">
        <v>171</v>
      </c>
      <c r="N768" s="686" t="s">
        <v>4254</v>
      </c>
      <c r="O768" s="27">
        <v>43237</v>
      </c>
      <c r="P768" s="689">
        <v>43221</v>
      </c>
      <c r="Q768" s="690" t="s">
        <v>800</v>
      </c>
      <c r="R768" s="686" t="s">
        <v>5</v>
      </c>
      <c r="S768" s="686" t="s">
        <v>107</v>
      </c>
      <c r="T768" s="27">
        <v>43287</v>
      </c>
      <c r="U768" s="691">
        <v>42922</v>
      </c>
      <c r="V768" s="693" t="s">
        <v>5686</v>
      </c>
      <c r="W768" s="693" t="s">
        <v>5</v>
      </c>
      <c r="X768" s="693" t="s">
        <v>107</v>
      </c>
      <c r="Y768" s="16">
        <v>43322</v>
      </c>
      <c r="Z768" s="689">
        <v>43322</v>
      </c>
      <c r="AA768" s="706" t="s">
        <v>5803</v>
      </c>
      <c r="AB768" s="706" t="s">
        <v>208</v>
      </c>
      <c r="AC768" s="686" t="s">
        <v>107</v>
      </c>
      <c r="AD768" s="27">
        <v>43405</v>
      </c>
      <c r="AE768" s="689">
        <v>43405</v>
      </c>
      <c r="AF768" s="690" t="s">
        <v>7383</v>
      </c>
      <c r="AG768" s="686" t="s">
        <v>5</v>
      </c>
      <c r="AH768" s="686" t="s">
        <v>79</v>
      </c>
      <c r="AI768" s="27" t="s">
        <v>10736</v>
      </c>
      <c r="AJ768" s="689" t="s">
        <v>10735</v>
      </c>
      <c r="AK768" s="690" t="s">
        <v>10734</v>
      </c>
      <c r="AL768" s="686" t="s">
        <v>10737</v>
      </c>
      <c r="AM768" s="793" t="s">
        <v>10738</v>
      </c>
      <c r="AN768" s="686" t="s">
        <v>5804</v>
      </c>
      <c r="AO768" s="694">
        <v>43074</v>
      </c>
      <c r="AP768" s="692" t="s">
        <v>2558</v>
      </c>
      <c r="AQ768" s="690" t="s">
        <v>5805</v>
      </c>
      <c r="AR768" s="686" t="s">
        <v>161</v>
      </c>
      <c r="AS768" s="27">
        <v>39584</v>
      </c>
      <c r="AT768" s="27">
        <v>40608</v>
      </c>
      <c r="AU768" s="686" t="s">
        <v>5806</v>
      </c>
      <c r="AV768" s="686"/>
      <c r="AW768" s="686" t="s">
        <v>69</v>
      </c>
      <c r="AX768" s="686" t="s">
        <v>5807</v>
      </c>
      <c r="AY768" s="27">
        <v>42523</v>
      </c>
      <c r="AZ768" s="686" t="s">
        <v>5808</v>
      </c>
      <c r="BA768" s="27">
        <v>42998</v>
      </c>
      <c r="BB768" s="27">
        <v>43025</v>
      </c>
      <c r="BC768" s="686" t="s">
        <v>95</v>
      </c>
      <c r="BD768" s="686" t="s">
        <v>566</v>
      </c>
      <c r="BE768" s="686"/>
      <c r="BF768" s="690"/>
      <c r="BG768" s="690"/>
      <c r="BH768" s="794"/>
      <c r="BI768" s="690"/>
      <c r="BJ768" s="708">
        <f>+[286]MATRIZ!$M$49</f>
        <v>90341736.317731827</v>
      </c>
      <c r="BK768" s="696"/>
      <c r="BL768" s="697"/>
      <c r="BM768" s="27"/>
      <c r="BN768" s="689"/>
      <c r="BO768" s="699"/>
      <c r="BP768" s="700"/>
      <c r="BQ768" s="686"/>
      <c r="BR768" s="701"/>
      <c r="BS768" s="690"/>
      <c r="BT768" s="690"/>
      <c r="BU768" s="690"/>
      <c r="BV768" s="690"/>
      <c r="BW768" s="702"/>
      <c r="BX768" s="693"/>
      <c r="BY768" s="27"/>
      <c r="BZ768" s="703"/>
      <c r="CA768" s="259"/>
      <c r="CB768" s="259"/>
      <c r="CC768" s="259"/>
      <c r="CD768" s="259"/>
      <c r="CE768" s="259"/>
      <c r="CF768" s="259"/>
      <c r="CG768" s="259"/>
      <c r="CH768" s="259"/>
      <c r="CI768" s="259"/>
      <c r="CJ768" s="259"/>
      <c r="CK768" s="259"/>
      <c r="CL768" s="259"/>
      <c r="CM768" s="259"/>
      <c r="CN768" s="259"/>
      <c r="CO768" s="259"/>
      <c r="CP768" s="259"/>
      <c r="CQ768" s="259"/>
      <c r="CR768" s="259"/>
      <c r="CS768" s="259"/>
      <c r="CT768" s="259"/>
      <c r="CU768" s="259"/>
      <c r="CV768" s="259"/>
      <c r="CW768" s="259"/>
      <c r="CX768" s="259"/>
      <c r="CY768" s="259"/>
      <c r="CZ768" s="259"/>
      <c r="DA768" s="259"/>
      <c r="DB768" s="259"/>
      <c r="DC768" s="259"/>
      <c r="DD768" s="259"/>
      <c r="DE768" s="259"/>
      <c r="DF768" s="259"/>
      <c r="DG768" s="259"/>
      <c r="DH768" s="259"/>
      <c r="DI768" s="259"/>
      <c r="DJ768" s="259"/>
      <c r="DK768" s="259"/>
      <c r="DL768" s="259"/>
      <c r="DM768" s="259"/>
      <c r="DN768" s="259"/>
      <c r="DO768" s="259"/>
      <c r="DP768" s="259"/>
      <c r="DQ768" s="259"/>
      <c r="DR768" s="259"/>
      <c r="DS768" s="259"/>
      <c r="DT768" s="259"/>
      <c r="DU768" s="259"/>
      <c r="DV768" s="259"/>
      <c r="DW768" s="259"/>
      <c r="DX768" s="259"/>
      <c r="DY768" s="259"/>
      <c r="DZ768" s="259"/>
      <c r="EA768" s="259"/>
      <c r="EB768" s="259"/>
      <c r="EC768" s="259"/>
      <c r="ED768" s="259"/>
      <c r="EE768" s="259"/>
      <c r="EF768" s="259"/>
      <c r="EG768" s="259"/>
      <c r="EH768" s="259"/>
      <c r="EI768" s="259"/>
      <c r="EJ768" s="259"/>
      <c r="EK768" s="259"/>
      <c r="EL768" s="259"/>
      <c r="EM768" s="259"/>
      <c r="EN768" s="259"/>
      <c r="EO768" s="259"/>
      <c r="EP768" s="259"/>
      <c r="EQ768" s="259"/>
      <c r="ER768" s="259"/>
      <c r="ES768" s="259"/>
      <c r="ET768" s="259"/>
      <c r="EU768" s="259"/>
      <c r="EV768" s="259"/>
      <c r="EW768" s="259"/>
      <c r="EX768" s="259"/>
      <c r="EY768" s="259"/>
      <c r="EZ768" s="259"/>
      <c r="FA768" s="259"/>
      <c r="FB768" s="259"/>
      <c r="FC768" s="259"/>
      <c r="FD768" s="259"/>
      <c r="FE768" s="259"/>
      <c r="FF768" s="259"/>
      <c r="FG768" s="259"/>
      <c r="FH768" s="259"/>
      <c r="FI768" s="259"/>
      <c r="FJ768" s="259"/>
      <c r="FK768" s="259"/>
      <c r="FL768" s="259"/>
      <c r="FM768" s="259"/>
      <c r="FN768" s="259"/>
      <c r="FO768" s="259"/>
      <c r="FP768" s="259"/>
      <c r="FQ768" s="259"/>
      <c r="FR768" s="259"/>
      <c r="FS768" s="259"/>
      <c r="FT768" s="259"/>
      <c r="FU768" s="259"/>
      <c r="FV768" s="259"/>
      <c r="FW768" s="259"/>
      <c r="FX768" s="259"/>
      <c r="FY768" s="259"/>
      <c r="FZ768" s="259"/>
      <c r="GA768" s="259"/>
      <c r="GB768" s="259"/>
      <c r="GC768" s="259"/>
      <c r="GD768" s="259"/>
      <c r="GE768" s="259"/>
      <c r="GF768" s="259"/>
      <c r="GG768" s="259"/>
      <c r="GH768" s="259"/>
      <c r="GI768" s="259"/>
      <c r="GJ768" s="259"/>
      <c r="GK768" s="259"/>
      <c r="GL768" s="259"/>
      <c r="GM768" s="259"/>
      <c r="GN768" s="259"/>
      <c r="GO768" s="259"/>
      <c r="GP768" s="259"/>
      <c r="GQ768" s="259"/>
      <c r="GR768" s="259"/>
      <c r="GS768" s="259"/>
      <c r="GT768" s="259"/>
      <c r="GU768" s="259"/>
      <c r="GV768" s="259"/>
      <c r="GW768" s="259"/>
      <c r="GX768" s="259"/>
      <c r="GY768" s="259"/>
      <c r="GZ768" s="259"/>
      <c r="HA768" s="259"/>
      <c r="HB768" s="259"/>
      <c r="HC768" s="259"/>
      <c r="HD768" s="259"/>
      <c r="HE768" s="259"/>
      <c r="HF768" s="259"/>
      <c r="HG768" s="259"/>
      <c r="HH768" s="259"/>
      <c r="HI768" s="259"/>
      <c r="HJ768" s="259"/>
      <c r="HK768" s="259"/>
      <c r="HL768" s="259"/>
      <c r="HM768" s="259"/>
      <c r="HN768" s="259"/>
      <c r="HO768" s="259"/>
      <c r="HP768" s="259"/>
      <c r="HQ768" s="259"/>
      <c r="HR768" s="259"/>
      <c r="HS768" s="259"/>
      <c r="HT768" s="259"/>
      <c r="HU768" s="259"/>
      <c r="HV768" s="259"/>
      <c r="HW768" s="259"/>
      <c r="HX768" s="259"/>
      <c r="HY768" s="259"/>
      <c r="HZ768" s="259"/>
      <c r="IA768" s="259"/>
      <c r="IB768" s="259"/>
      <c r="IC768" s="259"/>
      <c r="ID768" s="259"/>
      <c r="IE768" s="259"/>
      <c r="IF768" s="259"/>
      <c r="IG768" s="259"/>
      <c r="IH768" s="259"/>
      <c r="II768" s="259"/>
      <c r="IJ768" s="259"/>
      <c r="IK768" s="259"/>
      <c r="IL768" s="259"/>
      <c r="IM768" s="259"/>
      <c r="IN768" s="259"/>
      <c r="IO768" s="259"/>
      <c r="IP768" s="259"/>
      <c r="IQ768" s="259"/>
      <c r="IR768" s="259"/>
      <c r="IS768" s="259"/>
      <c r="IT768" s="259"/>
      <c r="IU768" s="259"/>
      <c r="IV768" s="259"/>
      <c r="IW768" s="259"/>
      <c r="IX768" s="259"/>
      <c r="IY768" s="259"/>
      <c r="IZ768" s="259"/>
      <c r="JA768" s="259"/>
      <c r="JB768" s="259"/>
      <c r="JC768" s="259"/>
      <c r="JD768" s="259"/>
      <c r="JE768" s="259"/>
      <c r="JF768" s="259"/>
      <c r="JG768" s="259"/>
      <c r="JH768" s="259"/>
      <c r="JI768" s="259"/>
      <c r="JJ768" s="259"/>
      <c r="JK768" s="259"/>
      <c r="JL768" s="259"/>
      <c r="JM768" s="259"/>
      <c r="JN768" s="259"/>
      <c r="JO768" s="259"/>
      <c r="JP768" s="259"/>
      <c r="JQ768" s="259"/>
      <c r="JR768" s="259"/>
      <c r="JS768" s="259"/>
      <c r="JT768" s="259"/>
      <c r="JU768" s="259"/>
      <c r="JV768" s="259"/>
      <c r="JW768" s="259"/>
      <c r="JX768" s="259"/>
      <c r="JY768" s="259"/>
      <c r="JZ768" s="259"/>
      <c r="KA768" s="259"/>
      <c r="KB768" s="259"/>
      <c r="KC768" s="259"/>
      <c r="KD768" s="259"/>
      <c r="KE768" s="259"/>
      <c r="KF768" s="259"/>
      <c r="KG768" s="259"/>
      <c r="KH768" s="259"/>
      <c r="KI768" s="259"/>
      <c r="KJ768" s="259"/>
      <c r="KK768" s="259"/>
      <c r="KL768" s="259"/>
      <c r="KM768" s="259"/>
      <c r="KN768" s="259"/>
      <c r="KO768" s="259"/>
      <c r="KP768" s="259"/>
      <c r="KQ768" s="259"/>
      <c r="KR768" s="259"/>
      <c r="KS768" s="259"/>
      <c r="KT768" s="259"/>
      <c r="KU768" s="259"/>
      <c r="KV768" s="259"/>
      <c r="KW768" s="259"/>
      <c r="KX768" s="259"/>
      <c r="KY768" s="259"/>
      <c r="KZ768" s="259"/>
      <c r="LA768" s="259"/>
      <c r="LB768" s="259"/>
      <c r="LC768" s="259"/>
      <c r="LD768" s="259"/>
      <c r="LE768" s="259"/>
      <c r="LF768" s="259"/>
      <c r="LG768" s="259"/>
      <c r="LH768" s="259"/>
      <c r="LI768" s="259"/>
      <c r="LJ768" s="259"/>
      <c r="LK768" s="259"/>
      <c r="LL768" s="259"/>
      <c r="LM768" s="259"/>
      <c r="LN768" s="259"/>
      <c r="LO768" s="259"/>
      <c r="LP768" s="259"/>
      <c r="LQ768" s="259"/>
      <c r="LR768" s="259"/>
      <c r="LS768" s="259"/>
      <c r="LT768" s="259"/>
      <c r="LU768" s="259"/>
      <c r="LV768" s="259"/>
      <c r="LW768" s="259"/>
      <c r="LX768" s="259"/>
      <c r="LY768" s="259"/>
      <c r="LZ768" s="259"/>
      <c r="MA768" s="259"/>
      <c r="MB768" s="259"/>
      <c r="MC768" s="259"/>
      <c r="MD768" s="259"/>
      <c r="ME768" s="259"/>
      <c r="MF768" s="259"/>
      <c r="MG768" s="259"/>
      <c r="MH768" s="259"/>
      <c r="MI768" s="259"/>
      <c r="MJ768" s="259"/>
      <c r="MK768" s="259"/>
      <c r="ML768" s="259"/>
      <c r="MM768" s="259"/>
      <c r="MN768" s="259"/>
      <c r="MO768" s="259"/>
      <c r="MP768" s="259"/>
      <c r="MQ768" s="259"/>
      <c r="MR768" s="259"/>
      <c r="MS768" s="259"/>
      <c r="MT768" s="259"/>
      <c r="MU768" s="259"/>
      <c r="MV768" s="259"/>
      <c r="MW768" s="259"/>
      <c r="MX768" s="259"/>
      <c r="MY768" s="259"/>
      <c r="MZ768" s="259"/>
      <c r="NA768" s="259"/>
      <c r="NB768" s="259"/>
      <c r="NC768" s="259"/>
      <c r="ND768" s="259"/>
      <c r="NE768" s="259"/>
      <c r="NF768" s="259"/>
      <c r="NG768" s="259"/>
      <c r="NH768" s="259"/>
      <c r="NI768" s="259"/>
      <c r="NJ768" s="259"/>
      <c r="NK768" s="259"/>
      <c r="NL768" s="259"/>
      <c r="NM768" s="259"/>
      <c r="NN768" s="259"/>
      <c r="NO768" s="259"/>
      <c r="NP768" s="259"/>
      <c r="NQ768" s="259"/>
      <c r="NR768" s="259"/>
      <c r="NS768" s="259"/>
      <c r="NT768" s="259"/>
      <c r="NU768" s="259"/>
      <c r="NV768" s="259"/>
      <c r="NW768" s="259"/>
      <c r="NX768" s="259"/>
      <c r="NY768" s="259"/>
      <c r="NZ768" s="259"/>
      <c r="OA768" s="259"/>
      <c r="OB768" s="259"/>
      <c r="OC768" s="259"/>
      <c r="OD768" s="259"/>
      <c r="OE768" s="259"/>
      <c r="OF768" s="259"/>
      <c r="OG768" s="259"/>
      <c r="OH768" s="259"/>
      <c r="OI768" s="259"/>
      <c r="OJ768" s="259"/>
      <c r="OK768" s="259"/>
      <c r="OL768" s="259"/>
      <c r="OM768" s="259"/>
      <c r="ON768" s="259"/>
      <c r="OO768" s="259"/>
      <c r="OP768" s="259"/>
      <c r="OQ768" s="259"/>
      <c r="OR768" s="259"/>
      <c r="OS768" s="259"/>
      <c r="OT768" s="259"/>
      <c r="OU768" s="259"/>
      <c r="OV768" s="259"/>
      <c r="OW768" s="259"/>
      <c r="OX768" s="259"/>
      <c r="OY768" s="259"/>
      <c r="OZ768" s="259"/>
      <c r="PA768" s="259"/>
      <c r="PB768" s="259"/>
      <c r="PC768" s="259"/>
      <c r="PD768" s="259"/>
      <c r="PE768" s="259"/>
      <c r="PF768" s="259"/>
      <c r="PG768" s="259"/>
      <c r="PH768" s="259"/>
      <c r="PI768" s="259"/>
      <c r="PJ768" s="259"/>
      <c r="PK768" s="259"/>
      <c r="PL768" s="259"/>
      <c r="PM768" s="259"/>
      <c r="PN768" s="259"/>
      <c r="PO768" s="259"/>
      <c r="PP768" s="259"/>
      <c r="PQ768" s="259"/>
      <c r="PR768" s="259"/>
      <c r="PS768" s="259"/>
      <c r="PT768" s="259"/>
      <c r="PU768" s="259"/>
      <c r="PV768" s="259"/>
      <c r="PW768" s="259"/>
      <c r="PX768" s="259"/>
      <c r="PY768" s="259"/>
      <c r="PZ768" s="259"/>
      <c r="QA768" s="259"/>
      <c r="QB768" s="259"/>
      <c r="QC768" s="259"/>
      <c r="QD768" s="259"/>
      <c r="QE768" s="259"/>
      <c r="QF768" s="259"/>
      <c r="QG768" s="259"/>
      <c r="QH768" s="259"/>
      <c r="QI768" s="259"/>
      <c r="QJ768" s="259"/>
      <c r="QK768" s="259"/>
      <c r="QL768" s="259"/>
      <c r="QM768" s="259"/>
      <c r="QN768" s="259"/>
      <c r="QO768" s="259"/>
      <c r="QP768" s="259"/>
      <c r="QQ768" s="259"/>
      <c r="QR768" s="259"/>
      <c r="QS768" s="259"/>
      <c r="QT768" s="259"/>
      <c r="QU768" s="259"/>
      <c r="QV768" s="259"/>
      <c r="QW768" s="259"/>
      <c r="QX768" s="259"/>
      <c r="QY768" s="259"/>
      <c r="QZ768" s="259"/>
      <c r="RA768" s="259"/>
      <c r="RB768" s="259"/>
      <c r="RC768" s="259"/>
      <c r="RD768" s="259"/>
      <c r="RE768" s="259"/>
      <c r="RF768" s="259"/>
      <c r="RG768" s="259"/>
      <c r="RH768" s="259"/>
      <c r="RI768" s="259"/>
      <c r="RJ768" s="259"/>
      <c r="RK768" s="259"/>
      <c r="RL768" s="259"/>
      <c r="RM768" s="259"/>
      <c r="RN768" s="259"/>
      <c r="RO768" s="259"/>
      <c r="RP768" s="259"/>
      <c r="RQ768" s="259"/>
      <c r="RR768" s="259"/>
      <c r="RS768" s="259"/>
      <c r="RT768" s="259"/>
      <c r="RU768" s="259"/>
      <c r="RV768" s="259"/>
      <c r="RW768" s="259"/>
      <c r="RX768" s="259"/>
      <c r="RY768" s="259"/>
      <c r="RZ768" s="259"/>
      <c r="SA768" s="259"/>
      <c r="SB768" s="259"/>
      <c r="SC768" s="259"/>
      <c r="SD768" s="259"/>
      <c r="SE768" s="259"/>
      <c r="SF768" s="259"/>
      <c r="SG768" s="259"/>
      <c r="SH768" s="259"/>
      <c r="SI768" s="259"/>
      <c r="SJ768" s="259"/>
      <c r="SK768" s="259"/>
      <c r="SL768" s="259"/>
      <c r="SM768" s="259"/>
      <c r="SN768" s="259"/>
      <c r="SO768" s="259"/>
      <c r="SP768" s="259"/>
      <c r="SQ768" s="259"/>
      <c r="SR768" s="259"/>
      <c r="SS768" s="259"/>
      <c r="ST768" s="259"/>
      <c r="SU768" s="259"/>
      <c r="SV768" s="259"/>
      <c r="SW768" s="259"/>
      <c r="SX768" s="259"/>
      <c r="SY768" s="259"/>
      <c r="SZ768" s="259"/>
      <c r="TA768" s="259"/>
      <c r="TB768" s="259"/>
      <c r="TC768" s="259"/>
      <c r="TD768" s="259"/>
      <c r="TE768" s="259"/>
      <c r="TF768" s="259"/>
      <c r="TG768" s="259"/>
      <c r="TH768" s="259"/>
      <c r="TI768" s="259"/>
      <c r="TJ768" s="259"/>
      <c r="TK768" s="259"/>
      <c r="TL768" s="259"/>
      <c r="TM768" s="259"/>
      <c r="TN768" s="259"/>
      <c r="TO768" s="259"/>
      <c r="TP768" s="259"/>
      <c r="TQ768" s="259"/>
      <c r="TR768" s="259"/>
      <c r="TS768" s="259"/>
      <c r="TT768" s="259"/>
      <c r="TU768" s="259"/>
      <c r="TV768" s="259"/>
      <c r="TW768" s="259"/>
      <c r="TX768" s="259"/>
      <c r="TY768" s="259"/>
      <c r="TZ768" s="259"/>
      <c r="UA768" s="259"/>
      <c r="UB768" s="259"/>
      <c r="UC768" s="259"/>
      <c r="UD768" s="259"/>
      <c r="UE768" s="259"/>
      <c r="UF768" s="259"/>
      <c r="UG768" s="259"/>
      <c r="UH768" s="259"/>
      <c r="UI768" s="259"/>
    </row>
    <row r="769" spans="1:555" s="259" customFormat="1" ht="121.5">
      <c r="A769" s="57">
        <v>682</v>
      </c>
      <c r="B769" s="58" t="s">
        <v>5809</v>
      </c>
      <c r="C769" s="59">
        <v>79394341</v>
      </c>
      <c r="D769" s="170" t="s">
        <v>5810</v>
      </c>
      <c r="E769" s="60">
        <v>43117</v>
      </c>
      <c r="F769" s="61">
        <v>43101</v>
      </c>
      <c r="G769" s="62" t="s">
        <v>5811</v>
      </c>
      <c r="H769" s="58" t="s">
        <v>625</v>
      </c>
      <c r="I769" s="58" t="s">
        <v>4254</v>
      </c>
      <c r="J769" s="60">
        <v>43130</v>
      </c>
      <c r="K769" s="61">
        <v>43101</v>
      </c>
      <c r="L769" s="62" t="s">
        <v>5812</v>
      </c>
      <c r="M769" s="58" t="s">
        <v>5813</v>
      </c>
      <c r="N769" s="58" t="s">
        <v>3974</v>
      </c>
      <c r="O769" s="60">
        <v>43144</v>
      </c>
      <c r="P769" s="63">
        <v>43132</v>
      </c>
      <c r="Q769" s="62" t="s">
        <v>5814</v>
      </c>
      <c r="R769" s="58" t="s">
        <v>625</v>
      </c>
      <c r="S769" s="58" t="s">
        <v>3423</v>
      </c>
      <c r="T769" s="60">
        <v>43236</v>
      </c>
      <c r="U769" s="61">
        <v>43221</v>
      </c>
      <c r="V769" s="62" t="s">
        <v>5815</v>
      </c>
      <c r="W769" s="58" t="s">
        <v>63</v>
      </c>
      <c r="X769" s="58" t="s">
        <v>79</v>
      </c>
      <c r="Y769" s="60">
        <v>43343</v>
      </c>
      <c r="Z769" s="61">
        <v>43343</v>
      </c>
      <c r="AA769" s="62" t="s">
        <v>5816</v>
      </c>
      <c r="AB769" s="58" t="s">
        <v>5</v>
      </c>
      <c r="AC769" s="58" t="s">
        <v>5817</v>
      </c>
      <c r="AD769" s="60">
        <v>43346</v>
      </c>
      <c r="AE769" s="61">
        <v>43346</v>
      </c>
      <c r="AF769" s="62" t="s">
        <v>5818</v>
      </c>
      <c r="AG769" s="58" t="s">
        <v>5</v>
      </c>
      <c r="AH769" s="58" t="s">
        <v>5819</v>
      </c>
      <c r="AI769" s="117"/>
      <c r="AJ769" s="61"/>
      <c r="AK769" s="62"/>
      <c r="AL769" s="58"/>
      <c r="AM769" s="58"/>
      <c r="AN769" s="58" t="s">
        <v>918</v>
      </c>
      <c r="AO769" s="478" t="s">
        <v>7947</v>
      </c>
      <c r="AP769" s="119" t="s">
        <v>2558</v>
      </c>
      <c r="AQ769" s="62" t="s">
        <v>5820</v>
      </c>
      <c r="AR769" s="58" t="s">
        <v>161</v>
      </c>
      <c r="AS769" s="60">
        <v>37237</v>
      </c>
      <c r="AT769" s="60">
        <v>40724</v>
      </c>
      <c r="AU769" s="58" t="s">
        <v>5821</v>
      </c>
      <c r="AV769" s="58"/>
      <c r="AW769" s="58" t="s">
        <v>69</v>
      </c>
      <c r="AX769" s="58" t="s">
        <v>5786</v>
      </c>
      <c r="AY769" s="60">
        <v>42625</v>
      </c>
      <c r="AZ769" s="58" t="s">
        <v>4043</v>
      </c>
      <c r="BA769" s="60">
        <v>42852</v>
      </c>
      <c r="BB769" s="382">
        <v>43122</v>
      </c>
      <c r="BC769" s="58" t="s">
        <v>95</v>
      </c>
      <c r="BD769" s="58" t="s">
        <v>566</v>
      </c>
      <c r="BE769" s="58"/>
      <c r="BF769" s="62" t="s">
        <v>5822</v>
      </c>
      <c r="BG769" s="62"/>
      <c r="BH769" s="62"/>
      <c r="BI769" s="62"/>
      <c r="BJ769" s="209">
        <f>+[287]MATRIZ!$J$92</f>
        <v>252394784.61072001</v>
      </c>
      <c r="BK769" s="67"/>
      <c r="BL769" s="68"/>
      <c r="BM769" s="60"/>
      <c r="BN769" s="61"/>
      <c r="BO769" s="463"/>
      <c r="BP769" s="122"/>
      <c r="BQ769" s="58"/>
      <c r="BR769" s="70"/>
      <c r="BS769" s="62"/>
      <c r="BT769" s="62"/>
      <c r="BU769" s="62"/>
      <c r="BV769" s="62"/>
      <c r="BW769" s="71"/>
      <c r="BX769" s="66"/>
      <c r="BY769" s="60"/>
      <c r="BZ769" s="72"/>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c r="JW769" s="1"/>
      <c r="JX769" s="1"/>
      <c r="JY769" s="1"/>
      <c r="JZ769" s="1"/>
      <c r="KA769" s="1"/>
      <c r="KB769" s="1"/>
      <c r="KC769" s="1"/>
      <c r="KD769" s="1"/>
      <c r="KE769" s="1"/>
      <c r="KF769" s="1"/>
      <c r="KG769" s="1"/>
      <c r="KH769" s="1"/>
      <c r="KI769" s="1"/>
      <c r="KJ769" s="1"/>
      <c r="KK769" s="1"/>
      <c r="KL769" s="1"/>
      <c r="KM769" s="1"/>
      <c r="KN769" s="1"/>
      <c r="KO769" s="1"/>
      <c r="KP769" s="1"/>
      <c r="KQ769" s="1"/>
      <c r="KR769" s="1"/>
      <c r="KS769" s="1"/>
      <c r="KT769" s="1"/>
      <c r="KU769" s="1"/>
      <c r="KV769" s="1"/>
      <c r="KW769" s="1"/>
      <c r="KX769" s="1"/>
      <c r="KY769" s="1"/>
      <c r="KZ769" s="1"/>
      <c r="LA769" s="1"/>
      <c r="LB769" s="1"/>
      <c r="LC769" s="1"/>
      <c r="LD769" s="1"/>
      <c r="LE769" s="1"/>
      <c r="LF769" s="1"/>
      <c r="LG769" s="1"/>
      <c r="LH769" s="1"/>
      <c r="LI769" s="1"/>
      <c r="LJ769" s="1"/>
      <c r="LK769" s="1"/>
      <c r="LL769" s="1"/>
      <c r="LM769" s="1"/>
      <c r="LN769" s="1"/>
      <c r="LO769" s="1"/>
      <c r="LP769" s="1"/>
      <c r="LQ769" s="1"/>
      <c r="LR769" s="1"/>
      <c r="LS769" s="1"/>
      <c r="LT769" s="1"/>
      <c r="LU769" s="1"/>
      <c r="LV769" s="1"/>
      <c r="LW769" s="1"/>
      <c r="LX769" s="1"/>
      <c r="LY769" s="1"/>
      <c r="LZ769" s="1"/>
      <c r="MA769" s="1"/>
      <c r="MB769" s="1"/>
      <c r="MC769" s="1"/>
      <c r="MD769" s="1"/>
      <c r="ME769" s="1"/>
      <c r="MF769" s="1"/>
      <c r="MG769" s="1"/>
      <c r="MH769" s="1"/>
      <c r="MI769" s="1"/>
      <c r="MJ769" s="1"/>
      <c r="MK769" s="1"/>
      <c r="ML769" s="1"/>
      <c r="MM769" s="1"/>
      <c r="MN769" s="1"/>
      <c r="MO769" s="1"/>
      <c r="MP769" s="1"/>
      <c r="MQ769" s="1"/>
      <c r="MR769" s="1"/>
      <c r="MS769" s="1"/>
      <c r="MT769" s="1"/>
      <c r="MU769" s="1"/>
      <c r="MV769" s="1"/>
      <c r="MW769" s="1"/>
      <c r="MX769" s="1"/>
      <c r="MY769" s="1"/>
      <c r="MZ769" s="1"/>
      <c r="NA769" s="1"/>
      <c r="NB769" s="1"/>
      <c r="NC769" s="1"/>
      <c r="ND769" s="1"/>
      <c r="NE769" s="1"/>
      <c r="NF769" s="1"/>
      <c r="NG769" s="1"/>
      <c r="NH769" s="1"/>
      <c r="NI769" s="1"/>
      <c r="NJ769" s="1"/>
      <c r="NK769" s="1"/>
      <c r="NL769" s="1"/>
      <c r="NM769" s="1"/>
      <c r="NN769" s="1"/>
      <c r="NO769" s="1"/>
      <c r="NP769" s="1"/>
      <c r="NQ769" s="1"/>
      <c r="NR769" s="1"/>
      <c r="NS769" s="1"/>
      <c r="NT769" s="1"/>
      <c r="NU769" s="1"/>
      <c r="NV769" s="1"/>
      <c r="NW769" s="1"/>
      <c r="NX769" s="1"/>
      <c r="NY769" s="1"/>
      <c r="NZ769" s="1"/>
      <c r="OA769" s="1"/>
      <c r="OB769" s="1"/>
      <c r="OC769" s="1"/>
      <c r="OD769" s="1"/>
      <c r="OE769" s="1"/>
      <c r="OF769" s="1"/>
      <c r="OG769" s="1"/>
      <c r="OH769" s="1"/>
      <c r="OI769" s="1"/>
      <c r="OJ769" s="1"/>
      <c r="OK769" s="1"/>
      <c r="OL769" s="1"/>
      <c r="OM769" s="1"/>
      <c r="ON769" s="1"/>
      <c r="OO769" s="1"/>
      <c r="OP769" s="1"/>
      <c r="OQ769" s="1"/>
      <c r="OR769" s="1"/>
      <c r="OS769" s="1"/>
      <c r="OT769" s="1"/>
      <c r="OU769" s="1"/>
      <c r="OV769" s="1"/>
      <c r="OW769" s="1"/>
      <c r="OX769" s="1"/>
      <c r="OY769" s="1"/>
      <c r="OZ769" s="1"/>
      <c r="PA769" s="1"/>
      <c r="PB769" s="1"/>
      <c r="PC769" s="1"/>
      <c r="PD769" s="1"/>
      <c r="PE769" s="1"/>
      <c r="PF769" s="1"/>
      <c r="PG769" s="1"/>
      <c r="PH769" s="1"/>
      <c r="PI769" s="1"/>
      <c r="PJ769" s="1"/>
      <c r="PK769" s="1"/>
      <c r="PL769" s="1"/>
      <c r="PM769" s="1"/>
      <c r="PN769" s="1"/>
      <c r="PO769" s="1"/>
      <c r="PP769" s="1"/>
      <c r="PQ769" s="1"/>
      <c r="PR769" s="1"/>
      <c r="PS769" s="1"/>
      <c r="PT769" s="1"/>
      <c r="PU769" s="1"/>
      <c r="PV769" s="1"/>
      <c r="PW769" s="1"/>
      <c r="PX769" s="1"/>
      <c r="PY769" s="1"/>
      <c r="PZ769" s="1"/>
      <c r="QA769" s="1"/>
      <c r="QB769" s="1"/>
      <c r="QC769" s="1"/>
      <c r="QD769" s="1"/>
      <c r="QE769" s="1"/>
      <c r="QF769" s="1"/>
      <c r="QG769" s="1"/>
      <c r="QH769" s="1"/>
      <c r="QI769" s="1"/>
      <c r="QJ769" s="1"/>
      <c r="QK769" s="1"/>
      <c r="QL769" s="1"/>
      <c r="QM769" s="1"/>
      <c r="QN769" s="1"/>
      <c r="QO769" s="1"/>
      <c r="QP769" s="1"/>
      <c r="QQ769" s="1"/>
      <c r="QR769" s="1"/>
      <c r="QS769" s="1"/>
      <c r="QT769" s="1"/>
      <c r="QU769" s="1"/>
      <c r="QV769" s="1"/>
      <c r="QW769" s="1"/>
      <c r="QX769" s="1"/>
      <c r="QY769" s="1"/>
      <c r="QZ769" s="1"/>
      <c r="RA769" s="1"/>
      <c r="RB769" s="1"/>
      <c r="RC769" s="1"/>
      <c r="RD769" s="1"/>
      <c r="RE769" s="1"/>
      <c r="RF769" s="1"/>
      <c r="RG769" s="1"/>
      <c r="RH769" s="1"/>
      <c r="RI769" s="1"/>
      <c r="RJ769" s="1"/>
      <c r="RK769" s="1"/>
      <c r="RL769" s="1"/>
      <c r="RM769" s="1"/>
      <c r="RN769" s="1"/>
      <c r="RO769" s="1"/>
      <c r="RP769" s="1"/>
      <c r="RQ769" s="1"/>
      <c r="RR769" s="1"/>
      <c r="RS769" s="1"/>
      <c r="RT769" s="1"/>
      <c r="RU769" s="1"/>
      <c r="RV769" s="1"/>
      <c r="RW769" s="1"/>
      <c r="RX769" s="1"/>
      <c r="RY769" s="1"/>
      <c r="RZ769" s="1"/>
      <c r="SA769" s="1"/>
      <c r="SB769" s="1"/>
      <c r="SC769" s="1"/>
      <c r="SD769" s="1"/>
      <c r="SE769" s="1"/>
      <c r="SF769" s="1"/>
      <c r="SG769" s="1"/>
      <c r="SH769" s="1"/>
      <c r="SI769" s="1"/>
      <c r="SJ769" s="1"/>
      <c r="SK769" s="1"/>
      <c r="SL769" s="1"/>
      <c r="SM769" s="1"/>
      <c r="SN769" s="1"/>
      <c r="SO769" s="1"/>
      <c r="SP769" s="1"/>
      <c r="SQ769" s="1"/>
      <c r="SR769" s="1"/>
      <c r="SS769" s="1"/>
      <c r="ST769" s="1"/>
      <c r="SU769" s="1"/>
      <c r="SV769" s="1"/>
      <c r="SW769" s="1"/>
      <c r="SX769" s="1"/>
      <c r="SY769" s="1"/>
      <c r="SZ769" s="1"/>
      <c r="TA769" s="1"/>
      <c r="TB769" s="1"/>
      <c r="TC769" s="1"/>
      <c r="TD769" s="1"/>
      <c r="TE769" s="1"/>
      <c r="TF769" s="1"/>
      <c r="TG769" s="1"/>
      <c r="TH769" s="1"/>
      <c r="TI769" s="1"/>
      <c r="TJ769" s="1"/>
      <c r="TK769" s="1"/>
      <c r="TL769" s="1"/>
      <c r="TM769" s="1"/>
      <c r="TN769" s="1"/>
      <c r="TO769" s="1"/>
      <c r="TP769" s="1"/>
      <c r="TQ769" s="1"/>
      <c r="TR769" s="1"/>
      <c r="TS769" s="1"/>
      <c r="TT769" s="1"/>
      <c r="TU769" s="1"/>
      <c r="TV769" s="1"/>
      <c r="TW769" s="1"/>
      <c r="TX769" s="1"/>
      <c r="TY769" s="1"/>
      <c r="TZ769" s="1"/>
      <c r="UA769" s="1"/>
      <c r="UB769" s="1"/>
      <c r="UC769" s="1"/>
      <c r="UD769" s="1"/>
      <c r="UE769" s="1"/>
      <c r="UF769" s="1"/>
      <c r="UG769" s="1"/>
      <c r="UH769" s="1"/>
      <c r="UI769" s="1"/>
    </row>
    <row r="770" spans="1:555" ht="81">
      <c r="A770" s="57">
        <v>683</v>
      </c>
      <c r="B770" s="58" t="s">
        <v>5823</v>
      </c>
      <c r="C770" s="59">
        <v>8047323</v>
      </c>
      <c r="D770" s="170" t="s">
        <v>667</v>
      </c>
      <c r="E770" s="60">
        <v>43112</v>
      </c>
      <c r="F770" s="61">
        <v>43101</v>
      </c>
      <c r="G770" s="62" t="s">
        <v>5824</v>
      </c>
      <c r="H770" s="58" t="s">
        <v>625</v>
      </c>
      <c r="I770" s="58" t="s">
        <v>4254</v>
      </c>
      <c r="J770" s="60">
        <v>43131</v>
      </c>
      <c r="K770" s="61">
        <v>43101</v>
      </c>
      <c r="L770" s="62" t="s">
        <v>5825</v>
      </c>
      <c r="M770" s="58" t="s">
        <v>625</v>
      </c>
      <c r="N770" s="58" t="s">
        <v>3423</v>
      </c>
      <c r="O770" s="60">
        <v>43145</v>
      </c>
      <c r="P770" s="63">
        <v>43132</v>
      </c>
      <c r="Q770" s="62" t="s">
        <v>5826</v>
      </c>
      <c r="R770" s="58" t="s">
        <v>625</v>
      </c>
      <c r="S770" s="58" t="s">
        <v>3423</v>
      </c>
      <c r="T770" s="60">
        <v>43179</v>
      </c>
      <c r="U770" s="61">
        <v>43160</v>
      </c>
      <c r="V770" s="62" t="s">
        <v>5827</v>
      </c>
      <c r="W770" s="58" t="s">
        <v>198</v>
      </c>
      <c r="X770" s="58" t="s">
        <v>1491</v>
      </c>
      <c r="Y770" s="60">
        <v>43131</v>
      </c>
      <c r="Z770" s="61">
        <v>43101</v>
      </c>
      <c r="AA770" s="62" t="s">
        <v>5825</v>
      </c>
      <c r="AB770" s="58" t="s">
        <v>625</v>
      </c>
      <c r="AC770" s="58" t="s">
        <v>5828</v>
      </c>
      <c r="AD770" s="60"/>
      <c r="AE770" s="61"/>
      <c r="AF770" s="62"/>
      <c r="AG770" s="58"/>
      <c r="AH770" s="58"/>
      <c r="AI770" s="117"/>
      <c r="AJ770" s="61"/>
      <c r="AK770" s="62"/>
      <c r="AL770" s="58"/>
      <c r="AM770" s="58"/>
      <c r="AN770" s="58" t="s">
        <v>918</v>
      </c>
      <c r="AO770" s="478" t="s">
        <v>7946</v>
      </c>
      <c r="AP770" s="119" t="s">
        <v>2558</v>
      </c>
      <c r="AQ770" s="62" t="s">
        <v>5829</v>
      </c>
      <c r="AR770" s="58" t="s">
        <v>161</v>
      </c>
      <c r="AS770" s="60">
        <v>37497</v>
      </c>
      <c r="AT770" s="60">
        <v>40543</v>
      </c>
      <c r="AU770" s="58" t="s">
        <v>5830</v>
      </c>
      <c r="AV770" s="58"/>
      <c r="AW770" s="58" t="s">
        <v>69</v>
      </c>
      <c r="AX770" s="58" t="s">
        <v>5831</v>
      </c>
      <c r="AY770" s="60">
        <v>42629</v>
      </c>
      <c r="AZ770" s="58" t="s">
        <v>5536</v>
      </c>
      <c r="BA770" s="60">
        <v>43076</v>
      </c>
      <c r="BB770" s="382">
        <v>43117</v>
      </c>
      <c r="BC770" s="58" t="s">
        <v>95</v>
      </c>
      <c r="BD770" s="58" t="s">
        <v>566</v>
      </c>
      <c r="BE770" s="58"/>
      <c r="BF770" s="62"/>
      <c r="BG770" s="62"/>
      <c r="BH770" s="62"/>
      <c r="BI770" s="62"/>
      <c r="BJ770" s="209">
        <f>+[288]MATRIZ!$I$36</f>
        <v>4840997.2187813725</v>
      </c>
      <c r="BK770" s="67"/>
      <c r="BL770" s="68"/>
      <c r="BM770" s="60"/>
      <c r="BN770" s="61"/>
      <c r="BO770" s="463"/>
      <c r="BP770" s="122"/>
      <c r="BQ770" s="58"/>
      <c r="BR770" s="70"/>
      <c r="BS770" s="62"/>
      <c r="BT770" s="62"/>
      <c r="BU770" s="62"/>
      <c r="BV770" s="62"/>
      <c r="BW770" s="71"/>
      <c r="BX770" s="66"/>
      <c r="BY770" s="60"/>
      <c r="BZ770" s="72"/>
    </row>
    <row r="771" spans="1:555" ht="40.5">
      <c r="A771" s="729">
        <v>684</v>
      </c>
      <c r="B771" s="381" t="s">
        <v>5832</v>
      </c>
      <c r="C771" s="730"/>
      <c r="D771" s="731"/>
      <c r="E771" s="382"/>
      <c r="F771" s="379"/>
      <c r="G771" s="383"/>
      <c r="H771" s="381"/>
      <c r="I771" s="381"/>
      <c r="J771" s="382"/>
      <c r="K771" s="379"/>
      <c r="L771" s="383"/>
      <c r="M771" s="381"/>
      <c r="N771" s="381"/>
      <c r="O771" s="382"/>
      <c r="P771" s="732"/>
      <c r="Q771" s="383"/>
      <c r="R771" s="381"/>
      <c r="S771" s="381"/>
      <c r="T771" s="382"/>
      <c r="U771" s="379"/>
      <c r="V771" s="383"/>
      <c r="W771" s="381"/>
      <c r="X771" s="381"/>
      <c r="Y771" s="382"/>
      <c r="Z771" s="379"/>
      <c r="AA771" s="383"/>
      <c r="AB771" s="381"/>
      <c r="AC771" s="381"/>
      <c r="AD771" s="382"/>
      <c r="AE771" s="379"/>
      <c r="AF771" s="383"/>
      <c r="AG771" s="381"/>
      <c r="AH771" s="381"/>
      <c r="AI771" s="745"/>
      <c r="AJ771" s="379"/>
      <c r="AK771" s="383"/>
      <c r="AL771" s="381"/>
      <c r="AM771" s="381"/>
      <c r="AN771" s="381"/>
      <c r="AO771" s="381"/>
      <c r="AP771" s="381"/>
      <c r="AQ771" s="383"/>
      <c r="AR771" s="381"/>
      <c r="AS771" s="382"/>
      <c r="AT771" s="382"/>
      <c r="AU771" s="381"/>
      <c r="AV771" s="381"/>
      <c r="AW771" s="381"/>
      <c r="AX771" s="381"/>
      <c r="AY771" s="382"/>
      <c r="AZ771" s="381"/>
      <c r="BA771" s="382"/>
      <c r="BB771" s="382"/>
      <c r="BC771" s="381"/>
      <c r="BD771" s="381"/>
      <c r="BE771" s="381"/>
      <c r="BF771" s="383"/>
      <c r="BG771" s="383"/>
      <c r="BH771" s="383"/>
      <c r="BI771" s="383"/>
      <c r="BJ771" s="737"/>
      <c r="BK771" s="737"/>
      <c r="BL771" s="738"/>
      <c r="BM771" s="382"/>
      <c r="BN771" s="379"/>
      <c r="BO771" s="740"/>
      <c r="BP771" s="741"/>
      <c r="BQ771" s="381"/>
      <c r="BR771" s="742"/>
      <c r="BS771" s="383"/>
      <c r="BT771" s="383"/>
      <c r="BU771" s="383"/>
      <c r="BV771" s="383"/>
      <c r="BW771" s="743"/>
      <c r="BX771" s="733"/>
      <c r="BY771" s="382"/>
      <c r="BZ771" s="744"/>
      <c r="CA771" s="685"/>
      <c r="CB771" s="685"/>
      <c r="CC771" s="685"/>
      <c r="CD771" s="685"/>
      <c r="CE771" s="685"/>
      <c r="CF771" s="685"/>
      <c r="CG771" s="685"/>
      <c r="CH771" s="685"/>
      <c r="CI771" s="685"/>
      <c r="CJ771" s="685"/>
      <c r="CK771" s="685"/>
      <c r="CL771" s="685"/>
      <c r="CM771" s="685"/>
      <c r="CN771" s="685"/>
      <c r="CO771" s="685"/>
      <c r="CP771" s="685"/>
      <c r="CQ771" s="685"/>
      <c r="CR771" s="685"/>
      <c r="CS771" s="685"/>
      <c r="CT771" s="685"/>
      <c r="CU771" s="685"/>
      <c r="CV771" s="685"/>
      <c r="CW771" s="685"/>
      <c r="CX771" s="685"/>
      <c r="CY771" s="685"/>
      <c r="CZ771" s="685"/>
      <c r="DA771" s="685"/>
      <c r="DB771" s="685"/>
      <c r="DC771" s="685"/>
      <c r="DD771" s="685"/>
      <c r="DE771" s="685"/>
      <c r="DF771" s="685"/>
      <c r="DG771" s="685"/>
      <c r="DH771" s="685"/>
      <c r="DI771" s="685"/>
      <c r="DJ771" s="685"/>
      <c r="DK771" s="685"/>
      <c r="DL771" s="685"/>
      <c r="DM771" s="685"/>
      <c r="DN771" s="685"/>
      <c r="DO771" s="685"/>
      <c r="DP771" s="685"/>
      <c r="DQ771" s="685"/>
      <c r="DR771" s="685"/>
      <c r="DS771" s="685"/>
      <c r="DT771" s="685"/>
      <c r="DU771" s="685"/>
      <c r="DV771" s="685"/>
      <c r="DW771" s="685"/>
      <c r="DX771" s="685"/>
      <c r="DY771" s="685"/>
      <c r="DZ771" s="685"/>
      <c r="EA771" s="685"/>
      <c r="EB771" s="685"/>
      <c r="EC771" s="685"/>
      <c r="ED771" s="685"/>
      <c r="EE771" s="685"/>
      <c r="EF771" s="685"/>
      <c r="EG771" s="685"/>
      <c r="EH771" s="685"/>
      <c r="EI771" s="685"/>
      <c r="EJ771" s="685"/>
      <c r="EK771" s="685"/>
      <c r="EL771" s="685"/>
      <c r="EM771" s="685"/>
      <c r="EN771" s="685"/>
      <c r="EO771" s="685"/>
      <c r="EP771" s="685"/>
      <c r="EQ771" s="685"/>
      <c r="ER771" s="685"/>
      <c r="ES771" s="685"/>
      <c r="ET771" s="685"/>
      <c r="EU771" s="685"/>
      <c r="EV771" s="685"/>
      <c r="EW771" s="685"/>
      <c r="EX771" s="685"/>
      <c r="EY771" s="685"/>
      <c r="EZ771" s="685"/>
      <c r="FA771" s="685"/>
      <c r="FB771" s="685"/>
      <c r="FC771" s="685"/>
      <c r="FD771" s="685"/>
      <c r="FE771" s="685"/>
      <c r="FF771" s="685"/>
      <c r="FG771" s="685"/>
      <c r="FH771" s="685"/>
      <c r="FI771" s="685"/>
      <c r="FJ771" s="685"/>
      <c r="FK771" s="685"/>
      <c r="FL771" s="685"/>
      <c r="FM771" s="685"/>
      <c r="FN771" s="685"/>
      <c r="FO771" s="685"/>
      <c r="FP771" s="685"/>
      <c r="FQ771" s="685"/>
      <c r="FR771" s="685"/>
      <c r="FS771" s="685"/>
      <c r="FT771" s="685"/>
      <c r="FU771" s="685"/>
      <c r="FV771" s="685"/>
      <c r="FW771" s="685"/>
      <c r="FX771" s="685"/>
      <c r="FY771" s="685"/>
      <c r="FZ771" s="685"/>
      <c r="GA771" s="685"/>
      <c r="GB771" s="685"/>
      <c r="GC771" s="685"/>
      <c r="GD771" s="685"/>
      <c r="GE771" s="685"/>
      <c r="GF771" s="685"/>
      <c r="GG771" s="685"/>
      <c r="GH771" s="685"/>
      <c r="GI771" s="685"/>
      <c r="GJ771" s="685"/>
      <c r="GK771" s="685"/>
      <c r="GL771" s="685"/>
      <c r="GM771" s="685"/>
      <c r="GN771" s="685"/>
      <c r="GO771" s="685"/>
      <c r="GP771" s="685"/>
      <c r="GQ771" s="685"/>
      <c r="GR771" s="685"/>
      <c r="GS771" s="685"/>
      <c r="GT771" s="685"/>
      <c r="GU771" s="685"/>
      <c r="GV771" s="685"/>
      <c r="GW771" s="685"/>
      <c r="GX771" s="685"/>
      <c r="GY771" s="685"/>
      <c r="GZ771" s="685"/>
      <c r="HA771" s="685"/>
      <c r="HB771" s="685"/>
      <c r="HC771" s="685"/>
      <c r="HD771" s="685"/>
      <c r="HE771" s="685"/>
      <c r="HF771" s="685"/>
      <c r="HG771" s="685"/>
      <c r="HH771" s="685"/>
      <c r="HI771" s="685"/>
      <c r="HJ771" s="685"/>
      <c r="HK771" s="685"/>
      <c r="HL771" s="685"/>
      <c r="HM771" s="685"/>
      <c r="HN771" s="685"/>
      <c r="HO771" s="685"/>
      <c r="HP771" s="685"/>
      <c r="HQ771" s="685"/>
      <c r="HR771" s="685"/>
      <c r="HS771" s="685"/>
      <c r="HT771" s="685"/>
      <c r="HU771" s="685"/>
      <c r="HV771" s="685"/>
      <c r="HW771" s="685"/>
      <c r="HX771" s="685"/>
      <c r="HY771" s="685"/>
      <c r="HZ771" s="685"/>
      <c r="IA771" s="685"/>
      <c r="IB771" s="685"/>
      <c r="IC771" s="685"/>
      <c r="ID771" s="685"/>
      <c r="IE771" s="685"/>
      <c r="IF771" s="685"/>
      <c r="IG771" s="685"/>
      <c r="IH771" s="685"/>
      <c r="II771" s="685"/>
      <c r="IJ771" s="685"/>
      <c r="IK771" s="685"/>
      <c r="IL771" s="685"/>
      <c r="IM771" s="685"/>
      <c r="IN771" s="685"/>
      <c r="IO771" s="685"/>
      <c r="IP771" s="685"/>
      <c r="IQ771" s="685"/>
      <c r="IR771" s="685"/>
      <c r="IS771" s="685"/>
      <c r="IT771" s="685"/>
      <c r="IU771" s="685"/>
      <c r="IV771" s="685"/>
      <c r="IW771" s="685"/>
      <c r="IX771" s="685"/>
      <c r="IY771" s="685"/>
      <c r="IZ771" s="685"/>
      <c r="JA771" s="685"/>
      <c r="JB771" s="685"/>
      <c r="JC771" s="685"/>
      <c r="JD771" s="685"/>
      <c r="JE771" s="685"/>
      <c r="JF771" s="685"/>
      <c r="JG771" s="685"/>
      <c r="JH771" s="685"/>
      <c r="JI771" s="685"/>
      <c r="JJ771" s="685"/>
      <c r="JK771" s="685"/>
      <c r="JL771" s="685"/>
      <c r="JM771" s="685"/>
      <c r="JN771" s="685"/>
      <c r="JO771" s="685"/>
      <c r="JP771" s="685"/>
      <c r="JQ771" s="685"/>
      <c r="JR771" s="685"/>
      <c r="JS771" s="685"/>
      <c r="JT771" s="685"/>
      <c r="JU771" s="685"/>
      <c r="JV771" s="685"/>
      <c r="JW771" s="685"/>
      <c r="JX771" s="685"/>
      <c r="JY771" s="685"/>
      <c r="JZ771" s="685"/>
      <c r="KA771" s="685"/>
      <c r="KB771" s="685"/>
      <c r="KC771" s="685"/>
      <c r="KD771" s="685"/>
      <c r="KE771" s="685"/>
      <c r="KF771" s="685"/>
      <c r="KG771" s="685"/>
      <c r="KH771" s="685"/>
      <c r="KI771" s="685"/>
      <c r="KJ771" s="685"/>
      <c r="KK771" s="685"/>
      <c r="KL771" s="685"/>
      <c r="KM771" s="685"/>
      <c r="KN771" s="685"/>
      <c r="KO771" s="685"/>
      <c r="KP771" s="685"/>
      <c r="KQ771" s="685"/>
      <c r="KR771" s="685"/>
      <c r="KS771" s="685"/>
      <c r="KT771" s="685"/>
      <c r="KU771" s="685"/>
      <c r="KV771" s="685"/>
      <c r="KW771" s="685"/>
      <c r="KX771" s="685"/>
      <c r="KY771" s="685"/>
      <c r="KZ771" s="685"/>
      <c r="LA771" s="685"/>
      <c r="LB771" s="685"/>
      <c r="LC771" s="685"/>
      <c r="LD771" s="685"/>
      <c r="LE771" s="685"/>
      <c r="LF771" s="685"/>
      <c r="LG771" s="685"/>
      <c r="LH771" s="685"/>
      <c r="LI771" s="685"/>
      <c r="LJ771" s="685"/>
      <c r="LK771" s="685"/>
      <c r="LL771" s="685"/>
      <c r="LM771" s="685"/>
      <c r="LN771" s="685"/>
      <c r="LO771" s="685"/>
      <c r="LP771" s="685"/>
      <c r="LQ771" s="685"/>
      <c r="LR771" s="685"/>
      <c r="LS771" s="685"/>
      <c r="LT771" s="685"/>
      <c r="LU771" s="685"/>
      <c r="LV771" s="685"/>
      <c r="LW771" s="685"/>
      <c r="LX771" s="685"/>
      <c r="LY771" s="685"/>
      <c r="LZ771" s="685"/>
      <c r="MA771" s="685"/>
      <c r="MB771" s="685"/>
      <c r="MC771" s="685"/>
      <c r="MD771" s="685"/>
      <c r="ME771" s="685"/>
      <c r="MF771" s="685"/>
      <c r="MG771" s="685"/>
      <c r="MH771" s="685"/>
      <c r="MI771" s="685"/>
      <c r="MJ771" s="685"/>
      <c r="MK771" s="685"/>
      <c r="ML771" s="685"/>
      <c r="MM771" s="685"/>
      <c r="MN771" s="685"/>
      <c r="MO771" s="685"/>
      <c r="MP771" s="685"/>
      <c r="MQ771" s="685"/>
      <c r="MR771" s="685"/>
      <c r="MS771" s="685"/>
      <c r="MT771" s="685"/>
      <c r="MU771" s="685"/>
      <c r="MV771" s="685"/>
      <c r="MW771" s="685"/>
      <c r="MX771" s="685"/>
      <c r="MY771" s="685"/>
      <c r="MZ771" s="685"/>
      <c r="NA771" s="685"/>
      <c r="NB771" s="685"/>
      <c r="NC771" s="685"/>
      <c r="ND771" s="685"/>
      <c r="NE771" s="685"/>
      <c r="NF771" s="685"/>
      <c r="NG771" s="685"/>
      <c r="NH771" s="685"/>
      <c r="NI771" s="685"/>
      <c r="NJ771" s="685"/>
      <c r="NK771" s="685"/>
      <c r="NL771" s="685"/>
      <c r="NM771" s="685"/>
      <c r="NN771" s="685"/>
      <c r="NO771" s="685"/>
      <c r="NP771" s="685"/>
      <c r="NQ771" s="685"/>
      <c r="NR771" s="685"/>
      <c r="NS771" s="685"/>
      <c r="NT771" s="685"/>
      <c r="NU771" s="685"/>
      <c r="NV771" s="685"/>
      <c r="NW771" s="685"/>
      <c r="NX771" s="685"/>
      <c r="NY771" s="685"/>
      <c r="NZ771" s="685"/>
      <c r="OA771" s="685"/>
      <c r="OB771" s="685"/>
      <c r="OC771" s="685"/>
      <c r="OD771" s="685"/>
      <c r="OE771" s="685"/>
      <c r="OF771" s="685"/>
      <c r="OG771" s="685"/>
      <c r="OH771" s="685"/>
      <c r="OI771" s="685"/>
      <c r="OJ771" s="685"/>
      <c r="OK771" s="685"/>
      <c r="OL771" s="685"/>
      <c r="OM771" s="685"/>
      <c r="ON771" s="685"/>
      <c r="OO771" s="685"/>
      <c r="OP771" s="685"/>
      <c r="OQ771" s="685"/>
      <c r="OR771" s="685"/>
      <c r="OS771" s="685"/>
      <c r="OT771" s="685"/>
      <c r="OU771" s="685"/>
      <c r="OV771" s="685"/>
      <c r="OW771" s="685"/>
      <c r="OX771" s="685"/>
      <c r="OY771" s="685"/>
      <c r="OZ771" s="685"/>
      <c r="PA771" s="685"/>
      <c r="PB771" s="685"/>
      <c r="PC771" s="685"/>
      <c r="PD771" s="685"/>
      <c r="PE771" s="685"/>
      <c r="PF771" s="685"/>
      <c r="PG771" s="685"/>
      <c r="PH771" s="685"/>
      <c r="PI771" s="685"/>
      <c r="PJ771" s="685"/>
      <c r="PK771" s="685"/>
      <c r="PL771" s="685"/>
      <c r="PM771" s="685"/>
      <c r="PN771" s="685"/>
      <c r="PO771" s="685"/>
      <c r="PP771" s="685"/>
      <c r="PQ771" s="685"/>
      <c r="PR771" s="685"/>
      <c r="PS771" s="685"/>
      <c r="PT771" s="685"/>
      <c r="PU771" s="685"/>
      <c r="PV771" s="685"/>
      <c r="PW771" s="685"/>
      <c r="PX771" s="685"/>
      <c r="PY771" s="685"/>
      <c r="PZ771" s="685"/>
      <c r="QA771" s="685"/>
      <c r="QB771" s="685"/>
      <c r="QC771" s="685"/>
      <c r="QD771" s="685"/>
      <c r="QE771" s="685"/>
      <c r="QF771" s="685"/>
      <c r="QG771" s="685"/>
      <c r="QH771" s="685"/>
      <c r="QI771" s="685"/>
      <c r="QJ771" s="685"/>
      <c r="QK771" s="685"/>
      <c r="QL771" s="685"/>
      <c r="QM771" s="685"/>
      <c r="QN771" s="685"/>
      <c r="QO771" s="685"/>
      <c r="QP771" s="685"/>
      <c r="QQ771" s="685"/>
      <c r="QR771" s="685"/>
      <c r="QS771" s="685"/>
      <c r="QT771" s="685"/>
      <c r="QU771" s="685"/>
      <c r="QV771" s="685"/>
      <c r="QW771" s="685"/>
      <c r="QX771" s="685"/>
      <c r="QY771" s="685"/>
      <c r="QZ771" s="685"/>
      <c r="RA771" s="685"/>
      <c r="RB771" s="685"/>
      <c r="RC771" s="685"/>
      <c r="RD771" s="685"/>
      <c r="RE771" s="685"/>
      <c r="RF771" s="685"/>
      <c r="RG771" s="685"/>
      <c r="RH771" s="685"/>
      <c r="RI771" s="685"/>
      <c r="RJ771" s="685"/>
      <c r="RK771" s="685"/>
      <c r="RL771" s="685"/>
      <c r="RM771" s="685"/>
      <c r="RN771" s="685"/>
      <c r="RO771" s="685"/>
      <c r="RP771" s="685"/>
      <c r="RQ771" s="685"/>
      <c r="RR771" s="685"/>
      <c r="RS771" s="685"/>
      <c r="RT771" s="685"/>
      <c r="RU771" s="685"/>
      <c r="RV771" s="685"/>
      <c r="RW771" s="685"/>
      <c r="RX771" s="685"/>
      <c r="RY771" s="685"/>
      <c r="RZ771" s="685"/>
      <c r="SA771" s="685"/>
      <c r="SB771" s="685"/>
      <c r="SC771" s="685"/>
      <c r="SD771" s="685"/>
      <c r="SE771" s="685"/>
      <c r="SF771" s="685"/>
      <c r="SG771" s="685"/>
      <c r="SH771" s="685"/>
      <c r="SI771" s="685"/>
      <c r="SJ771" s="685"/>
      <c r="SK771" s="685"/>
      <c r="SL771" s="685"/>
      <c r="SM771" s="685"/>
      <c r="SN771" s="685"/>
      <c r="SO771" s="685"/>
      <c r="SP771" s="685"/>
      <c r="SQ771" s="685"/>
      <c r="SR771" s="685"/>
      <c r="SS771" s="685"/>
      <c r="ST771" s="685"/>
      <c r="SU771" s="685"/>
      <c r="SV771" s="685"/>
      <c r="SW771" s="685"/>
      <c r="SX771" s="685"/>
      <c r="SY771" s="685"/>
      <c r="SZ771" s="685"/>
      <c r="TA771" s="685"/>
      <c r="TB771" s="685"/>
      <c r="TC771" s="685"/>
      <c r="TD771" s="685"/>
      <c r="TE771" s="685"/>
      <c r="TF771" s="685"/>
      <c r="TG771" s="685"/>
      <c r="TH771" s="685"/>
      <c r="TI771" s="685"/>
      <c r="TJ771" s="685"/>
      <c r="TK771" s="685"/>
      <c r="TL771" s="685"/>
      <c r="TM771" s="685"/>
      <c r="TN771" s="685"/>
      <c r="TO771" s="685"/>
      <c r="TP771" s="685"/>
      <c r="TQ771" s="685"/>
      <c r="TR771" s="685"/>
      <c r="TS771" s="685"/>
      <c r="TT771" s="685"/>
      <c r="TU771" s="685"/>
      <c r="TV771" s="685"/>
      <c r="TW771" s="685"/>
      <c r="TX771" s="685"/>
      <c r="TY771" s="685"/>
      <c r="TZ771" s="685"/>
      <c r="UA771" s="685"/>
      <c r="UB771" s="685"/>
      <c r="UC771" s="685"/>
      <c r="UD771" s="685"/>
      <c r="UE771" s="685"/>
      <c r="UF771" s="685"/>
      <c r="UG771" s="685"/>
      <c r="UH771" s="685"/>
      <c r="UI771" s="685"/>
    </row>
    <row r="772" spans="1:555" ht="69.75" customHeight="1">
      <c r="A772" s="57">
        <v>685</v>
      </c>
      <c r="B772" s="58" t="s">
        <v>5833</v>
      </c>
      <c r="C772" s="59">
        <v>79643324</v>
      </c>
      <c r="D772" s="170" t="s">
        <v>167</v>
      </c>
      <c r="E772" s="60">
        <v>43123</v>
      </c>
      <c r="F772" s="61">
        <v>43101</v>
      </c>
      <c r="G772" s="62" t="s">
        <v>5834</v>
      </c>
      <c r="H772" s="58" t="s">
        <v>625</v>
      </c>
      <c r="I772" s="58" t="s">
        <v>1393</v>
      </c>
      <c r="J772" s="64">
        <v>43556</v>
      </c>
      <c r="K772" s="61">
        <v>43556</v>
      </c>
      <c r="L772" s="425" t="s">
        <v>8448</v>
      </c>
      <c r="M772" s="66" t="s">
        <v>5</v>
      </c>
      <c r="N772" s="60" t="s">
        <v>85</v>
      </c>
      <c r="O772" s="60"/>
      <c r="P772" s="63"/>
      <c r="Q772" s="62"/>
      <c r="R772" s="58"/>
      <c r="S772" s="58"/>
      <c r="T772" s="60"/>
      <c r="U772" s="61"/>
      <c r="V772" s="62"/>
      <c r="W772" s="58"/>
      <c r="X772" s="58"/>
      <c r="Y772" s="60"/>
      <c r="Z772" s="61"/>
      <c r="AA772" s="62"/>
      <c r="AB772" s="58"/>
      <c r="AC772" s="58"/>
      <c r="AD772" s="60"/>
      <c r="AE772" s="61"/>
      <c r="AF772" s="62"/>
      <c r="AG772" s="58"/>
      <c r="AH772" s="58"/>
      <c r="AI772" s="117"/>
      <c r="AJ772" s="61"/>
      <c r="AK772" s="62"/>
      <c r="AL772" s="58"/>
      <c r="AM772" s="58"/>
      <c r="AN772" s="58" t="s">
        <v>5835</v>
      </c>
      <c r="AO772" s="478" t="s">
        <v>7947</v>
      </c>
      <c r="AP772" s="58" t="s">
        <v>2558</v>
      </c>
      <c r="AQ772" s="62" t="s">
        <v>5836</v>
      </c>
      <c r="AR772" s="58" t="s">
        <v>1213</v>
      </c>
      <c r="AS772" s="60">
        <v>39064</v>
      </c>
      <c r="AT772" s="60">
        <v>39857</v>
      </c>
      <c r="AU772" s="58" t="s">
        <v>8449</v>
      </c>
      <c r="AV772" s="58"/>
      <c r="AW772" s="58" t="s">
        <v>69</v>
      </c>
      <c r="AX772" s="58" t="s">
        <v>5837</v>
      </c>
      <c r="AY772" s="60">
        <v>42692</v>
      </c>
      <c r="AZ772" s="58" t="s">
        <v>3994</v>
      </c>
      <c r="BA772" s="60">
        <v>43083</v>
      </c>
      <c r="BB772" s="382">
        <v>43125</v>
      </c>
      <c r="BC772" s="58" t="s">
        <v>95</v>
      </c>
      <c r="BD772" s="58" t="s">
        <v>566</v>
      </c>
      <c r="BE772" s="58"/>
      <c r="BF772" s="62" t="s">
        <v>5838</v>
      </c>
      <c r="BG772" s="62"/>
      <c r="BH772" s="62"/>
      <c r="BI772" s="62"/>
      <c r="BJ772" s="209">
        <f>+'[289]MATRIZ DE CONTRATOS '!$M$47</f>
        <v>0</v>
      </c>
      <c r="BK772" s="67"/>
      <c r="BL772" s="68"/>
      <c r="BM772" s="60"/>
      <c r="BN772" s="61"/>
      <c r="BO772" s="463"/>
      <c r="BP772" s="122"/>
      <c r="BQ772" s="58"/>
      <c r="BR772" s="70"/>
      <c r="BS772" s="62"/>
      <c r="BT772" s="62"/>
      <c r="BU772" s="62"/>
      <c r="BV772" s="62"/>
      <c r="BW772" s="71"/>
      <c r="BX772" s="66"/>
      <c r="BY772" s="60"/>
      <c r="BZ772" s="72"/>
    </row>
    <row r="773" spans="1:555" s="259" customFormat="1" ht="73.5" customHeight="1">
      <c r="A773" s="57">
        <v>724</v>
      </c>
      <c r="B773" s="58" t="s">
        <v>5970</v>
      </c>
      <c r="C773" s="59" t="s">
        <v>5971</v>
      </c>
      <c r="D773" s="170" t="s">
        <v>5972</v>
      </c>
      <c r="E773" s="60">
        <v>43131</v>
      </c>
      <c r="F773" s="61">
        <v>43101</v>
      </c>
      <c r="G773" s="62" t="s">
        <v>5973</v>
      </c>
      <c r="H773" s="58" t="s">
        <v>5974</v>
      </c>
      <c r="I773" s="58" t="s">
        <v>5975</v>
      </c>
      <c r="J773" s="60">
        <v>44098</v>
      </c>
      <c r="K773" s="61">
        <v>44098</v>
      </c>
      <c r="L773" s="62" t="s">
        <v>9639</v>
      </c>
      <c r="M773" s="58" t="s">
        <v>7340</v>
      </c>
      <c r="N773" s="58" t="s">
        <v>1114</v>
      </c>
      <c r="O773" s="60">
        <v>44105</v>
      </c>
      <c r="P773" s="63">
        <v>44105</v>
      </c>
      <c r="Q773" s="62" t="s">
        <v>9640</v>
      </c>
      <c r="R773" s="58" t="s">
        <v>7340</v>
      </c>
      <c r="S773" s="58" t="s">
        <v>1114</v>
      </c>
      <c r="T773" s="60">
        <v>44098</v>
      </c>
      <c r="U773" s="61">
        <v>44098</v>
      </c>
      <c r="V773" s="62" t="s">
        <v>9639</v>
      </c>
      <c r="W773" s="58" t="s">
        <v>7340</v>
      </c>
      <c r="X773" s="58" t="s">
        <v>85</v>
      </c>
      <c r="Y773" s="60">
        <v>44105</v>
      </c>
      <c r="Z773" s="61">
        <v>44105</v>
      </c>
      <c r="AA773" s="62" t="s">
        <v>9640</v>
      </c>
      <c r="AB773" s="58" t="s">
        <v>7340</v>
      </c>
      <c r="AC773" s="58" t="s">
        <v>85</v>
      </c>
      <c r="AD773" s="60"/>
      <c r="AE773" s="61"/>
      <c r="AF773" s="62"/>
      <c r="AG773" s="58"/>
      <c r="AH773" s="58"/>
      <c r="AI773" s="117"/>
      <c r="AJ773" s="61"/>
      <c r="AK773" s="62"/>
      <c r="AL773" s="58"/>
      <c r="AM773" s="58"/>
      <c r="AN773" s="58" t="s">
        <v>918</v>
      </c>
      <c r="AO773" s="478" t="s">
        <v>7947</v>
      </c>
      <c r="AP773" s="119" t="s">
        <v>2558</v>
      </c>
      <c r="AQ773" s="62" t="s">
        <v>5976</v>
      </c>
      <c r="AR773" s="58" t="s">
        <v>79</v>
      </c>
      <c r="AS773" s="60" t="s">
        <v>67</v>
      </c>
      <c r="AT773" s="60" t="s">
        <v>67</v>
      </c>
      <c r="AU773" s="58" t="s">
        <v>9624</v>
      </c>
      <c r="AV773" s="58"/>
      <c r="AW773" s="58" t="s">
        <v>92</v>
      </c>
      <c r="AX773" s="58" t="s">
        <v>4665</v>
      </c>
      <c r="AY773" s="60">
        <v>41970</v>
      </c>
      <c r="AZ773" s="58" t="s">
        <v>5541</v>
      </c>
      <c r="BA773" s="60">
        <v>43020</v>
      </c>
      <c r="BB773" s="382">
        <v>43049</v>
      </c>
      <c r="BC773" s="70" t="s">
        <v>561</v>
      </c>
      <c r="BD773" s="70" t="s">
        <v>5977</v>
      </c>
      <c r="BE773" s="58" t="s">
        <v>8439</v>
      </c>
      <c r="BF773" s="62" t="s">
        <v>5978</v>
      </c>
      <c r="BG773" s="62"/>
      <c r="BH773" s="62"/>
      <c r="BI773" s="62"/>
      <c r="BJ773" s="209">
        <f>+'[290]MATRIZ DE CONTRATOS '!$I$57</f>
        <v>199677536.01806152</v>
      </c>
      <c r="BK773" s="67"/>
      <c r="BL773" s="68"/>
      <c r="BM773" s="60"/>
      <c r="BN773" s="61"/>
      <c r="BO773" s="463"/>
      <c r="BP773" s="122"/>
      <c r="BQ773" s="58"/>
      <c r="BR773" s="70" t="s">
        <v>9584</v>
      </c>
      <c r="BS773" s="62"/>
      <c r="BT773" s="62"/>
      <c r="BU773" s="62"/>
      <c r="BV773" s="62"/>
      <c r="BW773" s="71"/>
      <c r="BX773" s="66"/>
      <c r="BY773" s="60"/>
      <c r="BZ773" s="72"/>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c r="JW773" s="1"/>
      <c r="JX773" s="1"/>
      <c r="JY773" s="1"/>
      <c r="JZ773" s="1"/>
      <c r="KA773" s="1"/>
      <c r="KB773" s="1"/>
      <c r="KC773" s="1"/>
      <c r="KD773" s="1"/>
      <c r="KE773" s="1"/>
      <c r="KF773" s="1"/>
      <c r="KG773" s="1"/>
      <c r="KH773" s="1"/>
      <c r="KI773" s="1"/>
      <c r="KJ773" s="1"/>
      <c r="KK773" s="1"/>
      <c r="KL773" s="1"/>
      <c r="KM773" s="1"/>
      <c r="KN773" s="1"/>
      <c r="KO773" s="1"/>
      <c r="KP773" s="1"/>
      <c r="KQ773" s="1"/>
      <c r="KR773" s="1"/>
      <c r="KS773" s="1"/>
      <c r="KT773" s="1"/>
      <c r="KU773" s="1"/>
      <c r="KV773" s="1"/>
      <c r="KW773" s="1"/>
      <c r="KX773" s="1"/>
      <c r="KY773" s="1"/>
      <c r="KZ773" s="1"/>
      <c r="LA773" s="1"/>
      <c r="LB773" s="1"/>
      <c r="LC773" s="1"/>
      <c r="LD773" s="1"/>
      <c r="LE773" s="1"/>
      <c r="LF773" s="1"/>
      <c r="LG773" s="1"/>
      <c r="LH773" s="1"/>
      <c r="LI773" s="1"/>
      <c r="LJ773" s="1"/>
      <c r="LK773" s="1"/>
      <c r="LL773" s="1"/>
      <c r="LM773" s="1"/>
      <c r="LN773" s="1"/>
      <c r="LO773" s="1"/>
      <c r="LP773" s="1"/>
      <c r="LQ773" s="1"/>
      <c r="LR773" s="1"/>
      <c r="LS773" s="1"/>
      <c r="LT773" s="1"/>
      <c r="LU773" s="1"/>
      <c r="LV773" s="1"/>
      <c r="LW773" s="1"/>
      <c r="LX773" s="1"/>
      <c r="LY773" s="1"/>
      <c r="LZ773" s="1"/>
      <c r="MA773" s="1"/>
      <c r="MB773" s="1"/>
      <c r="MC773" s="1"/>
      <c r="MD773" s="1"/>
      <c r="ME773" s="1"/>
      <c r="MF773" s="1"/>
      <c r="MG773" s="1"/>
      <c r="MH773" s="1"/>
      <c r="MI773" s="1"/>
      <c r="MJ773" s="1"/>
      <c r="MK773" s="1"/>
      <c r="ML773" s="1"/>
      <c r="MM773" s="1"/>
      <c r="MN773" s="1"/>
      <c r="MO773" s="1"/>
      <c r="MP773" s="1"/>
      <c r="MQ773" s="1"/>
      <c r="MR773" s="1"/>
      <c r="MS773" s="1"/>
      <c r="MT773" s="1"/>
      <c r="MU773" s="1"/>
      <c r="MV773" s="1"/>
      <c r="MW773" s="1"/>
      <c r="MX773" s="1"/>
      <c r="MY773" s="1"/>
      <c r="MZ773" s="1"/>
      <c r="NA773" s="1"/>
      <c r="NB773" s="1"/>
      <c r="NC773" s="1"/>
      <c r="ND773" s="1"/>
      <c r="NE773" s="1"/>
      <c r="NF773" s="1"/>
      <c r="NG773" s="1"/>
      <c r="NH773" s="1"/>
      <c r="NI773" s="1"/>
      <c r="NJ773" s="1"/>
      <c r="NK773" s="1"/>
      <c r="NL773" s="1"/>
      <c r="NM773" s="1"/>
      <c r="NN773" s="1"/>
      <c r="NO773" s="1"/>
      <c r="NP773" s="1"/>
      <c r="NQ773" s="1"/>
      <c r="NR773" s="1"/>
      <c r="NS773" s="1"/>
      <c r="NT773" s="1"/>
      <c r="NU773" s="1"/>
      <c r="NV773" s="1"/>
      <c r="NW773" s="1"/>
      <c r="NX773" s="1"/>
      <c r="NY773" s="1"/>
      <c r="NZ773" s="1"/>
      <c r="OA773" s="1"/>
      <c r="OB773" s="1"/>
      <c r="OC773" s="1"/>
      <c r="OD773" s="1"/>
      <c r="OE773" s="1"/>
      <c r="OF773" s="1"/>
      <c r="OG773" s="1"/>
      <c r="OH773" s="1"/>
      <c r="OI773" s="1"/>
      <c r="OJ773" s="1"/>
      <c r="OK773" s="1"/>
      <c r="OL773" s="1"/>
      <c r="OM773" s="1"/>
      <c r="ON773" s="1"/>
      <c r="OO773" s="1"/>
      <c r="OP773" s="1"/>
      <c r="OQ773" s="1"/>
      <c r="OR773" s="1"/>
      <c r="OS773" s="1"/>
      <c r="OT773" s="1"/>
      <c r="OU773" s="1"/>
      <c r="OV773" s="1"/>
      <c r="OW773" s="1"/>
      <c r="OX773" s="1"/>
      <c r="OY773" s="1"/>
      <c r="OZ773" s="1"/>
      <c r="PA773" s="1"/>
      <c r="PB773" s="1"/>
      <c r="PC773" s="1"/>
      <c r="PD773" s="1"/>
      <c r="PE773" s="1"/>
      <c r="PF773" s="1"/>
      <c r="PG773" s="1"/>
      <c r="PH773" s="1"/>
      <c r="PI773" s="1"/>
      <c r="PJ773" s="1"/>
      <c r="PK773" s="1"/>
      <c r="PL773" s="1"/>
      <c r="PM773" s="1"/>
      <c r="PN773" s="1"/>
      <c r="PO773" s="1"/>
      <c r="PP773" s="1"/>
      <c r="PQ773" s="1"/>
      <c r="PR773" s="1"/>
      <c r="PS773" s="1"/>
      <c r="PT773" s="1"/>
      <c r="PU773" s="1"/>
      <c r="PV773" s="1"/>
      <c r="PW773" s="1"/>
      <c r="PX773" s="1"/>
      <c r="PY773" s="1"/>
      <c r="PZ773" s="1"/>
      <c r="QA773" s="1"/>
      <c r="QB773" s="1"/>
      <c r="QC773" s="1"/>
      <c r="QD773" s="1"/>
      <c r="QE773" s="1"/>
      <c r="QF773" s="1"/>
      <c r="QG773" s="1"/>
      <c r="QH773" s="1"/>
      <c r="QI773" s="1"/>
      <c r="QJ773" s="1"/>
      <c r="QK773" s="1"/>
      <c r="QL773" s="1"/>
      <c r="QM773" s="1"/>
      <c r="QN773" s="1"/>
      <c r="QO773" s="1"/>
      <c r="QP773" s="1"/>
      <c r="QQ773" s="1"/>
      <c r="QR773" s="1"/>
      <c r="QS773" s="1"/>
      <c r="QT773" s="1"/>
      <c r="QU773" s="1"/>
      <c r="QV773" s="1"/>
      <c r="QW773" s="1"/>
      <c r="QX773" s="1"/>
      <c r="QY773" s="1"/>
      <c r="QZ773" s="1"/>
      <c r="RA773" s="1"/>
      <c r="RB773" s="1"/>
      <c r="RC773" s="1"/>
      <c r="RD773" s="1"/>
      <c r="RE773" s="1"/>
      <c r="RF773" s="1"/>
      <c r="RG773" s="1"/>
      <c r="RH773" s="1"/>
      <c r="RI773" s="1"/>
      <c r="RJ773" s="1"/>
      <c r="RK773" s="1"/>
      <c r="RL773" s="1"/>
      <c r="RM773" s="1"/>
      <c r="RN773" s="1"/>
      <c r="RO773" s="1"/>
      <c r="RP773" s="1"/>
      <c r="RQ773" s="1"/>
      <c r="RR773" s="1"/>
      <c r="RS773" s="1"/>
      <c r="RT773" s="1"/>
      <c r="RU773" s="1"/>
      <c r="RV773" s="1"/>
      <c r="RW773" s="1"/>
      <c r="RX773" s="1"/>
      <c r="RY773" s="1"/>
      <c r="RZ773" s="1"/>
      <c r="SA773" s="1"/>
      <c r="SB773" s="1"/>
      <c r="SC773" s="1"/>
      <c r="SD773" s="1"/>
      <c r="SE773" s="1"/>
      <c r="SF773" s="1"/>
      <c r="SG773" s="1"/>
      <c r="SH773" s="1"/>
      <c r="SI773" s="1"/>
      <c r="SJ773" s="1"/>
      <c r="SK773" s="1"/>
      <c r="SL773" s="1"/>
      <c r="SM773" s="1"/>
      <c r="SN773" s="1"/>
      <c r="SO773" s="1"/>
      <c r="SP773" s="1"/>
      <c r="SQ773" s="1"/>
      <c r="SR773" s="1"/>
      <c r="SS773" s="1"/>
      <c r="ST773" s="1"/>
      <c r="SU773" s="1"/>
      <c r="SV773" s="1"/>
      <c r="SW773" s="1"/>
      <c r="SX773" s="1"/>
      <c r="SY773" s="1"/>
      <c r="SZ773" s="1"/>
      <c r="TA773" s="1"/>
      <c r="TB773" s="1"/>
      <c r="TC773" s="1"/>
      <c r="TD773" s="1"/>
      <c r="TE773" s="1"/>
      <c r="TF773" s="1"/>
      <c r="TG773" s="1"/>
      <c r="TH773" s="1"/>
      <c r="TI773" s="1"/>
      <c r="TJ773" s="1"/>
      <c r="TK773" s="1"/>
      <c r="TL773" s="1"/>
      <c r="TM773" s="1"/>
      <c r="TN773" s="1"/>
      <c r="TO773" s="1"/>
      <c r="TP773" s="1"/>
      <c r="TQ773" s="1"/>
      <c r="TR773" s="1"/>
      <c r="TS773" s="1"/>
      <c r="TT773" s="1"/>
      <c r="TU773" s="1"/>
      <c r="TV773" s="1"/>
      <c r="TW773" s="1"/>
      <c r="TX773" s="1"/>
      <c r="TY773" s="1"/>
      <c r="TZ773" s="1"/>
      <c r="UA773" s="1"/>
      <c r="UB773" s="1"/>
      <c r="UC773" s="1"/>
      <c r="UD773" s="1"/>
      <c r="UE773" s="1"/>
      <c r="UF773" s="1"/>
      <c r="UG773" s="1"/>
      <c r="UH773" s="1"/>
      <c r="UI773" s="1"/>
    </row>
    <row r="774" spans="1:555" s="259" customFormat="1" ht="88.5" customHeight="1">
      <c r="A774" s="502">
        <v>725</v>
      </c>
      <c r="B774" s="686" t="s">
        <v>5979</v>
      </c>
      <c r="C774" s="687">
        <v>80128582</v>
      </c>
      <c r="D774" s="688" t="s">
        <v>5980</v>
      </c>
      <c r="E774" s="27">
        <v>43140</v>
      </c>
      <c r="F774" s="689">
        <v>43132</v>
      </c>
      <c r="G774" s="690" t="s">
        <v>5981</v>
      </c>
      <c r="H774" s="686" t="s">
        <v>625</v>
      </c>
      <c r="I774" s="686" t="s">
        <v>2395</v>
      </c>
      <c r="J774" s="27">
        <v>43152</v>
      </c>
      <c r="K774" s="689">
        <v>43132</v>
      </c>
      <c r="L774" s="690" t="s">
        <v>5982</v>
      </c>
      <c r="M774" s="686" t="s">
        <v>195</v>
      </c>
      <c r="N774" s="686" t="s">
        <v>4189</v>
      </c>
      <c r="O774" s="27">
        <v>43244</v>
      </c>
      <c r="P774" s="691">
        <v>43221</v>
      </c>
      <c r="Q774" s="690" t="s">
        <v>5983</v>
      </c>
      <c r="R774" s="686" t="s">
        <v>63</v>
      </c>
      <c r="S774" s="686" t="s">
        <v>570</v>
      </c>
      <c r="T774" s="27">
        <v>43504</v>
      </c>
      <c r="U774" s="689">
        <v>43504</v>
      </c>
      <c r="V774" s="690" t="s">
        <v>8374</v>
      </c>
      <c r="W774" s="686" t="s">
        <v>63</v>
      </c>
      <c r="X774" s="686" t="s">
        <v>79</v>
      </c>
      <c r="Y774" s="27"/>
      <c r="Z774" s="689"/>
      <c r="AA774" s="690"/>
      <c r="AB774" s="686"/>
      <c r="AC774" s="686"/>
      <c r="AD774" s="27"/>
      <c r="AE774" s="689"/>
      <c r="AF774" s="690"/>
      <c r="AG774" s="686"/>
      <c r="AH774" s="686"/>
      <c r="AI774" s="704"/>
      <c r="AJ774" s="689"/>
      <c r="AK774" s="690"/>
      <c r="AL774" s="686"/>
      <c r="AM774" s="686"/>
      <c r="AN774" s="686" t="s">
        <v>918</v>
      </c>
      <c r="AO774" s="705" t="s">
        <v>7946</v>
      </c>
      <c r="AP774" s="692" t="s">
        <v>2558</v>
      </c>
      <c r="AQ774" s="690" t="s">
        <v>5984</v>
      </c>
      <c r="AR774" s="686" t="s">
        <v>79</v>
      </c>
      <c r="AS774" s="27">
        <v>38621</v>
      </c>
      <c r="AT774" s="27">
        <v>40862</v>
      </c>
      <c r="AU774" s="686" t="s">
        <v>5985</v>
      </c>
      <c r="AV774" s="686"/>
      <c r="AW774" s="686" t="s">
        <v>69</v>
      </c>
      <c r="AX774" s="686" t="s">
        <v>5986</v>
      </c>
      <c r="AY774" s="27">
        <v>42541</v>
      </c>
      <c r="AZ774" s="686" t="s">
        <v>5987</v>
      </c>
      <c r="BA774" s="27">
        <v>43126</v>
      </c>
      <c r="BB774" s="27">
        <v>43145</v>
      </c>
      <c r="BC774" s="686" t="s">
        <v>95</v>
      </c>
      <c r="BD774" s="686" t="s">
        <v>566</v>
      </c>
      <c r="BE774" s="686"/>
      <c r="BF774" s="690" t="s">
        <v>5988</v>
      </c>
      <c r="BG774" s="690"/>
      <c r="BH774" s="690"/>
      <c r="BI774" s="690"/>
      <c r="BJ774" s="708">
        <f>+[291]MATRIZ!$J$75</f>
        <v>150392991.28421897</v>
      </c>
      <c r="BK774" s="696"/>
      <c r="BL774" s="697"/>
      <c r="BM774" s="27"/>
      <c r="BN774" s="689"/>
      <c r="BO774" s="699"/>
      <c r="BP774" s="700"/>
      <c r="BQ774" s="686"/>
      <c r="BR774" s="701"/>
      <c r="BS774" s="690"/>
      <c r="BT774" s="690"/>
      <c r="BU774" s="690"/>
      <c r="BV774" s="690"/>
      <c r="BW774" s="702"/>
      <c r="BX774" s="693"/>
      <c r="BY774" s="27"/>
      <c r="BZ774" s="703"/>
    </row>
    <row r="775" spans="1:555" s="259" customFormat="1" ht="108">
      <c r="A775" s="57">
        <v>726</v>
      </c>
      <c r="B775" s="58" t="s">
        <v>5989</v>
      </c>
      <c r="C775" s="59">
        <v>5864423</v>
      </c>
      <c r="D775" s="170" t="s">
        <v>648</v>
      </c>
      <c r="E775" s="60">
        <v>43075</v>
      </c>
      <c r="F775" s="61">
        <v>43075</v>
      </c>
      <c r="G775" s="62" t="s">
        <v>7565</v>
      </c>
      <c r="H775" s="58" t="s">
        <v>5</v>
      </c>
      <c r="I775" s="58" t="s">
        <v>79</v>
      </c>
      <c r="J775" s="60">
        <v>43115</v>
      </c>
      <c r="K775" s="61">
        <v>43101</v>
      </c>
      <c r="L775" s="62" t="s">
        <v>5990</v>
      </c>
      <c r="M775" s="58" t="s">
        <v>5</v>
      </c>
      <c r="N775" s="58" t="s">
        <v>79</v>
      </c>
      <c r="O775" s="64">
        <v>43333</v>
      </c>
      <c r="P775" s="61">
        <v>43333</v>
      </c>
      <c r="Q775" s="425" t="s">
        <v>5991</v>
      </c>
      <c r="R775" s="58" t="s">
        <v>103</v>
      </c>
      <c r="S775" s="58" t="s">
        <v>1673</v>
      </c>
      <c r="T775" s="64"/>
      <c r="U775" s="61"/>
      <c r="V775" s="425"/>
      <c r="W775" s="58"/>
      <c r="X775" s="58"/>
      <c r="Y775" s="60"/>
      <c r="Z775" s="61"/>
      <c r="AA775" s="62"/>
      <c r="AB775" s="58"/>
      <c r="AC775" s="58"/>
      <c r="AD775" s="60"/>
      <c r="AE775" s="61"/>
      <c r="AF775" s="62"/>
      <c r="AG775" s="58"/>
      <c r="AH775" s="58"/>
      <c r="AI775" s="117"/>
      <c r="AJ775" s="61"/>
      <c r="AK775" s="62"/>
      <c r="AL775" s="58"/>
      <c r="AM775" s="58"/>
      <c r="AN775" s="58" t="s">
        <v>5992</v>
      </c>
      <c r="AO775" s="479">
        <v>43116</v>
      </c>
      <c r="AP775" s="119" t="s">
        <v>2558</v>
      </c>
      <c r="AQ775" s="62" t="s">
        <v>5993</v>
      </c>
      <c r="AR775" s="58" t="s">
        <v>79</v>
      </c>
      <c r="AS775" s="60">
        <v>38777</v>
      </c>
      <c r="AT775" s="60">
        <v>40829</v>
      </c>
      <c r="AU775" s="58" t="s">
        <v>5994</v>
      </c>
      <c r="AV775" s="58"/>
      <c r="AW775" s="58" t="s">
        <v>69</v>
      </c>
      <c r="AX775" s="58" t="s">
        <v>5995</v>
      </c>
      <c r="AY775" s="60">
        <v>42227</v>
      </c>
      <c r="AZ775" s="58" t="s">
        <v>5996</v>
      </c>
      <c r="BA775" s="60">
        <v>42815</v>
      </c>
      <c r="BB775" s="382">
        <v>42823</v>
      </c>
      <c r="BC775" s="58" t="s">
        <v>95</v>
      </c>
      <c r="BD775" s="58" t="s">
        <v>566</v>
      </c>
      <c r="BE775" s="58"/>
      <c r="BF775" s="62" t="s">
        <v>5997</v>
      </c>
      <c r="BG775" s="62"/>
      <c r="BH775" s="62"/>
      <c r="BI775" s="62"/>
      <c r="BJ775" s="209">
        <f>+[292]MATRIZ!$J$58</f>
        <v>286851623.31771475</v>
      </c>
      <c r="BK775" s="67"/>
      <c r="BL775" s="68"/>
      <c r="BM775" s="60"/>
      <c r="BN775" s="61"/>
      <c r="BO775" s="463"/>
      <c r="BP775" s="122"/>
      <c r="BQ775" s="58"/>
      <c r="BR775" s="70"/>
      <c r="BS775" s="62"/>
      <c r="BT775" s="62"/>
      <c r="BU775" s="62"/>
      <c r="BV775" s="62"/>
      <c r="BW775" s="71"/>
      <c r="BX775" s="66"/>
      <c r="BY775" s="60"/>
      <c r="BZ775" s="72"/>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c r="JW775" s="1"/>
      <c r="JX775" s="1"/>
      <c r="JY775" s="1"/>
      <c r="JZ775" s="1"/>
      <c r="KA775" s="1"/>
      <c r="KB775" s="1"/>
      <c r="KC775" s="1"/>
      <c r="KD775" s="1"/>
      <c r="KE775" s="1"/>
      <c r="KF775" s="1"/>
      <c r="KG775" s="1"/>
      <c r="KH775" s="1"/>
      <c r="KI775" s="1"/>
      <c r="KJ775" s="1"/>
      <c r="KK775" s="1"/>
      <c r="KL775" s="1"/>
      <c r="KM775" s="1"/>
      <c r="KN775" s="1"/>
      <c r="KO775" s="1"/>
      <c r="KP775" s="1"/>
      <c r="KQ775" s="1"/>
      <c r="KR775" s="1"/>
      <c r="KS775" s="1"/>
      <c r="KT775" s="1"/>
      <c r="KU775" s="1"/>
      <c r="KV775" s="1"/>
      <c r="KW775" s="1"/>
      <c r="KX775" s="1"/>
      <c r="KY775" s="1"/>
      <c r="KZ775" s="1"/>
      <c r="LA775" s="1"/>
      <c r="LB775" s="1"/>
      <c r="LC775" s="1"/>
      <c r="LD775" s="1"/>
      <c r="LE775" s="1"/>
      <c r="LF775" s="1"/>
      <c r="LG775" s="1"/>
      <c r="LH775" s="1"/>
      <c r="LI775" s="1"/>
      <c r="LJ775" s="1"/>
      <c r="LK775" s="1"/>
      <c r="LL775" s="1"/>
      <c r="LM775" s="1"/>
      <c r="LN775" s="1"/>
      <c r="LO775" s="1"/>
      <c r="LP775" s="1"/>
      <c r="LQ775" s="1"/>
      <c r="LR775" s="1"/>
      <c r="LS775" s="1"/>
      <c r="LT775" s="1"/>
      <c r="LU775" s="1"/>
      <c r="LV775" s="1"/>
      <c r="LW775" s="1"/>
      <c r="LX775" s="1"/>
      <c r="LY775" s="1"/>
      <c r="LZ775" s="1"/>
      <c r="MA775" s="1"/>
      <c r="MB775" s="1"/>
      <c r="MC775" s="1"/>
      <c r="MD775" s="1"/>
      <c r="ME775" s="1"/>
      <c r="MF775" s="1"/>
      <c r="MG775" s="1"/>
      <c r="MH775" s="1"/>
      <c r="MI775" s="1"/>
      <c r="MJ775" s="1"/>
      <c r="MK775" s="1"/>
      <c r="ML775" s="1"/>
      <c r="MM775" s="1"/>
      <c r="MN775" s="1"/>
      <c r="MO775" s="1"/>
      <c r="MP775" s="1"/>
      <c r="MQ775" s="1"/>
      <c r="MR775" s="1"/>
      <c r="MS775" s="1"/>
      <c r="MT775" s="1"/>
      <c r="MU775" s="1"/>
      <c r="MV775" s="1"/>
      <c r="MW775" s="1"/>
      <c r="MX775" s="1"/>
      <c r="MY775" s="1"/>
      <c r="MZ775" s="1"/>
      <c r="NA775" s="1"/>
      <c r="NB775" s="1"/>
      <c r="NC775" s="1"/>
      <c r="ND775" s="1"/>
      <c r="NE775" s="1"/>
      <c r="NF775" s="1"/>
      <c r="NG775" s="1"/>
      <c r="NH775" s="1"/>
      <c r="NI775" s="1"/>
      <c r="NJ775" s="1"/>
      <c r="NK775" s="1"/>
      <c r="NL775" s="1"/>
      <c r="NM775" s="1"/>
      <c r="NN775" s="1"/>
      <c r="NO775" s="1"/>
      <c r="NP775" s="1"/>
      <c r="NQ775" s="1"/>
      <c r="NR775" s="1"/>
      <c r="NS775" s="1"/>
      <c r="NT775" s="1"/>
      <c r="NU775" s="1"/>
      <c r="NV775" s="1"/>
      <c r="NW775" s="1"/>
      <c r="NX775" s="1"/>
      <c r="NY775" s="1"/>
      <c r="NZ775" s="1"/>
      <c r="OA775" s="1"/>
      <c r="OB775" s="1"/>
      <c r="OC775" s="1"/>
      <c r="OD775" s="1"/>
      <c r="OE775" s="1"/>
      <c r="OF775" s="1"/>
      <c r="OG775" s="1"/>
      <c r="OH775" s="1"/>
      <c r="OI775" s="1"/>
      <c r="OJ775" s="1"/>
      <c r="OK775" s="1"/>
      <c r="OL775" s="1"/>
      <c r="OM775" s="1"/>
      <c r="ON775" s="1"/>
      <c r="OO775" s="1"/>
      <c r="OP775" s="1"/>
      <c r="OQ775" s="1"/>
      <c r="OR775" s="1"/>
      <c r="OS775" s="1"/>
      <c r="OT775" s="1"/>
      <c r="OU775" s="1"/>
      <c r="OV775" s="1"/>
      <c r="OW775" s="1"/>
      <c r="OX775" s="1"/>
      <c r="OY775" s="1"/>
      <c r="OZ775" s="1"/>
      <c r="PA775" s="1"/>
      <c r="PB775" s="1"/>
      <c r="PC775" s="1"/>
      <c r="PD775" s="1"/>
      <c r="PE775" s="1"/>
      <c r="PF775" s="1"/>
      <c r="PG775" s="1"/>
      <c r="PH775" s="1"/>
      <c r="PI775" s="1"/>
      <c r="PJ775" s="1"/>
      <c r="PK775" s="1"/>
      <c r="PL775" s="1"/>
      <c r="PM775" s="1"/>
      <c r="PN775" s="1"/>
      <c r="PO775" s="1"/>
      <c r="PP775" s="1"/>
      <c r="PQ775" s="1"/>
      <c r="PR775" s="1"/>
      <c r="PS775" s="1"/>
      <c r="PT775" s="1"/>
      <c r="PU775" s="1"/>
      <c r="PV775" s="1"/>
      <c r="PW775" s="1"/>
      <c r="PX775" s="1"/>
      <c r="PY775" s="1"/>
      <c r="PZ775" s="1"/>
      <c r="QA775" s="1"/>
      <c r="QB775" s="1"/>
      <c r="QC775" s="1"/>
      <c r="QD775" s="1"/>
      <c r="QE775" s="1"/>
      <c r="QF775" s="1"/>
      <c r="QG775" s="1"/>
      <c r="QH775" s="1"/>
      <c r="QI775" s="1"/>
      <c r="QJ775" s="1"/>
      <c r="QK775" s="1"/>
      <c r="QL775" s="1"/>
      <c r="QM775" s="1"/>
      <c r="QN775" s="1"/>
      <c r="QO775" s="1"/>
      <c r="QP775" s="1"/>
      <c r="QQ775" s="1"/>
      <c r="QR775" s="1"/>
      <c r="QS775" s="1"/>
      <c r="QT775" s="1"/>
      <c r="QU775" s="1"/>
      <c r="QV775" s="1"/>
      <c r="QW775" s="1"/>
      <c r="QX775" s="1"/>
      <c r="QY775" s="1"/>
      <c r="QZ775" s="1"/>
      <c r="RA775" s="1"/>
      <c r="RB775" s="1"/>
      <c r="RC775" s="1"/>
      <c r="RD775" s="1"/>
      <c r="RE775" s="1"/>
      <c r="RF775" s="1"/>
      <c r="RG775" s="1"/>
      <c r="RH775" s="1"/>
      <c r="RI775" s="1"/>
      <c r="RJ775" s="1"/>
      <c r="RK775" s="1"/>
      <c r="RL775" s="1"/>
      <c r="RM775" s="1"/>
      <c r="RN775" s="1"/>
      <c r="RO775" s="1"/>
      <c r="RP775" s="1"/>
      <c r="RQ775" s="1"/>
      <c r="RR775" s="1"/>
      <c r="RS775" s="1"/>
      <c r="RT775" s="1"/>
      <c r="RU775" s="1"/>
      <c r="RV775" s="1"/>
      <c r="RW775" s="1"/>
      <c r="RX775" s="1"/>
      <c r="RY775" s="1"/>
      <c r="RZ775" s="1"/>
      <c r="SA775" s="1"/>
      <c r="SB775" s="1"/>
      <c r="SC775" s="1"/>
      <c r="SD775" s="1"/>
      <c r="SE775" s="1"/>
      <c r="SF775" s="1"/>
      <c r="SG775" s="1"/>
      <c r="SH775" s="1"/>
      <c r="SI775" s="1"/>
      <c r="SJ775" s="1"/>
      <c r="SK775" s="1"/>
      <c r="SL775" s="1"/>
      <c r="SM775" s="1"/>
      <c r="SN775" s="1"/>
      <c r="SO775" s="1"/>
      <c r="SP775" s="1"/>
      <c r="SQ775" s="1"/>
      <c r="SR775" s="1"/>
      <c r="SS775" s="1"/>
      <c r="ST775" s="1"/>
      <c r="SU775" s="1"/>
      <c r="SV775" s="1"/>
      <c r="SW775" s="1"/>
      <c r="SX775" s="1"/>
      <c r="SY775" s="1"/>
      <c r="SZ775" s="1"/>
      <c r="TA775" s="1"/>
      <c r="TB775" s="1"/>
      <c r="TC775" s="1"/>
      <c r="TD775" s="1"/>
      <c r="TE775" s="1"/>
      <c r="TF775" s="1"/>
      <c r="TG775" s="1"/>
      <c r="TH775" s="1"/>
      <c r="TI775" s="1"/>
      <c r="TJ775" s="1"/>
      <c r="TK775" s="1"/>
      <c r="TL775" s="1"/>
      <c r="TM775" s="1"/>
      <c r="TN775" s="1"/>
      <c r="TO775" s="1"/>
      <c r="TP775" s="1"/>
      <c r="TQ775" s="1"/>
      <c r="TR775" s="1"/>
      <c r="TS775" s="1"/>
      <c r="TT775" s="1"/>
      <c r="TU775" s="1"/>
      <c r="TV775" s="1"/>
      <c r="TW775" s="1"/>
      <c r="TX775" s="1"/>
      <c r="TY775" s="1"/>
      <c r="TZ775" s="1"/>
      <c r="UA775" s="1"/>
      <c r="UB775" s="1"/>
      <c r="UC775" s="1"/>
      <c r="UD775" s="1"/>
      <c r="UE775" s="1"/>
      <c r="UF775" s="1"/>
      <c r="UG775" s="1"/>
      <c r="UH775" s="1"/>
      <c r="UI775" s="1"/>
    </row>
    <row r="776" spans="1:555" ht="69.75" customHeight="1">
      <c r="A776" s="502">
        <v>727</v>
      </c>
      <c r="B776" s="686" t="s">
        <v>5998</v>
      </c>
      <c r="C776" s="687">
        <v>52239884</v>
      </c>
      <c r="D776" s="688" t="s">
        <v>906</v>
      </c>
      <c r="E776" s="27">
        <v>43143</v>
      </c>
      <c r="F776" s="689">
        <v>43132</v>
      </c>
      <c r="G776" s="690" t="s">
        <v>5999</v>
      </c>
      <c r="H776" s="686" t="s">
        <v>625</v>
      </c>
      <c r="I776" s="686" t="s">
        <v>2395</v>
      </c>
      <c r="J776" s="27">
        <v>43158</v>
      </c>
      <c r="K776" s="689">
        <v>43132</v>
      </c>
      <c r="L776" s="690" t="s">
        <v>6000</v>
      </c>
      <c r="M776" s="686" t="s">
        <v>195</v>
      </c>
      <c r="N776" s="686" t="s">
        <v>4189</v>
      </c>
      <c r="O776" s="27">
        <v>43517</v>
      </c>
      <c r="P776" s="691">
        <v>43517</v>
      </c>
      <c r="Q776" s="690" t="s">
        <v>8368</v>
      </c>
      <c r="R776" s="686" t="s">
        <v>5</v>
      </c>
      <c r="S776" s="686" t="s">
        <v>79</v>
      </c>
      <c r="T776" s="27"/>
      <c r="U776" s="689"/>
      <c r="V776" s="690"/>
      <c r="W776" s="686"/>
      <c r="X776" s="686"/>
      <c r="Y776" s="27"/>
      <c r="Z776" s="689"/>
      <c r="AA776" s="690"/>
      <c r="AB776" s="686"/>
      <c r="AC776" s="686"/>
      <c r="AD776" s="27"/>
      <c r="AE776" s="689"/>
      <c r="AF776" s="690"/>
      <c r="AG776" s="686"/>
      <c r="AH776" s="686"/>
      <c r="AI776" s="704"/>
      <c r="AJ776" s="689"/>
      <c r="AK776" s="690"/>
      <c r="AL776" s="686"/>
      <c r="AM776" s="686"/>
      <c r="AN776" s="686" t="s">
        <v>918</v>
      </c>
      <c r="AO776" s="705" t="s">
        <v>7946</v>
      </c>
      <c r="AP776" s="692" t="s">
        <v>2558</v>
      </c>
      <c r="AQ776" s="690" t="s">
        <v>6001</v>
      </c>
      <c r="AR776" s="686" t="s">
        <v>79</v>
      </c>
      <c r="AS776" s="27">
        <v>40488</v>
      </c>
      <c r="AT776" s="27">
        <v>40908</v>
      </c>
      <c r="AU776" s="686" t="s">
        <v>4499</v>
      </c>
      <c r="AV776" s="686"/>
      <c r="AW776" s="686" t="s">
        <v>69</v>
      </c>
      <c r="AX776" s="686" t="s">
        <v>5593</v>
      </c>
      <c r="AY776" s="27">
        <v>42534</v>
      </c>
      <c r="AZ776" s="686" t="s">
        <v>4043</v>
      </c>
      <c r="BA776" s="27">
        <v>43013</v>
      </c>
      <c r="BB776" s="27">
        <v>43146</v>
      </c>
      <c r="BC776" s="701" t="s">
        <v>912</v>
      </c>
      <c r="BD776" s="701" t="s">
        <v>566</v>
      </c>
      <c r="BE776" s="686"/>
      <c r="BF776" s="690"/>
      <c r="BG776" s="690"/>
      <c r="BH776" s="690"/>
      <c r="BI776" s="690"/>
      <c r="BJ776" s="708">
        <f>+'[293]MATRIZ DE CONTRATOS '!$J$40</f>
        <v>2809488.3948138226</v>
      </c>
      <c r="BK776" s="696"/>
      <c r="BL776" s="697"/>
      <c r="BM776" s="27"/>
      <c r="BN776" s="689"/>
      <c r="BO776" s="699"/>
      <c r="BP776" s="700"/>
      <c r="BQ776" s="686"/>
      <c r="BR776" s="701"/>
      <c r="BS776" s="690"/>
      <c r="BT776" s="690"/>
      <c r="BU776" s="690"/>
      <c r="BV776" s="690"/>
      <c r="BW776" s="702"/>
      <c r="BX776" s="693"/>
      <c r="BY776" s="27"/>
      <c r="BZ776" s="703"/>
      <c r="CA776" s="259"/>
      <c r="CB776" s="259"/>
      <c r="CC776" s="259"/>
      <c r="CD776" s="259"/>
      <c r="CE776" s="259"/>
      <c r="CF776" s="259"/>
      <c r="CG776" s="259"/>
      <c r="CH776" s="259"/>
      <c r="CI776" s="259"/>
      <c r="CJ776" s="259"/>
      <c r="CK776" s="259"/>
      <c r="CL776" s="259"/>
      <c r="CM776" s="259"/>
      <c r="CN776" s="259"/>
      <c r="CO776" s="259"/>
      <c r="CP776" s="259"/>
      <c r="CQ776" s="259"/>
      <c r="CR776" s="259"/>
      <c r="CS776" s="259"/>
      <c r="CT776" s="259"/>
      <c r="CU776" s="259"/>
      <c r="CV776" s="259"/>
      <c r="CW776" s="259"/>
      <c r="CX776" s="259"/>
      <c r="CY776" s="259"/>
      <c r="CZ776" s="259"/>
      <c r="DA776" s="259"/>
      <c r="DB776" s="259"/>
      <c r="DC776" s="259"/>
      <c r="DD776" s="259"/>
      <c r="DE776" s="259"/>
      <c r="DF776" s="259"/>
      <c r="DG776" s="259"/>
      <c r="DH776" s="259"/>
      <c r="DI776" s="259"/>
      <c r="DJ776" s="259"/>
      <c r="DK776" s="259"/>
      <c r="DL776" s="259"/>
      <c r="DM776" s="259"/>
      <c r="DN776" s="259"/>
      <c r="DO776" s="259"/>
      <c r="DP776" s="259"/>
      <c r="DQ776" s="259"/>
      <c r="DR776" s="259"/>
      <c r="DS776" s="259"/>
      <c r="DT776" s="259"/>
      <c r="DU776" s="259"/>
      <c r="DV776" s="259"/>
      <c r="DW776" s="259"/>
      <c r="DX776" s="259"/>
      <c r="DY776" s="259"/>
      <c r="DZ776" s="259"/>
      <c r="EA776" s="259"/>
      <c r="EB776" s="259"/>
      <c r="EC776" s="259"/>
      <c r="ED776" s="259"/>
      <c r="EE776" s="259"/>
      <c r="EF776" s="259"/>
      <c r="EG776" s="259"/>
      <c r="EH776" s="259"/>
      <c r="EI776" s="259"/>
      <c r="EJ776" s="259"/>
      <c r="EK776" s="259"/>
      <c r="EL776" s="259"/>
      <c r="EM776" s="259"/>
      <c r="EN776" s="259"/>
      <c r="EO776" s="259"/>
      <c r="EP776" s="259"/>
      <c r="EQ776" s="259"/>
      <c r="ER776" s="259"/>
      <c r="ES776" s="259"/>
      <c r="ET776" s="259"/>
      <c r="EU776" s="259"/>
      <c r="EV776" s="259"/>
      <c r="EW776" s="259"/>
      <c r="EX776" s="259"/>
      <c r="EY776" s="259"/>
      <c r="EZ776" s="259"/>
      <c r="FA776" s="259"/>
      <c r="FB776" s="259"/>
      <c r="FC776" s="259"/>
      <c r="FD776" s="259"/>
      <c r="FE776" s="259"/>
      <c r="FF776" s="259"/>
      <c r="FG776" s="259"/>
      <c r="FH776" s="259"/>
      <c r="FI776" s="259"/>
      <c r="FJ776" s="259"/>
      <c r="FK776" s="259"/>
      <c r="FL776" s="259"/>
      <c r="FM776" s="259"/>
      <c r="FN776" s="259"/>
      <c r="FO776" s="259"/>
      <c r="FP776" s="259"/>
      <c r="FQ776" s="259"/>
      <c r="FR776" s="259"/>
      <c r="FS776" s="259"/>
      <c r="FT776" s="259"/>
      <c r="FU776" s="259"/>
      <c r="FV776" s="259"/>
      <c r="FW776" s="259"/>
      <c r="FX776" s="259"/>
      <c r="FY776" s="259"/>
      <c r="FZ776" s="259"/>
      <c r="GA776" s="259"/>
      <c r="GB776" s="259"/>
      <c r="GC776" s="259"/>
      <c r="GD776" s="259"/>
      <c r="GE776" s="259"/>
      <c r="GF776" s="259"/>
      <c r="GG776" s="259"/>
      <c r="GH776" s="259"/>
      <c r="GI776" s="259"/>
      <c r="GJ776" s="259"/>
      <c r="GK776" s="259"/>
      <c r="GL776" s="259"/>
      <c r="GM776" s="259"/>
      <c r="GN776" s="259"/>
      <c r="GO776" s="259"/>
      <c r="GP776" s="259"/>
      <c r="GQ776" s="259"/>
      <c r="GR776" s="259"/>
      <c r="GS776" s="259"/>
      <c r="GT776" s="259"/>
      <c r="GU776" s="259"/>
      <c r="GV776" s="259"/>
      <c r="GW776" s="259"/>
      <c r="GX776" s="259"/>
      <c r="GY776" s="259"/>
      <c r="GZ776" s="259"/>
      <c r="HA776" s="259"/>
      <c r="HB776" s="259"/>
      <c r="HC776" s="259"/>
      <c r="HD776" s="259"/>
      <c r="HE776" s="259"/>
      <c r="HF776" s="259"/>
      <c r="HG776" s="259"/>
      <c r="HH776" s="259"/>
      <c r="HI776" s="259"/>
      <c r="HJ776" s="259"/>
      <c r="HK776" s="259"/>
      <c r="HL776" s="259"/>
      <c r="HM776" s="259"/>
      <c r="HN776" s="259"/>
      <c r="HO776" s="259"/>
      <c r="HP776" s="259"/>
      <c r="HQ776" s="259"/>
      <c r="HR776" s="259"/>
      <c r="HS776" s="259"/>
      <c r="HT776" s="259"/>
      <c r="HU776" s="259"/>
      <c r="HV776" s="259"/>
      <c r="HW776" s="259"/>
      <c r="HX776" s="259"/>
      <c r="HY776" s="259"/>
      <c r="HZ776" s="259"/>
      <c r="IA776" s="259"/>
      <c r="IB776" s="259"/>
      <c r="IC776" s="259"/>
      <c r="ID776" s="259"/>
      <c r="IE776" s="259"/>
      <c r="IF776" s="259"/>
      <c r="IG776" s="259"/>
      <c r="IH776" s="259"/>
      <c r="II776" s="259"/>
      <c r="IJ776" s="259"/>
      <c r="IK776" s="259"/>
      <c r="IL776" s="259"/>
      <c r="IM776" s="259"/>
      <c r="IN776" s="259"/>
      <c r="IO776" s="259"/>
      <c r="IP776" s="259"/>
      <c r="IQ776" s="259"/>
      <c r="IR776" s="259"/>
      <c r="IS776" s="259"/>
      <c r="IT776" s="259"/>
      <c r="IU776" s="259"/>
      <c r="IV776" s="259"/>
      <c r="IW776" s="259"/>
      <c r="IX776" s="259"/>
      <c r="IY776" s="259"/>
      <c r="IZ776" s="259"/>
      <c r="JA776" s="259"/>
      <c r="JB776" s="259"/>
      <c r="JC776" s="259"/>
      <c r="JD776" s="259"/>
      <c r="JE776" s="259"/>
      <c r="JF776" s="259"/>
      <c r="JG776" s="259"/>
      <c r="JH776" s="259"/>
      <c r="JI776" s="259"/>
      <c r="JJ776" s="259"/>
      <c r="JK776" s="259"/>
      <c r="JL776" s="259"/>
      <c r="JM776" s="259"/>
      <c r="JN776" s="259"/>
      <c r="JO776" s="259"/>
      <c r="JP776" s="259"/>
      <c r="JQ776" s="259"/>
      <c r="JR776" s="259"/>
      <c r="JS776" s="259"/>
      <c r="JT776" s="259"/>
      <c r="JU776" s="259"/>
      <c r="JV776" s="259"/>
      <c r="JW776" s="259"/>
      <c r="JX776" s="259"/>
      <c r="JY776" s="259"/>
      <c r="JZ776" s="259"/>
      <c r="KA776" s="259"/>
      <c r="KB776" s="259"/>
      <c r="KC776" s="259"/>
      <c r="KD776" s="259"/>
      <c r="KE776" s="259"/>
      <c r="KF776" s="259"/>
      <c r="KG776" s="259"/>
      <c r="KH776" s="259"/>
      <c r="KI776" s="259"/>
      <c r="KJ776" s="259"/>
      <c r="KK776" s="259"/>
      <c r="KL776" s="259"/>
      <c r="KM776" s="259"/>
      <c r="KN776" s="259"/>
      <c r="KO776" s="259"/>
      <c r="KP776" s="259"/>
      <c r="KQ776" s="259"/>
      <c r="KR776" s="259"/>
      <c r="KS776" s="259"/>
      <c r="KT776" s="259"/>
      <c r="KU776" s="259"/>
      <c r="KV776" s="259"/>
      <c r="KW776" s="259"/>
      <c r="KX776" s="259"/>
      <c r="KY776" s="259"/>
      <c r="KZ776" s="259"/>
      <c r="LA776" s="259"/>
      <c r="LB776" s="259"/>
      <c r="LC776" s="259"/>
      <c r="LD776" s="259"/>
      <c r="LE776" s="259"/>
      <c r="LF776" s="259"/>
      <c r="LG776" s="259"/>
      <c r="LH776" s="259"/>
      <c r="LI776" s="259"/>
      <c r="LJ776" s="259"/>
      <c r="LK776" s="259"/>
      <c r="LL776" s="259"/>
      <c r="LM776" s="259"/>
      <c r="LN776" s="259"/>
      <c r="LO776" s="259"/>
      <c r="LP776" s="259"/>
      <c r="LQ776" s="259"/>
      <c r="LR776" s="259"/>
      <c r="LS776" s="259"/>
      <c r="LT776" s="259"/>
      <c r="LU776" s="259"/>
      <c r="LV776" s="259"/>
      <c r="LW776" s="259"/>
      <c r="LX776" s="259"/>
      <c r="LY776" s="259"/>
      <c r="LZ776" s="259"/>
      <c r="MA776" s="259"/>
      <c r="MB776" s="259"/>
      <c r="MC776" s="259"/>
      <c r="MD776" s="259"/>
      <c r="ME776" s="259"/>
      <c r="MF776" s="259"/>
      <c r="MG776" s="259"/>
      <c r="MH776" s="259"/>
      <c r="MI776" s="259"/>
      <c r="MJ776" s="259"/>
      <c r="MK776" s="259"/>
      <c r="ML776" s="259"/>
      <c r="MM776" s="259"/>
      <c r="MN776" s="259"/>
      <c r="MO776" s="259"/>
      <c r="MP776" s="259"/>
      <c r="MQ776" s="259"/>
      <c r="MR776" s="259"/>
      <c r="MS776" s="259"/>
      <c r="MT776" s="259"/>
      <c r="MU776" s="259"/>
      <c r="MV776" s="259"/>
      <c r="MW776" s="259"/>
      <c r="MX776" s="259"/>
      <c r="MY776" s="259"/>
      <c r="MZ776" s="259"/>
      <c r="NA776" s="259"/>
      <c r="NB776" s="259"/>
      <c r="NC776" s="259"/>
      <c r="ND776" s="259"/>
      <c r="NE776" s="259"/>
      <c r="NF776" s="259"/>
      <c r="NG776" s="259"/>
      <c r="NH776" s="259"/>
      <c r="NI776" s="259"/>
      <c r="NJ776" s="259"/>
      <c r="NK776" s="259"/>
      <c r="NL776" s="259"/>
      <c r="NM776" s="259"/>
      <c r="NN776" s="259"/>
      <c r="NO776" s="259"/>
      <c r="NP776" s="259"/>
      <c r="NQ776" s="259"/>
      <c r="NR776" s="259"/>
      <c r="NS776" s="259"/>
      <c r="NT776" s="259"/>
      <c r="NU776" s="259"/>
      <c r="NV776" s="259"/>
      <c r="NW776" s="259"/>
      <c r="NX776" s="259"/>
      <c r="NY776" s="259"/>
      <c r="NZ776" s="259"/>
      <c r="OA776" s="259"/>
      <c r="OB776" s="259"/>
      <c r="OC776" s="259"/>
      <c r="OD776" s="259"/>
      <c r="OE776" s="259"/>
      <c r="OF776" s="259"/>
      <c r="OG776" s="259"/>
      <c r="OH776" s="259"/>
      <c r="OI776" s="259"/>
      <c r="OJ776" s="259"/>
      <c r="OK776" s="259"/>
      <c r="OL776" s="259"/>
      <c r="OM776" s="259"/>
      <c r="ON776" s="259"/>
      <c r="OO776" s="259"/>
      <c r="OP776" s="259"/>
      <c r="OQ776" s="259"/>
      <c r="OR776" s="259"/>
      <c r="OS776" s="259"/>
      <c r="OT776" s="259"/>
      <c r="OU776" s="259"/>
      <c r="OV776" s="259"/>
      <c r="OW776" s="259"/>
      <c r="OX776" s="259"/>
      <c r="OY776" s="259"/>
      <c r="OZ776" s="259"/>
      <c r="PA776" s="259"/>
      <c r="PB776" s="259"/>
      <c r="PC776" s="259"/>
      <c r="PD776" s="259"/>
      <c r="PE776" s="259"/>
      <c r="PF776" s="259"/>
      <c r="PG776" s="259"/>
      <c r="PH776" s="259"/>
      <c r="PI776" s="259"/>
      <c r="PJ776" s="259"/>
      <c r="PK776" s="259"/>
      <c r="PL776" s="259"/>
      <c r="PM776" s="259"/>
      <c r="PN776" s="259"/>
      <c r="PO776" s="259"/>
      <c r="PP776" s="259"/>
      <c r="PQ776" s="259"/>
      <c r="PR776" s="259"/>
      <c r="PS776" s="259"/>
      <c r="PT776" s="259"/>
      <c r="PU776" s="259"/>
      <c r="PV776" s="259"/>
      <c r="PW776" s="259"/>
      <c r="PX776" s="259"/>
      <c r="PY776" s="259"/>
      <c r="PZ776" s="259"/>
      <c r="QA776" s="259"/>
      <c r="QB776" s="259"/>
      <c r="QC776" s="259"/>
      <c r="QD776" s="259"/>
      <c r="QE776" s="259"/>
      <c r="QF776" s="259"/>
      <c r="QG776" s="259"/>
      <c r="QH776" s="259"/>
      <c r="QI776" s="259"/>
      <c r="QJ776" s="259"/>
      <c r="QK776" s="259"/>
      <c r="QL776" s="259"/>
      <c r="QM776" s="259"/>
      <c r="QN776" s="259"/>
      <c r="QO776" s="259"/>
      <c r="QP776" s="259"/>
      <c r="QQ776" s="259"/>
      <c r="QR776" s="259"/>
      <c r="QS776" s="259"/>
      <c r="QT776" s="259"/>
      <c r="QU776" s="259"/>
      <c r="QV776" s="259"/>
      <c r="QW776" s="259"/>
      <c r="QX776" s="259"/>
      <c r="QY776" s="259"/>
      <c r="QZ776" s="259"/>
      <c r="RA776" s="259"/>
      <c r="RB776" s="259"/>
      <c r="RC776" s="259"/>
      <c r="RD776" s="259"/>
      <c r="RE776" s="259"/>
      <c r="RF776" s="259"/>
      <c r="RG776" s="259"/>
      <c r="RH776" s="259"/>
      <c r="RI776" s="259"/>
      <c r="RJ776" s="259"/>
      <c r="RK776" s="259"/>
      <c r="RL776" s="259"/>
      <c r="RM776" s="259"/>
      <c r="RN776" s="259"/>
      <c r="RO776" s="259"/>
      <c r="RP776" s="259"/>
      <c r="RQ776" s="259"/>
      <c r="RR776" s="259"/>
      <c r="RS776" s="259"/>
      <c r="RT776" s="259"/>
      <c r="RU776" s="259"/>
      <c r="RV776" s="259"/>
      <c r="RW776" s="259"/>
      <c r="RX776" s="259"/>
      <c r="RY776" s="259"/>
      <c r="RZ776" s="259"/>
      <c r="SA776" s="259"/>
      <c r="SB776" s="259"/>
      <c r="SC776" s="259"/>
      <c r="SD776" s="259"/>
      <c r="SE776" s="259"/>
      <c r="SF776" s="259"/>
      <c r="SG776" s="259"/>
      <c r="SH776" s="259"/>
      <c r="SI776" s="259"/>
      <c r="SJ776" s="259"/>
      <c r="SK776" s="259"/>
      <c r="SL776" s="259"/>
      <c r="SM776" s="259"/>
      <c r="SN776" s="259"/>
      <c r="SO776" s="259"/>
      <c r="SP776" s="259"/>
      <c r="SQ776" s="259"/>
      <c r="SR776" s="259"/>
      <c r="SS776" s="259"/>
      <c r="ST776" s="259"/>
      <c r="SU776" s="259"/>
      <c r="SV776" s="259"/>
      <c r="SW776" s="259"/>
      <c r="SX776" s="259"/>
      <c r="SY776" s="259"/>
      <c r="SZ776" s="259"/>
      <c r="TA776" s="259"/>
      <c r="TB776" s="259"/>
      <c r="TC776" s="259"/>
      <c r="TD776" s="259"/>
      <c r="TE776" s="259"/>
      <c r="TF776" s="259"/>
      <c r="TG776" s="259"/>
      <c r="TH776" s="259"/>
      <c r="TI776" s="259"/>
      <c r="TJ776" s="259"/>
      <c r="TK776" s="259"/>
      <c r="TL776" s="259"/>
      <c r="TM776" s="259"/>
      <c r="TN776" s="259"/>
      <c r="TO776" s="259"/>
      <c r="TP776" s="259"/>
      <c r="TQ776" s="259"/>
      <c r="TR776" s="259"/>
      <c r="TS776" s="259"/>
      <c r="TT776" s="259"/>
      <c r="TU776" s="259"/>
      <c r="TV776" s="259"/>
      <c r="TW776" s="259"/>
      <c r="TX776" s="259"/>
      <c r="TY776" s="259"/>
      <c r="TZ776" s="259"/>
      <c r="UA776" s="259"/>
      <c r="UB776" s="259"/>
      <c r="UC776" s="259"/>
      <c r="UD776" s="259"/>
      <c r="UE776" s="259"/>
      <c r="UF776" s="259"/>
      <c r="UG776" s="259"/>
      <c r="UH776" s="259"/>
      <c r="UI776" s="259"/>
    </row>
    <row r="777" spans="1:555" ht="40.5">
      <c r="A777" s="729">
        <v>728</v>
      </c>
      <c r="B777" s="381" t="s">
        <v>6002</v>
      </c>
      <c r="C777" s="730"/>
      <c r="D777" s="731"/>
      <c r="E777" s="382"/>
      <c r="F777" s="379"/>
      <c r="G777" s="383"/>
      <c r="H777" s="381"/>
      <c r="I777" s="381"/>
      <c r="J777" s="382"/>
      <c r="K777" s="379"/>
      <c r="L777" s="383"/>
      <c r="M777" s="381"/>
      <c r="N777" s="381"/>
      <c r="O777" s="382"/>
      <c r="P777" s="732"/>
      <c r="Q777" s="383"/>
      <c r="R777" s="381"/>
      <c r="S777" s="381"/>
      <c r="T777" s="382"/>
      <c r="U777" s="379"/>
      <c r="V777" s="383"/>
      <c r="W777" s="381"/>
      <c r="X777" s="381"/>
      <c r="Y777" s="382"/>
      <c r="Z777" s="379"/>
      <c r="AA777" s="383"/>
      <c r="AB777" s="381"/>
      <c r="AC777" s="381"/>
      <c r="AD777" s="382"/>
      <c r="AE777" s="379"/>
      <c r="AF777" s="383"/>
      <c r="AG777" s="381"/>
      <c r="AH777" s="381"/>
      <c r="AI777" s="745"/>
      <c r="AJ777" s="379"/>
      <c r="AK777" s="383"/>
      <c r="AL777" s="381"/>
      <c r="AM777" s="381"/>
      <c r="AN777" s="381"/>
      <c r="AO777" s="748" t="s">
        <v>7946</v>
      </c>
      <c r="AP777" s="381"/>
      <c r="AQ777" s="383"/>
      <c r="AR777" s="381"/>
      <c r="AS777" s="382"/>
      <c r="AT777" s="382"/>
      <c r="AU777" s="381"/>
      <c r="AV777" s="381"/>
      <c r="AW777" s="381"/>
      <c r="AX777" s="381"/>
      <c r="AY777" s="382"/>
      <c r="AZ777" s="381"/>
      <c r="BA777" s="382"/>
      <c r="BB777" s="382"/>
      <c r="BC777" s="742"/>
      <c r="BD777" s="742"/>
      <c r="BE777" s="381"/>
      <c r="BF777" s="383"/>
      <c r="BG777" s="383"/>
      <c r="BH777" s="383"/>
      <c r="BI777" s="383"/>
      <c r="BJ777" s="749"/>
      <c r="BK777" s="737"/>
      <c r="BL777" s="738"/>
      <c r="BM777" s="382"/>
      <c r="BN777" s="379"/>
      <c r="BO777" s="740"/>
      <c r="BP777" s="741"/>
      <c r="BQ777" s="381"/>
      <c r="BR777" s="742"/>
      <c r="BS777" s="383"/>
      <c r="BT777" s="383"/>
      <c r="BU777" s="383"/>
      <c r="BV777" s="383"/>
      <c r="BW777" s="743"/>
      <c r="BX777" s="733"/>
      <c r="BY777" s="382"/>
      <c r="BZ777" s="744"/>
      <c r="CA777" s="685"/>
      <c r="CB777" s="685"/>
      <c r="CC777" s="685"/>
      <c r="CD777" s="685"/>
      <c r="CE777" s="685"/>
      <c r="CF777" s="685"/>
      <c r="CG777" s="685"/>
      <c r="CH777" s="685"/>
      <c r="CI777" s="685"/>
      <c r="CJ777" s="685"/>
      <c r="CK777" s="685"/>
      <c r="CL777" s="685"/>
      <c r="CM777" s="685"/>
      <c r="CN777" s="685"/>
      <c r="CO777" s="685"/>
      <c r="CP777" s="685"/>
      <c r="CQ777" s="685"/>
      <c r="CR777" s="685"/>
      <c r="CS777" s="685"/>
      <c r="CT777" s="685"/>
      <c r="CU777" s="685"/>
      <c r="CV777" s="685"/>
      <c r="CW777" s="685"/>
      <c r="CX777" s="685"/>
      <c r="CY777" s="685"/>
      <c r="CZ777" s="685"/>
      <c r="DA777" s="685"/>
      <c r="DB777" s="685"/>
      <c r="DC777" s="685"/>
      <c r="DD777" s="685"/>
      <c r="DE777" s="685"/>
      <c r="DF777" s="685"/>
      <c r="DG777" s="685"/>
      <c r="DH777" s="685"/>
      <c r="DI777" s="685"/>
      <c r="DJ777" s="685"/>
      <c r="DK777" s="685"/>
      <c r="DL777" s="685"/>
      <c r="DM777" s="685"/>
      <c r="DN777" s="685"/>
      <c r="DO777" s="685"/>
      <c r="DP777" s="685"/>
      <c r="DQ777" s="685"/>
      <c r="DR777" s="685"/>
      <c r="DS777" s="685"/>
      <c r="DT777" s="685"/>
      <c r="DU777" s="685"/>
      <c r="DV777" s="685"/>
      <c r="DW777" s="685"/>
      <c r="DX777" s="685"/>
      <c r="DY777" s="685"/>
      <c r="DZ777" s="685"/>
      <c r="EA777" s="685"/>
      <c r="EB777" s="685"/>
      <c r="EC777" s="685"/>
      <c r="ED777" s="685"/>
      <c r="EE777" s="685"/>
      <c r="EF777" s="685"/>
      <c r="EG777" s="685"/>
      <c r="EH777" s="685"/>
      <c r="EI777" s="685"/>
      <c r="EJ777" s="685"/>
      <c r="EK777" s="685"/>
      <c r="EL777" s="685"/>
      <c r="EM777" s="685"/>
      <c r="EN777" s="685"/>
      <c r="EO777" s="685"/>
      <c r="EP777" s="685"/>
      <c r="EQ777" s="685"/>
      <c r="ER777" s="685"/>
      <c r="ES777" s="685"/>
      <c r="ET777" s="685"/>
      <c r="EU777" s="685"/>
      <c r="EV777" s="685"/>
      <c r="EW777" s="685"/>
      <c r="EX777" s="685"/>
      <c r="EY777" s="685"/>
      <c r="EZ777" s="685"/>
      <c r="FA777" s="685"/>
      <c r="FB777" s="685"/>
      <c r="FC777" s="685"/>
      <c r="FD777" s="685"/>
      <c r="FE777" s="685"/>
      <c r="FF777" s="685"/>
      <c r="FG777" s="685"/>
      <c r="FH777" s="685"/>
      <c r="FI777" s="685"/>
      <c r="FJ777" s="685"/>
      <c r="FK777" s="685"/>
      <c r="FL777" s="685"/>
      <c r="FM777" s="685"/>
      <c r="FN777" s="685"/>
      <c r="FO777" s="685"/>
      <c r="FP777" s="685"/>
      <c r="FQ777" s="685"/>
      <c r="FR777" s="685"/>
      <c r="FS777" s="685"/>
      <c r="FT777" s="685"/>
      <c r="FU777" s="685"/>
      <c r="FV777" s="685"/>
      <c r="FW777" s="685"/>
      <c r="FX777" s="685"/>
      <c r="FY777" s="685"/>
      <c r="FZ777" s="685"/>
      <c r="GA777" s="685"/>
      <c r="GB777" s="685"/>
      <c r="GC777" s="685"/>
      <c r="GD777" s="685"/>
      <c r="GE777" s="685"/>
      <c r="GF777" s="685"/>
      <c r="GG777" s="685"/>
      <c r="GH777" s="685"/>
      <c r="GI777" s="685"/>
      <c r="GJ777" s="685"/>
      <c r="GK777" s="685"/>
      <c r="GL777" s="685"/>
      <c r="GM777" s="685"/>
      <c r="GN777" s="685"/>
      <c r="GO777" s="685"/>
      <c r="GP777" s="685"/>
      <c r="GQ777" s="685"/>
      <c r="GR777" s="685"/>
      <c r="GS777" s="685"/>
      <c r="GT777" s="685"/>
      <c r="GU777" s="685"/>
      <c r="GV777" s="685"/>
      <c r="GW777" s="685"/>
      <c r="GX777" s="685"/>
      <c r="GY777" s="685"/>
      <c r="GZ777" s="685"/>
      <c r="HA777" s="685"/>
      <c r="HB777" s="685"/>
      <c r="HC777" s="685"/>
      <c r="HD777" s="685"/>
      <c r="HE777" s="685"/>
      <c r="HF777" s="685"/>
      <c r="HG777" s="685"/>
      <c r="HH777" s="685"/>
      <c r="HI777" s="685"/>
      <c r="HJ777" s="685"/>
      <c r="HK777" s="685"/>
      <c r="HL777" s="685"/>
      <c r="HM777" s="685"/>
      <c r="HN777" s="685"/>
      <c r="HO777" s="685"/>
      <c r="HP777" s="685"/>
      <c r="HQ777" s="685"/>
      <c r="HR777" s="685"/>
      <c r="HS777" s="685"/>
      <c r="HT777" s="685"/>
      <c r="HU777" s="685"/>
      <c r="HV777" s="685"/>
      <c r="HW777" s="685"/>
      <c r="HX777" s="685"/>
      <c r="HY777" s="685"/>
      <c r="HZ777" s="685"/>
      <c r="IA777" s="685"/>
      <c r="IB777" s="685"/>
      <c r="IC777" s="685"/>
      <c r="ID777" s="685"/>
      <c r="IE777" s="685"/>
      <c r="IF777" s="685"/>
      <c r="IG777" s="685"/>
      <c r="IH777" s="685"/>
      <c r="II777" s="685"/>
      <c r="IJ777" s="685"/>
      <c r="IK777" s="685"/>
      <c r="IL777" s="685"/>
      <c r="IM777" s="685"/>
      <c r="IN777" s="685"/>
      <c r="IO777" s="685"/>
      <c r="IP777" s="685"/>
      <c r="IQ777" s="685"/>
      <c r="IR777" s="685"/>
      <c r="IS777" s="685"/>
      <c r="IT777" s="685"/>
      <c r="IU777" s="685"/>
      <c r="IV777" s="685"/>
      <c r="IW777" s="685"/>
      <c r="IX777" s="685"/>
      <c r="IY777" s="685"/>
      <c r="IZ777" s="685"/>
      <c r="JA777" s="685"/>
      <c r="JB777" s="685"/>
      <c r="JC777" s="685"/>
      <c r="JD777" s="685"/>
      <c r="JE777" s="685"/>
      <c r="JF777" s="685"/>
      <c r="JG777" s="685"/>
      <c r="JH777" s="685"/>
      <c r="JI777" s="685"/>
      <c r="JJ777" s="685"/>
      <c r="JK777" s="685"/>
      <c r="JL777" s="685"/>
      <c r="JM777" s="685"/>
      <c r="JN777" s="685"/>
      <c r="JO777" s="685"/>
      <c r="JP777" s="685"/>
      <c r="JQ777" s="685"/>
      <c r="JR777" s="685"/>
      <c r="JS777" s="685"/>
      <c r="JT777" s="685"/>
      <c r="JU777" s="685"/>
      <c r="JV777" s="685"/>
      <c r="JW777" s="685"/>
      <c r="JX777" s="685"/>
      <c r="JY777" s="685"/>
      <c r="JZ777" s="685"/>
      <c r="KA777" s="685"/>
      <c r="KB777" s="685"/>
      <c r="KC777" s="685"/>
      <c r="KD777" s="685"/>
      <c r="KE777" s="685"/>
      <c r="KF777" s="685"/>
      <c r="KG777" s="685"/>
      <c r="KH777" s="685"/>
      <c r="KI777" s="685"/>
      <c r="KJ777" s="685"/>
      <c r="KK777" s="685"/>
      <c r="KL777" s="685"/>
      <c r="KM777" s="685"/>
      <c r="KN777" s="685"/>
      <c r="KO777" s="685"/>
      <c r="KP777" s="685"/>
      <c r="KQ777" s="685"/>
      <c r="KR777" s="685"/>
      <c r="KS777" s="685"/>
      <c r="KT777" s="685"/>
      <c r="KU777" s="685"/>
      <c r="KV777" s="685"/>
      <c r="KW777" s="685"/>
      <c r="KX777" s="685"/>
      <c r="KY777" s="685"/>
      <c r="KZ777" s="685"/>
      <c r="LA777" s="685"/>
      <c r="LB777" s="685"/>
      <c r="LC777" s="685"/>
      <c r="LD777" s="685"/>
      <c r="LE777" s="685"/>
      <c r="LF777" s="685"/>
      <c r="LG777" s="685"/>
      <c r="LH777" s="685"/>
      <c r="LI777" s="685"/>
      <c r="LJ777" s="685"/>
      <c r="LK777" s="685"/>
      <c r="LL777" s="685"/>
      <c r="LM777" s="685"/>
      <c r="LN777" s="685"/>
      <c r="LO777" s="685"/>
      <c r="LP777" s="685"/>
      <c r="LQ777" s="685"/>
      <c r="LR777" s="685"/>
      <c r="LS777" s="685"/>
      <c r="LT777" s="685"/>
      <c r="LU777" s="685"/>
      <c r="LV777" s="685"/>
      <c r="LW777" s="685"/>
      <c r="LX777" s="685"/>
      <c r="LY777" s="685"/>
      <c r="LZ777" s="685"/>
      <c r="MA777" s="685"/>
      <c r="MB777" s="685"/>
      <c r="MC777" s="685"/>
      <c r="MD777" s="685"/>
      <c r="ME777" s="685"/>
      <c r="MF777" s="685"/>
      <c r="MG777" s="685"/>
      <c r="MH777" s="685"/>
      <c r="MI777" s="685"/>
      <c r="MJ777" s="685"/>
      <c r="MK777" s="685"/>
      <c r="ML777" s="685"/>
      <c r="MM777" s="685"/>
      <c r="MN777" s="685"/>
      <c r="MO777" s="685"/>
      <c r="MP777" s="685"/>
      <c r="MQ777" s="685"/>
      <c r="MR777" s="685"/>
      <c r="MS777" s="685"/>
      <c r="MT777" s="685"/>
      <c r="MU777" s="685"/>
      <c r="MV777" s="685"/>
      <c r="MW777" s="685"/>
      <c r="MX777" s="685"/>
      <c r="MY777" s="685"/>
      <c r="MZ777" s="685"/>
      <c r="NA777" s="685"/>
      <c r="NB777" s="685"/>
      <c r="NC777" s="685"/>
      <c r="ND777" s="685"/>
      <c r="NE777" s="685"/>
      <c r="NF777" s="685"/>
      <c r="NG777" s="685"/>
      <c r="NH777" s="685"/>
      <c r="NI777" s="685"/>
      <c r="NJ777" s="685"/>
      <c r="NK777" s="685"/>
      <c r="NL777" s="685"/>
      <c r="NM777" s="685"/>
      <c r="NN777" s="685"/>
      <c r="NO777" s="685"/>
      <c r="NP777" s="685"/>
      <c r="NQ777" s="685"/>
      <c r="NR777" s="685"/>
      <c r="NS777" s="685"/>
      <c r="NT777" s="685"/>
      <c r="NU777" s="685"/>
      <c r="NV777" s="685"/>
      <c r="NW777" s="685"/>
      <c r="NX777" s="685"/>
      <c r="NY777" s="685"/>
      <c r="NZ777" s="685"/>
      <c r="OA777" s="685"/>
      <c r="OB777" s="685"/>
      <c r="OC777" s="685"/>
      <c r="OD777" s="685"/>
      <c r="OE777" s="685"/>
      <c r="OF777" s="685"/>
      <c r="OG777" s="685"/>
      <c r="OH777" s="685"/>
      <c r="OI777" s="685"/>
      <c r="OJ777" s="685"/>
      <c r="OK777" s="685"/>
      <c r="OL777" s="685"/>
      <c r="OM777" s="685"/>
      <c r="ON777" s="685"/>
      <c r="OO777" s="685"/>
      <c r="OP777" s="685"/>
      <c r="OQ777" s="685"/>
      <c r="OR777" s="685"/>
      <c r="OS777" s="685"/>
      <c r="OT777" s="685"/>
      <c r="OU777" s="685"/>
      <c r="OV777" s="685"/>
      <c r="OW777" s="685"/>
      <c r="OX777" s="685"/>
      <c r="OY777" s="685"/>
      <c r="OZ777" s="685"/>
      <c r="PA777" s="685"/>
      <c r="PB777" s="685"/>
      <c r="PC777" s="685"/>
      <c r="PD777" s="685"/>
      <c r="PE777" s="685"/>
      <c r="PF777" s="685"/>
      <c r="PG777" s="685"/>
      <c r="PH777" s="685"/>
      <c r="PI777" s="685"/>
      <c r="PJ777" s="685"/>
      <c r="PK777" s="685"/>
      <c r="PL777" s="685"/>
      <c r="PM777" s="685"/>
      <c r="PN777" s="685"/>
      <c r="PO777" s="685"/>
      <c r="PP777" s="685"/>
      <c r="PQ777" s="685"/>
      <c r="PR777" s="685"/>
      <c r="PS777" s="685"/>
      <c r="PT777" s="685"/>
      <c r="PU777" s="685"/>
      <c r="PV777" s="685"/>
      <c r="PW777" s="685"/>
      <c r="PX777" s="685"/>
      <c r="PY777" s="685"/>
      <c r="PZ777" s="685"/>
      <c r="QA777" s="685"/>
      <c r="QB777" s="685"/>
      <c r="QC777" s="685"/>
      <c r="QD777" s="685"/>
      <c r="QE777" s="685"/>
      <c r="QF777" s="685"/>
      <c r="QG777" s="685"/>
      <c r="QH777" s="685"/>
      <c r="QI777" s="685"/>
      <c r="QJ777" s="685"/>
      <c r="QK777" s="685"/>
      <c r="QL777" s="685"/>
      <c r="QM777" s="685"/>
      <c r="QN777" s="685"/>
      <c r="QO777" s="685"/>
      <c r="QP777" s="685"/>
      <c r="QQ777" s="685"/>
      <c r="QR777" s="685"/>
      <c r="QS777" s="685"/>
      <c r="QT777" s="685"/>
      <c r="QU777" s="685"/>
      <c r="QV777" s="685"/>
      <c r="QW777" s="685"/>
      <c r="QX777" s="685"/>
      <c r="QY777" s="685"/>
      <c r="QZ777" s="685"/>
      <c r="RA777" s="685"/>
      <c r="RB777" s="685"/>
      <c r="RC777" s="685"/>
      <c r="RD777" s="685"/>
      <c r="RE777" s="685"/>
      <c r="RF777" s="685"/>
      <c r="RG777" s="685"/>
      <c r="RH777" s="685"/>
      <c r="RI777" s="685"/>
      <c r="RJ777" s="685"/>
      <c r="RK777" s="685"/>
      <c r="RL777" s="685"/>
      <c r="RM777" s="685"/>
      <c r="RN777" s="685"/>
      <c r="RO777" s="685"/>
      <c r="RP777" s="685"/>
      <c r="RQ777" s="685"/>
      <c r="RR777" s="685"/>
      <c r="RS777" s="685"/>
      <c r="RT777" s="685"/>
      <c r="RU777" s="685"/>
      <c r="RV777" s="685"/>
      <c r="RW777" s="685"/>
      <c r="RX777" s="685"/>
      <c r="RY777" s="685"/>
      <c r="RZ777" s="685"/>
      <c r="SA777" s="685"/>
      <c r="SB777" s="685"/>
      <c r="SC777" s="685"/>
      <c r="SD777" s="685"/>
      <c r="SE777" s="685"/>
      <c r="SF777" s="685"/>
      <c r="SG777" s="685"/>
      <c r="SH777" s="685"/>
      <c r="SI777" s="685"/>
      <c r="SJ777" s="685"/>
      <c r="SK777" s="685"/>
      <c r="SL777" s="685"/>
      <c r="SM777" s="685"/>
      <c r="SN777" s="685"/>
      <c r="SO777" s="685"/>
      <c r="SP777" s="685"/>
      <c r="SQ777" s="685"/>
      <c r="SR777" s="685"/>
      <c r="SS777" s="685"/>
      <c r="ST777" s="685"/>
      <c r="SU777" s="685"/>
      <c r="SV777" s="685"/>
      <c r="SW777" s="685"/>
      <c r="SX777" s="685"/>
      <c r="SY777" s="685"/>
      <c r="SZ777" s="685"/>
      <c r="TA777" s="685"/>
      <c r="TB777" s="685"/>
      <c r="TC777" s="685"/>
      <c r="TD777" s="685"/>
      <c r="TE777" s="685"/>
      <c r="TF777" s="685"/>
      <c r="TG777" s="685"/>
      <c r="TH777" s="685"/>
      <c r="TI777" s="685"/>
      <c r="TJ777" s="685"/>
      <c r="TK777" s="685"/>
      <c r="TL777" s="685"/>
      <c r="TM777" s="685"/>
      <c r="TN777" s="685"/>
      <c r="TO777" s="685"/>
      <c r="TP777" s="685"/>
      <c r="TQ777" s="685"/>
      <c r="TR777" s="685"/>
      <c r="TS777" s="685"/>
      <c r="TT777" s="685"/>
      <c r="TU777" s="685"/>
      <c r="TV777" s="685"/>
      <c r="TW777" s="685"/>
      <c r="TX777" s="685"/>
      <c r="TY777" s="685"/>
      <c r="TZ777" s="685"/>
      <c r="UA777" s="685"/>
      <c r="UB777" s="685"/>
      <c r="UC777" s="685"/>
      <c r="UD777" s="685"/>
      <c r="UE777" s="685"/>
      <c r="UF777" s="685"/>
      <c r="UG777" s="685"/>
      <c r="UH777" s="685"/>
      <c r="UI777" s="685"/>
    </row>
    <row r="778" spans="1:555" ht="67.5">
      <c r="A778" s="502">
        <v>729</v>
      </c>
      <c r="B778" s="686" t="s">
        <v>5936</v>
      </c>
      <c r="C778" s="687">
        <v>79535952</v>
      </c>
      <c r="D778" s="688" t="s">
        <v>906</v>
      </c>
      <c r="E778" s="27">
        <v>43143</v>
      </c>
      <c r="F778" s="689">
        <v>43132</v>
      </c>
      <c r="G778" s="690" t="s">
        <v>6003</v>
      </c>
      <c r="H778" s="686" t="s">
        <v>625</v>
      </c>
      <c r="I778" s="686" t="s">
        <v>2395</v>
      </c>
      <c r="J778" s="27">
        <v>43206</v>
      </c>
      <c r="K778" s="689">
        <v>43191</v>
      </c>
      <c r="L778" s="690" t="s">
        <v>6004</v>
      </c>
      <c r="M778" s="686" t="s">
        <v>625</v>
      </c>
      <c r="N778" s="686" t="s">
        <v>6005</v>
      </c>
      <c r="O778" s="27">
        <v>43451</v>
      </c>
      <c r="P778" s="691">
        <v>43451</v>
      </c>
      <c r="Q778" s="690" t="s">
        <v>7943</v>
      </c>
      <c r="R778" s="686" t="s">
        <v>5</v>
      </c>
      <c r="S778" s="686" t="s">
        <v>79</v>
      </c>
      <c r="T778" s="16">
        <v>43451</v>
      </c>
      <c r="U778" s="689">
        <v>43451</v>
      </c>
      <c r="V778" s="706" t="s">
        <v>7943</v>
      </c>
      <c r="W778" s="706" t="s">
        <v>5</v>
      </c>
      <c r="X778" s="706" t="s">
        <v>85</v>
      </c>
      <c r="Y778" s="27"/>
      <c r="Z778" s="689"/>
      <c r="AA778" s="690"/>
      <c r="AB778" s="686"/>
      <c r="AC778" s="686"/>
      <c r="AD778" s="27"/>
      <c r="AE778" s="689"/>
      <c r="AF778" s="690"/>
      <c r="AG778" s="686"/>
      <c r="AH778" s="686"/>
      <c r="AI778" s="704"/>
      <c r="AJ778" s="689"/>
      <c r="AK778" s="690"/>
      <c r="AL778" s="686"/>
      <c r="AM778" s="686"/>
      <c r="AN778" s="686" t="s">
        <v>918</v>
      </c>
      <c r="AO778" s="705" t="s">
        <v>7946</v>
      </c>
      <c r="AP778" s="692" t="s">
        <v>2558</v>
      </c>
      <c r="AQ778" s="690" t="s">
        <v>6006</v>
      </c>
      <c r="AR778" s="686" t="s">
        <v>79</v>
      </c>
      <c r="AS778" s="27">
        <v>34362</v>
      </c>
      <c r="AT778" s="27">
        <v>40908</v>
      </c>
      <c r="AU778" s="686" t="s">
        <v>6007</v>
      </c>
      <c r="AV778" s="686"/>
      <c r="AW778" s="686" t="s">
        <v>69</v>
      </c>
      <c r="AX778" s="686" t="s">
        <v>6008</v>
      </c>
      <c r="AY778" s="27">
        <v>42340</v>
      </c>
      <c r="AZ778" s="686" t="s">
        <v>5726</v>
      </c>
      <c r="BA778" s="27">
        <v>43063</v>
      </c>
      <c r="BB778" s="27">
        <v>43146</v>
      </c>
      <c r="BC778" s="701" t="s">
        <v>912</v>
      </c>
      <c r="BD778" s="701" t="s">
        <v>7944</v>
      </c>
      <c r="BE778" s="686"/>
      <c r="BF778" s="690"/>
      <c r="BG778" s="690"/>
      <c r="BH778" s="690"/>
      <c r="BI778" s="690"/>
      <c r="BJ778" s="708">
        <f>+'[294]MATRIZ '!$J$50</f>
        <v>0</v>
      </c>
      <c r="BK778" s="696"/>
      <c r="BL778" s="697"/>
      <c r="BM778" s="27"/>
      <c r="BN778" s="689"/>
      <c r="BO778" s="699"/>
      <c r="BP778" s="700"/>
      <c r="BQ778" s="686"/>
      <c r="BR778" s="701"/>
      <c r="BS778" s="690"/>
      <c r="BT778" s="690"/>
      <c r="BU778" s="690"/>
      <c r="BV778" s="690"/>
      <c r="BW778" s="702"/>
      <c r="BX778" s="693"/>
      <c r="BY778" s="27"/>
      <c r="BZ778" s="703"/>
      <c r="CA778" s="259"/>
      <c r="CB778" s="259"/>
      <c r="CC778" s="259"/>
      <c r="CD778" s="259"/>
      <c r="CE778" s="259"/>
      <c r="CF778" s="259"/>
      <c r="CG778" s="259"/>
      <c r="CH778" s="259"/>
      <c r="CI778" s="259"/>
      <c r="CJ778" s="259"/>
      <c r="CK778" s="259"/>
      <c r="CL778" s="259"/>
      <c r="CM778" s="259"/>
      <c r="CN778" s="259"/>
      <c r="CO778" s="259"/>
      <c r="CP778" s="259"/>
      <c r="CQ778" s="259"/>
      <c r="CR778" s="259"/>
      <c r="CS778" s="259"/>
      <c r="CT778" s="259"/>
      <c r="CU778" s="259"/>
      <c r="CV778" s="259"/>
      <c r="CW778" s="259"/>
      <c r="CX778" s="259"/>
      <c r="CY778" s="259"/>
      <c r="CZ778" s="259"/>
      <c r="DA778" s="259"/>
      <c r="DB778" s="259"/>
      <c r="DC778" s="259"/>
      <c r="DD778" s="259"/>
      <c r="DE778" s="259"/>
      <c r="DF778" s="259"/>
      <c r="DG778" s="259"/>
      <c r="DH778" s="259"/>
      <c r="DI778" s="259"/>
      <c r="DJ778" s="259"/>
      <c r="DK778" s="259"/>
      <c r="DL778" s="259"/>
      <c r="DM778" s="259"/>
      <c r="DN778" s="259"/>
      <c r="DO778" s="259"/>
      <c r="DP778" s="259"/>
      <c r="DQ778" s="259"/>
      <c r="DR778" s="259"/>
      <c r="DS778" s="259"/>
      <c r="DT778" s="259"/>
      <c r="DU778" s="259"/>
      <c r="DV778" s="259"/>
      <c r="DW778" s="259"/>
      <c r="DX778" s="259"/>
      <c r="DY778" s="259"/>
      <c r="DZ778" s="259"/>
      <c r="EA778" s="259"/>
      <c r="EB778" s="259"/>
      <c r="EC778" s="259"/>
      <c r="ED778" s="259"/>
      <c r="EE778" s="259"/>
      <c r="EF778" s="259"/>
      <c r="EG778" s="259"/>
      <c r="EH778" s="259"/>
      <c r="EI778" s="259"/>
      <c r="EJ778" s="259"/>
      <c r="EK778" s="259"/>
      <c r="EL778" s="259"/>
      <c r="EM778" s="259"/>
      <c r="EN778" s="259"/>
      <c r="EO778" s="259"/>
      <c r="EP778" s="259"/>
      <c r="EQ778" s="259"/>
      <c r="ER778" s="259"/>
      <c r="ES778" s="259"/>
      <c r="ET778" s="259"/>
      <c r="EU778" s="259"/>
      <c r="EV778" s="259"/>
      <c r="EW778" s="259"/>
      <c r="EX778" s="259"/>
      <c r="EY778" s="259"/>
      <c r="EZ778" s="259"/>
      <c r="FA778" s="259"/>
      <c r="FB778" s="259"/>
      <c r="FC778" s="259"/>
      <c r="FD778" s="259"/>
      <c r="FE778" s="259"/>
      <c r="FF778" s="259"/>
      <c r="FG778" s="259"/>
      <c r="FH778" s="259"/>
      <c r="FI778" s="259"/>
      <c r="FJ778" s="259"/>
      <c r="FK778" s="259"/>
      <c r="FL778" s="259"/>
      <c r="FM778" s="259"/>
      <c r="FN778" s="259"/>
      <c r="FO778" s="259"/>
      <c r="FP778" s="259"/>
      <c r="FQ778" s="259"/>
      <c r="FR778" s="259"/>
      <c r="FS778" s="259"/>
      <c r="FT778" s="259"/>
      <c r="FU778" s="259"/>
      <c r="FV778" s="259"/>
      <c r="FW778" s="259"/>
      <c r="FX778" s="259"/>
      <c r="FY778" s="259"/>
      <c r="FZ778" s="259"/>
      <c r="GA778" s="259"/>
      <c r="GB778" s="259"/>
      <c r="GC778" s="259"/>
      <c r="GD778" s="259"/>
      <c r="GE778" s="259"/>
      <c r="GF778" s="259"/>
      <c r="GG778" s="259"/>
      <c r="GH778" s="259"/>
      <c r="GI778" s="259"/>
      <c r="GJ778" s="259"/>
      <c r="GK778" s="259"/>
      <c r="GL778" s="259"/>
      <c r="GM778" s="259"/>
      <c r="GN778" s="259"/>
      <c r="GO778" s="259"/>
      <c r="GP778" s="259"/>
      <c r="GQ778" s="259"/>
      <c r="GR778" s="259"/>
      <c r="GS778" s="259"/>
      <c r="GT778" s="259"/>
      <c r="GU778" s="259"/>
      <c r="GV778" s="259"/>
      <c r="GW778" s="259"/>
      <c r="GX778" s="259"/>
      <c r="GY778" s="259"/>
      <c r="GZ778" s="259"/>
      <c r="HA778" s="259"/>
      <c r="HB778" s="259"/>
      <c r="HC778" s="259"/>
      <c r="HD778" s="259"/>
      <c r="HE778" s="259"/>
      <c r="HF778" s="259"/>
      <c r="HG778" s="259"/>
      <c r="HH778" s="259"/>
      <c r="HI778" s="259"/>
      <c r="HJ778" s="259"/>
      <c r="HK778" s="259"/>
      <c r="HL778" s="259"/>
      <c r="HM778" s="259"/>
      <c r="HN778" s="259"/>
      <c r="HO778" s="259"/>
      <c r="HP778" s="259"/>
      <c r="HQ778" s="259"/>
      <c r="HR778" s="259"/>
      <c r="HS778" s="259"/>
      <c r="HT778" s="259"/>
      <c r="HU778" s="259"/>
      <c r="HV778" s="259"/>
      <c r="HW778" s="259"/>
      <c r="HX778" s="259"/>
      <c r="HY778" s="259"/>
      <c r="HZ778" s="259"/>
      <c r="IA778" s="259"/>
      <c r="IB778" s="259"/>
      <c r="IC778" s="259"/>
      <c r="ID778" s="259"/>
      <c r="IE778" s="259"/>
      <c r="IF778" s="259"/>
      <c r="IG778" s="259"/>
      <c r="IH778" s="259"/>
      <c r="II778" s="259"/>
      <c r="IJ778" s="259"/>
      <c r="IK778" s="259"/>
      <c r="IL778" s="259"/>
      <c r="IM778" s="259"/>
      <c r="IN778" s="259"/>
      <c r="IO778" s="259"/>
      <c r="IP778" s="259"/>
      <c r="IQ778" s="259"/>
      <c r="IR778" s="259"/>
      <c r="IS778" s="259"/>
      <c r="IT778" s="259"/>
      <c r="IU778" s="259"/>
      <c r="IV778" s="259"/>
      <c r="IW778" s="259"/>
      <c r="IX778" s="259"/>
      <c r="IY778" s="259"/>
      <c r="IZ778" s="259"/>
      <c r="JA778" s="259"/>
      <c r="JB778" s="259"/>
      <c r="JC778" s="259"/>
      <c r="JD778" s="259"/>
      <c r="JE778" s="259"/>
      <c r="JF778" s="259"/>
      <c r="JG778" s="259"/>
      <c r="JH778" s="259"/>
      <c r="JI778" s="259"/>
      <c r="JJ778" s="259"/>
      <c r="JK778" s="259"/>
      <c r="JL778" s="259"/>
      <c r="JM778" s="259"/>
      <c r="JN778" s="259"/>
      <c r="JO778" s="259"/>
      <c r="JP778" s="259"/>
      <c r="JQ778" s="259"/>
      <c r="JR778" s="259"/>
      <c r="JS778" s="259"/>
      <c r="JT778" s="259"/>
      <c r="JU778" s="259"/>
      <c r="JV778" s="259"/>
      <c r="JW778" s="259"/>
      <c r="JX778" s="259"/>
      <c r="JY778" s="259"/>
      <c r="JZ778" s="259"/>
      <c r="KA778" s="259"/>
      <c r="KB778" s="259"/>
      <c r="KC778" s="259"/>
      <c r="KD778" s="259"/>
      <c r="KE778" s="259"/>
      <c r="KF778" s="259"/>
      <c r="KG778" s="259"/>
      <c r="KH778" s="259"/>
      <c r="KI778" s="259"/>
      <c r="KJ778" s="259"/>
      <c r="KK778" s="259"/>
      <c r="KL778" s="259"/>
      <c r="KM778" s="259"/>
      <c r="KN778" s="259"/>
      <c r="KO778" s="259"/>
      <c r="KP778" s="259"/>
      <c r="KQ778" s="259"/>
      <c r="KR778" s="259"/>
      <c r="KS778" s="259"/>
      <c r="KT778" s="259"/>
      <c r="KU778" s="259"/>
      <c r="KV778" s="259"/>
      <c r="KW778" s="259"/>
      <c r="KX778" s="259"/>
      <c r="KY778" s="259"/>
      <c r="KZ778" s="259"/>
      <c r="LA778" s="259"/>
      <c r="LB778" s="259"/>
      <c r="LC778" s="259"/>
      <c r="LD778" s="259"/>
      <c r="LE778" s="259"/>
      <c r="LF778" s="259"/>
      <c r="LG778" s="259"/>
      <c r="LH778" s="259"/>
      <c r="LI778" s="259"/>
      <c r="LJ778" s="259"/>
      <c r="LK778" s="259"/>
      <c r="LL778" s="259"/>
      <c r="LM778" s="259"/>
      <c r="LN778" s="259"/>
      <c r="LO778" s="259"/>
      <c r="LP778" s="259"/>
      <c r="LQ778" s="259"/>
      <c r="LR778" s="259"/>
      <c r="LS778" s="259"/>
      <c r="LT778" s="259"/>
      <c r="LU778" s="259"/>
      <c r="LV778" s="259"/>
      <c r="LW778" s="259"/>
      <c r="LX778" s="259"/>
      <c r="LY778" s="259"/>
      <c r="LZ778" s="259"/>
      <c r="MA778" s="259"/>
      <c r="MB778" s="259"/>
      <c r="MC778" s="259"/>
      <c r="MD778" s="259"/>
      <c r="ME778" s="259"/>
      <c r="MF778" s="259"/>
      <c r="MG778" s="259"/>
      <c r="MH778" s="259"/>
      <c r="MI778" s="259"/>
      <c r="MJ778" s="259"/>
      <c r="MK778" s="259"/>
      <c r="ML778" s="259"/>
      <c r="MM778" s="259"/>
      <c r="MN778" s="259"/>
      <c r="MO778" s="259"/>
      <c r="MP778" s="259"/>
      <c r="MQ778" s="259"/>
      <c r="MR778" s="259"/>
      <c r="MS778" s="259"/>
      <c r="MT778" s="259"/>
      <c r="MU778" s="259"/>
      <c r="MV778" s="259"/>
      <c r="MW778" s="259"/>
      <c r="MX778" s="259"/>
      <c r="MY778" s="259"/>
      <c r="MZ778" s="259"/>
      <c r="NA778" s="259"/>
      <c r="NB778" s="259"/>
      <c r="NC778" s="259"/>
      <c r="ND778" s="259"/>
      <c r="NE778" s="259"/>
      <c r="NF778" s="259"/>
      <c r="NG778" s="259"/>
      <c r="NH778" s="259"/>
      <c r="NI778" s="259"/>
      <c r="NJ778" s="259"/>
      <c r="NK778" s="259"/>
      <c r="NL778" s="259"/>
      <c r="NM778" s="259"/>
      <c r="NN778" s="259"/>
      <c r="NO778" s="259"/>
      <c r="NP778" s="259"/>
      <c r="NQ778" s="259"/>
      <c r="NR778" s="259"/>
      <c r="NS778" s="259"/>
      <c r="NT778" s="259"/>
      <c r="NU778" s="259"/>
      <c r="NV778" s="259"/>
      <c r="NW778" s="259"/>
      <c r="NX778" s="259"/>
      <c r="NY778" s="259"/>
      <c r="NZ778" s="259"/>
      <c r="OA778" s="259"/>
      <c r="OB778" s="259"/>
      <c r="OC778" s="259"/>
      <c r="OD778" s="259"/>
      <c r="OE778" s="259"/>
      <c r="OF778" s="259"/>
      <c r="OG778" s="259"/>
      <c r="OH778" s="259"/>
      <c r="OI778" s="259"/>
      <c r="OJ778" s="259"/>
      <c r="OK778" s="259"/>
      <c r="OL778" s="259"/>
      <c r="OM778" s="259"/>
      <c r="ON778" s="259"/>
      <c r="OO778" s="259"/>
      <c r="OP778" s="259"/>
      <c r="OQ778" s="259"/>
      <c r="OR778" s="259"/>
      <c r="OS778" s="259"/>
      <c r="OT778" s="259"/>
      <c r="OU778" s="259"/>
      <c r="OV778" s="259"/>
      <c r="OW778" s="259"/>
      <c r="OX778" s="259"/>
      <c r="OY778" s="259"/>
      <c r="OZ778" s="259"/>
      <c r="PA778" s="259"/>
      <c r="PB778" s="259"/>
      <c r="PC778" s="259"/>
      <c r="PD778" s="259"/>
      <c r="PE778" s="259"/>
      <c r="PF778" s="259"/>
      <c r="PG778" s="259"/>
      <c r="PH778" s="259"/>
      <c r="PI778" s="259"/>
      <c r="PJ778" s="259"/>
      <c r="PK778" s="259"/>
      <c r="PL778" s="259"/>
      <c r="PM778" s="259"/>
      <c r="PN778" s="259"/>
      <c r="PO778" s="259"/>
      <c r="PP778" s="259"/>
      <c r="PQ778" s="259"/>
      <c r="PR778" s="259"/>
      <c r="PS778" s="259"/>
      <c r="PT778" s="259"/>
      <c r="PU778" s="259"/>
      <c r="PV778" s="259"/>
      <c r="PW778" s="259"/>
      <c r="PX778" s="259"/>
      <c r="PY778" s="259"/>
      <c r="PZ778" s="259"/>
      <c r="QA778" s="259"/>
      <c r="QB778" s="259"/>
      <c r="QC778" s="259"/>
      <c r="QD778" s="259"/>
      <c r="QE778" s="259"/>
      <c r="QF778" s="259"/>
      <c r="QG778" s="259"/>
      <c r="QH778" s="259"/>
      <c r="QI778" s="259"/>
      <c r="QJ778" s="259"/>
      <c r="QK778" s="259"/>
      <c r="QL778" s="259"/>
      <c r="QM778" s="259"/>
      <c r="QN778" s="259"/>
      <c r="QO778" s="259"/>
      <c r="QP778" s="259"/>
      <c r="QQ778" s="259"/>
      <c r="QR778" s="259"/>
      <c r="QS778" s="259"/>
      <c r="QT778" s="259"/>
      <c r="QU778" s="259"/>
      <c r="QV778" s="259"/>
      <c r="QW778" s="259"/>
      <c r="QX778" s="259"/>
      <c r="QY778" s="259"/>
      <c r="QZ778" s="259"/>
      <c r="RA778" s="259"/>
      <c r="RB778" s="259"/>
      <c r="RC778" s="259"/>
      <c r="RD778" s="259"/>
      <c r="RE778" s="259"/>
      <c r="RF778" s="259"/>
      <c r="RG778" s="259"/>
      <c r="RH778" s="259"/>
      <c r="RI778" s="259"/>
      <c r="RJ778" s="259"/>
      <c r="RK778" s="259"/>
      <c r="RL778" s="259"/>
      <c r="RM778" s="259"/>
      <c r="RN778" s="259"/>
      <c r="RO778" s="259"/>
      <c r="RP778" s="259"/>
      <c r="RQ778" s="259"/>
      <c r="RR778" s="259"/>
      <c r="RS778" s="259"/>
      <c r="RT778" s="259"/>
      <c r="RU778" s="259"/>
      <c r="RV778" s="259"/>
      <c r="RW778" s="259"/>
      <c r="RX778" s="259"/>
      <c r="RY778" s="259"/>
      <c r="RZ778" s="259"/>
      <c r="SA778" s="259"/>
      <c r="SB778" s="259"/>
      <c r="SC778" s="259"/>
      <c r="SD778" s="259"/>
      <c r="SE778" s="259"/>
      <c r="SF778" s="259"/>
      <c r="SG778" s="259"/>
      <c r="SH778" s="259"/>
      <c r="SI778" s="259"/>
      <c r="SJ778" s="259"/>
      <c r="SK778" s="259"/>
      <c r="SL778" s="259"/>
      <c r="SM778" s="259"/>
      <c r="SN778" s="259"/>
      <c r="SO778" s="259"/>
      <c r="SP778" s="259"/>
      <c r="SQ778" s="259"/>
      <c r="SR778" s="259"/>
      <c r="SS778" s="259"/>
      <c r="ST778" s="259"/>
      <c r="SU778" s="259"/>
      <c r="SV778" s="259"/>
      <c r="SW778" s="259"/>
      <c r="SX778" s="259"/>
      <c r="SY778" s="259"/>
      <c r="SZ778" s="259"/>
      <c r="TA778" s="259"/>
      <c r="TB778" s="259"/>
      <c r="TC778" s="259"/>
      <c r="TD778" s="259"/>
      <c r="TE778" s="259"/>
      <c r="TF778" s="259"/>
      <c r="TG778" s="259"/>
      <c r="TH778" s="259"/>
      <c r="TI778" s="259"/>
      <c r="TJ778" s="259"/>
      <c r="TK778" s="259"/>
      <c r="TL778" s="259"/>
      <c r="TM778" s="259"/>
      <c r="TN778" s="259"/>
      <c r="TO778" s="259"/>
      <c r="TP778" s="259"/>
      <c r="TQ778" s="259"/>
      <c r="TR778" s="259"/>
      <c r="TS778" s="259"/>
      <c r="TT778" s="259"/>
      <c r="TU778" s="259"/>
      <c r="TV778" s="259"/>
      <c r="TW778" s="259"/>
      <c r="TX778" s="259"/>
      <c r="TY778" s="259"/>
      <c r="TZ778" s="259"/>
      <c r="UA778" s="259"/>
      <c r="UB778" s="259"/>
      <c r="UC778" s="259"/>
      <c r="UD778" s="259"/>
      <c r="UE778" s="259"/>
      <c r="UF778" s="259"/>
      <c r="UG778" s="259"/>
      <c r="UH778" s="259"/>
      <c r="UI778" s="259"/>
    </row>
    <row r="779" spans="1:555" s="259" customFormat="1" ht="40.5">
      <c r="A779" s="100">
        <v>730</v>
      </c>
      <c r="B779" s="34" t="s">
        <v>6009</v>
      </c>
      <c r="C779" s="35"/>
      <c r="D779" s="440"/>
      <c r="E779" s="37"/>
      <c r="F779" s="38"/>
      <c r="G779" s="39"/>
      <c r="H779" s="34"/>
      <c r="I779" s="34"/>
      <c r="J779" s="37"/>
      <c r="K779" s="38"/>
      <c r="L779" s="39"/>
      <c r="M779" s="34"/>
      <c r="N779" s="34"/>
      <c r="O779" s="37"/>
      <c r="P779" s="40"/>
      <c r="Q779" s="39"/>
      <c r="R779" s="34"/>
      <c r="S779" s="34"/>
      <c r="T779" s="37"/>
      <c r="U779" s="38"/>
      <c r="V779" s="39"/>
      <c r="W779" s="34"/>
      <c r="X779" s="34"/>
      <c r="Y779" s="37"/>
      <c r="Z779" s="38"/>
      <c r="AA779" s="39"/>
      <c r="AB779" s="34"/>
      <c r="AC779" s="34"/>
      <c r="AD779" s="37"/>
      <c r="AE779" s="38"/>
      <c r="AF779" s="39"/>
      <c r="AG779" s="34"/>
      <c r="AH779" s="34"/>
      <c r="AI779" s="73"/>
      <c r="AJ779" s="38"/>
      <c r="AK779" s="39"/>
      <c r="AL779" s="34"/>
      <c r="AM779" s="34"/>
      <c r="AN779" s="34"/>
      <c r="AO779" s="473"/>
      <c r="AP779" s="34"/>
      <c r="AQ779" s="39"/>
      <c r="AR779" s="34"/>
      <c r="AS779" s="37"/>
      <c r="AT779" s="37"/>
      <c r="AU779" s="34"/>
      <c r="AV779" s="34"/>
      <c r="AW779" s="34"/>
      <c r="AX779" s="34"/>
      <c r="AY779" s="37"/>
      <c r="AZ779" s="34"/>
      <c r="BA779" s="37"/>
      <c r="BB779" s="382"/>
      <c r="BC779" s="42"/>
      <c r="BD779" s="42"/>
      <c r="BE779" s="34"/>
      <c r="BF779" s="39"/>
      <c r="BG779" s="39"/>
      <c r="BH779" s="39"/>
      <c r="BI779" s="39"/>
      <c r="BJ779" s="74"/>
      <c r="BK779" s="74"/>
      <c r="BL779" s="44"/>
      <c r="BM779" s="37"/>
      <c r="BN779" s="38"/>
      <c r="BO779" s="467"/>
      <c r="BP779" s="391"/>
      <c r="BQ779" s="34"/>
      <c r="BR779" s="34"/>
      <c r="BS779" s="39"/>
      <c r="BT779" s="39"/>
      <c r="BU779" s="39"/>
      <c r="BV779" s="39"/>
      <c r="BW779" s="51"/>
      <c r="BX779" s="41"/>
      <c r="BY779" s="37"/>
      <c r="BZ779" s="52"/>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c r="JW779" s="1"/>
      <c r="JX779" s="1"/>
      <c r="JY779" s="1"/>
      <c r="JZ779" s="1"/>
      <c r="KA779" s="1"/>
      <c r="KB779" s="1"/>
      <c r="KC779" s="1"/>
      <c r="KD779" s="1"/>
      <c r="KE779" s="1"/>
      <c r="KF779" s="1"/>
      <c r="KG779" s="1"/>
      <c r="KH779" s="1"/>
      <c r="KI779" s="1"/>
      <c r="KJ779" s="1"/>
      <c r="KK779" s="1"/>
      <c r="KL779" s="1"/>
      <c r="KM779" s="1"/>
      <c r="KN779" s="1"/>
      <c r="KO779" s="1"/>
      <c r="KP779" s="1"/>
      <c r="KQ779" s="1"/>
      <c r="KR779" s="1"/>
      <c r="KS779" s="1"/>
      <c r="KT779" s="1"/>
      <c r="KU779" s="1"/>
      <c r="KV779" s="1"/>
      <c r="KW779" s="1"/>
      <c r="KX779" s="1"/>
      <c r="KY779" s="1"/>
      <c r="KZ779" s="1"/>
      <c r="LA779" s="1"/>
      <c r="LB779" s="1"/>
      <c r="LC779" s="1"/>
      <c r="LD779" s="1"/>
      <c r="LE779" s="1"/>
      <c r="LF779" s="1"/>
      <c r="LG779" s="1"/>
      <c r="LH779" s="1"/>
      <c r="LI779" s="1"/>
      <c r="LJ779" s="1"/>
      <c r="LK779" s="1"/>
      <c r="LL779" s="1"/>
      <c r="LM779" s="1"/>
      <c r="LN779" s="1"/>
      <c r="LO779" s="1"/>
      <c r="LP779" s="1"/>
      <c r="LQ779" s="1"/>
      <c r="LR779" s="1"/>
      <c r="LS779" s="1"/>
      <c r="LT779" s="1"/>
      <c r="LU779" s="1"/>
      <c r="LV779" s="1"/>
      <c r="LW779" s="1"/>
      <c r="LX779" s="1"/>
      <c r="LY779" s="1"/>
      <c r="LZ779" s="1"/>
      <c r="MA779" s="1"/>
      <c r="MB779" s="1"/>
      <c r="MC779" s="1"/>
      <c r="MD779" s="1"/>
      <c r="ME779" s="1"/>
      <c r="MF779" s="1"/>
      <c r="MG779" s="1"/>
      <c r="MH779" s="1"/>
      <c r="MI779" s="1"/>
      <c r="MJ779" s="1"/>
      <c r="MK779" s="1"/>
      <c r="ML779" s="1"/>
      <c r="MM779" s="1"/>
      <c r="MN779" s="1"/>
      <c r="MO779" s="1"/>
      <c r="MP779" s="1"/>
      <c r="MQ779" s="1"/>
      <c r="MR779" s="1"/>
      <c r="MS779" s="1"/>
      <c r="MT779" s="1"/>
      <c r="MU779" s="1"/>
      <c r="MV779" s="1"/>
      <c r="MW779" s="1"/>
      <c r="MX779" s="1"/>
      <c r="MY779" s="1"/>
      <c r="MZ779" s="1"/>
      <c r="NA779" s="1"/>
      <c r="NB779" s="1"/>
      <c r="NC779" s="1"/>
      <c r="ND779" s="1"/>
      <c r="NE779" s="1"/>
      <c r="NF779" s="1"/>
      <c r="NG779" s="1"/>
      <c r="NH779" s="1"/>
      <c r="NI779" s="1"/>
      <c r="NJ779" s="1"/>
      <c r="NK779" s="1"/>
      <c r="NL779" s="1"/>
      <c r="NM779" s="1"/>
      <c r="NN779" s="1"/>
      <c r="NO779" s="1"/>
      <c r="NP779" s="1"/>
      <c r="NQ779" s="1"/>
      <c r="NR779" s="1"/>
      <c r="NS779" s="1"/>
      <c r="NT779" s="1"/>
      <c r="NU779" s="1"/>
      <c r="NV779" s="1"/>
      <c r="NW779" s="1"/>
      <c r="NX779" s="1"/>
      <c r="NY779" s="1"/>
      <c r="NZ779" s="1"/>
      <c r="OA779" s="1"/>
      <c r="OB779" s="1"/>
      <c r="OC779" s="1"/>
      <c r="OD779" s="1"/>
      <c r="OE779" s="1"/>
      <c r="OF779" s="1"/>
      <c r="OG779" s="1"/>
      <c r="OH779" s="1"/>
      <c r="OI779" s="1"/>
      <c r="OJ779" s="1"/>
      <c r="OK779" s="1"/>
      <c r="OL779" s="1"/>
      <c r="OM779" s="1"/>
      <c r="ON779" s="1"/>
      <c r="OO779" s="1"/>
      <c r="OP779" s="1"/>
      <c r="OQ779" s="1"/>
      <c r="OR779" s="1"/>
      <c r="OS779" s="1"/>
      <c r="OT779" s="1"/>
      <c r="OU779" s="1"/>
      <c r="OV779" s="1"/>
      <c r="OW779" s="1"/>
      <c r="OX779" s="1"/>
      <c r="OY779" s="1"/>
      <c r="OZ779" s="1"/>
      <c r="PA779" s="1"/>
      <c r="PB779" s="1"/>
      <c r="PC779" s="1"/>
      <c r="PD779" s="1"/>
      <c r="PE779" s="1"/>
      <c r="PF779" s="1"/>
      <c r="PG779" s="1"/>
      <c r="PH779" s="1"/>
      <c r="PI779" s="1"/>
      <c r="PJ779" s="1"/>
      <c r="PK779" s="1"/>
      <c r="PL779" s="1"/>
      <c r="PM779" s="1"/>
      <c r="PN779" s="1"/>
      <c r="PO779" s="1"/>
      <c r="PP779" s="1"/>
      <c r="PQ779" s="1"/>
      <c r="PR779" s="1"/>
      <c r="PS779" s="1"/>
      <c r="PT779" s="1"/>
      <c r="PU779" s="1"/>
      <c r="PV779" s="1"/>
      <c r="PW779" s="1"/>
      <c r="PX779" s="1"/>
      <c r="PY779" s="1"/>
      <c r="PZ779" s="1"/>
      <c r="QA779" s="1"/>
      <c r="QB779" s="1"/>
      <c r="QC779" s="1"/>
      <c r="QD779" s="1"/>
      <c r="QE779" s="1"/>
      <c r="QF779" s="1"/>
      <c r="QG779" s="1"/>
      <c r="QH779" s="1"/>
      <c r="QI779" s="1"/>
      <c r="QJ779" s="1"/>
      <c r="QK779" s="1"/>
      <c r="QL779" s="1"/>
      <c r="QM779" s="1"/>
      <c r="QN779" s="1"/>
      <c r="QO779" s="1"/>
      <c r="QP779" s="1"/>
      <c r="QQ779" s="1"/>
      <c r="QR779" s="1"/>
      <c r="QS779" s="1"/>
      <c r="QT779" s="1"/>
      <c r="QU779" s="1"/>
      <c r="QV779" s="1"/>
      <c r="QW779" s="1"/>
      <c r="QX779" s="1"/>
      <c r="QY779" s="1"/>
      <c r="QZ779" s="1"/>
      <c r="RA779" s="1"/>
      <c r="RB779" s="1"/>
      <c r="RC779" s="1"/>
      <c r="RD779" s="1"/>
      <c r="RE779" s="1"/>
      <c r="RF779" s="1"/>
      <c r="RG779" s="1"/>
      <c r="RH779" s="1"/>
      <c r="RI779" s="1"/>
      <c r="RJ779" s="1"/>
      <c r="RK779" s="1"/>
      <c r="RL779" s="1"/>
      <c r="RM779" s="1"/>
      <c r="RN779" s="1"/>
      <c r="RO779" s="1"/>
      <c r="RP779" s="1"/>
      <c r="RQ779" s="1"/>
      <c r="RR779" s="1"/>
      <c r="RS779" s="1"/>
      <c r="RT779" s="1"/>
      <c r="RU779" s="1"/>
      <c r="RV779" s="1"/>
      <c r="RW779" s="1"/>
      <c r="RX779" s="1"/>
      <c r="RY779" s="1"/>
      <c r="RZ779" s="1"/>
      <c r="SA779" s="1"/>
      <c r="SB779" s="1"/>
      <c r="SC779" s="1"/>
      <c r="SD779" s="1"/>
      <c r="SE779" s="1"/>
      <c r="SF779" s="1"/>
      <c r="SG779" s="1"/>
      <c r="SH779" s="1"/>
      <c r="SI779" s="1"/>
      <c r="SJ779" s="1"/>
      <c r="SK779" s="1"/>
      <c r="SL779" s="1"/>
      <c r="SM779" s="1"/>
      <c r="SN779" s="1"/>
      <c r="SO779" s="1"/>
      <c r="SP779" s="1"/>
      <c r="SQ779" s="1"/>
      <c r="SR779" s="1"/>
      <c r="SS779" s="1"/>
      <c r="ST779" s="1"/>
      <c r="SU779" s="1"/>
      <c r="SV779" s="1"/>
      <c r="SW779" s="1"/>
      <c r="SX779" s="1"/>
      <c r="SY779" s="1"/>
      <c r="SZ779" s="1"/>
      <c r="TA779" s="1"/>
      <c r="TB779" s="1"/>
      <c r="TC779" s="1"/>
      <c r="TD779" s="1"/>
      <c r="TE779" s="1"/>
      <c r="TF779" s="1"/>
      <c r="TG779" s="1"/>
      <c r="TH779" s="1"/>
      <c r="TI779" s="1"/>
      <c r="TJ779" s="1"/>
      <c r="TK779" s="1"/>
      <c r="TL779" s="1"/>
      <c r="TM779" s="1"/>
      <c r="TN779" s="1"/>
      <c r="TO779" s="1"/>
      <c r="TP779" s="1"/>
      <c r="TQ779" s="1"/>
      <c r="TR779" s="1"/>
      <c r="TS779" s="1"/>
      <c r="TT779" s="1"/>
      <c r="TU779" s="1"/>
      <c r="TV779" s="1"/>
      <c r="TW779" s="1"/>
      <c r="TX779" s="1"/>
      <c r="TY779" s="1"/>
      <c r="TZ779" s="1"/>
      <c r="UA779" s="1"/>
      <c r="UB779" s="1"/>
      <c r="UC779" s="1"/>
      <c r="UD779" s="1"/>
      <c r="UE779" s="1"/>
      <c r="UF779" s="1"/>
      <c r="UG779" s="1"/>
      <c r="UH779" s="1"/>
      <c r="UI779" s="1"/>
    </row>
    <row r="780" spans="1:555" ht="67.5">
      <c r="A780" s="502">
        <v>731</v>
      </c>
      <c r="B780" s="686" t="s">
        <v>6010</v>
      </c>
      <c r="C780" s="687">
        <v>79292971</v>
      </c>
      <c r="D780" s="688" t="s">
        <v>906</v>
      </c>
      <c r="E780" s="27">
        <v>43146</v>
      </c>
      <c r="F780" s="689">
        <v>43132</v>
      </c>
      <c r="G780" s="690" t="s">
        <v>6011</v>
      </c>
      <c r="H780" s="686" t="s">
        <v>625</v>
      </c>
      <c r="I780" s="686" t="s">
        <v>2395</v>
      </c>
      <c r="J780" s="27">
        <v>43206</v>
      </c>
      <c r="K780" s="689">
        <v>43191</v>
      </c>
      <c r="L780" s="690" t="s">
        <v>6012</v>
      </c>
      <c r="M780" s="686" t="s">
        <v>625</v>
      </c>
      <c r="N780" s="686" t="s">
        <v>6005</v>
      </c>
      <c r="O780" s="27">
        <v>43616</v>
      </c>
      <c r="P780" s="691">
        <v>43616</v>
      </c>
      <c r="Q780" s="690" t="s">
        <v>8778</v>
      </c>
      <c r="R780" s="686" t="s">
        <v>208</v>
      </c>
      <c r="S780" s="686" t="s">
        <v>8447</v>
      </c>
      <c r="T780" s="27">
        <v>44077</v>
      </c>
      <c r="U780" s="689">
        <v>44077</v>
      </c>
      <c r="V780" s="690" t="s">
        <v>9758</v>
      </c>
      <c r="W780" s="686" t="s">
        <v>286</v>
      </c>
      <c r="X780" s="686" t="s">
        <v>9617</v>
      </c>
      <c r="Y780" s="27">
        <v>44154</v>
      </c>
      <c r="Z780" s="689">
        <v>44154</v>
      </c>
      <c r="AA780" s="690" t="s">
        <v>9779</v>
      </c>
      <c r="AB780" s="686" t="s">
        <v>5</v>
      </c>
      <c r="AC780" s="686" t="s">
        <v>9543</v>
      </c>
      <c r="AD780" s="27">
        <v>44154</v>
      </c>
      <c r="AE780" s="689">
        <v>44154</v>
      </c>
      <c r="AF780" s="690" t="s">
        <v>9779</v>
      </c>
      <c r="AG780" s="686" t="s">
        <v>5</v>
      </c>
      <c r="AH780" s="686" t="s">
        <v>9543</v>
      </c>
      <c r="AI780" s="704"/>
      <c r="AJ780" s="689"/>
      <c r="AK780" s="690"/>
      <c r="AL780" s="686"/>
      <c r="AM780" s="686"/>
      <c r="AN780" s="686" t="s">
        <v>918</v>
      </c>
      <c r="AO780" s="705" t="s">
        <v>7946</v>
      </c>
      <c r="AP780" s="692" t="s">
        <v>2558</v>
      </c>
      <c r="AQ780" s="690" t="s">
        <v>6013</v>
      </c>
      <c r="AR780" s="686" t="s">
        <v>79</v>
      </c>
      <c r="AS780" s="27">
        <v>34579</v>
      </c>
      <c r="AT780" s="27">
        <v>40908</v>
      </c>
      <c r="AU780" s="686" t="s">
        <v>4499</v>
      </c>
      <c r="AV780" s="686"/>
      <c r="AW780" s="686" t="s">
        <v>69</v>
      </c>
      <c r="AX780" s="686" t="s">
        <v>6014</v>
      </c>
      <c r="AY780" s="27">
        <v>42411</v>
      </c>
      <c r="AZ780" s="686" t="s">
        <v>5726</v>
      </c>
      <c r="BA780" s="27">
        <v>43063</v>
      </c>
      <c r="BB780" s="27">
        <v>43151</v>
      </c>
      <c r="BC780" s="701" t="s">
        <v>912</v>
      </c>
      <c r="BD780" s="701" t="s">
        <v>566</v>
      </c>
      <c r="BE780" s="686"/>
      <c r="BF780" s="690"/>
      <c r="BG780" s="690"/>
      <c r="BH780" s="690"/>
      <c r="BI780" s="690"/>
      <c r="BJ780" s="708">
        <f>+'[295]MATRIZ '!$J$40</f>
        <v>2980729.114147211</v>
      </c>
      <c r="BK780" s="696"/>
      <c r="BL780" s="697"/>
      <c r="BM780" s="27"/>
      <c r="BN780" s="689"/>
      <c r="BO780" s="699"/>
      <c r="BP780" s="700"/>
      <c r="BQ780" s="686"/>
      <c r="BR780" s="701"/>
      <c r="BS780" s="690"/>
      <c r="BT780" s="690"/>
      <c r="BU780" s="690"/>
      <c r="BV780" s="690"/>
      <c r="BW780" s="702"/>
      <c r="BX780" s="693"/>
      <c r="BY780" s="27"/>
      <c r="BZ780" s="703"/>
      <c r="CA780" s="259"/>
      <c r="CB780" s="259"/>
      <c r="CC780" s="259"/>
      <c r="CD780" s="259"/>
      <c r="CE780" s="259"/>
      <c r="CF780" s="259"/>
      <c r="CG780" s="259"/>
      <c r="CH780" s="259"/>
      <c r="CI780" s="259"/>
      <c r="CJ780" s="259"/>
      <c r="CK780" s="259"/>
      <c r="CL780" s="259"/>
      <c r="CM780" s="259"/>
      <c r="CN780" s="259"/>
      <c r="CO780" s="259"/>
      <c r="CP780" s="259"/>
      <c r="CQ780" s="259"/>
      <c r="CR780" s="259"/>
      <c r="CS780" s="259"/>
      <c r="CT780" s="259"/>
      <c r="CU780" s="259"/>
      <c r="CV780" s="259"/>
      <c r="CW780" s="259"/>
      <c r="CX780" s="259"/>
      <c r="CY780" s="259"/>
      <c r="CZ780" s="259"/>
      <c r="DA780" s="259"/>
      <c r="DB780" s="259"/>
      <c r="DC780" s="259"/>
      <c r="DD780" s="259"/>
      <c r="DE780" s="259"/>
      <c r="DF780" s="259"/>
      <c r="DG780" s="259"/>
      <c r="DH780" s="259"/>
      <c r="DI780" s="259"/>
      <c r="DJ780" s="259"/>
      <c r="DK780" s="259"/>
      <c r="DL780" s="259"/>
      <c r="DM780" s="259"/>
      <c r="DN780" s="259"/>
      <c r="DO780" s="259"/>
      <c r="DP780" s="259"/>
      <c r="DQ780" s="259"/>
      <c r="DR780" s="259"/>
      <c r="DS780" s="259"/>
      <c r="DT780" s="259"/>
      <c r="DU780" s="259"/>
      <c r="DV780" s="259"/>
      <c r="DW780" s="259"/>
      <c r="DX780" s="259"/>
      <c r="DY780" s="259"/>
      <c r="DZ780" s="259"/>
      <c r="EA780" s="259"/>
      <c r="EB780" s="259"/>
      <c r="EC780" s="259"/>
      <c r="ED780" s="259"/>
      <c r="EE780" s="259"/>
      <c r="EF780" s="259"/>
      <c r="EG780" s="259"/>
      <c r="EH780" s="259"/>
      <c r="EI780" s="259"/>
      <c r="EJ780" s="259"/>
      <c r="EK780" s="259"/>
      <c r="EL780" s="259"/>
      <c r="EM780" s="259"/>
      <c r="EN780" s="259"/>
      <c r="EO780" s="259"/>
      <c r="EP780" s="259"/>
      <c r="EQ780" s="259"/>
      <c r="ER780" s="259"/>
      <c r="ES780" s="259"/>
      <c r="ET780" s="259"/>
      <c r="EU780" s="259"/>
      <c r="EV780" s="259"/>
      <c r="EW780" s="259"/>
      <c r="EX780" s="259"/>
      <c r="EY780" s="259"/>
      <c r="EZ780" s="259"/>
      <c r="FA780" s="259"/>
      <c r="FB780" s="259"/>
      <c r="FC780" s="259"/>
      <c r="FD780" s="259"/>
      <c r="FE780" s="259"/>
      <c r="FF780" s="259"/>
      <c r="FG780" s="259"/>
      <c r="FH780" s="259"/>
      <c r="FI780" s="259"/>
      <c r="FJ780" s="259"/>
      <c r="FK780" s="259"/>
      <c r="FL780" s="259"/>
      <c r="FM780" s="259"/>
      <c r="FN780" s="259"/>
      <c r="FO780" s="259"/>
      <c r="FP780" s="259"/>
      <c r="FQ780" s="259"/>
      <c r="FR780" s="259"/>
      <c r="FS780" s="259"/>
      <c r="FT780" s="259"/>
      <c r="FU780" s="259"/>
      <c r="FV780" s="259"/>
      <c r="FW780" s="259"/>
      <c r="FX780" s="259"/>
      <c r="FY780" s="259"/>
      <c r="FZ780" s="259"/>
      <c r="GA780" s="259"/>
      <c r="GB780" s="259"/>
      <c r="GC780" s="259"/>
      <c r="GD780" s="259"/>
      <c r="GE780" s="259"/>
      <c r="GF780" s="259"/>
      <c r="GG780" s="259"/>
      <c r="GH780" s="259"/>
      <c r="GI780" s="259"/>
      <c r="GJ780" s="259"/>
      <c r="GK780" s="259"/>
      <c r="GL780" s="259"/>
      <c r="GM780" s="259"/>
      <c r="GN780" s="259"/>
      <c r="GO780" s="259"/>
      <c r="GP780" s="259"/>
      <c r="GQ780" s="259"/>
      <c r="GR780" s="259"/>
      <c r="GS780" s="259"/>
      <c r="GT780" s="259"/>
      <c r="GU780" s="259"/>
      <c r="GV780" s="259"/>
      <c r="GW780" s="259"/>
      <c r="GX780" s="259"/>
      <c r="GY780" s="259"/>
      <c r="GZ780" s="259"/>
      <c r="HA780" s="259"/>
      <c r="HB780" s="259"/>
      <c r="HC780" s="259"/>
      <c r="HD780" s="259"/>
      <c r="HE780" s="259"/>
      <c r="HF780" s="259"/>
      <c r="HG780" s="259"/>
      <c r="HH780" s="259"/>
      <c r="HI780" s="259"/>
      <c r="HJ780" s="259"/>
      <c r="HK780" s="259"/>
      <c r="HL780" s="259"/>
      <c r="HM780" s="259"/>
      <c r="HN780" s="259"/>
      <c r="HO780" s="259"/>
      <c r="HP780" s="259"/>
      <c r="HQ780" s="259"/>
      <c r="HR780" s="259"/>
      <c r="HS780" s="259"/>
      <c r="HT780" s="259"/>
      <c r="HU780" s="259"/>
      <c r="HV780" s="259"/>
      <c r="HW780" s="259"/>
      <c r="HX780" s="259"/>
      <c r="HY780" s="259"/>
      <c r="HZ780" s="259"/>
      <c r="IA780" s="259"/>
      <c r="IB780" s="259"/>
      <c r="IC780" s="259"/>
      <c r="ID780" s="259"/>
      <c r="IE780" s="259"/>
      <c r="IF780" s="259"/>
      <c r="IG780" s="259"/>
      <c r="IH780" s="259"/>
      <c r="II780" s="259"/>
      <c r="IJ780" s="259"/>
      <c r="IK780" s="259"/>
      <c r="IL780" s="259"/>
      <c r="IM780" s="259"/>
      <c r="IN780" s="259"/>
      <c r="IO780" s="259"/>
      <c r="IP780" s="259"/>
      <c r="IQ780" s="259"/>
      <c r="IR780" s="259"/>
      <c r="IS780" s="259"/>
      <c r="IT780" s="259"/>
      <c r="IU780" s="259"/>
      <c r="IV780" s="259"/>
      <c r="IW780" s="259"/>
      <c r="IX780" s="259"/>
      <c r="IY780" s="259"/>
      <c r="IZ780" s="259"/>
      <c r="JA780" s="259"/>
      <c r="JB780" s="259"/>
      <c r="JC780" s="259"/>
      <c r="JD780" s="259"/>
      <c r="JE780" s="259"/>
      <c r="JF780" s="259"/>
      <c r="JG780" s="259"/>
      <c r="JH780" s="259"/>
      <c r="JI780" s="259"/>
      <c r="JJ780" s="259"/>
      <c r="JK780" s="259"/>
      <c r="JL780" s="259"/>
      <c r="JM780" s="259"/>
      <c r="JN780" s="259"/>
      <c r="JO780" s="259"/>
      <c r="JP780" s="259"/>
      <c r="JQ780" s="259"/>
      <c r="JR780" s="259"/>
      <c r="JS780" s="259"/>
      <c r="JT780" s="259"/>
      <c r="JU780" s="259"/>
      <c r="JV780" s="259"/>
      <c r="JW780" s="259"/>
      <c r="JX780" s="259"/>
      <c r="JY780" s="259"/>
      <c r="JZ780" s="259"/>
      <c r="KA780" s="259"/>
      <c r="KB780" s="259"/>
      <c r="KC780" s="259"/>
      <c r="KD780" s="259"/>
      <c r="KE780" s="259"/>
      <c r="KF780" s="259"/>
      <c r="KG780" s="259"/>
      <c r="KH780" s="259"/>
      <c r="KI780" s="259"/>
      <c r="KJ780" s="259"/>
      <c r="KK780" s="259"/>
      <c r="KL780" s="259"/>
      <c r="KM780" s="259"/>
      <c r="KN780" s="259"/>
      <c r="KO780" s="259"/>
      <c r="KP780" s="259"/>
      <c r="KQ780" s="259"/>
      <c r="KR780" s="259"/>
      <c r="KS780" s="259"/>
      <c r="KT780" s="259"/>
      <c r="KU780" s="259"/>
      <c r="KV780" s="259"/>
      <c r="KW780" s="259"/>
      <c r="KX780" s="259"/>
      <c r="KY780" s="259"/>
      <c r="KZ780" s="259"/>
      <c r="LA780" s="259"/>
      <c r="LB780" s="259"/>
      <c r="LC780" s="259"/>
      <c r="LD780" s="259"/>
      <c r="LE780" s="259"/>
      <c r="LF780" s="259"/>
      <c r="LG780" s="259"/>
      <c r="LH780" s="259"/>
      <c r="LI780" s="259"/>
      <c r="LJ780" s="259"/>
      <c r="LK780" s="259"/>
      <c r="LL780" s="259"/>
      <c r="LM780" s="259"/>
      <c r="LN780" s="259"/>
      <c r="LO780" s="259"/>
      <c r="LP780" s="259"/>
      <c r="LQ780" s="259"/>
      <c r="LR780" s="259"/>
      <c r="LS780" s="259"/>
      <c r="LT780" s="259"/>
      <c r="LU780" s="259"/>
      <c r="LV780" s="259"/>
      <c r="LW780" s="259"/>
      <c r="LX780" s="259"/>
      <c r="LY780" s="259"/>
      <c r="LZ780" s="259"/>
      <c r="MA780" s="259"/>
      <c r="MB780" s="259"/>
      <c r="MC780" s="259"/>
      <c r="MD780" s="259"/>
      <c r="ME780" s="259"/>
      <c r="MF780" s="259"/>
      <c r="MG780" s="259"/>
      <c r="MH780" s="259"/>
      <c r="MI780" s="259"/>
      <c r="MJ780" s="259"/>
      <c r="MK780" s="259"/>
      <c r="ML780" s="259"/>
      <c r="MM780" s="259"/>
      <c r="MN780" s="259"/>
      <c r="MO780" s="259"/>
      <c r="MP780" s="259"/>
      <c r="MQ780" s="259"/>
      <c r="MR780" s="259"/>
      <c r="MS780" s="259"/>
      <c r="MT780" s="259"/>
      <c r="MU780" s="259"/>
      <c r="MV780" s="259"/>
      <c r="MW780" s="259"/>
      <c r="MX780" s="259"/>
      <c r="MY780" s="259"/>
      <c r="MZ780" s="259"/>
      <c r="NA780" s="259"/>
      <c r="NB780" s="259"/>
      <c r="NC780" s="259"/>
      <c r="ND780" s="259"/>
      <c r="NE780" s="259"/>
      <c r="NF780" s="259"/>
      <c r="NG780" s="259"/>
      <c r="NH780" s="259"/>
      <c r="NI780" s="259"/>
      <c r="NJ780" s="259"/>
      <c r="NK780" s="259"/>
      <c r="NL780" s="259"/>
      <c r="NM780" s="259"/>
      <c r="NN780" s="259"/>
      <c r="NO780" s="259"/>
      <c r="NP780" s="259"/>
      <c r="NQ780" s="259"/>
      <c r="NR780" s="259"/>
      <c r="NS780" s="259"/>
      <c r="NT780" s="259"/>
      <c r="NU780" s="259"/>
      <c r="NV780" s="259"/>
      <c r="NW780" s="259"/>
      <c r="NX780" s="259"/>
      <c r="NY780" s="259"/>
      <c r="NZ780" s="259"/>
      <c r="OA780" s="259"/>
      <c r="OB780" s="259"/>
      <c r="OC780" s="259"/>
      <c r="OD780" s="259"/>
      <c r="OE780" s="259"/>
      <c r="OF780" s="259"/>
      <c r="OG780" s="259"/>
      <c r="OH780" s="259"/>
      <c r="OI780" s="259"/>
      <c r="OJ780" s="259"/>
      <c r="OK780" s="259"/>
      <c r="OL780" s="259"/>
      <c r="OM780" s="259"/>
      <c r="ON780" s="259"/>
      <c r="OO780" s="259"/>
      <c r="OP780" s="259"/>
      <c r="OQ780" s="259"/>
      <c r="OR780" s="259"/>
      <c r="OS780" s="259"/>
      <c r="OT780" s="259"/>
      <c r="OU780" s="259"/>
      <c r="OV780" s="259"/>
      <c r="OW780" s="259"/>
      <c r="OX780" s="259"/>
      <c r="OY780" s="259"/>
      <c r="OZ780" s="259"/>
      <c r="PA780" s="259"/>
      <c r="PB780" s="259"/>
      <c r="PC780" s="259"/>
      <c r="PD780" s="259"/>
      <c r="PE780" s="259"/>
      <c r="PF780" s="259"/>
      <c r="PG780" s="259"/>
      <c r="PH780" s="259"/>
      <c r="PI780" s="259"/>
      <c r="PJ780" s="259"/>
      <c r="PK780" s="259"/>
      <c r="PL780" s="259"/>
      <c r="PM780" s="259"/>
      <c r="PN780" s="259"/>
      <c r="PO780" s="259"/>
      <c r="PP780" s="259"/>
      <c r="PQ780" s="259"/>
      <c r="PR780" s="259"/>
      <c r="PS780" s="259"/>
      <c r="PT780" s="259"/>
      <c r="PU780" s="259"/>
      <c r="PV780" s="259"/>
      <c r="PW780" s="259"/>
      <c r="PX780" s="259"/>
      <c r="PY780" s="259"/>
      <c r="PZ780" s="259"/>
      <c r="QA780" s="259"/>
      <c r="QB780" s="259"/>
      <c r="QC780" s="259"/>
      <c r="QD780" s="259"/>
      <c r="QE780" s="259"/>
      <c r="QF780" s="259"/>
      <c r="QG780" s="259"/>
      <c r="QH780" s="259"/>
      <c r="QI780" s="259"/>
      <c r="QJ780" s="259"/>
      <c r="QK780" s="259"/>
      <c r="QL780" s="259"/>
      <c r="QM780" s="259"/>
      <c r="QN780" s="259"/>
      <c r="QO780" s="259"/>
      <c r="QP780" s="259"/>
      <c r="QQ780" s="259"/>
      <c r="QR780" s="259"/>
      <c r="QS780" s="259"/>
      <c r="QT780" s="259"/>
      <c r="QU780" s="259"/>
      <c r="QV780" s="259"/>
      <c r="QW780" s="259"/>
      <c r="QX780" s="259"/>
      <c r="QY780" s="259"/>
      <c r="QZ780" s="259"/>
      <c r="RA780" s="259"/>
      <c r="RB780" s="259"/>
      <c r="RC780" s="259"/>
      <c r="RD780" s="259"/>
      <c r="RE780" s="259"/>
      <c r="RF780" s="259"/>
      <c r="RG780" s="259"/>
      <c r="RH780" s="259"/>
      <c r="RI780" s="259"/>
      <c r="RJ780" s="259"/>
      <c r="RK780" s="259"/>
      <c r="RL780" s="259"/>
      <c r="RM780" s="259"/>
      <c r="RN780" s="259"/>
      <c r="RO780" s="259"/>
      <c r="RP780" s="259"/>
      <c r="RQ780" s="259"/>
      <c r="RR780" s="259"/>
      <c r="RS780" s="259"/>
      <c r="RT780" s="259"/>
      <c r="RU780" s="259"/>
      <c r="RV780" s="259"/>
      <c r="RW780" s="259"/>
      <c r="RX780" s="259"/>
      <c r="RY780" s="259"/>
      <c r="RZ780" s="259"/>
      <c r="SA780" s="259"/>
      <c r="SB780" s="259"/>
      <c r="SC780" s="259"/>
      <c r="SD780" s="259"/>
      <c r="SE780" s="259"/>
      <c r="SF780" s="259"/>
      <c r="SG780" s="259"/>
      <c r="SH780" s="259"/>
      <c r="SI780" s="259"/>
      <c r="SJ780" s="259"/>
      <c r="SK780" s="259"/>
      <c r="SL780" s="259"/>
      <c r="SM780" s="259"/>
      <c r="SN780" s="259"/>
      <c r="SO780" s="259"/>
      <c r="SP780" s="259"/>
      <c r="SQ780" s="259"/>
      <c r="SR780" s="259"/>
      <c r="SS780" s="259"/>
      <c r="ST780" s="259"/>
      <c r="SU780" s="259"/>
      <c r="SV780" s="259"/>
      <c r="SW780" s="259"/>
      <c r="SX780" s="259"/>
      <c r="SY780" s="259"/>
      <c r="SZ780" s="259"/>
      <c r="TA780" s="259"/>
      <c r="TB780" s="259"/>
      <c r="TC780" s="259"/>
      <c r="TD780" s="259"/>
      <c r="TE780" s="259"/>
      <c r="TF780" s="259"/>
      <c r="TG780" s="259"/>
      <c r="TH780" s="259"/>
      <c r="TI780" s="259"/>
      <c r="TJ780" s="259"/>
      <c r="TK780" s="259"/>
      <c r="TL780" s="259"/>
      <c r="TM780" s="259"/>
      <c r="TN780" s="259"/>
      <c r="TO780" s="259"/>
      <c r="TP780" s="259"/>
      <c r="TQ780" s="259"/>
      <c r="TR780" s="259"/>
      <c r="TS780" s="259"/>
      <c r="TT780" s="259"/>
      <c r="TU780" s="259"/>
      <c r="TV780" s="259"/>
      <c r="TW780" s="259"/>
      <c r="TX780" s="259"/>
      <c r="TY780" s="259"/>
      <c r="TZ780" s="259"/>
      <c r="UA780" s="259"/>
      <c r="UB780" s="259"/>
      <c r="UC780" s="259"/>
      <c r="UD780" s="259"/>
      <c r="UE780" s="259"/>
      <c r="UF780" s="259"/>
      <c r="UG780" s="259"/>
      <c r="UH780" s="259"/>
      <c r="UI780" s="259"/>
    </row>
    <row r="781" spans="1:555" ht="67.5">
      <c r="A781" s="57">
        <v>732</v>
      </c>
      <c r="B781" s="58" t="s">
        <v>6015</v>
      </c>
      <c r="C781" s="104">
        <v>72241159</v>
      </c>
      <c r="D781" s="170" t="s">
        <v>597</v>
      </c>
      <c r="E781" s="60">
        <v>43152</v>
      </c>
      <c r="F781" s="61">
        <v>43132</v>
      </c>
      <c r="G781" s="62" t="s">
        <v>6016</v>
      </c>
      <c r="H781" s="58" t="s">
        <v>625</v>
      </c>
      <c r="I781" s="58" t="s">
        <v>2395</v>
      </c>
      <c r="J781" s="60">
        <v>43158</v>
      </c>
      <c r="K781" s="63">
        <v>43132</v>
      </c>
      <c r="L781" s="62" t="s">
        <v>1510</v>
      </c>
      <c r="M781" s="58" t="s">
        <v>195</v>
      </c>
      <c r="N781" s="58" t="s">
        <v>1491</v>
      </c>
      <c r="O781" s="60"/>
      <c r="P781" s="63"/>
      <c r="Q781" s="62"/>
      <c r="R781" s="58"/>
      <c r="S781" s="58"/>
      <c r="T781" s="60"/>
      <c r="U781" s="61"/>
      <c r="V781" s="62"/>
      <c r="W781" s="58"/>
      <c r="X781" s="58"/>
      <c r="Y781" s="60"/>
      <c r="Z781" s="61"/>
      <c r="AA781" s="62"/>
      <c r="AB781" s="58"/>
      <c r="AC781" s="58" t="s">
        <v>3082</v>
      </c>
      <c r="AD781" s="60"/>
      <c r="AE781" s="61"/>
      <c r="AF781" s="62"/>
      <c r="AG781" s="58"/>
      <c r="AH781" s="58"/>
      <c r="AI781" s="117"/>
      <c r="AJ781" s="61"/>
      <c r="AK781" s="62"/>
      <c r="AL781" s="58"/>
      <c r="AM781" s="58"/>
      <c r="AN781" s="58" t="s">
        <v>918</v>
      </c>
      <c r="AO781" s="478" t="s">
        <v>7946</v>
      </c>
      <c r="AP781" s="119" t="s">
        <v>2558</v>
      </c>
      <c r="AQ781" s="62" t="s">
        <v>6017</v>
      </c>
      <c r="AR781" s="58" t="s">
        <v>79</v>
      </c>
      <c r="AS781" s="60">
        <v>37244</v>
      </c>
      <c r="AT781" s="60">
        <v>38832</v>
      </c>
      <c r="AU781" s="58" t="s">
        <v>6018</v>
      </c>
      <c r="AV781" s="58"/>
      <c r="AW781" s="58" t="s">
        <v>69</v>
      </c>
      <c r="AX781" s="58" t="s">
        <v>6019</v>
      </c>
      <c r="AY781" s="60">
        <v>42549</v>
      </c>
      <c r="AZ781" s="58" t="s">
        <v>6020</v>
      </c>
      <c r="BA781" s="60">
        <v>42979</v>
      </c>
      <c r="BB781" s="382"/>
      <c r="BC781" s="58" t="s">
        <v>95</v>
      </c>
      <c r="BD781" s="58" t="s">
        <v>566</v>
      </c>
      <c r="BE781" s="58"/>
      <c r="BF781" s="62"/>
      <c r="BG781" s="62"/>
      <c r="BH781" s="62"/>
      <c r="BI781" s="62"/>
      <c r="BJ781" s="209">
        <f>+[296]MATRIZ!$J$68</f>
        <v>12998108.430540595</v>
      </c>
      <c r="BK781" s="67"/>
      <c r="BL781" s="68"/>
      <c r="BM781" s="60"/>
      <c r="BN781" s="61"/>
      <c r="BO781" s="463"/>
      <c r="BP781" s="122"/>
      <c r="BQ781" s="58"/>
      <c r="BR781" s="70"/>
      <c r="BS781" s="62"/>
      <c r="BT781" s="62"/>
      <c r="BU781" s="62"/>
      <c r="BV781" s="62"/>
      <c r="BW781" s="71"/>
      <c r="BX781" s="66"/>
      <c r="BY781" s="60"/>
      <c r="BZ781" s="72"/>
    </row>
    <row r="782" spans="1:555" s="259" customFormat="1" ht="67.5">
      <c r="A782" s="502">
        <v>734</v>
      </c>
      <c r="B782" s="686" t="s">
        <v>6026</v>
      </c>
      <c r="C782" s="687">
        <v>74301777</v>
      </c>
      <c r="D782" s="688" t="s">
        <v>906</v>
      </c>
      <c r="E782" s="27">
        <v>43131</v>
      </c>
      <c r="F782" s="689">
        <v>43101</v>
      </c>
      <c r="G782" s="690" t="s">
        <v>6027</v>
      </c>
      <c r="H782" s="686" t="s">
        <v>625</v>
      </c>
      <c r="I782" s="686" t="s">
        <v>2395</v>
      </c>
      <c r="J782" s="27">
        <v>43362</v>
      </c>
      <c r="K782" s="689">
        <v>43362</v>
      </c>
      <c r="L782" s="690" t="s">
        <v>6028</v>
      </c>
      <c r="M782" s="686" t="s">
        <v>5</v>
      </c>
      <c r="N782" s="686" t="s">
        <v>2413</v>
      </c>
      <c r="O782" s="27"/>
      <c r="P782" s="691"/>
      <c r="Q782" s="690"/>
      <c r="R782" s="686"/>
      <c r="S782" s="686"/>
      <c r="T782" s="27"/>
      <c r="U782" s="689"/>
      <c r="V782" s="690"/>
      <c r="W782" s="686"/>
      <c r="X782" s="686"/>
      <c r="Y782" s="27"/>
      <c r="Z782" s="689"/>
      <c r="AA782" s="690"/>
      <c r="AB782" s="686"/>
      <c r="AC782" s="686"/>
      <c r="AD782" s="27"/>
      <c r="AE782" s="689"/>
      <c r="AF782" s="690"/>
      <c r="AG782" s="686"/>
      <c r="AH782" s="686"/>
      <c r="AI782" s="704"/>
      <c r="AJ782" s="689"/>
      <c r="AK782" s="690"/>
      <c r="AL782" s="686"/>
      <c r="AM782" s="686"/>
      <c r="AN782" s="686" t="s">
        <v>918</v>
      </c>
      <c r="AO782" s="705"/>
      <c r="AP782" s="707" t="s">
        <v>2558</v>
      </c>
      <c r="AQ782" s="690" t="s">
        <v>6029</v>
      </c>
      <c r="AR782" s="686" t="s">
        <v>79</v>
      </c>
      <c r="AS782" s="27">
        <v>34562</v>
      </c>
      <c r="AT782" s="27">
        <v>40908</v>
      </c>
      <c r="AU782" s="686" t="s">
        <v>6030</v>
      </c>
      <c r="AV782" s="686"/>
      <c r="AW782" s="686" t="s">
        <v>69</v>
      </c>
      <c r="AX782" s="686" t="s">
        <v>6031</v>
      </c>
      <c r="AY782" s="27">
        <v>42165</v>
      </c>
      <c r="AZ782" s="686" t="s">
        <v>5726</v>
      </c>
      <c r="BA782" s="27">
        <v>42992</v>
      </c>
      <c r="BB782" s="27">
        <v>43003</v>
      </c>
      <c r="BC782" s="701" t="s">
        <v>912</v>
      </c>
      <c r="BD782" s="701" t="s">
        <v>566</v>
      </c>
      <c r="BE782" s="686"/>
      <c r="BF782" s="690"/>
      <c r="BG782" s="690"/>
      <c r="BH782" s="690"/>
      <c r="BI782" s="690"/>
      <c r="BJ782" s="708">
        <f>+[297]MATRIZ!$J$50</f>
        <v>0</v>
      </c>
      <c r="BK782" s="696"/>
      <c r="BL782" s="697"/>
      <c r="BM782" s="27"/>
      <c r="BN782" s="689"/>
      <c r="BO782" s="699"/>
      <c r="BP782" s="700"/>
      <c r="BQ782" s="686"/>
      <c r="BR782" s="701"/>
      <c r="BS782" s="690"/>
      <c r="BT782" s="690"/>
      <c r="BU782" s="690"/>
      <c r="BV782" s="690"/>
      <c r="BW782" s="702"/>
      <c r="BX782" s="693"/>
      <c r="BY782" s="27"/>
      <c r="BZ782" s="703"/>
    </row>
    <row r="783" spans="1:555" ht="136.5" customHeight="1">
      <c r="A783" s="57">
        <v>735</v>
      </c>
      <c r="B783" s="58" t="s">
        <v>4140</v>
      </c>
      <c r="C783" s="59">
        <v>6074131</v>
      </c>
      <c r="D783" s="170" t="s">
        <v>3988</v>
      </c>
      <c r="E783" s="60">
        <v>43158</v>
      </c>
      <c r="F783" s="61">
        <v>43132</v>
      </c>
      <c r="G783" s="62" t="s">
        <v>8129</v>
      </c>
      <c r="H783" s="58" t="s">
        <v>625</v>
      </c>
      <c r="I783" s="58" t="s">
        <v>2395</v>
      </c>
      <c r="J783" s="60">
        <v>43158</v>
      </c>
      <c r="K783" s="61">
        <v>43132</v>
      </c>
      <c r="L783" s="62" t="s">
        <v>6033</v>
      </c>
      <c r="M783" s="58" t="s">
        <v>625</v>
      </c>
      <c r="N783" s="58" t="s">
        <v>2395</v>
      </c>
      <c r="O783" s="60">
        <v>43200</v>
      </c>
      <c r="P783" s="63">
        <v>43191</v>
      </c>
      <c r="Q783" s="62" t="s">
        <v>6034</v>
      </c>
      <c r="R783" s="58" t="s">
        <v>625</v>
      </c>
      <c r="S783" s="58" t="s">
        <v>6035</v>
      </c>
      <c r="T783" s="60">
        <v>43753</v>
      </c>
      <c r="U783" s="61">
        <v>43753</v>
      </c>
      <c r="V783" s="62" t="s">
        <v>9191</v>
      </c>
      <c r="W783" s="58" t="s">
        <v>5</v>
      </c>
      <c r="X783" s="58" t="s">
        <v>79</v>
      </c>
      <c r="Y783" s="60">
        <v>44104</v>
      </c>
      <c r="Z783" s="61">
        <v>44104</v>
      </c>
      <c r="AA783" s="62" t="s">
        <v>9716</v>
      </c>
      <c r="AB783" s="58" t="s">
        <v>5</v>
      </c>
      <c r="AC783" s="58" t="s">
        <v>85</v>
      </c>
      <c r="AD783" s="60"/>
      <c r="AE783" s="61"/>
      <c r="AF783" s="62"/>
      <c r="AG783" s="58"/>
      <c r="AH783" s="58"/>
      <c r="AI783" s="117"/>
      <c r="AJ783" s="61"/>
      <c r="AK783" s="62"/>
      <c r="AL783" s="58"/>
      <c r="AM783" s="58"/>
      <c r="AN783" s="58" t="s">
        <v>918</v>
      </c>
      <c r="AO783" s="478" t="s">
        <v>7946</v>
      </c>
      <c r="AP783" s="119" t="s">
        <v>2558</v>
      </c>
      <c r="AQ783" s="62" t="s">
        <v>6036</v>
      </c>
      <c r="AR783" s="58" t="s">
        <v>2395</v>
      </c>
      <c r="AS783" s="60">
        <v>38552</v>
      </c>
      <c r="AT783" s="60">
        <v>40908</v>
      </c>
      <c r="AU783" s="58" t="s">
        <v>6037</v>
      </c>
      <c r="AV783" s="58"/>
      <c r="AW783" s="58" t="s">
        <v>69</v>
      </c>
      <c r="AX783" s="58" t="s">
        <v>6031</v>
      </c>
      <c r="AY783" s="60">
        <v>42284</v>
      </c>
      <c r="AZ783" s="58" t="s">
        <v>5726</v>
      </c>
      <c r="BA783" s="60">
        <v>43132</v>
      </c>
      <c r="BB783" s="382">
        <v>43161</v>
      </c>
      <c r="BC783" s="70" t="s">
        <v>912</v>
      </c>
      <c r="BD783" s="70" t="s">
        <v>566</v>
      </c>
      <c r="BE783" s="58"/>
      <c r="BF783" s="62"/>
      <c r="BG783" s="62"/>
      <c r="BH783" s="62"/>
      <c r="BI783" s="62"/>
      <c r="BJ783" s="209">
        <f>+[298]MATRIZ!$J$49</f>
        <v>0</v>
      </c>
      <c r="BK783" s="67"/>
      <c r="BL783" s="68"/>
      <c r="BM783" s="60"/>
      <c r="BN783" s="61"/>
      <c r="BO783" s="463"/>
      <c r="BP783" s="122"/>
      <c r="BQ783" s="58"/>
      <c r="BR783" s="70"/>
      <c r="BS783" s="62"/>
      <c r="BT783" s="62"/>
      <c r="BU783" s="62"/>
      <c r="BV783" s="62"/>
      <c r="BW783" s="71"/>
      <c r="BX783" s="66"/>
      <c r="BY783" s="60"/>
      <c r="BZ783" s="61"/>
    </row>
    <row r="784" spans="1:555" ht="81">
      <c r="A784" s="502">
        <v>737</v>
      </c>
      <c r="B784" s="686" t="s">
        <v>6042</v>
      </c>
      <c r="C784" s="687">
        <v>79368872</v>
      </c>
      <c r="D784" s="688" t="s">
        <v>3482</v>
      </c>
      <c r="E784" s="27">
        <v>42562</v>
      </c>
      <c r="F784" s="689">
        <v>42552</v>
      </c>
      <c r="G784" s="690" t="s">
        <v>6043</v>
      </c>
      <c r="H784" s="686" t="s">
        <v>171</v>
      </c>
      <c r="I784" s="686" t="s">
        <v>6044</v>
      </c>
      <c r="J784" s="27">
        <v>43140</v>
      </c>
      <c r="K784" s="689">
        <v>43132</v>
      </c>
      <c r="L784" s="690" t="s">
        <v>6045</v>
      </c>
      <c r="M784" s="686" t="s">
        <v>195</v>
      </c>
      <c r="N784" s="686" t="s">
        <v>2411</v>
      </c>
      <c r="O784" s="27">
        <v>43689</v>
      </c>
      <c r="P784" s="691">
        <v>43689</v>
      </c>
      <c r="Q784" s="690" t="s">
        <v>9047</v>
      </c>
      <c r="R784" s="686" t="s">
        <v>208</v>
      </c>
      <c r="S784" s="686" t="s">
        <v>79</v>
      </c>
      <c r="T784" s="27">
        <v>43704</v>
      </c>
      <c r="U784" s="689">
        <v>43704</v>
      </c>
      <c r="V784" s="690" t="s">
        <v>9139</v>
      </c>
      <c r="W784" s="686" t="s">
        <v>208</v>
      </c>
      <c r="X784" s="686" t="s">
        <v>8243</v>
      </c>
      <c r="Y784" s="27">
        <v>43717</v>
      </c>
      <c r="Z784" s="689">
        <v>43717</v>
      </c>
      <c r="AA784" s="690" t="s">
        <v>9146</v>
      </c>
      <c r="AB784" s="686" t="s">
        <v>208</v>
      </c>
      <c r="AC784" s="686" t="s">
        <v>85</v>
      </c>
      <c r="AD784" s="27"/>
      <c r="AE784" s="689"/>
      <c r="AF784" s="690"/>
      <c r="AG784" s="686"/>
      <c r="AH784" s="686"/>
      <c r="AI784" s="704"/>
      <c r="AJ784" s="689"/>
      <c r="AK784" s="690"/>
      <c r="AL784" s="686"/>
      <c r="AM784" s="686"/>
      <c r="AN784" s="686" t="s">
        <v>6046</v>
      </c>
      <c r="AO784" s="705" t="s">
        <v>7946</v>
      </c>
      <c r="AP784" s="686"/>
      <c r="AQ784" s="690" t="s">
        <v>6047</v>
      </c>
      <c r="AR784" s="686" t="s">
        <v>79</v>
      </c>
      <c r="AS784" s="27">
        <v>38416</v>
      </c>
      <c r="AT784" s="27">
        <v>40908</v>
      </c>
      <c r="AU784" s="686" t="s">
        <v>4499</v>
      </c>
      <c r="AV784" s="686"/>
      <c r="AW784" s="686" t="s">
        <v>69</v>
      </c>
      <c r="AX784" s="686" t="s">
        <v>6048</v>
      </c>
      <c r="AY784" s="27">
        <v>42719</v>
      </c>
      <c r="AZ784" s="686" t="s">
        <v>4043</v>
      </c>
      <c r="BA784" s="27">
        <v>42999</v>
      </c>
      <c r="BB784" s="27">
        <v>43129</v>
      </c>
      <c r="BC784" s="701" t="s">
        <v>912</v>
      </c>
      <c r="BD784" s="701" t="s">
        <v>566</v>
      </c>
      <c r="BE784" s="686"/>
      <c r="BF784" s="690"/>
      <c r="BG784" s="690"/>
      <c r="BH784" s="690"/>
      <c r="BI784" s="690"/>
      <c r="BJ784" s="708">
        <f>+[299]MATRIZ!$J$43</f>
        <v>0</v>
      </c>
      <c r="BK784" s="696"/>
      <c r="BL784" s="697"/>
      <c r="BM784" s="27"/>
      <c r="BN784" s="689"/>
      <c r="BO784" s="699"/>
      <c r="BP784" s="700"/>
      <c r="BQ784" s="686"/>
      <c r="BR784" s="701"/>
      <c r="BS784" s="690"/>
      <c r="BT784" s="690"/>
      <c r="BU784" s="690"/>
      <c r="BV784" s="690"/>
      <c r="BW784" s="702"/>
      <c r="BX784" s="693"/>
      <c r="BY784" s="27"/>
      <c r="BZ784" s="703"/>
      <c r="CA784" s="259"/>
      <c r="CB784" s="259"/>
      <c r="CC784" s="259"/>
      <c r="CD784" s="259"/>
      <c r="CE784" s="259"/>
      <c r="CF784" s="259"/>
      <c r="CG784" s="259"/>
      <c r="CH784" s="259"/>
      <c r="CI784" s="259"/>
      <c r="CJ784" s="259"/>
      <c r="CK784" s="259"/>
      <c r="CL784" s="259"/>
      <c r="CM784" s="259"/>
      <c r="CN784" s="259"/>
      <c r="CO784" s="259"/>
      <c r="CP784" s="259"/>
      <c r="CQ784" s="259"/>
      <c r="CR784" s="259"/>
      <c r="CS784" s="259"/>
      <c r="CT784" s="259"/>
      <c r="CU784" s="259"/>
      <c r="CV784" s="259"/>
      <c r="CW784" s="259"/>
      <c r="CX784" s="259"/>
      <c r="CY784" s="259"/>
      <c r="CZ784" s="259"/>
      <c r="DA784" s="259"/>
      <c r="DB784" s="259"/>
      <c r="DC784" s="259"/>
      <c r="DD784" s="259"/>
      <c r="DE784" s="259"/>
      <c r="DF784" s="259"/>
      <c r="DG784" s="259"/>
      <c r="DH784" s="259"/>
      <c r="DI784" s="259"/>
      <c r="DJ784" s="259"/>
      <c r="DK784" s="259"/>
      <c r="DL784" s="259"/>
      <c r="DM784" s="259"/>
      <c r="DN784" s="259"/>
      <c r="DO784" s="259"/>
      <c r="DP784" s="259"/>
      <c r="DQ784" s="259"/>
      <c r="DR784" s="259"/>
      <c r="DS784" s="259"/>
      <c r="DT784" s="259"/>
      <c r="DU784" s="259"/>
      <c r="DV784" s="259"/>
      <c r="DW784" s="259"/>
      <c r="DX784" s="259"/>
      <c r="DY784" s="259"/>
      <c r="DZ784" s="259"/>
      <c r="EA784" s="259"/>
      <c r="EB784" s="259"/>
      <c r="EC784" s="259"/>
      <c r="ED784" s="259"/>
      <c r="EE784" s="259"/>
      <c r="EF784" s="259"/>
      <c r="EG784" s="259"/>
      <c r="EH784" s="259"/>
      <c r="EI784" s="259"/>
      <c r="EJ784" s="259"/>
      <c r="EK784" s="259"/>
      <c r="EL784" s="259"/>
      <c r="EM784" s="259"/>
      <c r="EN784" s="259"/>
      <c r="EO784" s="259"/>
      <c r="EP784" s="259"/>
      <c r="EQ784" s="259"/>
      <c r="ER784" s="259"/>
      <c r="ES784" s="259"/>
      <c r="ET784" s="259"/>
      <c r="EU784" s="259"/>
      <c r="EV784" s="259"/>
      <c r="EW784" s="259"/>
      <c r="EX784" s="259"/>
      <c r="EY784" s="259"/>
      <c r="EZ784" s="259"/>
      <c r="FA784" s="259"/>
      <c r="FB784" s="259"/>
      <c r="FC784" s="259"/>
      <c r="FD784" s="259"/>
      <c r="FE784" s="259"/>
      <c r="FF784" s="259"/>
      <c r="FG784" s="259"/>
      <c r="FH784" s="259"/>
      <c r="FI784" s="259"/>
      <c r="FJ784" s="259"/>
      <c r="FK784" s="259"/>
      <c r="FL784" s="259"/>
      <c r="FM784" s="259"/>
      <c r="FN784" s="259"/>
      <c r="FO784" s="259"/>
      <c r="FP784" s="259"/>
      <c r="FQ784" s="259"/>
      <c r="FR784" s="259"/>
      <c r="FS784" s="259"/>
      <c r="FT784" s="259"/>
      <c r="FU784" s="259"/>
      <c r="FV784" s="259"/>
      <c r="FW784" s="259"/>
      <c r="FX784" s="259"/>
      <c r="FY784" s="259"/>
      <c r="FZ784" s="259"/>
      <c r="GA784" s="259"/>
      <c r="GB784" s="259"/>
      <c r="GC784" s="259"/>
      <c r="GD784" s="259"/>
      <c r="GE784" s="259"/>
      <c r="GF784" s="259"/>
      <c r="GG784" s="259"/>
      <c r="GH784" s="259"/>
      <c r="GI784" s="259"/>
      <c r="GJ784" s="259"/>
      <c r="GK784" s="259"/>
      <c r="GL784" s="259"/>
      <c r="GM784" s="259"/>
      <c r="GN784" s="259"/>
      <c r="GO784" s="259"/>
      <c r="GP784" s="259"/>
      <c r="GQ784" s="259"/>
      <c r="GR784" s="259"/>
      <c r="GS784" s="259"/>
      <c r="GT784" s="259"/>
      <c r="GU784" s="259"/>
      <c r="GV784" s="259"/>
      <c r="GW784" s="259"/>
      <c r="GX784" s="259"/>
      <c r="GY784" s="259"/>
      <c r="GZ784" s="259"/>
      <c r="HA784" s="259"/>
      <c r="HB784" s="259"/>
      <c r="HC784" s="259"/>
      <c r="HD784" s="259"/>
      <c r="HE784" s="259"/>
      <c r="HF784" s="259"/>
      <c r="HG784" s="259"/>
      <c r="HH784" s="259"/>
      <c r="HI784" s="259"/>
      <c r="HJ784" s="259"/>
      <c r="HK784" s="259"/>
      <c r="HL784" s="259"/>
      <c r="HM784" s="259"/>
      <c r="HN784" s="259"/>
      <c r="HO784" s="259"/>
      <c r="HP784" s="259"/>
      <c r="HQ784" s="259"/>
      <c r="HR784" s="259"/>
      <c r="HS784" s="259"/>
      <c r="HT784" s="259"/>
      <c r="HU784" s="259"/>
      <c r="HV784" s="259"/>
      <c r="HW784" s="259"/>
      <c r="HX784" s="259"/>
      <c r="HY784" s="259"/>
      <c r="HZ784" s="259"/>
      <c r="IA784" s="259"/>
      <c r="IB784" s="259"/>
      <c r="IC784" s="259"/>
      <c r="ID784" s="259"/>
      <c r="IE784" s="259"/>
      <c r="IF784" s="259"/>
      <c r="IG784" s="259"/>
      <c r="IH784" s="259"/>
      <c r="II784" s="259"/>
      <c r="IJ784" s="259"/>
      <c r="IK784" s="259"/>
      <c r="IL784" s="259"/>
      <c r="IM784" s="259"/>
      <c r="IN784" s="259"/>
      <c r="IO784" s="259"/>
      <c r="IP784" s="259"/>
      <c r="IQ784" s="259"/>
      <c r="IR784" s="259"/>
      <c r="IS784" s="259"/>
      <c r="IT784" s="259"/>
      <c r="IU784" s="259"/>
      <c r="IV784" s="259"/>
      <c r="IW784" s="259"/>
      <c r="IX784" s="259"/>
      <c r="IY784" s="259"/>
      <c r="IZ784" s="259"/>
      <c r="JA784" s="259"/>
      <c r="JB784" s="259"/>
      <c r="JC784" s="259"/>
      <c r="JD784" s="259"/>
      <c r="JE784" s="259"/>
      <c r="JF784" s="259"/>
      <c r="JG784" s="259"/>
      <c r="JH784" s="259"/>
      <c r="JI784" s="259"/>
      <c r="JJ784" s="259"/>
      <c r="JK784" s="259"/>
      <c r="JL784" s="259"/>
      <c r="JM784" s="259"/>
      <c r="JN784" s="259"/>
      <c r="JO784" s="259"/>
      <c r="JP784" s="259"/>
      <c r="JQ784" s="259"/>
      <c r="JR784" s="259"/>
      <c r="JS784" s="259"/>
      <c r="JT784" s="259"/>
      <c r="JU784" s="259"/>
      <c r="JV784" s="259"/>
      <c r="JW784" s="259"/>
      <c r="JX784" s="259"/>
      <c r="JY784" s="259"/>
      <c r="JZ784" s="259"/>
      <c r="KA784" s="259"/>
      <c r="KB784" s="259"/>
      <c r="KC784" s="259"/>
      <c r="KD784" s="259"/>
      <c r="KE784" s="259"/>
      <c r="KF784" s="259"/>
      <c r="KG784" s="259"/>
      <c r="KH784" s="259"/>
      <c r="KI784" s="259"/>
      <c r="KJ784" s="259"/>
      <c r="KK784" s="259"/>
      <c r="KL784" s="259"/>
      <c r="KM784" s="259"/>
      <c r="KN784" s="259"/>
      <c r="KO784" s="259"/>
      <c r="KP784" s="259"/>
      <c r="KQ784" s="259"/>
      <c r="KR784" s="259"/>
      <c r="KS784" s="259"/>
      <c r="KT784" s="259"/>
      <c r="KU784" s="259"/>
      <c r="KV784" s="259"/>
      <c r="KW784" s="259"/>
      <c r="KX784" s="259"/>
      <c r="KY784" s="259"/>
      <c r="KZ784" s="259"/>
      <c r="LA784" s="259"/>
      <c r="LB784" s="259"/>
      <c r="LC784" s="259"/>
      <c r="LD784" s="259"/>
      <c r="LE784" s="259"/>
      <c r="LF784" s="259"/>
      <c r="LG784" s="259"/>
      <c r="LH784" s="259"/>
      <c r="LI784" s="259"/>
      <c r="LJ784" s="259"/>
      <c r="LK784" s="259"/>
      <c r="LL784" s="259"/>
      <c r="LM784" s="259"/>
      <c r="LN784" s="259"/>
      <c r="LO784" s="259"/>
      <c r="LP784" s="259"/>
      <c r="LQ784" s="259"/>
      <c r="LR784" s="259"/>
      <c r="LS784" s="259"/>
      <c r="LT784" s="259"/>
      <c r="LU784" s="259"/>
      <c r="LV784" s="259"/>
      <c r="LW784" s="259"/>
      <c r="LX784" s="259"/>
      <c r="LY784" s="259"/>
      <c r="LZ784" s="259"/>
      <c r="MA784" s="259"/>
      <c r="MB784" s="259"/>
      <c r="MC784" s="259"/>
      <c r="MD784" s="259"/>
      <c r="ME784" s="259"/>
      <c r="MF784" s="259"/>
      <c r="MG784" s="259"/>
      <c r="MH784" s="259"/>
      <c r="MI784" s="259"/>
      <c r="MJ784" s="259"/>
      <c r="MK784" s="259"/>
      <c r="ML784" s="259"/>
      <c r="MM784" s="259"/>
      <c r="MN784" s="259"/>
      <c r="MO784" s="259"/>
      <c r="MP784" s="259"/>
      <c r="MQ784" s="259"/>
      <c r="MR784" s="259"/>
      <c r="MS784" s="259"/>
      <c r="MT784" s="259"/>
      <c r="MU784" s="259"/>
      <c r="MV784" s="259"/>
      <c r="MW784" s="259"/>
      <c r="MX784" s="259"/>
      <c r="MY784" s="259"/>
      <c r="MZ784" s="259"/>
      <c r="NA784" s="259"/>
      <c r="NB784" s="259"/>
      <c r="NC784" s="259"/>
      <c r="ND784" s="259"/>
      <c r="NE784" s="259"/>
      <c r="NF784" s="259"/>
      <c r="NG784" s="259"/>
      <c r="NH784" s="259"/>
      <c r="NI784" s="259"/>
      <c r="NJ784" s="259"/>
      <c r="NK784" s="259"/>
      <c r="NL784" s="259"/>
      <c r="NM784" s="259"/>
      <c r="NN784" s="259"/>
      <c r="NO784" s="259"/>
      <c r="NP784" s="259"/>
      <c r="NQ784" s="259"/>
      <c r="NR784" s="259"/>
      <c r="NS784" s="259"/>
      <c r="NT784" s="259"/>
      <c r="NU784" s="259"/>
      <c r="NV784" s="259"/>
      <c r="NW784" s="259"/>
      <c r="NX784" s="259"/>
      <c r="NY784" s="259"/>
      <c r="NZ784" s="259"/>
      <c r="OA784" s="259"/>
      <c r="OB784" s="259"/>
      <c r="OC784" s="259"/>
      <c r="OD784" s="259"/>
      <c r="OE784" s="259"/>
      <c r="OF784" s="259"/>
      <c r="OG784" s="259"/>
      <c r="OH784" s="259"/>
      <c r="OI784" s="259"/>
      <c r="OJ784" s="259"/>
      <c r="OK784" s="259"/>
      <c r="OL784" s="259"/>
      <c r="OM784" s="259"/>
      <c r="ON784" s="259"/>
      <c r="OO784" s="259"/>
      <c r="OP784" s="259"/>
      <c r="OQ784" s="259"/>
      <c r="OR784" s="259"/>
      <c r="OS784" s="259"/>
      <c r="OT784" s="259"/>
      <c r="OU784" s="259"/>
      <c r="OV784" s="259"/>
      <c r="OW784" s="259"/>
      <c r="OX784" s="259"/>
      <c r="OY784" s="259"/>
      <c r="OZ784" s="259"/>
      <c r="PA784" s="259"/>
      <c r="PB784" s="259"/>
      <c r="PC784" s="259"/>
      <c r="PD784" s="259"/>
      <c r="PE784" s="259"/>
      <c r="PF784" s="259"/>
      <c r="PG784" s="259"/>
      <c r="PH784" s="259"/>
      <c r="PI784" s="259"/>
      <c r="PJ784" s="259"/>
      <c r="PK784" s="259"/>
      <c r="PL784" s="259"/>
      <c r="PM784" s="259"/>
      <c r="PN784" s="259"/>
      <c r="PO784" s="259"/>
      <c r="PP784" s="259"/>
      <c r="PQ784" s="259"/>
      <c r="PR784" s="259"/>
      <c r="PS784" s="259"/>
      <c r="PT784" s="259"/>
      <c r="PU784" s="259"/>
      <c r="PV784" s="259"/>
      <c r="PW784" s="259"/>
      <c r="PX784" s="259"/>
      <c r="PY784" s="259"/>
      <c r="PZ784" s="259"/>
      <c r="QA784" s="259"/>
      <c r="QB784" s="259"/>
      <c r="QC784" s="259"/>
      <c r="QD784" s="259"/>
      <c r="QE784" s="259"/>
      <c r="QF784" s="259"/>
      <c r="QG784" s="259"/>
      <c r="QH784" s="259"/>
      <c r="QI784" s="259"/>
      <c r="QJ784" s="259"/>
      <c r="QK784" s="259"/>
      <c r="QL784" s="259"/>
      <c r="QM784" s="259"/>
      <c r="QN784" s="259"/>
      <c r="QO784" s="259"/>
      <c r="QP784" s="259"/>
      <c r="QQ784" s="259"/>
      <c r="QR784" s="259"/>
      <c r="QS784" s="259"/>
      <c r="QT784" s="259"/>
      <c r="QU784" s="259"/>
      <c r="QV784" s="259"/>
      <c r="QW784" s="259"/>
      <c r="QX784" s="259"/>
      <c r="QY784" s="259"/>
      <c r="QZ784" s="259"/>
      <c r="RA784" s="259"/>
      <c r="RB784" s="259"/>
      <c r="RC784" s="259"/>
      <c r="RD784" s="259"/>
      <c r="RE784" s="259"/>
      <c r="RF784" s="259"/>
      <c r="RG784" s="259"/>
      <c r="RH784" s="259"/>
      <c r="RI784" s="259"/>
      <c r="RJ784" s="259"/>
      <c r="RK784" s="259"/>
      <c r="RL784" s="259"/>
      <c r="RM784" s="259"/>
      <c r="RN784" s="259"/>
      <c r="RO784" s="259"/>
      <c r="RP784" s="259"/>
      <c r="RQ784" s="259"/>
      <c r="RR784" s="259"/>
      <c r="RS784" s="259"/>
      <c r="RT784" s="259"/>
      <c r="RU784" s="259"/>
      <c r="RV784" s="259"/>
      <c r="RW784" s="259"/>
      <c r="RX784" s="259"/>
      <c r="RY784" s="259"/>
      <c r="RZ784" s="259"/>
      <c r="SA784" s="259"/>
      <c r="SB784" s="259"/>
      <c r="SC784" s="259"/>
      <c r="SD784" s="259"/>
      <c r="SE784" s="259"/>
      <c r="SF784" s="259"/>
      <c r="SG784" s="259"/>
      <c r="SH784" s="259"/>
      <c r="SI784" s="259"/>
      <c r="SJ784" s="259"/>
      <c r="SK784" s="259"/>
      <c r="SL784" s="259"/>
      <c r="SM784" s="259"/>
      <c r="SN784" s="259"/>
      <c r="SO784" s="259"/>
      <c r="SP784" s="259"/>
      <c r="SQ784" s="259"/>
      <c r="SR784" s="259"/>
      <c r="SS784" s="259"/>
      <c r="ST784" s="259"/>
      <c r="SU784" s="259"/>
      <c r="SV784" s="259"/>
      <c r="SW784" s="259"/>
      <c r="SX784" s="259"/>
      <c r="SY784" s="259"/>
      <c r="SZ784" s="259"/>
      <c r="TA784" s="259"/>
      <c r="TB784" s="259"/>
      <c r="TC784" s="259"/>
      <c r="TD784" s="259"/>
      <c r="TE784" s="259"/>
      <c r="TF784" s="259"/>
      <c r="TG784" s="259"/>
      <c r="TH784" s="259"/>
      <c r="TI784" s="259"/>
      <c r="TJ784" s="259"/>
      <c r="TK784" s="259"/>
      <c r="TL784" s="259"/>
      <c r="TM784" s="259"/>
      <c r="TN784" s="259"/>
      <c r="TO784" s="259"/>
      <c r="TP784" s="259"/>
      <c r="TQ784" s="259"/>
      <c r="TR784" s="259"/>
      <c r="TS784" s="259"/>
      <c r="TT784" s="259"/>
      <c r="TU784" s="259"/>
      <c r="TV784" s="259"/>
      <c r="TW784" s="259"/>
      <c r="TX784" s="259"/>
      <c r="TY784" s="259"/>
      <c r="TZ784" s="259"/>
      <c r="UA784" s="259"/>
      <c r="UB784" s="259"/>
      <c r="UC784" s="259"/>
      <c r="UD784" s="259"/>
      <c r="UE784" s="259"/>
      <c r="UF784" s="259"/>
      <c r="UG784" s="259"/>
      <c r="UH784" s="259"/>
      <c r="UI784" s="259"/>
    </row>
    <row r="785" spans="1:555" ht="82.5" customHeight="1">
      <c r="A785" s="57">
        <v>741</v>
      </c>
      <c r="B785" s="58" t="s">
        <v>6061</v>
      </c>
      <c r="C785" s="59">
        <v>6241277</v>
      </c>
      <c r="D785" s="170" t="s">
        <v>1153</v>
      </c>
      <c r="E785" s="60">
        <v>41935</v>
      </c>
      <c r="F785" s="61">
        <v>41913</v>
      </c>
      <c r="G785" s="62" t="s">
        <v>6062</v>
      </c>
      <c r="H785" s="58" t="s">
        <v>195</v>
      </c>
      <c r="I785" s="58" t="s">
        <v>4744</v>
      </c>
      <c r="J785" s="60">
        <v>41950</v>
      </c>
      <c r="K785" s="61">
        <v>41944</v>
      </c>
      <c r="L785" s="62" t="s">
        <v>6063</v>
      </c>
      <c r="M785" s="58" t="s">
        <v>198</v>
      </c>
      <c r="N785" s="58" t="s">
        <v>6064</v>
      </c>
      <c r="O785" s="60">
        <v>43164</v>
      </c>
      <c r="P785" s="63">
        <v>43160</v>
      </c>
      <c r="Q785" s="62" t="s">
        <v>6065</v>
      </c>
      <c r="R785" s="164" t="s">
        <v>5</v>
      </c>
      <c r="S785" s="58" t="s">
        <v>6066</v>
      </c>
      <c r="T785" s="64">
        <v>43263</v>
      </c>
      <c r="U785" s="61">
        <v>43252</v>
      </c>
      <c r="V785" s="92" t="s">
        <v>6067</v>
      </c>
      <c r="W785" s="164" t="s">
        <v>5</v>
      </c>
      <c r="X785" s="70" t="s">
        <v>85</v>
      </c>
      <c r="Y785" s="64">
        <v>43564</v>
      </c>
      <c r="Z785" s="61">
        <v>43564</v>
      </c>
      <c r="AA785" s="62" t="s">
        <v>8586</v>
      </c>
      <c r="AB785" s="58" t="s">
        <v>5</v>
      </c>
      <c r="AC785" s="58" t="s">
        <v>85</v>
      </c>
      <c r="AD785" s="60">
        <v>43595</v>
      </c>
      <c r="AE785" s="61">
        <v>43595</v>
      </c>
      <c r="AF785" s="62" t="s">
        <v>8609</v>
      </c>
      <c r="AG785" s="58" t="s">
        <v>286</v>
      </c>
      <c r="AH785" s="58" t="s">
        <v>85</v>
      </c>
      <c r="AI785" s="117"/>
      <c r="AJ785" s="61"/>
      <c r="AK785" s="62"/>
      <c r="AL785" s="58"/>
      <c r="AM785" s="58"/>
      <c r="AN785" s="58" t="s">
        <v>918</v>
      </c>
      <c r="AO785" s="478" t="s">
        <v>7949</v>
      </c>
      <c r="AP785" s="119" t="s">
        <v>2558</v>
      </c>
      <c r="AQ785" s="62" t="s">
        <v>6068</v>
      </c>
      <c r="AR785" s="58" t="s">
        <v>79</v>
      </c>
      <c r="AS785" s="60">
        <v>39448</v>
      </c>
      <c r="AT785" s="60">
        <v>40908</v>
      </c>
      <c r="AU785" s="58" t="s">
        <v>6069</v>
      </c>
      <c r="AV785" s="58"/>
      <c r="AW785" s="58" t="s">
        <v>92</v>
      </c>
      <c r="AX785" s="58" t="s">
        <v>6070</v>
      </c>
      <c r="AY785" s="60">
        <v>42992</v>
      </c>
      <c r="AZ785" s="58" t="s">
        <v>67</v>
      </c>
      <c r="BA785" s="60" t="s">
        <v>67</v>
      </c>
      <c r="BB785" s="382">
        <v>43018</v>
      </c>
      <c r="BC785" s="58" t="s">
        <v>95</v>
      </c>
      <c r="BD785" s="58" t="s">
        <v>566</v>
      </c>
      <c r="BE785" s="58"/>
      <c r="BF785" s="62" t="s">
        <v>6071</v>
      </c>
      <c r="BG785" s="62"/>
      <c r="BH785" s="62"/>
      <c r="BI785" s="62"/>
      <c r="BJ785" s="209">
        <f>+[300]MATRIZ!$J$55</f>
        <v>46244805.907477878</v>
      </c>
      <c r="BK785" s="67"/>
      <c r="BL785" s="68"/>
      <c r="BM785" s="60"/>
      <c r="BN785" s="61"/>
      <c r="BO785" s="463"/>
      <c r="BP785" s="122"/>
      <c r="BQ785" s="58"/>
      <c r="BR785" s="70"/>
      <c r="BS785" s="62"/>
      <c r="BT785" s="62"/>
      <c r="BU785" s="62"/>
      <c r="BV785" s="62"/>
      <c r="BW785" s="71"/>
      <c r="BX785" s="66"/>
      <c r="BY785" s="60"/>
      <c r="BZ785" s="72"/>
    </row>
    <row r="786" spans="1:555" ht="94.5">
      <c r="A786" s="502">
        <v>742</v>
      </c>
      <c r="B786" s="686" t="s">
        <v>6072</v>
      </c>
      <c r="C786" s="687">
        <v>79230515</v>
      </c>
      <c r="D786" s="688" t="s">
        <v>906</v>
      </c>
      <c r="E786" s="27">
        <v>43172</v>
      </c>
      <c r="F786" s="689">
        <v>43160</v>
      </c>
      <c r="G786" s="690" t="s">
        <v>6073</v>
      </c>
      <c r="H786" s="686" t="s">
        <v>625</v>
      </c>
      <c r="I786" s="686" t="s">
        <v>2395</v>
      </c>
      <c r="J786" s="27">
        <v>43185</v>
      </c>
      <c r="K786" s="689">
        <v>43160</v>
      </c>
      <c r="L786" s="690" t="s">
        <v>6074</v>
      </c>
      <c r="M786" s="686" t="s">
        <v>195</v>
      </c>
      <c r="N786" s="686" t="s">
        <v>2411</v>
      </c>
      <c r="O786" s="27">
        <v>43217</v>
      </c>
      <c r="P786" s="691">
        <v>43191</v>
      </c>
      <c r="Q786" s="690" t="s">
        <v>6075</v>
      </c>
      <c r="R786" s="686" t="s">
        <v>625</v>
      </c>
      <c r="S786" s="686" t="s">
        <v>6005</v>
      </c>
      <c r="T786" s="27">
        <v>43530</v>
      </c>
      <c r="U786" s="689">
        <v>43530</v>
      </c>
      <c r="V786" s="690" t="s">
        <v>8258</v>
      </c>
      <c r="W786" s="686" t="s">
        <v>5</v>
      </c>
      <c r="X786" s="686" t="s">
        <v>79</v>
      </c>
      <c r="Y786" s="27"/>
      <c r="Z786" s="689"/>
      <c r="AA786" s="690"/>
      <c r="AB786" s="686"/>
      <c r="AC786" s="686"/>
      <c r="AD786" s="27"/>
      <c r="AE786" s="689"/>
      <c r="AF786" s="690"/>
      <c r="AG786" s="686"/>
      <c r="AH786" s="686"/>
      <c r="AI786" s="704"/>
      <c r="AJ786" s="689"/>
      <c r="AK786" s="690"/>
      <c r="AL786" s="686"/>
      <c r="AM786" s="686"/>
      <c r="AN786" s="686" t="s">
        <v>6076</v>
      </c>
      <c r="AO786" s="705" t="s">
        <v>7946</v>
      </c>
      <c r="AP786" s="686"/>
      <c r="AQ786" s="690" t="s">
        <v>6077</v>
      </c>
      <c r="AR786" s="686" t="s">
        <v>2395</v>
      </c>
      <c r="AS786" s="27">
        <v>40488</v>
      </c>
      <c r="AT786" s="27">
        <v>40908</v>
      </c>
      <c r="AU786" s="686" t="s">
        <v>4499</v>
      </c>
      <c r="AV786" s="686"/>
      <c r="AW786" s="686" t="s">
        <v>69</v>
      </c>
      <c r="AX786" s="686" t="s">
        <v>6078</v>
      </c>
      <c r="AY786" s="27">
        <v>42943</v>
      </c>
      <c r="AZ786" s="686" t="s">
        <v>5720</v>
      </c>
      <c r="BA786" s="27">
        <v>43166</v>
      </c>
      <c r="BB786" s="27">
        <v>43175</v>
      </c>
      <c r="BC786" s="701" t="s">
        <v>912</v>
      </c>
      <c r="BD786" s="701" t="s">
        <v>566</v>
      </c>
      <c r="BE786" s="686"/>
      <c r="BF786" s="690"/>
      <c r="BG786" s="690"/>
      <c r="BH786" s="690"/>
      <c r="BI786" s="690"/>
      <c r="BJ786" s="708">
        <f>+[301]MATRIZ!$J$53</f>
        <v>0</v>
      </c>
      <c r="BK786" s="696"/>
      <c r="BL786" s="697"/>
      <c r="BM786" s="27"/>
      <c r="BN786" s="689"/>
      <c r="BO786" s="699"/>
      <c r="BP786" s="700"/>
      <c r="BQ786" s="686"/>
      <c r="BR786" s="701"/>
      <c r="BS786" s="690"/>
      <c r="BT786" s="690"/>
      <c r="BU786" s="690"/>
      <c r="BV786" s="690"/>
      <c r="BW786" s="702"/>
      <c r="BX786" s="693"/>
      <c r="BY786" s="27"/>
      <c r="BZ786" s="703"/>
      <c r="CA786" s="259"/>
      <c r="CB786" s="259"/>
      <c r="CC786" s="259"/>
      <c r="CD786" s="259"/>
      <c r="CE786" s="259"/>
      <c r="CF786" s="259"/>
      <c r="CG786" s="259"/>
      <c r="CH786" s="259"/>
      <c r="CI786" s="259"/>
      <c r="CJ786" s="259"/>
      <c r="CK786" s="259"/>
      <c r="CL786" s="259"/>
      <c r="CM786" s="259"/>
      <c r="CN786" s="259"/>
      <c r="CO786" s="259"/>
      <c r="CP786" s="259"/>
      <c r="CQ786" s="259"/>
      <c r="CR786" s="259"/>
      <c r="CS786" s="259"/>
      <c r="CT786" s="259"/>
      <c r="CU786" s="259"/>
      <c r="CV786" s="259"/>
      <c r="CW786" s="259"/>
      <c r="CX786" s="259"/>
      <c r="CY786" s="259"/>
      <c r="CZ786" s="259"/>
      <c r="DA786" s="259"/>
      <c r="DB786" s="259"/>
      <c r="DC786" s="259"/>
      <c r="DD786" s="259"/>
      <c r="DE786" s="259"/>
      <c r="DF786" s="259"/>
      <c r="DG786" s="259"/>
      <c r="DH786" s="259"/>
      <c r="DI786" s="259"/>
      <c r="DJ786" s="259"/>
      <c r="DK786" s="259"/>
      <c r="DL786" s="259"/>
      <c r="DM786" s="259"/>
      <c r="DN786" s="259"/>
      <c r="DO786" s="259"/>
      <c r="DP786" s="259"/>
      <c r="DQ786" s="259"/>
      <c r="DR786" s="259"/>
      <c r="DS786" s="259"/>
      <c r="DT786" s="259"/>
      <c r="DU786" s="259"/>
      <c r="DV786" s="259"/>
      <c r="DW786" s="259"/>
      <c r="DX786" s="259"/>
      <c r="DY786" s="259"/>
      <c r="DZ786" s="259"/>
      <c r="EA786" s="259"/>
      <c r="EB786" s="259"/>
      <c r="EC786" s="259"/>
      <c r="ED786" s="259"/>
      <c r="EE786" s="259"/>
      <c r="EF786" s="259"/>
      <c r="EG786" s="259"/>
      <c r="EH786" s="259"/>
      <c r="EI786" s="259"/>
      <c r="EJ786" s="259"/>
      <c r="EK786" s="259"/>
      <c r="EL786" s="259"/>
      <c r="EM786" s="259"/>
      <c r="EN786" s="259"/>
      <c r="EO786" s="259"/>
      <c r="EP786" s="259"/>
      <c r="EQ786" s="259"/>
      <c r="ER786" s="259"/>
      <c r="ES786" s="259"/>
      <c r="ET786" s="259"/>
      <c r="EU786" s="259"/>
      <c r="EV786" s="259"/>
      <c r="EW786" s="259"/>
      <c r="EX786" s="259"/>
      <c r="EY786" s="259"/>
      <c r="EZ786" s="259"/>
      <c r="FA786" s="259"/>
      <c r="FB786" s="259"/>
      <c r="FC786" s="259"/>
      <c r="FD786" s="259"/>
      <c r="FE786" s="259"/>
      <c r="FF786" s="259"/>
      <c r="FG786" s="259"/>
      <c r="FH786" s="259"/>
      <c r="FI786" s="259"/>
      <c r="FJ786" s="259"/>
      <c r="FK786" s="259"/>
      <c r="FL786" s="259"/>
      <c r="FM786" s="259"/>
      <c r="FN786" s="259"/>
      <c r="FO786" s="259"/>
      <c r="FP786" s="259"/>
      <c r="FQ786" s="259"/>
      <c r="FR786" s="259"/>
      <c r="FS786" s="259"/>
      <c r="FT786" s="259"/>
      <c r="FU786" s="259"/>
      <c r="FV786" s="259"/>
      <c r="FW786" s="259"/>
      <c r="FX786" s="259"/>
      <c r="FY786" s="259"/>
      <c r="FZ786" s="259"/>
      <c r="GA786" s="259"/>
      <c r="GB786" s="259"/>
      <c r="GC786" s="259"/>
      <c r="GD786" s="259"/>
      <c r="GE786" s="259"/>
      <c r="GF786" s="259"/>
      <c r="GG786" s="259"/>
      <c r="GH786" s="259"/>
      <c r="GI786" s="259"/>
      <c r="GJ786" s="259"/>
      <c r="GK786" s="259"/>
      <c r="GL786" s="259"/>
      <c r="GM786" s="259"/>
      <c r="GN786" s="259"/>
      <c r="GO786" s="259"/>
      <c r="GP786" s="259"/>
      <c r="GQ786" s="259"/>
      <c r="GR786" s="259"/>
      <c r="GS786" s="259"/>
      <c r="GT786" s="259"/>
      <c r="GU786" s="259"/>
      <c r="GV786" s="259"/>
      <c r="GW786" s="259"/>
      <c r="GX786" s="259"/>
      <c r="GY786" s="259"/>
      <c r="GZ786" s="259"/>
      <c r="HA786" s="259"/>
      <c r="HB786" s="259"/>
      <c r="HC786" s="259"/>
      <c r="HD786" s="259"/>
      <c r="HE786" s="259"/>
      <c r="HF786" s="259"/>
      <c r="HG786" s="259"/>
      <c r="HH786" s="259"/>
      <c r="HI786" s="259"/>
      <c r="HJ786" s="259"/>
      <c r="HK786" s="259"/>
      <c r="HL786" s="259"/>
      <c r="HM786" s="259"/>
      <c r="HN786" s="259"/>
      <c r="HO786" s="259"/>
      <c r="HP786" s="259"/>
      <c r="HQ786" s="259"/>
      <c r="HR786" s="259"/>
      <c r="HS786" s="259"/>
      <c r="HT786" s="259"/>
      <c r="HU786" s="259"/>
      <c r="HV786" s="259"/>
      <c r="HW786" s="259"/>
      <c r="HX786" s="259"/>
      <c r="HY786" s="259"/>
      <c r="HZ786" s="259"/>
      <c r="IA786" s="259"/>
      <c r="IB786" s="259"/>
      <c r="IC786" s="259"/>
      <c r="ID786" s="259"/>
      <c r="IE786" s="259"/>
      <c r="IF786" s="259"/>
      <c r="IG786" s="259"/>
      <c r="IH786" s="259"/>
      <c r="II786" s="259"/>
      <c r="IJ786" s="259"/>
      <c r="IK786" s="259"/>
      <c r="IL786" s="259"/>
      <c r="IM786" s="259"/>
      <c r="IN786" s="259"/>
      <c r="IO786" s="259"/>
      <c r="IP786" s="259"/>
      <c r="IQ786" s="259"/>
      <c r="IR786" s="259"/>
      <c r="IS786" s="259"/>
      <c r="IT786" s="259"/>
      <c r="IU786" s="259"/>
      <c r="IV786" s="259"/>
      <c r="IW786" s="259"/>
      <c r="IX786" s="259"/>
      <c r="IY786" s="259"/>
      <c r="IZ786" s="259"/>
      <c r="JA786" s="259"/>
      <c r="JB786" s="259"/>
      <c r="JC786" s="259"/>
      <c r="JD786" s="259"/>
      <c r="JE786" s="259"/>
      <c r="JF786" s="259"/>
      <c r="JG786" s="259"/>
      <c r="JH786" s="259"/>
      <c r="JI786" s="259"/>
      <c r="JJ786" s="259"/>
      <c r="JK786" s="259"/>
      <c r="JL786" s="259"/>
      <c r="JM786" s="259"/>
      <c r="JN786" s="259"/>
      <c r="JO786" s="259"/>
      <c r="JP786" s="259"/>
      <c r="JQ786" s="259"/>
      <c r="JR786" s="259"/>
      <c r="JS786" s="259"/>
      <c r="JT786" s="259"/>
      <c r="JU786" s="259"/>
      <c r="JV786" s="259"/>
      <c r="JW786" s="259"/>
      <c r="JX786" s="259"/>
      <c r="JY786" s="259"/>
      <c r="JZ786" s="259"/>
      <c r="KA786" s="259"/>
      <c r="KB786" s="259"/>
      <c r="KC786" s="259"/>
      <c r="KD786" s="259"/>
      <c r="KE786" s="259"/>
      <c r="KF786" s="259"/>
      <c r="KG786" s="259"/>
      <c r="KH786" s="259"/>
      <c r="KI786" s="259"/>
      <c r="KJ786" s="259"/>
      <c r="KK786" s="259"/>
      <c r="KL786" s="259"/>
      <c r="KM786" s="259"/>
      <c r="KN786" s="259"/>
      <c r="KO786" s="259"/>
      <c r="KP786" s="259"/>
      <c r="KQ786" s="259"/>
      <c r="KR786" s="259"/>
      <c r="KS786" s="259"/>
      <c r="KT786" s="259"/>
      <c r="KU786" s="259"/>
      <c r="KV786" s="259"/>
      <c r="KW786" s="259"/>
      <c r="KX786" s="259"/>
      <c r="KY786" s="259"/>
      <c r="KZ786" s="259"/>
      <c r="LA786" s="259"/>
      <c r="LB786" s="259"/>
      <c r="LC786" s="259"/>
      <c r="LD786" s="259"/>
      <c r="LE786" s="259"/>
      <c r="LF786" s="259"/>
      <c r="LG786" s="259"/>
      <c r="LH786" s="259"/>
      <c r="LI786" s="259"/>
      <c r="LJ786" s="259"/>
      <c r="LK786" s="259"/>
      <c r="LL786" s="259"/>
      <c r="LM786" s="259"/>
      <c r="LN786" s="259"/>
      <c r="LO786" s="259"/>
      <c r="LP786" s="259"/>
      <c r="LQ786" s="259"/>
      <c r="LR786" s="259"/>
      <c r="LS786" s="259"/>
      <c r="LT786" s="259"/>
      <c r="LU786" s="259"/>
      <c r="LV786" s="259"/>
      <c r="LW786" s="259"/>
      <c r="LX786" s="259"/>
      <c r="LY786" s="259"/>
      <c r="LZ786" s="259"/>
      <c r="MA786" s="259"/>
      <c r="MB786" s="259"/>
      <c r="MC786" s="259"/>
      <c r="MD786" s="259"/>
      <c r="ME786" s="259"/>
      <c r="MF786" s="259"/>
      <c r="MG786" s="259"/>
      <c r="MH786" s="259"/>
      <c r="MI786" s="259"/>
      <c r="MJ786" s="259"/>
      <c r="MK786" s="259"/>
      <c r="ML786" s="259"/>
      <c r="MM786" s="259"/>
      <c r="MN786" s="259"/>
      <c r="MO786" s="259"/>
      <c r="MP786" s="259"/>
      <c r="MQ786" s="259"/>
      <c r="MR786" s="259"/>
      <c r="MS786" s="259"/>
      <c r="MT786" s="259"/>
      <c r="MU786" s="259"/>
      <c r="MV786" s="259"/>
      <c r="MW786" s="259"/>
      <c r="MX786" s="259"/>
      <c r="MY786" s="259"/>
      <c r="MZ786" s="259"/>
      <c r="NA786" s="259"/>
      <c r="NB786" s="259"/>
      <c r="NC786" s="259"/>
      <c r="ND786" s="259"/>
      <c r="NE786" s="259"/>
      <c r="NF786" s="259"/>
      <c r="NG786" s="259"/>
      <c r="NH786" s="259"/>
      <c r="NI786" s="259"/>
      <c r="NJ786" s="259"/>
      <c r="NK786" s="259"/>
      <c r="NL786" s="259"/>
      <c r="NM786" s="259"/>
      <c r="NN786" s="259"/>
      <c r="NO786" s="259"/>
      <c r="NP786" s="259"/>
      <c r="NQ786" s="259"/>
      <c r="NR786" s="259"/>
      <c r="NS786" s="259"/>
      <c r="NT786" s="259"/>
      <c r="NU786" s="259"/>
      <c r="NV786" s="259"/>
      <c r="NW786" s="259"/>
      <c r="NX786" s="259"/>
      <c r="NY786" s="259"/>
      <c r="NZ786" s="259"/>
      <c r="OA786" s="259"/>
      <c r="OB786" s="259"/>
      <c r="OC786" s="259"/>
      <c r="OD786" s="259"/>
      <c r="OE786" s="259"/>
      <c r="OF786" s="259"/>
      <c r="OG786" s="259"/>
      <c r="OH786" s="259"/>
      <c r="OI786" s="259"/>
      <c r="OJ786" s="259"/>
      <c r="OK786" s="259"/>
      <c r="OL786" s="259"/>
      <c r="OM786" s="259"/>
      <c r="ON786" s="259"/>
      <c r="OO786" s="259"/>
      <c r="OP786" s="259"/>
      <c r="OQ786" s="259"/>
      <c r="OR786" s="259"/>
      <c r="OS786" s="259"/>
      <c r="OT786" s="259"/>
      <c r="OU786" s="259"/>
      <c r="OV786" s="259"/>
      <c r="OW786" s="259"/>
      <c r="OX786" s="259"/>
      <c r="OY786" s="259"/>
      <c r="OZ786" s="259"/>
      <c r="PA786" s="259"/>
      <c r="PB786" s="259"/>
      <c r="PC786" s="259"/>
      <c r="PD786" s="259"/>
      <c r="PE786" s="259"/>
      <c r="PF786" s="259"/>
      <c r="PG786" s="259"/>
      <c r="PH786" s="259"/>
      <c r="PI786" s="259"/>
      <c r="PJ786" s="259"/>
      <c r="PK786" s="259"/>
      <c r="PL786" s="259"/>
      <c r="PM786" s="259"/>
      <c r="PN786" s="259"/>
      <c r="PO786" s="259"/>
      <c r="PP786" s="259"/>
      <c r="PQ786" s="259"/>
      <c r="PR786" s="259"/>
      <c r="PS786" s="259"/>
      <c r="PT786" s="259"/>
      <c r="PU786" s="259"/>
      <c r="PV786" s="259"/>
      <c r="PW786" s="259"/>
      <c r="PX786" s="259"/>
      <c r="PY786" s="259"/>
      <c r="PZ786" s="259"/>
      <c r="QA786" s="259"/>
      <c r="QB786" s="259"/>
      <c r="QC786" s="259"/>
      <c r="QD786" s="259"/>
      <c r="QE786" s="259"/>
      <c r="QF786" s="259"/>
      <c r="QG786" s="259"/>
      <c r="QH786" s="259"/>
      <c r="QI786" s="259"/>
      <c r="QJ786" s="259"/>
      <c r="QK786" s="259"/>
      <c r="QL786" s="259"/>
      <c r="QM786" s="259"/>
      <c r="QN786" s="259"/>
      <c r="QO786" s="259"/>
      <c r="QP786" s="259"/>
      <c r="QQ786" s="259"/>
      <c r="QR786" s="259"/>
      <c r="QS786" s="259"/>
      <c r="QT786" s="259"/>
      <c r="QU786" s="259"/>
      <c r="QV786" s="259"/>
      <c r="QW786" s="259"/>
      <c r="QX786" s="259"/>
      <c r="QY786" s="259"/>
      <c r="QZ786" s="259"/>
      <c r="RA786" s="259"/>
      <c r="RB786" s="259"/>
      <c r="RC786" s="259"/>
      <c r="RD786" s="259"/>
      <c r="RE786" s="259"/>
      <c r="RF786" s="259"/>
      <c r="RG786" s="259"/>
      <c r="RH786" s="259"/>
      <c r="RI786" s="259"/>
      <c r="RJ786" s="259"/>
      <c r="RK786" s="259"/>
      <c r="RL786" s="259"/>
      <c r="RM786" s="259"/>
      <c r="RN786" s="259"/>
      <c r="RO786" s="259"/>
      <c r="RP786" s="259"/>
      <c r="RQ786" s="259"/>
      <c r="RR786" s="259"/>
      <c r="RS786" s="259"/>
      <c r="RT786" s="259"/>
      <c r="RU786" s="259"/>
      <c r="RV786" s="259"/>
      <c r="RW786" s="259"/>
      <c r="RX786" s="259"/>
      <c r="RY786" s="259"/>
      <c r="RZ786" s="259"/>
      <c r="SA786" s="259"/>
      <c r="SB786" s="259"/>
      <c r="SC786" s="259"/>
      <c r="SD786" s="259"/>
      <c r="SE786" s="259"/>
      <c r="SF786" s="259"/>
      <c r="SG786" s="259"/>
      <c r="SH786" s="259"/>
      <c r="SI786" s="259"/>
      <c r="SJ786" s="259"/>
      <c r="SK786" s="259"/>
      <c r="SL786" s="259"/>
      <c r="SM786" s="259"/>
      <c r="SN786" s="259"/>
      <c r="SO786" s="259"/>
      <c r="SP786" s="259"/>
      <c r="SQ786" s="259"/>
      <c r="SR786" s="259"/>
      <c r="SS786" s="259"/>
      <c r="ST786" s="259"/>
      <c r="SU786" s="259"/>
      <c r="SV786" s="259"/>
      <c r="SW786" s="259"/>
      <c r="SX786" s="259"/>
      <c r="SY786" s="259"/>
      <c r="SZ786" s="259"/>
      <c r="TA786" s="259"/>
      <c r="TB786" s="259"/>
      <c r="TC786" s="259"/>
      <c r="TD786" s="259"/>
      <c r="TE786" s="259"/>
      <c r="TF786" s="259"/>
      <c r="TG786" s="259"/>
      <c r="TH786" s="259"/>
      <c r="TI786" s="259"/>
      <c r="TJ786" s="259"/>
      <c r="TK786" s="259"/>
      <c r="TL786" s="259"/>
      <c r="TM786" s="259"/>
      <c r="TN786" s="259"/>
      <c r="TO786" s="259"/>
      <c r="TP786" s="259"/>
      <c r="TQ786" s="259"/>
      <c r="TR786" s="259"/>
      <c r="TS786" s="259"/>
      <c r="TT786" s="259"/>
      <c r="TU786" s="259"/>
      <c r="TV786" s="259"/>
      <c r="TW786" s="259"/>
      <c r="TX786" s="259"/>
      <c r="TY786" s="259"/>
      <c r="TZ786" s="259"/>
      <c r="UA786" s="259"/>
      <c r="UB786" s="259"/>
      <c r="UC786" s="259"/>
      <c r="UD786" s="259"/>
      <c r="UE786" s="259"/>
      <c r="UF786" s="259"/>
      <c r="UG786" s="259"/>
      <c r="UH786" s="259"/>
      <c r="UI786" s="259"/>
    </row>
    <row r="787" spans="1:555" ht="90.75" customHeight="1">
      <c r="A787" s="33">
        <v>743</v>
      </c>
      <c r="B787" s="34" t="s">
        <v>6079</v>
      </c>
      <c r="C787" s="35"/>
      <c r="D787" s="440"/>
      <c r="E787" s="37">
        <f>$F$754</f>
        <v>42948</v>
      </c>
      <c r="F787" s="38">
        <v>43160</v>
      </c>
      <c r="G787" s="39" t="s">
        <v>6080</v>
      </c>
      <c r="H787" s="34" t="s">
        <v>625</v>
      </c>
      <c r="I787" s="34" t="s">
        <v>2395</v>
      </c>
      <c r="J787" s="37"/>
      <c r="K787" s="38"/>
      <c r="L787" s="39"/>
      <c r="M787" s="34"/>
      <c r="N787" s="34"/>
      <c r="O787" s="37"/>
      <c r="P787" s="40"/>
      <c r="Q787" s="39"/>
      <c r="R787" s="34"/>
      <c r="S787" s="34"/>
      <c r="T787" s="37"/>
      <c r="U787" s="38"/>
      <c r="V787" s="39"/>
      <c r="W787" s="34"/>
      <c r="X787" s="34"/>
      <c r="Y787" s="37"/>
      <c r="Z787" s="38"/>
      <c r="AA787" s="39"/>
      <c r="AB787" s="34"/>
      <c r="AC787" s="34"/>
      <c r="AD787" s="37"/>
      <c r="AE787" s="38"/>
      <c r="AF787" s="39"/>
      <c r="AG787" s="34"/>
      <c r="AH787" s="34"/>
      <c r="AI787" s="73"/>
      <c r="AJ787" s="38"/>
      <c r="AK787" s="39"/>
      <c r="AL787" s="34"/>
      <c r="AM787" s="34"/>
      <c r="AN787" s="34"/>
      <c r="AO787" s="473"/>
      <c r="AP787" s="34"/>
      <c r="AQ787" s="39" t="s">
        <v>6081</v>
      </c>
      <c r="AR787" s="34" t="s">
        <v>2395</v>
      </c>
      <c r="AS787" s="37">
        <v>40628</v>
      </c>
      <c r="AT787" s="37">
        <v>41639</v>
      </c>
      <c r="AU787" s="34" t="s">
        <v>6082</v>
      </c>
      <c r="AV787" s="34"/>
      <c r="AW787" s="34" t="s">
        <v>69</v>
      </c>
      <c r="AX787" s="34" t="s">
        <v>4874</v>
      </c>
      <c r="AY787" s="37">
        <v>42794</v>
      </c>
      <c r="AZ787" s="34" t="s">
        <v>5720</v>
      </c>
      <c r="BA787" s="37">
        <v>43166</v>
      </c>
      <c r="BB787" s="382"/>
      <c r="BC787" s="42" t="s">
        <v>912</v>
      </c>
      <c r="BD787" s="42"/>
      <c r="BE787" s="34"/>
      <c r="BF787" s="39"/>
      <c r="BG787" s="39"/>
      <c r="BH787" s="39"/>
      <c r="BI787" s="39"/>
      <c r="BJ787" s="74"/>
      <c r="BK787" s="74"/>
      <c r="BL787" s="44"/>
      <c r="BM787" s="37"/>
      <c r="BN787" s="38"/>
      <c r="BO787" s="462"/>
      <c r="BP787" s="391"/>
      <c r="BQ787" s="34"/>
      <c r="BR787" s="42"/>
      <c r="BS787" s="39"/>
      <c r="BT787" s="39"/>
      <c r="BU787" s="39"/>
      <c r="BV787" s="39"/>
      <c r="BW787" s="51"/>
      <c r="BX787" s="41"/>
      <c r="BY787" s="37"/>
      <c r="BZ787" s="52"/>
    </row>
    <row r="788" spans="1:555" ht="78" customHeight="1">
      <c r="A788" s="33">
        <v>744</v>
      </c>
      <c r="B788" s="34" t="s">
        <v>6083</v>
      </c>
      <c r="C788" s="35">
        <v>80234197</v>
      </c>
      <c r="D788" s="440" t="s">
        <v>906</v>
      </c>
      <c r="E788" s="37">
        <v>43172</v>
      </c>
      <c r="F788" s="38">
        <v>43160</v>
      </c>
      <c r="G788" s="39" t="s">
        <v>6084</v>
      </c>
      <c r="H788" s="34" t="s">
        <v>625</v>
      </c>
      <c r="I788" s="34" t="s">
        <v>2395</v>
      </c>
      <c r="J788" s="37"/>
      <c r="K788" s="38"/>
      <c r="L788" s="39"/>
      <c r="M788" s="34"/>
      <c r="N788" s="34"/>
      <c r="O788" s="37"/>
      <c r="P788" s="40"/>
      <c r="Q788" s="39"/>
      <c r="R788" s="34"/>
      <c r="S788" s="34"/>
      <c r="T788" s="37"/>
      <c r="U788" s="38"/>
      <c r="V788" s="39"/>
      <c r="W788" s="34"/>
      <c r="X788" s="34"/>
      <c r="Y788" s="37"/>
      <c r="Z788" s="166"/>
      <c r="AA788" s="39"/>
      <c r="AB788" s="34"/>
      <c r="AC788" s="34"/>
      <c r="AD788" s="37"/>
      <c r="AE788" s="166"/>
      <c r="AF788" s="39"/>
      <c r="AG788" s="34"/>
      <c r="AH788" s="34"/>
      <c r="AI788" s="73"/>
      <c r="AJ788" s="38"/>
      <c r="AK788" s="39"/>
      <c r="AL788" s="34"/>
      <c r="AM788" s="34"/>
      <c r="AN788" s="34"/>
      <c r="AO788" s="476"/>
      <c r="AP788" s="167"/>
      <c r="AQ788" s="168" t="s">
        <v>6085</v>
      </c>
      <c r="AR788" s="34" t="s">
        <v>2395</v>
      </c>
      <c r="AS788" s="37">
        <v>40481</v>
      </c>
      <c r="AT788" s="37">
        <v>40908</v>
      </c>
      <c r="AU788" s="34" t="s">
        <v>6086</v>
      </c>
      <c r="AV788" s="34"/>
      <c r="AW788" s="34" t="s">
        <v>69</v>
      </c>
      <c r="AX788" s="34" t="s">
        <v>6087</v>
      </c>
      <c r="AY788" s="37">
        <v>42408</v>
      </c>
      <c r="AZ788" s="34" t="s">
        <v>5720</v>
      </c>
      <c r="BA788" s="37">
        <v>43166</v>
      </c>
      <c r="BB788" s="382"/>
      <c r="BC788" s="42" t="s">
        <v>912</v>
      </c>
      <c r="BD788" s="42"/>
      <c r="BE788" s="34"/>
      <c r="BF788" s="39"/>
      <c r="BG788" s="39"/>
      <c r="BH788" s="39"/>
      <c r="BI788" s="39"/>
      <c r="BJ788" s="74"/>
      <c r="BK788" s="74"/>
      <c r="BL788" s="44"/>
      <c r="BM788" s="37"/>
      <c r="BN788" s="38"/>
      <c r="BO788" s="462"/>
      <c r="BP788" s="391"/>
      <c r="BQ788" s="34"/>
      <c r="BR788" s="42"/>
      <c r="BS788" s="39"/>
      <c r="BT788" s="39"/>
      <c r="BU788" s="39"/>
      <c r="BV788" s="39"/>
      <c r="BW788" s="51"/>
      <c r="BX788" s="41"/>
      <c r="BY788" s="37"/>
      <c r="BZ788" s="52"/>
    </row>
    <row r="789" spans="1:555" ht="108">
      <c r="A789" s="57">
        <v>745</v>
      </c>
      <c r="B789" s="58" t="s">
        <v>6088</v>
      </c>
      <c r="C789" s="59">
        <v>83090402</v>
      </c>
      <c r="D789" s="170" t="s">
        <v>3645</v>
      </c>
      <c r="E789" s="60">
        <v>43173</v>
      </c>
      <c r="F789" s="61">
        <v>43160</v>
      </c>
      <c r="G789" s="62" t="s">
        <v>6089</v>
      </c>
      <c r="H789" s="58" t="s">
        <v>63</v>
      </c>
      <c r="I789" s="58" t="s">
        <v>79</v>
      </c>
      <c r="J789" s="60">
        <v>43263</v>
      </c>
      <c r="K789" s="61">
        <v>43252</v>
      </c>
      <c r="L789" s="62" t="s">
        <v>6090</v>
      </c>
      <c r="M789" s="58" t="s">
        <v>5</v>
      </c>
      <c r="N789" s="58" t="s">
        <v>85</v>
      </c>
      <c r="O789" s="64">
        <v>43328</v>
      </c>
      <c r="P789" s="63">
        <v>43328</v>
      </c>
      <c r="Q789" s="425" t="s">
        <v>6091</v>
      </c>
      <c r="R789" s="425" t="s">
        <v>5</v>
      </c>
      <c r="S789" s="425" t="s">
        <v>85</v>
      </c>
      <c r="T789" s="60">
        <v>43626</v>
      </c>
      <c r="U789" s="61">
        <v>43626</v>
      </c>
      <c r="V789" s="62" t="s">
        <v>8840</v>
      </c>
      <c r="W789" s="58" t="s">
        <v>63</v>
      </c>
      <c r="X789" s="58" t="s">
        <v>85</v>
      </c>
      <c r="Y789" s="60">
        <v>43896</v>
      </c>
      <c r="Z789" s="63">
        <v>43896</v>
      </c>
      <c r="AA789" s="62" t="s">
        <v>9493</v>
      </c>
      <c r="AB789" s="58" t="s">
        <v>63</v>
      </c>
      <c r="AC789" s="58" t="s">
        <v>8255</v>
      </c>
      <c r="AD789" s="60"/>
      <c r="AE789" s="61"/>
      <c r="AF789" s="62"/>
      <c r="AG789" s="58"/>
      <c r="AH789" s="58"/>
      <c r="AI789" s="117"/>
      <c r="AJ789" s="61"/>
      <c r="AK789" s="62"/>
      <c r="AL789" s="58"/>
      <c r="AM789" s="58"/>
      <c r="AN789" s="58" t="s">
        <v>918</v>
      </c>
      <c r="AO789" s="479">
        <v>43173</v>
      </c>
      <c r="AP789" s="119" t="s">
        <v>2558</v>
      </c>
      <c r="AQ789" s="62" t="s">
        <v>6092</v>
      </c>
      <c r="AR789" s="58" t="s">
        <v>79</v>
      </c>
      <c r="AS789" s="60">
        <v>39430</v>
      </c>
      <c r="AT789" s="60" t="s">
        <v>6093</v>
      </c>
      <c r="AU789" s="58" t="s">
        <v>6094</v>
      </c>
      <c r="AV789" s="58"/>
      <c r="AW789" s="58" t="s">
        <v>92</v>
      </c>
      <c r="AX789" s="58" t="s">
        <v>6095</v>
      </c>
      <c r="AY789" s="60">
        <v>41816</v>
      </c>
      <c r="AZ789" s="58" t="s">
        <v>6096</v>
      </c>
      <c r="BA789" s="60">
        <v>42949</v>
      </c>
      <c r="BB789" s="382">
        <v>42970</v>
      </c>
      <c r="BC789" s="58" t="s">
        <v>6097</v>
      </c>
      <c r="BD789" s="58" t="s">
        <v>6098</v>
      </c>
      <c r="BE789" s="58"/>
      <c r="BF789" s="62"/>
      <c r="BG789" s="62"/>
      <c r="BH789" s="62"/>
      <c r="BI789" s="62"/>
      <c r="BJ789" s="209">
        <f>+'[302]MATRIZ '!$J$54</f>
        <v>16499806.419117033</v>
      </c>
      <c r="BK789" s="67"/>
      <c r="BL789" s="68"/>
      <c r="BM789" s="60"/>
      <c r="BN789" s="61"/>
      <c r="BO789" s="463"/>
      <c r="BP789" s="122"/>
      <c r="BQ789" s="58"/>
      <c r="BR789" s="70"/>
      <c r="BS789" s="62"/>
      <c r="BT789" s="62"/>
      <c r="BU789" s="62"/>
      <c r="BV789" s="62"/>
      <c r="BW789" s="71"/>
      <c r="BX789" s="66"/>
      <c r="BY789" s="60"/>
      <c r="BZ789" s="72"/>
    </row>
    <row r="790" spans="1:555" ht="67.5">
      <c r="A790" s="502">
        <v>746</v>
      </c>
      <c r="B790" s="686" t="s">
        <v>5866</v>
      </c>
      <c r="C790" s="687">
        <v>9175820</v>
      </c>
      <c r="D790" s="688" t="s">
        <v>906</v>
      </c>
      <c r="E790" s="27">
        <v>43173</v>
      </c>
      <c r="F790" s="689">
        <v>43160</v>
      </c>
      <c r="G790" s="690" t="s">
        <v>6099</v>
      </c>
      <c r="H790" s="686" t="s">
        <v>5</v>
      </c>
      <c r="I790" s="686" t="s">
        <v>4292</v>
      </c>
      <c r="J790" s="27"/>
      <c r="K790" s="689"/>
      <c r="L790" s="690"/>
      <c r="M790" s="686"/>
      <c r="N790" s="686"/>
      <c r="O790" s="27"/>
      <c r="P790" s="691"/>
      <c r="Q790" s="690"/>
      <c r="R790" s="686"/>
      <c r="S790" s="686"/>
      <c r="T790" s="27"/>
      <c r="U790" s="689"/>
      <c r="V790" s="690"/>
      <c r="W790" s="686"/>
      <c r="X790" s="686"/>
      <c r="Y790" s="27"/>
      <c r="Z790" s="689"/>
      <c r="AA790" s="690"/>
      <c r="AB790" s="686"/>
      <c r="AC790" s="686"/>
      <c r="AD790" s="27"/>
      <c r="AE790" s="689"/>
      <c r="AF790" s="690"/>
      <c r="AG790" s="686"/>
      <c r="AH790" s="686"/>
      <c r="AI790" s="704"/>
      <c r="AJ790" s="689"/>
      <c r="AK790" s="690"/>
      <c r="AL790" s="686"/>
      <c r="AM790" s="686"/>
      <c r="AN790" s="686" t="s">
        <v>918</v>
      </c>
      <c r="AO790" s="694">
        <v>43146</v>
      </c>
      <c r="AP790" s="692" t="s">
        <v>2558</v>
      </c>
      <c r="AQ790" s="690" t="s">
        <v>6100</v>
      </c>
      <c r="AR790" s="686" t="s">
        <v>79</v>
      </c>
      <c r="AS790" s="27">
        <v>37347</v>
      </c>
      <c r="AT790" s="27">
        <v>40908</v>
      </c>
      <c r="AU790" s="686" t="s">
        <v>6101</v>
      </c>
      <c r="AV790" s="686"/>
      <c r="AW790" s="686" t="s">
        <v>69</v>
      </c>
      <c r="AX790" s="686" t="s">
        <v>6102</v>
      </c>
      <c r="AY790" s="27" t="s">
        <v>6103</v>
      </c>
      <c r="AZ790" s="686" t="s">
        <v>6733</v>
      </c>
      <c r="BA790" s="27" t="s">
        <v>6104</v>
      </c>
      <c r="BB790" s="27">
        <v>42913</v>
      </c>
      <c r="BC790" s="686" t="s">
        <v>912</v>
      </c>
      <c r="BD790" s="686" t="s">
        <v>566</v>
      </c>
      <c r="BE790" s="686"/>
      <c r="BF790" s="690"/>
      <c r="BG790" s="690"/>
      <c r="BH790" s="690"/>
      <c r="BI790" s="690"/>
      <c r="BJ790" s="708">
        <f>+'[303]MATRIZ '!$J$57</f>
        <v>10545551.0822805</v>
      </c>
      <c r="BK790" s="696"/>
      <c r="BL790" s="697"/>
      <c r="BM790" s="27"/>
      <c r="BN790" s="689"/>
      <c r="BO790" s="699"/>
      <c r="BP790" s="700"/>
      <c r="BQ790" s="686"/>
      <c r="BR790" s="701"/>
      <c r="BS790" s="690"/>
      <c r="BT790" s="690"/>
      <c r="BU790" s="690"/>
      <c r="BV790" s="690"/>
      <c r="BW790" s="702"/>
      <c r="BX790" s="693"/>
      <c r="BY790" s="27"/>
      <c r="BZ790" s="703"/>
      <c r="CA790" s="259"/>
      <c r="CB790" s="259"/>
      <c r="CC790" s="259"/>
      <c r="CD790" s="259"/>
      <c r="CE790" s="259"/>
      <c r="CF790" s="259"/>
      <c r="CG790" s="259"/>
      <c r="CH790" s="259"/>
      <c r="CI790" s="259"/>
      <c r="CJ790" s="259"/>
      <c r="CK790" s="259"/>
      <c r="CL790" s="259"/>
      <c r="CM790" s="259"/>
      <c r="CN790" s="259"/>
      <c r="CO790" s="259"/>
      <c r="CP790" s="259"/>
      <c r="CQ790" s="259"/>
      <c r="CR790" s="259"/>
      <c r="CS790" s="259"/>
      <c r="CT790" s="259"/>
      <c r="CU790" s="259"/>
      <c r="CV790" s="259"/>
      <c r="CW790" s="259"/>
      <c r="CX790" s="259"/>
      <c r="CY790" s="259"/>
      <c r="CZ790" s="259"/>
      <c r="DA790" s="259"/>
      <c r="DB790" s="259"/>
      <c r="DC790" s="259"/>
      <c r="DD790" s="259"/>
      <c r="DE790" s="259"/>
      <c r="DF790" s="259"/>
      <c r="DG790" s="259"/>
      <c r="DH790" s="259"/>
      <c r="DI790" s="259"/>
      <c r="DJ790" s="259"/>
      <c r="DK790" s="259"/>
      <c r="DL790" s="259"/>
      <c r="DM790" s="259"/>
      <c r="DN790" s="259"/>
      <c r="DO790" s="259"/>
      <c r="DP790" s="259"/>
      <c r="DQ790" s="259"/>
      <c r="DR790" s="259"/>
      <c r="DS790" s="259"/>
      <c r="DT790" s="259"/>
      <c r="DU790" s="259"/>
      <c r="DV790" s="259"/>
      <c r="DW790" s="259"/>
      <c r="DX790" s="259"/>
      <c r="DY790" s="259"/>
      <c r="DZ790" s="259"/>
      <c r="EA790" s="259"/>
      <c r="EB790" s="259"/>
      <c r="EC790" s="259"/>
      <c r="ED790" s="259"/>
      <c r="EE790" s="259"/>
      <c r="EF790" s="259"/>
      <c r="EG790" s="259"/>
      <c r="EH790" s="259"/>
      <c r="EI790" s="259"/>
      <c r="EJ790" s="259"/>
      <c r="EK790" s="259"/>
      <c r="EL790" s="259"/>
      <c r="EM790" s="259"/>
      <c r="EN790" s="259"/>
      <c r="EO790" s="259"/>
      <c r="EP790" s="259"/>
      <c r="EQ790" s="259"/>
      <c r="ER790" s="259"/>
      <c r="ES790" s="259"/>
      <c r="ET790" s="259"/>
      <c r="EU790" s="259"/>
      <c r="EV790" s="259"/>
      <c r="EW790" s="259"/>
      <c r="EX790" s="259"/>
      <c r="EY790" s="259"/>
      <c r="EZ790" s="259"/>
      <c r="FA790" s="259"/>
      <c r="FB790" s="259"/>
      <c r="FC790" s="259"/>
      <c r="FD790" s="259"/>
      <c r="FE790" s="259"/>
      <c r="FF790" s="259"/>
      <c r="FG790" s="259"/>
      <c r="FH790" s="259"/>
      <c r="FI790" s="259"/>
      <c r="FJ790" s="259"/>
      <c r="FK790" s="259"/>
      <c r="FL790" s="259"/>
      <c r="FM790" s="259"/>
      <c r="FN790" s="259"/>
      <c r="FO790" s="259"/>
      <c r="FP790" s="259"/>
      <c r="FQ790" s="259"/>
      <c r="FR790" s="259"/>
      <c r="FS790" s="259"/>
      <c r="FT790" s="259"/>
      <c r="FU790" s="259"/>
      <c r="FV790" s="259"/>
      <c r="FW790" s="259"/>
      <c r="FX790" s="259"/>
      <c r="FY790" s="259"/>
      <c r="FZ790" s="259"/>
      <c r="GA790" s="259"/>
      <c r="GB790" s="259"/>
      <c r="GC790" s="259"/>
      <c r="GD790" s="259"/>
      <c r="GE790" s="259"/>
      <c r="GF790" s="259"/>
      <c r="GG790" s="259"/>
      <c r="GH790" s="259"/>
      <c r="GI790" s="259"/>
      <c r="GJ790" s="259"/>
      <c r="GK790" s="259"/>
      <c r="GL790" s="259"/>
      <c r="GM790" s="259"/>
      <c r="GN790" s="259"/>
      <c r="GO790" s="259"/>
      <c r="GP790" s="259"/>
      <c r="GQ790" s="259"/>
      <c r="GR790" s="259"/>
      <c r="GS790" s="259"/>
      <c r="GT790" s="259"/>
      <c r="GU790" s="259"/>
      <c r="GV790" s="259"/>
      <c r="GW790" s="259"/>
      <c r="GX790" s="259"/>
      <c r="GY790" s="259"/>
      <c r="GZ790" s="259"/>
      <c r="HA790" s="259"/>
      <c r="HB790" s="259"/>
      <c r="HC790" s="259"/>
      <c r="HD790" s="259"/>
      <c r="HE790" s="259"/>
      <c r="HF790" s="259"/>
      <c r="HG790" s="259"/>
      <c r="HH790" s="259"/>
      <c r="HI790" s="259"/>
      <c r="HJ790" s="259"/>
      <c r="HK790" s="259"/>
      <c r="HL790" s="259"/>
      <c r="HM790" s="259"/>
      <c r="HN790" s="259"/>
      <c r="HO790" s="259"/>
      <c r="HP790" s="259"/>
      <c r="HQ790" s="259"/>
      <c r="HR790" s="259"/>
      <c r="HS790" s="259"/>
      <c r="HT790" s="259"/>
      <c r="HU790" s="259"/>
      <c r="HV790" s="259"/>
      <c r="HW790" s="259"/>
      <c r="HX790" s="259"/>
      <c r="HY790" s="259"/>
      <c r="HZ790" s="259"/>
      <c r="IA790" s="259"/>
      <c r="IB790" s="259"/>
      <c r="IC790" s="259"/>
      <c r="ID790" s="259"/>
      <c r="IE790" s="259"/>
      <c r="IF790" s="259"/>
      <c r="IG790" s="259"/>
      <c r="IH790" s="259"/>
      <c r="II790" s="259"/>
      <c r="IJ790" s="259"/>
      <c r="IK790" s="259"/>
      <c r="IL790" s="259"/>
      <c r="IM790" s="259"/>
      <c r="IN790" s="259"/>
      <c r="IO790" s="259"/>
      <c r="IP790" s="259"/>
      <c r="IQ790" s="259"/>
      <c r="IR790" s="259"/>
      <c r="IS790" s="259"/>
      <c r="IT790" s="259"/>
      <c r="IU790" s="259"/>
      <c r="IV790" s="259"/>
      <c r="IW790" s="259"/>
      <c r="IX790" s="259"/>
      <c r="IY790" s="259"/>
      <c r="IZ790" s="259"/>
      <c r="JA790" s="259"/>
      <c r="JB790" s="259"/>
      <c r="JC790" s="259"/>
      <c r="JD790" s="259"/>
      <c r="JE790" s="259"/>
      <c r="JF790" s="259"/>
      <c r="JG790" s="259"/>
      <c r="JH790" s="259"/>
      <c r="JI790" s="259"/>
      <c r="JJ790" s="259"/>
      <c r="JK790" s="259"/>
      <c r="JL790" s="259"/>
      <c r="JM790" s="259"/>
      <c r="JN790" s="259"/>
      <c r="JO790" s="259"/>
      <c r="JP790" s="259"/>
      <c r="JQ790" s="259"/>
      <c r="JR790" s="259"/>
      <c r="JS790" s="259"/>
      <c r="JT790" s="259"/>
      <c r="JU790" s="259"/>
      <c r="JV790" s="259"/>
      <c r="JW790" s="259"/>
      <c r="JX790" s="259"/>
      <c r="JY790" s="259"/>
      <c r="JZ790" s="259"/>
      <c r="KA790" s="259"/>
      <c r="KB790" s="259"/>
      <c r="KC790" s="259"/>
      <c r="KD790" s="259"/>
      <c r="KE790" s="259"/>
      <c r="KF790" s="259"/>
      <c r="KG790" s="259"/>
      <c r="KH790" s="259"/>
      <c r="KI790" s="259"/>
      <c r="KJ790" s="259"/>
      <c r="KK790" s="259"/>
      <c r="KL790" s="259"/>
      <c r="KM790" s="259"/>
      <c r="KN790" s="259"/>
      <c r="KO790" s="259"/>
      <c r="KP790" s="259"/>
      <c r="KQ790" s="259"/>
      <c r="KR790" s="259"/>
      <c r="KS790" s="259"/>
      <c r="KT790" s="259"/>
      <c r="KU790" s="259"/>
      <c r="KV790" s="259"/>
      <c r="KW790" s="259"/>
      <c r="KX790" s="259"/>
      <c r="KY790" s="259"/>
      <c r="KZ790" s="259"/>
      <c r="LA790" s="259"/>
      <c r="LB790" s="259"/>
      <c r="LC790" s="259"/>
      <c r="LD790" s="259"/>
      <c r="LE790" s="259"/>
      <c r="LF790" s="259"/>
      <c r="LG790" s="259"/>
      <c r="LH790" s="259"/>
      <c r="LI790" s="259"/>
      <c r="LJ790" s="259"/>
      <c r="LK790" s="259"/>
      <c r="LL790" s="259"/>
      <c r="LM790" s="259"/>
      <c r="LN790" s="259"/>
      <c r="LO790" s="259"/>
      <c r="LP790" s="259"/>
      <c r="LQ790" s="259"/>
      <c r="LR790" s="259"/>
      <c r="LS790" s="259"/>
      <c r="LT790" s="259"/>
      <c r="LU790" s="259"/>
      <c r="LV790" s="259"/>
      <c r="LW790" s="259"/>
      <c r="LX790" s="259"/>
      <c r="LY790" s="259"/>
      <c r="LZ790" s="259"/>
      <c r="MA790" s="259"/>
      <c r="MB790" s="259"/>
      <c r="MC790" s="259"/>
      <c r="MD790" s="259"/>
      <c r="ME790" s="259"/>
      <c r="MF790" s="259"/>
      <c r="MG790" s="259"/>
      <c r="MH790" s="259"/>
      <c r="MI790" s="259"/>
      <c r="MJ790" s="259"/>
      <c r="MK790" s="259"/>
      <c r="ML790" s="259"/>
      <c r="MM790" s="259"/>
      <c r="MN790" s="259"/>
      <c r="MO790" s="259"/>
      <c r="MP790" s="259"/>
      <c r="MQ790" s="259"/>
      <c r="MR790" s="259"/>
      <c r="MS790" s="259"/>
      <c r="MT790" s="259"/>
      <c r="MU790" s="259"/>
      <c r="MV790" s="259"/>
      <c r="MW790" s="259"/>
      <c r="MX790" s="259"/>
      <c r="MY790" s="259"/>
      <c r="MZ790" s="259"/>
      <c r="NA790" s="259"/>
      <c r="NB790" s="259"/>
      <c r="NC790" s="259"/>
      <c r="ND790" s="259"/>
      <c r="NE790" s="259"/>
      <c r="NF790" s="259"/>
      <c r="NG790" s="259"/>
      <c r="NH790" s="259"/>
      <c r="NI790" s="259"/>
      <c r="NJ790" s="259"/>
      <c r="NK790" s="259"/>
      <c r="NL790" s="259"/>
      <c r="NM790" s="259"/>
      <c r="NN790" s="259"/>
      <c r="NO790" s="259"/>
      <c r="NP790" s="259"/>
      <c r="NQ790" s="259"/>
      <c r="NR790" s="259"/>
      <c r="NS790" s="259"/>
      <c r="NT790" s="259"/>
      <c r="NU790" s="259"/>
      <c r="NV790" s="259"/>
      <c r="NW790" s="259"/>
      <c r="NX790" s="259"/>
      <c r="NY790" s="259"/>
      <c r="NZ790" s="259"/>
      <c r="OA790" s="259"/>
      <c r="OB790" s="259"/>
      <c r="OC790" s="259"/>
      <c r="OD790" s="259"/>
      <c r="OE790" s="259"/>
      <c r="OF790" s="259"/>
      <c r="OG790" s="259"/>
      <c r="OH790" s="259"/>
      <c r="OI790" s="259"/>
      <c r="OJ790" s="259"/>
      <c r="OK790" s="259"/>
      <c r="OL790" s="259"/>
      <c r="OM790" s="259"/>
      <c r="ON790" s="259"/>
      <c r="OO790" s="259"/>
      <c r="OP790" s="259"/>
      <c r="OQ790" s="259"/>
      <c r="OR790" s="259"/>
      <c r="OS790" s="259"/>
      <c r="OT790" s="259"/>
      <c r="OU790" s="259"/>
      <c r="OV790" s="259"/>
      <c r="OW790" s="259"/>
      <c r="OX790" s="259"/>
      <c r="OY790" s="259"/>
      <c r="OZ790" s="259"/>
      <c r="PA790" s="259"/>
      <c r="PB790" s="259"/>
      <c r="PC790" s="259"/>
      <c r="PD790" s="259"/>
      <c r="PE790" s="259"/>
      <c r="PF790" s="259"/>
      <c r="PG790" s="259"/>
      <c r="PH790" s="259"/>
      <c r="PI790" s="259"/>
      <c r="PJ790" s="259"/>
      <c r="PK790" s="259"/>
      <c r="PL790" s="259"/>
      <c r="PM790" s="259"/>
      <c r="PN790" s="259"/>
      <c r="PO790" s="259"/>
      <c r="PP790" s="259"/>
      <c r="PQ790" s="259"/>
      <c r="PR790" s="259"/>
      <c r="PS790" s="259"/>
      <c r="PT790" s="259"/>
      <c r="PU790" s="259"/>
      <c r="PV790" s="259"/>
      <c r="PW790" s="259"/>
      <c r="PX790" s="259"/>
      <c r="PY790" s="259"/>
      <c r="PZ790" s="259"/>
      <c r="QA790" s="259"/>
      <c r="QB790" s="259"/>
      <c r="QC790" s="259"/>
      <c r="QD790" s="259"/>
      <c r="QE790" s="259"/>
      <c r="QF790" s="259"/>
      <c r="QG790" s="259"/>
      <c r="QH790" s="259"/>
      <c r="QI790" s="259"/>
      <c r="QJ790" s="259"/>
      <c r="QK790" s="259"/>
      <c r="QL790" s="259"/>
      <c r="QM790" s="259"/>
      <c r="QN790" s="259"/>
      <c r="QO790" s="259"/>
      <c r="QP790" s="259"/>
      <c r="QQ790" s="259"/>
      <c r="QR790" s="259"/>
      <c r="QS790" s="259"/>
      <c r="QT790" s="259"/>
      <c r="QU790" s="259"/>
      <c r="QV790" s="259"/>
      <c r="QW790" s="259"/>
      <c r="QX790" s="259"/>
      <c r="QY790" s="259"/>
      <c r="QZ790" s="259"/>
      <c r="RA790" s="259"/>
      <c r="RB790" s="259"/>
      <c r="RC790" s="259"/>
      <c r="RD790" s="259"/>
      <c r="RE790" s="259"/>
      <c r="RF790" s="259"/>
      <c r="RG790" s="259"/>
      <c r="RH790" s="259"/>
      <c r="RI790" s="259"/>
      <c r="RJ790" s="259"/>
      <c r="RK790" s="259"/>
      <c r="RL790" s="259"/>
      <c r="RM790" s="259"/>
      <c r="RN790" s="259"/>
      <c r="RO790" s="259"/>
      <c r="RP790" s="259"/>
      <c r="RQ790" s="259"/>
      <c r="RR790" s="259"/>
      <c r="RS790" s="259"/>
      <c r="RT790" s="259"/>
      <c r="RU790" s="259"/>
      <c r="RV790" s="259"/>
      <c r="RW790" s="259"/>
      <c r="RX790" s="259"/>
      <c r="RY790" s="259"/>
      <c r="RZ790" s="259"/>
      <c r="SA790" s="259"/>
      <c r="SB790" s="259"/>
      <c r="SC790" s="259"/>
      <c r="SD790" s="259"/>
      <c r="SE790" s="259"/>
      <c r="SF790" s="259"/>
      <c r="SG790" s="259"/>
      <c r="SH790" s="259"/>
      <c r="SI790" s="259"/>
      <c r="SJ790" s="259"/>
      <c r="SK790" s="259"/>
      <c r="SL790" s="259"/>
      <c r="SM790" s="259"/>
      <c r="SN790" s="259"/>
      <c r="SO790" s="259"/>
      <c r="SP790" s="259"/>
      <c r="SQ790" s="259"/>
      <c r="SR790" s="259"/>
      <c r="SS790" s="259"/>
      <c r="ST790" s="259"/>
      <c r="SU790" s="259"/>
      <c r="SV790" s="259"/>
      <c r="SW790" s="259"/>
      <c r="SX790" s="259"/>
      <c r="SY790" s="259"/>
      <c r="SZ790" s="259"/>
      <c r="TA790" s="259"/>
      <c r="TB790" s="259"/>
      <c r="TC790" s="259"/>
      <c r="TD790" s="259"/>
      <c r="TE790" s="259"/>
      <c r="TF790" s="259"/>
      <c r="TG790" s="259"/>
      <c r="TH790" s="259"/>
      <c r="TI790" s="259"/>
      <c r="TJ790" s="259"/>
      <c r="TK790" s="259"/>
      <c r="TL790" s="259"/>
      <c r="TM790" s="259"/>
      <c r="TN790" s="259"/>
      <c r="TO790" s="259"/>
      <c r="TP790" s="259"/>
      <c r="TQ790" s="259"/>
      <c r="TR790" s="259"/>
      <c r="TS790" s="259"/>
      <c r="TT790" s="259"/>
      <c r="TU790" s="259"/>
      <c r="TV790" s="259"/>
      <c r="TW790" s="259"/>
      <c r="TX790" s="259"/>
      <c r="TY790" s="259"/>
      <c r="TZ790" s="259"/>
      <c r="UA790" s="259"/>
      <c r="UB790" s="259"/>
      <c r="UC790" s="259"/>
      <c r="UD790" s="259"/>
      <c r="UE790" s="259"/>
      <c r="UF790" s="259"/>
      <c r="UG790" s="259"/>
      <c r="UH790" s="259"/>
      <c r="UI790" s="259"/>
    </row>
    <row r="791" spans="1:555" s="259" customFormat="1" ht="80.25" customHeight="1">
      <c r="A791" s="57">
        <v>747</v>
      </c>
      <c r="B791" s="58" t="s">
        <v>6105</v>
      </c>
      <c r="C791" s="59">
        <v>42206497</v>
      </c>
      <c r="D791" s="101" t="s">
        <v>6106</v>
      </c>
      <c r="E791" s="60">
        <v>43173</v>
      </c>
      <c r="F791" s="61">
        <v>43160</v>
      </c>
      <c r="G791" s="62" t="s">
        <v>6107</v>
      </c>
      <c r="H791" s="58" t="s">
        <v>581</v>
      </c>
      <c r="I791" s="58" t="s">
        <v>551</v>
      </c>
      <c r="J791" s="60">
        <v>43528</v>
      </c>
      <c r="K791" s="61">
        <v>43528</v>
      </c>
      <c r="L791" s="62" t="s">
        <v>8246</v>
      </c>
      <c r="M791" s="58" t="s">
        <v>63</v>
      </c>
      <c r="N791" s="58" t="s">
        <v>79</v>
      </c>
      <c r="O791" s="60">
        <v>43593</v>
      </c>
      <c r="P791" s="63">
        <v>43593</v>
      </c>
      <c r="Q791" s="62" t="s">
        <v>8692</v>
      </c>
      <c r="R791" s="58" t="s">
        <v>5</v>
      </c>
      <c r="S791" s="58" t="s">
        <v>85</v>
      </c>
      <c r="T791" s="60">
        <v>43592</v>
      </c>
      <c r="U791" s="61">
        <v>43592</v>
      </c>
      <c r="V791" s="62" t="s">
        <v>8713</v>
      </c>
      <c r="W791" s="58" t="s">
        <v>63</v>
      </c>
      <c r="X791" s="58" t="s">
        <v>85</v>
      </c>
      <c r="Y791" s="60">
        <v>43895</v>
      </c>
      <c r="Z791" s="61">
        <v>43895</v>
      </c>
      <c r="AA791" s="62" t="s">
        <v>9492</v>
      </c>
      <c r="AB791" s="58" t="s">
        <v>63</v>
      </c>
      <c r="AC791" s="58" t="s">
        <v>8243</v>
      </c>
      <c r="AD791" s="60"/>
      <c r="AE791" s="61"/>
      <c r="AF791" s="62"/>
      <c r="AG791" s="58"/>
      <c r="AH791" s="58"/>
      <c r="AI791" s="117"/>
      <c r="AJ791" s="61"/>
      <c r="AK791" s="62"/>
      <c r="AL791" s="58"/>
      <c r="AM791" s="58"/>
      <c r="AN791" s="58" t="s">
        <v>4331</v>
      </c>
      <c r="AO791" s="478" t="s">
        <v>7946</v>
      </c>
      <c r="AP791" s="58" t="s">
        <v>2558</v>
      </c>
      <c r="AQ791" s="62" t="s">
        <v>6108</v>
      </c>
      <c r="AR791" s="58" t="s">
        <v>2395</v>
      </c>
      <c r="AS791" s="60" t="s">
        <v>67</v>
      </c>
      <c r="AT791" s="60" t="s">
        <v>67</v>
      </c>
      <c r="AU791" s="58" t="s">
        <v>6109</v>
      </c>
      <c r="AV791" s="58"/>
      <c r="AW791" s="58" t="s">
        <v>92</v>
      </c>
      <c r="AX791" s="58" t="s">
        <v>6110</v>
      </c>
      <c r="AY791" s="60">
        <v>40403</v>
      </c>
      <c r="AZ791" s="58" t="s">
        <v>6111</v>
      </c>
      <c r="BA791" s="60">
        <v>42956</v>
      </c>
      <c r="BB791" s="382">
        <v>43144</v>
      </c>
      <c r="BC791" s="70" t="s">
        <v>561</v>
      </c>
      <c r="BD791" s="70" t="s">
        <v>6112</v>
      </c>
      <c r="BE791" s="58" t="s">
        <v>6113</v>
      </c>
      <c r="BF791" s="62" t="s">
        <v>6114</v>
      </c>
      <c r="BG791" s="62"/>
      <c r="BH791" s="62"/>
      <c r="BI791" s="62"/>
      <c r="BJ791" s="209">
        <f>+'[304]MATRIZ DE CONTRATOS '!$I$27</f>
        <v>1374064732.8252077</v>
      </c>
      <c r="BK791" s="67"/>
      <c r="BL791" s="68"/>
      <c r="BM791" s="60"/>
      <c r="BN791" s="61"/>
      <c r="BO791" s="463"/>
      <c r="BP791" s="122"/>
      <c r="BQ791" s="58"/>
      <c r="BR791" s="70"/>
      <c r="BS791" s="62"/>
      <c r="BT791" s="62"/>
      <c r="BU791" s="62"/>
      <c r="BV791" s="62"/>
      <c r="BW791" s="71"/>
      <c r="BX791" s="66"/>
      <c r="BY791" s="60"/>
      <c r="BZ791" s="72"/>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c r="JW791" s="1"/>
      <c r="JX791" s="1"/>
      <c r="JY791" s="1"/>
      <c r="JZ791" s="1"/>
      <c r="KA791" s="1"/>
      <c r="KB791" s="1"/>
      <c r="KC791" s="1"/>
      <c r="KD791" s="1"/>
      <c r="KE791" s="1"/>
      <c r="KF791" s="1"/>
      <c r="KG791" s="1"/>
      <c r="KH791" s="1"/>
      <c r="KI791" s="1"/>
      <c r="KJ791" s="1"/>
      <c r="KK791" s="1"/>
      <c r="KL791" s="1"/>
      <c r="KM791" s="1"/>
      <c r="KN791" s="1"/>
      <c r="KO791" s="1"/>
      <c r="KP791" s="1"/>
      <c r="KQ791" s="1"/>
      <c r="KR791" s="1"/>
      <c r="KS791" s="1"/>
      <c r="KT791" s="1"/>
      <c r="KU791" s="1"/>
      <c r="KV791" s="1"/>
      <c r="KW791" s="1"/>
      <c r="KX791" s="1"/>
      <c r="KY791" s="1"/>
      <c r="KZ791" s="1"/>
      <c r="LA791" s="1"/>
      <c r="LB791" s="1"/>
      <c r="LC791" s="1"/>
      <c r="LD791" s="1"/>
      <c r="LE791" s="1"/>
      <c r="LF791" s="1"/>
      <c r="LG791" s="1"/>
      <c r="LH791" s="1"/>
      <c r="LI791" s="1"/>
      <c r="LJ791" s="1"/>
      <c r="LK791" s="1"/>
      <c r="LL791" s="1"/>
      <c r="LM791" s="1"/>
      <c r="LN791" s="1"/>
      <c r="LO791" s="1"/>
      <c r="LP791" s="1"/>
      <c r="LQ791" s="1"/>
      <c r="LR791" s="1"/>
      <c r="LS791" s="1"/>
      <c r="LT791" s="1"/>
      <c r="LU791" s="1"/>
      <c r="LV791" s="1"/>
      <c r="LW791" s="1"/>
      <c r="LX791" s="1"/>
      <c r="LY791" s="1"/>
      <c r="LZ791" s="1"/>
      <c r="MA791" s="1"/>
      <c r="MB791" s="1"/>
      <c r="MC791" s="1"/>
      <c r="MD791" s="1"/>
      <c r="ME791" s="1"/>
      <c r="MF791" s="1"/>
      <c r="MG791" s="1"/>
      <c r="MH791" s="1"/>
      <c r="MI791" s="1"/>
      <c r="MJ791" s="1"/>
      <c r="MK791" s="1"/>
      <c r="ML791" s="1"/>
      <c r="MM791" s="1"/>
      <c r="MN791" s="1"/>
      <c r="MO791" s="1"/>
      <c r="MP791" s="1"/>
      <c r="MQ791" s="1"/>
      <c r="MR791" s="1"/>
      <c r="MS791" s="1"/>
      <c r="MT791" s="1"/>
      <c r="MU791" s="1"/>
      <c r="MV791" s="1"/>
      <c r="MW791" s="1"/>
      <c r="MX791" s="1"/>
      <c r="MY791" s="1"/>
      <c r="MZ791" s="1"/>
      <c r="NA791" s="1"/>
      <c r="NB791" s="1"/>
      <c r="NC791" s="1"/>
      <c r="ND791" s="1"/>
      <c r="NE791" s="1"/>
      <c r="NF791" s="1"/>
      <c r="NG791" s="1"/>
      <c r="NH791" s="1"/>
      <c r="NI791" s="1"/>
      <c r="NJ791" s="1"/>
      <c r="NK791" s="1"/>
      <c r="NL791" s="1"/>
      <c r="NM791" s="1"/>
      <c r="NN791" s="1"/>
      <c r="NO791" s="1"/>
      <c r="NP791" s="1"/>
      <c r="NQ791" s="1"/>
      <c r="NR791" s="1"/>
      <c r="NS791" s="1"/>
      <c r="NT791" s="1"/>
      <c r="NU791" s="1"/>
      <c r="NV791" s="1"/>
      <c r="NW791" s="1"/>
      <c r="NX791" s="1"/>
      <c r="NY791" s="1"/>
      <c r="NZ791" s="1"/>
      <c r="OA791" s="1"/>
      <c r="OB791" s="1"/>
      <c r="OC791" s="1"/>
      <c r="OD791" s="1"/>
      <c r="OE791" s="1"/>
      <c r="OF791" s="1"/>
      <c r="OG791" s="1"/>
      <c r="OH791" s="1"/>
      <c r="OI791" s="1"/>
      <c r="OJ791" s="1"/>
      <c r="OK791" s="1"/>
      <c r="OL791" s="1"/>
      <c r="OM791" s="1"/>
      <c r="ON791" s="1"/>
      <c r="OO791" s="1"/>
      <c r="OP791" s="1"/>
      <c r="OQ791" s="1"/>
      <c r="OR791" s="1"/>
      <c r="OS791" s="1"/>
      <c r="OT791" s="1"/>
      <c r="OU791" s="1"/>
      <c r="OV791" s="1"/>
      <c r="OW791" s="1"/>
      <c r="OX791" s="1"/>
      <c r="OY791" s="1"/>
      <c r="OZ791" s="1"/>
      <c r="PA791" s="1"/>
      <c r="PB791" s="1"/>
      <c r="PC791" s="1"/>
      <c r="PD791" s="1"/>
      <c r="PE791" s="1"/>
      <c r="PF791" s="1"/>
      <c r="PG791" s="1"/>
      <c r="PH791" s="1"/>
      <c r="PI791" s="1"/>
      <c r="PJ791" s="1"/>
      <c r="PK791" s="1"/>
      <c r="PL791" s="1"/>
      <c r="PM791" s="1"/>
      <c r="PN791" s="1"/>
      <c r="PO791" s="1"/>
      <c r="PP791" s="1"/>
      <c r="PQ791" s="1"/>
      <c r="PR791" s="1"/>
      <c r="PS791" s="1"/>
      <c r="PT791" s="1"/>
      <c r="PU791" s="1"/>
      <c r="PV791" s="1"/>
      <c r="PW791" s="1"/>
      <c r="PX791" s="1"/>
      <c r="PY791" s="1"/>
      <c r="PZ791" s="1"/>
      <c r="QA791" s="1"/>
      <c r="QB791" s="1"/>
      <c r="QC791" s="1"/>
      <c r="QD791" s="1"/>
      <c r="QE791" s="1"/>
      <c r="QF791" s="1"/>
      <c r="QG791" s="1"/>
      <c r="QH791" s="1"/>
      <c r="QI791" s="1"/>
      <c r="QJ791" s="1"/>
      <c r="QK791" s="1"/>
      <c r="QL791" s="1"/>
      <c r="QM791" s="1"/>
      <c r="QN791" s="1"/>
      <c r="QO791" s="1"/>
      <c r="QP791" s="1"/>
      <c r="QQ791" s="1"/>
      <c r="QR791" s="1"/>
      <c r="QS791" s="1"/>
      <c r="QT791" s="1"/>
      <c r="QU791" s="1"/>
      <c r="QV791" s="1"/>
      <c r="QW791" s="1"/>
      <c r="QX791" s="1"/>
      <c r="QY791" s="1"/>
      <c r="QZ791" s="1"/>
      <c r="RA791" s="1"/>
      <c r="RB791" s="1"/>
      <c r="RC791" s="1"/>
      <c r="RD791" s="1"/>
      <c r="RE791" s="1"/>
      <c r="RF791" s="1"/>
      <c r="RG791" s="1"/>
      <c r="RH791" s="1"/>
      <c r="RI791" s="1"/>
      <c r="RJ791" s="1"/>
      <c r="RK791" s="1"/>
      <c r="RL791" s="1"/>
      <c r="RM791" s="1"/>
      <c r="RN791" s="1"/>
      <c r="RO791" s="1"/>
      <c r="RP791" s="1"/>
      <c r="RQ791" s="1"/>
      <c r="RR791" s="1"/>
      <c r="RS791" s="1"/>
      <c r="RT791" s="1"/>
      <c r="RU791" s="1"/>
      <c r="RV791" s="1"/>
      <c r="RW791" s="1"/>
      <c r="RX791" s="1"/>
      <c r="RY791" s="1"/>
      <c r="RZ791" s="1"/>
      <c r="SA791" s="1"/>
      <c r="SB791" s="1"/>
      <c r="SC791" s="1"/>
      <c r="SD791" s="1"/>
      <c r="SE791" s="1"/>
      <c r="SF791" s="1"/>
      <c r="SG791" s="1"/>
      <c r="SH791" s="1"/>
      <c r="SI791" s="1"/>
      <c r="SJ791" s="1"/>
      <c r="SK791" s="1"/>
      <c r="SL791" s="1"/>
      <c r="SM791" s="1"/>
      <c r="SN791" s="1"/>
      <c r="SO791" s="1"/>
      <c r="SP791" s="1"/>
      <c r="SQ791" s="1"/>
      <c r="SR791" s="1"/>
      <c r="SS791" s="1"/>
      <c r="ST791" s="1"/>
      <c r="SU791" s="1"/>
      <c r="SV791" s="1"/>
      <c r="SW791" s="1"/>
      <c r="SX791" s="1"/>
      <c r="SY791" s="1"/>
      <c r="SZ791" s="1"/>
      <c r="TA791" s="1"/>
      <c r="TB791" s="1"/>
      <c r="TC791" s="1"/>
      <c r="TD791" s="1"/>
      <c r="TE791" s="1"/>
      <c r="TF791" s="1"/>
      <c r="TG791" s="1"/>
      <c r="TH791" s="1"/>
      <c r="TI791" s="1"/>
      <c r="TJ791" s="1"/>
      <c r="TK791" s="1"/>
      <c r="TL791" s="1"/>
      <c r="TM791" s="1"/>
      <c r="TN791" s="1"/>
      <c r="TO791" s="1"/>
      <c r="TP791" s="1"/>
      <c r="TQ791" s="1"/>
      <c r="TR791" s="1"/>
      <c r="TS791" s="1"/>
      <c r="TT791" s="1"/>
      <c r="TU791" s="1"/>
      <c r="TV791" s="1"/>
      <c r="TW791" s="1"/>
      <c r="TX791" s="1"/>
      <c r="TY791" s="1"/>
      <c r="TZ791" s="1"/>
      <c r="UA791" s="1"/>
      <c r="UB791" s="1"/>
      <c r="UC791" s="1"/>
      <c r="UD791" s="1"/>
      <c r="UE791" s="1"/>
      <c r="UF791" s="1"/>
      <c r="UG791" s="1"/>
      <c r="UH791" s="1"/>
      <c r="UI791" s="1"/>
    </row>
    <row r="792" spans="1:555" ht="79.5" customHeight="1">
      <c r="A792" s="296">
        <v>748</v>
      </c>
      <c r="B792" s="297" t="s">
        <v>6115</v>
      </c>
      <c r="C792" s="298">
        <v>7705972</v>
      </c>
      <c r="D792" s="354" t="s">
        <v>3645</v>
      </c>
      <c r="E792" s="299">
        <v>43173</v>
      </c>
      <c r="F792" s="300">
        <v>43160</v>
      </c>
      <c r="G792" s="301" t="s">
        <v>6116</v>
      </c>
      <c r="H792" s="297" t="s">
        <v>63</v>
      </c>
      <c r="I792" s="297" t="s">
        <v>79</v>
      </c>
      <c r="J792" s="305">
        <v>43263</v>
      </c>
      <c r="K792" s="300">
        <v>43263</v>
      </c>
      <c r="L792" s="315" t="s">
        <v>6117</v>
      </c>
      <c r="M792" s="297" t="s">
        <v>2637</v>
      </c>
      <c r="N792" s="297" t="s">
        <v>85</v>
      </c>
      <c r="O792" s="305">
        <v>43287</v>
      </c>
      <c r="P792" s="302">
        <v>43287</v>
      </c>
      <c r="Q792" s="315" t="s">
        <v>6118</v>
      </c>
      <c r="R792" s="315" t="s">
        <v>63</v>
      </c>
      <c r="S792" s="315" t="s">
        <v>85</v>
      </c>
      <c r="T792" s="299">
        <v>43896</v>
      </c>
      <c r="U792" s="300">
        <v>43896</v>
      </c>
      <c r="V792" s="301" t="s">
        <v>9493</v>
      </c>
      <c r="W792" s="297" t="s">
        <v>63</v>
      </c>
      <c r="X792" s="297" t="s">
        <v>8243</v>
      </c>
      <c r="Y792" s="299"/>
      <c r="Z792" s="300"/>
      <c r="AA792" s="301"/>
      <c r="AB792" s="297"/>
      <c r="AC792" s="297"/>
      <c r="AD792" s="299"/>
      <c r="AE792" s="300"/>
      <c r="AF792" s="301"/>
      <c r="AG792" s="297"/>
      <c r="AH792" s="297"/>
      <c r="AI792" s="322"/>
      <c r="AJ792" s="300"/>
      <c r="AK792" s="301"/>
      <c r="AL792" s="297"/>
      <c r="AM792" s="297"/>
      <c r="AN792" s="297" t="s">
        <v>918</v>
      </c>
      <c r="AO792" s="540">
        <v>43173</v>
      </c>
      <c r="AP792" s="326" t="s">
        <v>2558</v>
      </c>
      <c r="AQ792" s="301" t="s">
        <v>6119</v>
      </c>
      <c r="AR792" s="297" t="s">
        <v>79</v>
      </c>
      <c r="AS792" s="299">
        <v>39448</v>
      </c>
      <c r="AT792" s="299">
        <v>39804</v>
      </c>
      <c r="AU792" s="297" t="s">
        <v>6120</v>
      </c>
      <c r="AV792" s="297"/>
      <c r="AW792" s="297" t="s">
        <v>92</v>
      </c>
      <c r="AX792" s="297" t="s">
        <v>6121</v>
      </c>
      <c r="AY792" s="299">
        <v>42062</v>
      </c>
      <c r="AZ792" s="297" t="s">
        <v>6122</v>
      </c>
      <c r="BA792" s="299">
        <v>42634</v>
      </c>
      <c r="BB792" s="299">
        <v>42661</v>
      </c>
      <c r="BC792" s="297" t="s">
        <v>95</v>
      </c>
      <c r="BD792" s="297" t="s">
        <v>6098</v>
      </c>
      <c r="BE792" s="297"/>
      <c r="BF792" s="301"/>
      <c r="BG792" s="301"/>
      <c r="BH792" s="301"/>
      <c r="BI792" s="301"/>
      <c r="BJ792" s="350">
        <f>+'[305]MATRIZ '!$J$42</f>
        <v>0</v>
      </c>
      <c r="BK792" s="312"/>
      <c r="BL792" s="313"/>
      <c r="BM792" s="299"/>
      <c r="BN792" s="300"/>
      <c r="BO792" s="460"/>
      <c r="BP792" s="390"/>
      <c r="BQ792" s="297"/>
      <c r="BR792" s="303"/>
      <c r="BS792" s="301"/>
      <c r="BT792" s="301"/>
      <c r="BU792" s="301"/>
      <c r="BV792" s="301"/>
      <c r="BW792" s="316"/>
      <c r="BX792" s="304"/>
      <c r="BY792" s="299"/>
      <c r="BZ792" s="317"/>
    </row>
    <row r="793" spans="1:555" ht="81.75" customHeight="1">
      <c r="A793" s="57">
        <v>749</v>
      </c>
      <c r="B793" s="58" t="s">
        <v>6123</v>
      </c>
      <c r="C793" s="59">
        <v>1110454139</v>
      </c>
      <c r="D793" s="170" t="s">
        <v>3645</v>
      </c>
      <c r="E793" s="60">
        <v>43051</v>
      </c>
      <c r="F793" s="857">
        <v>43040</v>
      </c>
      <c r="G793" s="62" t="s">
        <v>6124</v>
      </c>
      <c r="H793" s="58" t="s">
        <v>171</v>
      </c>
      <c r="I793" s="58" t="s">
        <v>1167</v>
      </c>
      <c r="J793" s="60">
        <v>43173</v>
      </c>
      <c r="K793" s="61">
        <v>43160</v>
      </c>
      <c r="L793" s="62" t="s">
        <v>6125</v>
      </c>
      <c r="M793" s="58" t="s">
        <v>63</v>
      </c>
      <c r="N793" s="58" t="s">
        <v>79</v>
      </c>
      <c r="O793" s="60">
        <v>43200</v>
      </c>
      <c r="P793" s="63">
        <v>43191</v>
      </c>
      <c r="Q793" s="62" t="s">
        <v>6126</v>
      </c>
      <c r="R793" s="58" t="s">
        <v>63</v>
      </c>
      <c r="S793" s="58" t="s">
        <v>85</v>
      </c>
      <c r="T793" s="60">
        <v>43367</v>
      </c>
      <c r="U793" s="61">
        <v>43367</v>
      </c>
      <c r="V793" s="62" t="s">
        <v>6127</v>
      </c>
      <c r="W793" s="58" t="s">
        <v>208</v>
      </c>
      <c r="X793" s="58" t="s">
        <v>107</v>
      </c>
      <c r="Y793" s="60">
        <v>43896</v>
      </c>
      <c r="Z793" s="63">
        <v>43896</v>
      </c>
      <c r="AA793" s="62" t="s">
        <v>9493</v>
      </c>
      <c r="AB793" s="58" t="s">
        <v>63</v>
      </c>
      <c r="AC793" s="58" t="s">
        <v>8255</v>
      </c>
      <c r="AD793" s="60"/>
      <c r="AE793" s="61"/>
      <c r="AF793" s="62"/>
      <c r="AG793" s="58"/>
      <c r="AH793" s="58"/>
      <c r="AI793" s="117"/>
      <c r="AJ793" s="61"/>
      <c r="AK793" s="62"/>
      <c r="AL793" s="58"/>
      <c r="AM793" s="58"/>
      <c r="AN793" s="58" t="s">
        <v>4331</v>
      </c>
      <c r="AO793" s="479">
        <v>43173</v>
      </c>
      <c r="AP793" s="58" t="s">
        <v>2558</v>
      </c>
      <c r="AQ793" s="62" t="s">
        <v>6128</v>
      </c>
      <c r="AR793" s="58" t="s">
        <v>79</v>
      </c>
      <c r="AS793" s="60">
        <v>38777</v>
      </c>
      <c r="AT793" s="60">
        <v>39813</v>
      </c>
      <c r="AU793" s="58" t="s">
        <v>6129</v>
      </c>
      <c r="AV793" s="58"/>
      <c r="AW793" s="58" t="s">
        <v>92</v>
      </c>
      <c r="AX793" s="58" t="s">
        <v>6130</v>
      </c>
      <c r="AY793" s="60">
        <v>41789</v>
      </c>
      <c r="AZ793" s="58" t="s">
        <v>2591</v>
      </c>
      <c r="BA793" s="60">
        <v>42795</v>
      </c>
      <c r="BB793" s="382">
        <v>42815</v>
      </c>
      <c r="BC793" s="58" t="s">
        <v>95</v>
      </c>
      <c r="BD793" s="58" t="s">
        <v>4478</v>
      </c>
      <c r="BE793" s="58"/>
      <c r="BF793" s="62"/>
      <c r="BG793" s="62"/>
      <c r="BH793" s="62"/>
      <c r="BI793" s="62"/>
      <c r="BJ793" s="209">
        <f>+[306]MATRIZ!$J$50</f>
        <v>143811777.18783551</v>
      </c>
      <c r="BK793" s="67"/>
      <c r="BL793" s="68"/>
      <c r="BM793" s="60"/>
      <c r="BN793" s="61"/>
      <c r="BO793" s="463"/>
      <c r="BP793" s="122"/>
      <c r="BQ793" s="58"/>
      <c r="BR793" s="70"/>
      <c r="BS793" s="62"/>
      <c r="BT793" s="62"/>
      <c r="BU793" s="62"/>
      <c r="BV793" s="62"/>
      <c r="BW793" s="71"/>
      <c r="BX793" s="66"/>
      <c r="BY793" s="60"/>
      <c r="BZ793" s="72"/>
    </row>
    <row r="794" spans="1:555" ht="108">
      <c r="A794" s="502">
        <v>750</v>
      </c>
      <c r="B794" s="686" t="s">
        <v>6131</v>
      </c>
      <c r="C794" s="687">
        <v>70521466</v>
      </c>
      <c r="D794" s="688" t="s">
        <v>906</v>
      </c>
      <c r="E794" s="27">
        <v>43173</v>
      </c>
      <c r="F794" s="689">
        <v>43160</v>
      </c>
      <c r="G794" s="690" t="s">
        <v>6132</v>
      </c>
      <c r="H794" s="686" t="s">
        <v>5</v>
      </c>
      <c r="I794" s="686" t="s">
        <v>6133</v>
      </c>
      <c r="J794" s="27">
        <v>43150</v>
      </c>
      <c r="K794" s="689">
        <v>43132</v>
      </c>
      <c r="L794" s="690" t="s">
        <v>6134</v>
      </c>
      <c r="M794" s="686" t="s">
        <v>388</v>
      </c>
      <c r="N794" s="686" t="s">
        <v>389</v>
      </c>
      <c r="O794" s="27">
        <v>43207</v>
      </c>
      <c r="P794" s="691">
        <v>43191</v>
      </c>
      <c r="Q794" s="690" t="s">
        <v>6135</v>
      </c>
      <c r="R794" s="686" t="s">
        <v>5</v>
      </c>
      <c r="S794" s="686" t="s">
        <v>1753</v>
      </c>
      <c r="T794" s="27">
        <v>43900</v>
      </c>
      <c r="U794" s="689">
        <v>43900</v>
      </c>
      <c r="V794" s="690" t="s">
        <v>9495</v>
      </c>
      <c r="W794" s="686" t="s">
        <v>208</v>
      </c>
      <c r="X794" s="686" t="s">
        <v>8255</v>
      </c>
      <c r="Y794" s="27"/>
      <c r="Z794" s="689"/>
      <c r="AA794" s="690"/>
      <c r="AB794" s="686"/>
      <c r="AC794" s="686"/>
      <c r="AD794" s="27"/>
      <c r="AE794" s="689"/>
      <c r="AF794" s="690"/>
      <c r="AG794" s="686"/>
      <c r="AH794" s="686"/>
      <c r="AI794" s="704"/>
      <c r="AJ794" s="689"/>
      <c r="AK794" s="690"/>
      <c r="AL794" s="686"/>
      <c r="AM794" s="686"/>
      <c r="AN794" s="686" t="s">
        <v>4331</v>
      </c>
      <c r="AO794" s="694">
        <v>43145</v>
      </c>
      <c r="AP794" s="686" t="s">
        <v>2558</v>
      </c>
      <c r="AQ794" s="690" t="s">
        <v>6136</v>
      </c>
      <c r="AR794" s="686" t="s">
        <v>79</v>
      </c>
      <c r="AS794" s="27">
        <v>39956</v>
      </c>
      <c r="AT794" s="27">
        <v>40908</v>
      </c>
      <c r="AU794" s="686" t="s">
        <v>6137</v>
      </c>
      <c r="AV794" s="863"/>
      <c r="AW794" s="863" t="s">
        <v>69</v>
      </c>
      <c r="AX794" s="686" t="s">
        <v>6138</v>
      </c>
      <c r="AY794" s="864">
        <v>42433</v>
      </c>
      <c r="AZ794" s="686" t="s">
        <v>6139</v>
      </c>
      <c r="BA794" s="27">
        <v>42983</v>
      </c>
      <c r="BB794" s="27">
        <v>43075</v>
      </c>
      <c r="BC794" s="701" t="s">
        <v>912</v>
      </c>
      <c r="BD794" s="686" t="s">
        <v>1792</v>
      </c>
      <c r="BE794" s="686"/>
      <c r="BF794" s="690"/>
      <c r="BG794" s="690"/>
      <c r="BH794" s="690"/>
      <c r="BI794" s="690"/>
      <c r="BJ794" s="708">
        <f>+'[307]MATRIZ '!$J$64</f>
        <v>0</v>
      </c>
      <c r="BK794" s="696"/>
      <c r="BL794" s="697"/>
      <c r="BM794" s="27"/>
      <c r="BN794" s="689"/>
      <c r="BO794" s="699"/>
      <c r="BP794" s="700"/>
      <c r="BQ794" s="686"/>
      <c r="BR794" s="701"/>
      <c r="BS794" s="690"/>
      <c r="BT794" s="690"/>
      <c r="BU794" s="690"/>
      <c r="BV794" s="690"/>
      <c r="BW794" s="702"/>
      <c r="BX794" s="693"/>
      <c r="BY794" s="27"/>
      <c r="BZ794" s="703"/>
      <c r="CA794" s="259"/>
      <c r="CB794" s="259"/>
      <c r="CC794" s="259"/>
      <c r="CD794" s="259"/>
      <c r="CE794" s="259"/>
      <c r="CF794" s="259"/>
      <c r="CG794" s="259"/>
      <c r="CH794" s="259"/>
      <c r="CI794" s="259"/>
      <c r="CJ794" s="259"/>
      <c r="CK794" s="259"/>
      <c r="CL794" s="259"/>
      <c r="CM794" s="259"/>
      <c r="CN794" s="259"/>
      <c r="CO794" s="259"/>
      <c r="CP794" s="259"/>
      <c r="CQ794" s="259"/>
      <c r="CR794" s="259"/>
      <c r="CS794" s="259"/>
      <c r="CT794" s="259"/>
      <c r="CU794" s="259"/>
      <c r="CV794" s="259"/>
      <c r="CW794" s="259"/>
      <c r="CX794" s="259"/>
      <c r="CY794" s="259"/>
      <c r="CZ794" s="259"/>
      <c r="DA794" s="259"/>
      <c r="DB794" s="259"/>
      <c r="DC794" s="259"/>
      <c r="DD794" s="259"/>
      <c r="DE794" s="259"/>
      <c r="DF794" s="259"/>
      <c r="DG794" s="259"/>
      <c r="DH794" s="259"/>
      <c r="DI794" s="259"/>
      <c r="DJ794" s="259"/>
      <c r="DK794" s="259"/>
      <c r="DL794" s="259"/>
      <c r="DM794" s="259"/>
      <c r="DN794" s="259"/>
      <c r="DO794" s="259"/>
      <c r="DP794" s="259"/>
      <c r="DQ794" s="259"/>
      <c r="DR794" s="259"/>
      <c r="DS794" s="259"/>
      <c r="DT794" s="259"/>
      <c r="DU794" s="259"/>
      <c r="DV794" s="259"/>
      <c r="DW794" s="259"/>
      <c r="DX794" s="259"/>
      <c r="DY794" s="259"/>
      <c r="DZ794" s="259"/>
      <c r="EA794" s="259"/>
      <c r="EB794" s="259"/>
      <c r="EC794" s="259"/>
      <c r="ED794" s="259"/>
      <c r="EE794" s="259"/>
      <c r="EF794" s="259"/>
      <c r="EG794" s="259"/>
      <c r="EH794" s="259"/>
      <c r="EI794" s="259"/>
      <c r="EJ794" s="259"/>
      <c r="EK794" s="259"/>
      <c r="EL794" s="259"/>
      <c r="EM794" s="259"/>
      <c r="EN794" s="259"/>
      <c r="EO794" s="259"/>
      <c r="EP794" s="259"/>
      <c r="EQ794" s="259"/>
      <c r="ER794" s="259"/>
      <c r="ES794" s="259"/>
      <c r="ET794" s="259"/>
      <c r="EU794" s="259"/>
      <c r="EV794" s="259"/>
      <c r="EW794" s="259"/>
      <c r="EX794" s="259"/>
      <c r="EY794" s="259"/>
      <c r="EZ794" s="259"/>
      <c r="FA794" s="259"/>
      <c r="FB794" s="259"/>
      <c r="FC794" s="259"/>
      <c r="FD794" s="259"/>
      <c r="FE794" s="259"/>
      <c r="FF794" s="259"/>
      <c r="FG794" s="259"/>
      <c r="FH794" s="259"/>
      <c r="FI794" s="259"/>
      <c r="FJ794" s="259"/>
      <c r="FK794" s="259"/>
      <c r="FL794" s="259"/>
      <c r="FM794" s="259"/>
      <c r="FN794" s="259"/>
      <c r="FO794" s="259"/>
      <c r="FP794" s="259"/>
      <c r="FQ794" s="259"/>
      <c r="FR794" s="259"/>
      <c r="FS794" s="259"/>
      <c r="FT794" s="259"/>
      <c r="FU794" s="259"/>
      <c r="FV794" s="259"/>
      <c r="FW794" s="259"/>
      <c r="FX794" s="259"/>
      <c r="FY794" s="259"/>
      <c r="FZ794" s="259"/>
      <c r="GA794" s="259"/>
      <c r="GB794" s="259"/>
      <c r="GC794" s="259"/>
      <c r="GD794" s="259"/>
      <c r="GE794" s="259"/>
      <c r="GF794" s="259"/>
      <c r="GG794" s="259"/>
      <c r="GH794" s="259"/>
      <c r="GI794" s="259"/>
      <c r="GJ794" s="259"/>
      <c r="GK794" s="259"/>
      <c r="GL794" s="259"/>
      <c r="GM794" s="259"/>
      <c r="GN794" s="259"/>
      <c r="GO794" s="259"/>
      <c r="GP794" s="259"/>
      <c r="GQ794" s="259"/>
      <c r="GR794" s="259"/>
      <c r="GS794" s="259"/>
      <c r="GT794" s="259"/>
      <c r="GU794" s="259"/>
      <c r="GV794" s="259"/>
      <c r="GW794" s="259"/>
      <c r="GX794" s="259"/>
      <c r="GY794" s="259"/>
      <c r="GZ794" s="259"/>
      <c r="HA794" s="259"/>
      <c r="HB794" s="259"/>
      <c r="HC794" s="259"/>
      <c r="HD794" s="259"/>
      <c r="HE794" s="259"/>
      <c r="HF794" s="259"/>
      <c r="HG794" s="259"/>
      <c r="HH794" s="259"/>
      <c r="HI794" s="259"/>
      <c r="HJ794" s="259"/>
      <c r="HK794" s="259"/>
      <c r="HL794" s="259"/>
      <c r="HM794" s="259"/>
      <c r="HN794" s="259"/>
      <c r="HO794" s="259"/>
      <c r="HP794" s="259"/>
      <c r="HQ794" s="259"/>
      <c r="HR794" s="259"/>
      <c r="HS794" s="259"/>
      <c r="HT794" s="259"/>
      <c r="HU794" s="259"/>
      <c r="HV794" s="259"/>
      <c r="HW794" s="259"/>
      <c r="HX794" s="259"/>
      <c r="HY794" s="259"/>
      <c r="HZ794" s="259"/>
      <c r="IA794" s="259"/>
      <c r="IB794" s="259"/>
      <c r="IC794" s="259"/>
      <c r="ID794" s="259"/>
      <c r="IE794" s="259"/>
      <c r="IF794" s="259"/>
      <c r="IG794" s="259"/>
      <c r="IH794" s="259"/>
      <c r="II794" s="259"/>
      <c r="IJ794" s="259"/>
      <c r="IK794" s="259"/>
      <c r="IL794" s="259"/>
      <c r="IM794" s="259"/>
      <c r="IN794" s="259"/>
      <c r="IO794" s="259"/>
      <c r="IP794" s="259"/>
      <c r="IQ794" s="259"/>
      <c r="IR794" s="259"/>
      <c r="IS794" s="259"/>
      <c r="IT794" s="259"/>
      <c r="IU794" s="259"/>
      <c r="IV794" s="259"/>
      <c r="IW794" s="259"/>
      <c r="IX794" s="259"/>
      <c r="IY794" s="259"/>
      <c r="IZ794" s="259"/>
      <c r="JA794" s="259"/>
      <c r="JB794" s="259"/>
      <c r="JC794" s="259"/>
      <c r="JD794" s="259"/>
      <c r="JE794" s="259"/>
      <c r="JF794" s="259"/>
      <c r="JG794" s="259"/>
      <c r="JH794" s="259"/>
      <c r="JI794" s="259"/>
      <c r="JJ794" s="259"/>
      <c r="JK794" s="259"/>
      <c r="JL794" s="259"/>
      <c r="JM794" s="259"/>
      <c r="JN794" s="259"/>
      <c r="JO794" s="259"/>
      <c r="JP794" s="259"/>
      <c r="JQ794" s="259"/>
      <c r="JR794" s="259"/>
      <c r="JS794" s="259"/>
      <c r="JT794" s="259"/>
      <c r="JU794" s="259"/>
      <c r="JV794" s="259"/>
      <c r="JW794" s="259"/>
      <c r="JX794" s="259"/>
      <c r="JY794" s="259"/>
      <c r="JZ794" s="259"/>
      <c r="KA794" s="259"/>
      <c r="KB794" s="259"/>
      <c r="KC794" s="259"/>
      <c r="KD794" s="259"/>
      <c r="KE794" s="259"/>
      <c r="KF794" s="259"/>
      <c r="KG794" s="259"/>
      <c r="KH794" s="259"/>
      <c r="KI794" s="259"/>
      <c r="KJ794" s="259"/>
      <c r="KK794" s="259"/>
      <c r="KL794" s="259"/>
      <c r="KM794" s="259"/>
      <c r="KN794" s="259"/>
      <c r="KO794" s="259"/>
      <c r="KP794" s="259"/>
      <c r="KQ794" s="259"/>
      <c r="KR794" s="259"/>
      <c r="KS794" s="259"/>
      <c r="KT794" s="259"/>
      <c r="KU794" s="259"/>
      <c r="KV794" s="259"/>
      <c r="KW794" s="259"/>
      <c r="KX794" s="259"/>
      <c r="KY794" s="259"/>
      <c r="KZ794" s="259"/>
      <c r="LA794" s="259"/>
      <c r="LB794" s="259"/>
      <c r="LC794" s="259"/>
      <c r="LD794" s="259"/>
      <c r="LE794" s="259"/>
      <c r="LF794" s="259"/>
      <c r="LG794" s="259"/>
      <c r="LH794" s="259"/>
      <c r="LI794" s="259"/>
      <c r="LJ794" s="259"/>
      <c r="LK794" s="259"/>
      <c r="LL794" s="259"/>
      <c r="LM794" s="259"/>
      <c r="LN794" s="259"/>
      <c r="LO794" s="259"/>
      <c r="LP794" s="259"/>
      <c r="LQ794" s="259"/>
      <c r="LR794" s="259"/>
      <c r="LS794" s="259"/>
      <c r="LT794" s="259"/>
      <c r="LU794" s="259"/>
      <c r="LV794" s="259"/>
      <c r="LW794" s="259"/>
      <c r="LX794" s="259"/>
      <c r="LY794" s="259"/>
      <c r="LZ794" s="259"/>
      <c r="MA794" s="259"/>
      <c r="MB794" s="259"/>
      <c r="MC794" s="259"/>
      <c r="MD794" s="259"/>
      <c r="ME794" s="259"/>
      <c r="MF794" s="259"/>
      <c r="MG794" s="259"/>
      <c r="MH794" s="259"/>
      <c r="MI794" s="259"/>
      <c r="MJ794" s="259"/>
      <c r="MK794" s="259"/>
      <c r="ML794" s="259"/>
      <c r="MM794" s="259"/>
      <c r="MN794" s="259"/>
      <c r="MO794" s="259"/>
      <c r="MP794" s="259"/>
      <c r="MQ794" s="259"/>
      <c r="MR794" s="259"/>
      <c r="MS794" s="259"/>
      <c r="MT794" s="259"/>
      <c r="MU794" s="259"/>
      <c r="MV794" s="259"/>
      <c r="MW794" s="259"/>
      <c r="MX794" s="259"/>
      <c r="MY794" s="259"/>
      <c r="MZ794" s="259"/>
      <c r="NA794" s="259"/>
      <c r="NB794" s="259"/>
      <c r="NC794" s="259"/>
      <c r="ND794" s="259"/>
      <c r="NE794" s="259"/>
      <c r="NF794" s="259"/>
      <c r="NG794" s="259"/>
      <c r="NH794" s="259"/>
      <c r="NI794" s="259"/>
      <c r="NJ794" s="259"/>
      <c r="NK794" s="259"/>
      <c r="NL794" s="259"/>
      <c r="NM794" s="259"/>
      <c r="NN794" s="259"/>
      <c r="NO794" s="259"/>
      <c r="NP794" s="259"/>
      <c r="NQ794" s="259"/>
      <c r="NR794" s="259"/>
      <c r="NS794" s="259"/>
      <c r="NT794" s="259"/>
      <c r="NU794" s="259"/>
      <c r="NV794" s="259"/>
      <c r="NW794" s="259"/>
      <c r="NX794" s="259"/>
      <c r="NY794" s="259"/>
      <c r="NZ794" s="259"/>
      <c r="OA794" s="259"/>
      <c r="OB794" s="259"/>
      <c r="OC794" s="259"/>
      <c r="OD794" s="259"/>
      <c r="OE794" s="259"/>
      <c r="OF794" s="259"/>
      <c r="OG794" s="259"/>
      <c r="OH794" s="259"/>
      <c r="OI794" s="259"/>
      <c r="OJ794" s="259"/>
      <c r="OK794" s="259"/>
      <c r="OL794" s="259"/>
      <c r="OM794" s="259"/>
      <c r="ON794" s="259"/>
      <c r="OO794" s="259"/>
      <c r="OP794" s="259"/>
      <c r="OQ794" s="259"/>
      <c r="OR794" s="259"/>
      <c r="OS794" s="259"/>
      <c r="OT794" s="259"/>
      <c r="OU794" s="259"/>
      <c r="OV794" s="259"/>
      <c r="OW794" s="259"/>
      <c r="OX794" s="259"/>
      <c r="OY794" s="259"/>
      <c r="OZ794" s="259"/>
      <c r="PA794" s="259"/>
      <c r="PB794" s="259"/>
      <c r="PC794" s="259"/>
      <c r="PD794" s="259"/>
      <c r="PE794" s="259"/>
      <c r="PF794" s="259"/>
      <c r="PG794" s="259"/>
      <c r="PH794" s="259"/>
      <c r="PI794" s="259"/>
      <c r="PJ794" s="259"/>
      <c r="PK794" s="259"/>
      <c r="PL794" s="259"/>
      <c r="PM794" s="259"/>
      <c r="PN794" s="259"/>
      <c r="PO794" s="259"/>
      <c r="PP794" s="259"/>
      <c r="PQ794" s="259"/>
      <c r="PR794" s="259"/>
      <c r="PS794" s="259"/>
      <c r="PT794" s="259"/>
      <c r="PU794" s="259"/>
      <c r="PV794" s="259"/>
      <c r="PW794" s="259"/>
      <c r="PX794" s="259"/>
      <c r="PY794" s="259"/>
      <c r="PZ794" s="259"/>
      <c r="QA794" s="259"/>
      <c r="QB794" s="259"/>
      <c r="QC794" s="259"/>
      <c r="QD794" s="259"/>
      <c r="QE794" s="259"/>
      <c r="QF794" s="259"/>
      <c r="QG794" s="259"/>
      <c r="QH794" s="259"/>
      <c r="QI794" s="259"/>
      <c r="QJ794" s="259"/>
      <c r="QK794" s="259"/>
      <c r="QL794" s="259"/>
      <c r="QM794" s="259"/>
      <c r="QN794" s="259"/>
      <c r="QO794" s="259"/>
      <c r="QP794" s="259"/>
      <c r="QQ794" s="259"/>
      <c r="QR794" s="259"/>
      <c r="QS794" s="259"/>
      <c r="QT794" s="259"/>
      <c r="QU794" s="259"/>
      <c r="QV794" s="259"/>
      <c r="QW794" s="259"/>
      <c r="QX794" s="259"/>
      <c r="QY794" s="259"/>
      <c r="QZ794" s="259"/>
      <c r="RA794" s="259"/>
      <c r="RB794" s="259"/>
      <c r="RC794" s="259"/>
      <c r="RD794" s="259"/>
      <c r="RE794" s="259"/>
      <c r="RF794" s="259"/>
      <c r="RG794" s="259"/>
      <c r="RH794" s="259"/>
      <c r="RI794" s="259"/>
      <c r="RJ794" s="259"/>
      <c r="RK794" s="259"/>
      <c r="RL794" s="259"/>
      <c r="RM794" s="259"/>
      <c r="RN794" s="259"/>
      <c r="RO794" s="259"/>
      <c r="RP794" s="259"/>
      <c r="RQ794" s="259"/>
      <c r="RR794" s="259"/>
      <c r="RS794" s="259"/>
      <c r="RT794" s="259"/>
      <c r="RU794" s="259"/>
      <c r="RV794" s="259"/>
      <c r="RW794" s="259"/>
      <c r="RX794" s="259"/>
      <c r="RY794" s="259"/>
      <c r="RZ794" s="259"/>
      <c r="SA794" s="259"/>
      <c r="SB794" s="259"/>
      <c r="SC794" s="259"/>
      <c r="SD794" s="259"/>
      <c r="SE794" s="259"/>
      <c r="SF794" s="259"/>
      <c r="SG794" s="259"/>
      <c r="SH794" s="259"/>
      <c r="SI794" s="259"/>
      <c r="SJ794" s="259"/>
      <c r="SK794" s="259"/>
      <c r="SL794" s="259"/>
      <c r="SM794" s="259"/>
      <c r="SN794" s="259"/>
      <c r="SO794" s="259"/>
      <c r="SP794" s="259"/>
      <c r="SQ794" s="259"/>
      <c r="SR794" s="259"/>
      <c r="SS794" s="259"/>
      <c r="ST794" s="259"/>
      <c r="SU794" s="259"/>
      <c r="SV794" s="259"/>
      <c r="SW794" s="259"/>
      <c r="SX794" s="259"/>
      <c r="SY794" s="259"/>
      <c r="SZ794" s="259"/>
      <c r="TA794" s="259"/>
      <c r="TB794" s="259"/>
      <c r="TC794" s="259"/>
      <c r="TD794" s="259"/>
      <c r="TE794" s="259"/>
      <c r="TF794" s="259"/>
      <c r="TG794" s="259"/>
      <c r="TH794" s="259"/>
      <c r="TI794" s="259"/>
      <c r="TJ794" s="259"/>
      <c r="TK794" s="259"/>
      <c r="TL794" s="259"/>
      <c r="TM794" s="259"/>
      <c r="TN794" s="259"/>
      <c r="TO794" s="259"/>
      <c r="TP794" s="259"/>
      <c r="TQ794" s="259"/>
      <c r="TR794" s="259"/>
      <c r="TS794" s="259"/>
      <c r="TT794" s="259"/>
      <c r="TU794" s="259"/>
      <c r="TV794" s="259"/>
      <c r="TW794" s="259"/>
      <c r="TX794" s="259"/>
      <c r="TY794" s="259"/>
      <c r="TZ794" s="259"/>
      <c r="UA794" s="259"/>
      <c r="UB794" s="259"/>
      <c r="UC794" s="259"/>
      <c r="UD794" s="259"/>
      <c r="UE794" s="259"/>
      <c r="UF794" s="259"/>
      <c r="UG794" s="259"/>
      <c r="UH794" s="259"/>
      <c r="UI794" s="259"/>
    </row>
    <row r="795" spans="1:555" s="259" customFormat="1" ht="75.75" customHeight="1">
      <c r="A795" s="57">
        <v>755</v>
      </c>
      <c r="B795" s="58" t="s">
        <v>6155</v>
      </c>
      <c r="C795" s="59">
        <v>79886435</v>
      </c>
      <c r="D795" s="170" t="s">
        <v>667</v>
      </c>
      <c r="E795" s="60">
        <v>43171</v>
      </c>
      <c r="F795" s="61">
        <v>43160</v>
      </c>
      <c r="G795" s="62" t="s">
        <v>6156</v>
      </c>
      <c r="H795" s="58" t="s">
        <v>625</v>
      </c>
      <c r="I795" s="58" t="s">
        <v>6157</v>
      </c>
      <c r="J795" s="60">
        <v>43187</v>
      </c>
      <c r="K795" s="61">
        <v>43160</v>
      </c>
      <c r="L795" s="62" t="s">
        <v>6158</v>
      </c>
      <c r="M795" s="58" t="s">
        <v>152</v>
      </c>
      <c r="N795" s="58" t="s">
        <v>6159</v>
      </c>
      <c r="O795" s="60">
        <v>43196</v>
      </c>
      <c r="P795" s="63">
        <v>43191</v>
      </c>
      <c r="Q795" s="62" t="s">
        <v>6160</v>
      </c>
      <c r="R795" s="58" t="s">
        <v>625</v>
      </c>
      <c r="S795" s="58" t="s">
        <v>6161</v>
      </c>
      <c r="T795" s="60">
        <v>43556</v>
      </c>
      <c r="U795" s="857">
        <v>43556</v>
      </c>
      <c r="V795" s="62" t="s">
        <v>8480</v>
      </c>
      <c r="W795" s="58" t="s">
        <v>63</v>
      </c>
      <c r="X795" s="58" t="s">
        <v>79</v>
      </c>
      <c r="Y795" s="60">
        <v>43879</v>
      </c>
      <c r="Z795" s="857">
        <v>43879</v>
      </c>
      <c r="AA795" s="62" t="s">
        <v>9471</v>
      </c>
      <c r="AB795" s="58" t="s">
        <v>63</v>
      </c>
      <c r="AC795" s="58" t="s">
        <v>8243</v>
      </c>
      <c r="AD795" s="147">
        <v>44027</v>
      </c>
      <c r="AE795" s="21">
        <v>44027</v>
      </c>
      <c r="AF795" s="424" t="s">
        <v>9751</v>
      </c>
      <c r="AG795" s="201" t="s">
        <v>63</v>
      </c>
      <c r="AH795" s="428" t="s">
        <v>9511</v>
      </c>
      <c r="AI795" s="117"/>
      <c r="AJ795" s="61"/>
      <c r="AK795" s="62"/>
      <c r="AL795" s="58"/>
      <c r="AM795" s="58"/>
      <c r="AN795" s="58" t="s">
        <v>918</v>
      </c>
      <c r="AO795" s="478" t="s">
        <v>7947</v>
      </c>
      <c r="AP795" s="118" t="s">
        <v>2558</v>
      </c>
      <c r="AQ795" s="62" t="s">
        <v>6162</v>
      </c>
      <c r="AR795" s="58" t="s">
        <v>6163</v>
      </c>
      <c r="AS795" s="60" t="s">
        <v>6164</v>
      </c>
      <c r="AT795" s="60" t="s">
        <v>6165</v>
      </c>
      <c r="AU795" s="58" t="s">
        <v>6166</v>
      </c>
      <c r="AV795" s="58"/>
      <c r="AW795" s="58" t="s">
        <v>92</v>
      </c>
      <c r="AX795" s="58" t="s">
        <v>6167</v>
      </c>
      <c r="AY795" s="60">
        <v>41516</v>
      </c>
      <c r="AZ795" s="58" t="s">
        <v>5226</v>
      </c>
      <c r="BA795" s="60">
        <v>42818</v>
      </c>
      <c r="BB795" s="680" t="s">
        <v>6168</v>
      </c>
      <c r="BC795" s="58" t="s">
        <v>95</v>
      </c>
      <c r="BD795" s="58" t="s">
        <v>4478</v>
      </c>
      <c r="BE795" s="58"/>
      <c r="BF795" s="62"/>
      <c r="BG795" s="62"/>
      <c r="BH795" s="62"/>
      <c r="BI795" s="62"/>
      <c r="BJ795" s="209">
        <f>+[308]MATRIZ!$J$37</f>
        <v>8459765.6948298551</v>
      </c>
      <c r="BK795" s="67"/>
      <c r="BL795" s="68"/>
      <c r="BM795" s="60"/>
      <c r="BN795" s="61"/>
      <c r="BO795" s="463"/>
      <c r="BP795" s="122"/>
      <c r="BQ795" s="58"/>
      <c r="BR795" s="70"/>
      <c r="BS795" s="62"/>
      <c r="BT795" s="62"/>
      <c r="BU795" s="62"/>
      <c r="BV795" s="62"/>
      <c r="BW795" s="71"/>
      <c r="BX795" s="66"/>
      <c r="BY795" s="60"/>
      <c r="BZ795" s="72"/>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c r="JW795" s="1"/>
      <c r="JX795" s="1"/>
      <c r="JY795" s="1"/>
      <c r="JZ795" s="1"/>
      <c r="KA795" s="1"/>
      <c r="KB795" s="1"/>
      <c r="KC795" s="1"/>
      <c r="KD795" s="1"/>
      <c r="KE795" s="1"/>
      <c r="KF795" s="1"/>
      <c r="KG795" s="1"/>
      <c r="KH795" s="1"/>
      <c r="KI795" s="1"/>
      <c r="KJ795" s="1"/>
      <c r="KK795" s="1"/>
      <c r="KL795" s="1"/>
      <c r="KM795" s="1"/>
      <c r="KN795" s="1"/>
      <c r="KO795" s="1"/>
      <c r="KP795" s="1"/>
      <c r="KQ795" s="1"/>
      <c r="KR795" s="1"/>
      <c r="KS795" s="1"/>
      <c r="KT795" s="1"/>
      <c r="KU795" s="1"/>
      <c r="KV795" s="1"/>
      <c r="KW795" s="1"/>
      <c r="KX795" s="1"/>
      <c r="KY795" s="1"/>
      <c r="KZ795" s="1"/>
      <c r="LA795" s="1"/>
      <c r="LB795" s="1"/>
      <c r="LC795" s="1"/>
      <c r="LD795" s="1"/>
      <c r="LE795" s="1"/>
      <c r="LF795" s="1"/>
      <c r="LG795" s="1"/>
      <c r="LH795" s="1"/>
      <c r="LI795" s="1"/>
      <c r="LJ795" s="1"/>
      <c r="LK795" s="1"/>
      <c r="LL795" s="1"/>
      <c r="LM795" s="1"/>
      <c r="LN795" s="1"/>
      <c r="LO795" s="1"/>
      <c r="LP795" s="1"/>
      <c r="LQ795" s="1"/>
      <c r="LR795" s="1"/>
      <c r="LS795" s="1"/>
      <c r="LT795" s="1"/>
      <c r="LU795" s="1"/>
      <c r="LV795" s="1"/>
      <c r="LW795" s="1"/>
      <c r="LX795" s="1"/>
      <c r="LY795" s="1"/>
      <c r="LZ795" s="1"/>
      <c r="MA795" s="1"/>
      <c r="MB795" s="1"/>
      <c r="MC795" s="1"/>
      <c r="MD795" s="1"/>
      <c r="ME795" s="1"/>
      <c r="MF795" s="1"/>
      <c r="MG795" s="1"/>
      <c r="MH795" s="1"/>
      <c r="MI795" s="1"/>
      <c r="MJ795" s="1"/>
      <c r="MK795" s="1"/>
      <c r="ML795" s="1"/>
      <c r="MM795" s="1"/>
      <c r="MN795" s="1"/>
      <c r="MO795" s="1"/>
      <c r="MP795" s="1"/>
      <c r="MQ795" s="1"/>
      <c r="MR795" s="1"/>
      <c r="MS795" s="1"/>
      <c r="MT795" s="1"/>
      <c r="MU795" s="1"/>
      <c r="MV795" s="1"/>
      <c r="MW795" s="1"/>
      <c r="MX795" s="1"/>
      <c r="MY795" s="1"/>
      <c r="MZ795" s="1"/>
      <c r="NA795" s="1"/>
      <c r="NB795" s="1"/>
      <c r="NC795" s="1"/>
      <c r="ND795" s="1"/>
      <c r="NE795" s="1"/>
      <c r="NF795" s="1"/>
      <c r="NG795" s="1"/>
      <c r="NH795" s="1"/>
      <c r="NI795" s="1"/>
      <c r="NJ795" s="1"/>
      <c r="NK795" s="1"/>
      <c r="NL795" s="1"/>
      <c r="NM795" s="1"/>
      <c r="NN795" s="1"/>
      <c r="NO795" s="1"/>
      <c r="NP795" s="1"/>
      <c r="NQ795" s="1"/>
      <c r="NR795" s="1"/>
      <c r="NS795" s="1"/>
      <c r="NT795" s="1"/>
      <c r="NU795" s="1"/>
      <c r="NV795" s="1"/>
      <c r="NW795" s="1"/>
      <c r="NX795" s="1"/>
      <c r="NY795" s="1"/>
      <c r="NZ795" s="1"/>
      <c r="OA795" s="1"/>
      <c r="OB795" s="1"/>
      <c r="OC795" s="1"/>
      <c r="OD795" s="1"/>
      <c r="OE795" s="1"/>
      <c r="OF795" s="1"/>
      <c r="OG795" s="1"/>
      <c r="OH795" s="1"/>
      <c r="OI795" s="1"/>
      <c r="OJ795" s="1"/>
      <c r="OK795" s="1"/>
      <c r="OL795" s="1"/>
      <c r="OM795" s="1"/>
      <c r="ON795" s="1"/>
      <c r="OO795" s="1"/>
      <c r="OP795" s="1"/>
      <c r="OQ795" s="1"/>
      <c r="OR795" s="1"/>
      <c r="OS795" s="1"/>
      <c r="OT795" s="1"/>
      <c r="OU795" s="1"/>
      <c r="OV795" s="1"/>
      <c r="OW795" s="1"/>
      <c r="OX795" s="1"/>
      <c r="OY795" s="1"/>
      <c r="OZ795" s="1"/>
      <c r="PA795" s="1"/>
      <c r="PB795" s="1"/>
      <c r="PC795" s="1"/>
      <c r="PD795" s="1"/>
      <c r="PE795" s="1"/>
      <c r="PF795" s="1"/>
      <c r="PG795" s="1"/>
      <c r="PH795" s="1"/>
      <c r="PI795" s="1"/>
      <c r="PJ795" s="1"/>
      <c r="PK795" s="1"/>
      <c r="PL795" s="1"/>
      <c r="PM795" s="1"/>
      <c r="PN795" s="1"/>
      <c r="PO795" s="1"/>
      <c r="PP795" s="1"/>
      <c r="PQ795" s="1"/>
      <c r="PR795" s="1"/>
      <c r="PS795" s="1"/>
      <c r="PT795" s="1"/>
      <c r="PU795" s="1"/>
      <c r="PV795" s="1"/>
      <c r="PW795" s="1"/>
      <c r="PX795" s="1"/>
      <c r="PY795" s="1"/>
      <c r="PZ795" s="1"/>
      <c r="QA795" s="1"/>
      <c r="QB795" s="1"/>
      <c r="QC795" s="1"/>
      <c r="QD795" s="1"/>
      <c r="QE795" s="1"/>
      <c r="QF795" s="1"/>
      <c r="QG795" s="1"/>
      <c r="QH795" s="1"/>
      <c r="QI795" s="1"/>
      <c r="QJ795" s="1"/>
      <c r="QK795" s="1"/>
      <c r="QL795" s="1"/>
      <c r="QM795" s="1"/>
      <c r="QN795" s="1"/>
      <c r="QO795" s="1"/>
      <c r="QP795" s="1"/>
      <c r="QQ795" s="1"/>
      <c r="QR795" s="1"/>
      <c r="QS795" s="1"/>
      <c r="QT795" s="1"/>
      <c r="QU795" s="1"/>
      <c r="QV795" s="1"/>
      <c r="QW795" s="1"/>
      <c r="QX795" s="1"/>
      <c r="QY795" s="1"/>
      <c r="QZ795" s="1"/>
      <c r="RA795" s="1"/>
      <c r="RB795" s="1"/>
      <c r="RC795" s="1"/>
      <c r="RD795" s="1"/>
      <c r="RE795" s="1"/>
      <c r="RF795" s="1"/>
      <c r="RG795" s="1"/>
      <c r="RH795" s="1"/>
      <c r="RI795" s="1"/>
      <c r="RJ795" s="1"/>
      <c r="RK795" s="1"/>
      <c r="RL795" s="1"/>
      <c r="RM795" s="1"/>
      <c r="RN795" s="1"/>
      <c r="RO795" s="1"/>
      <c r="RP795" s="1"/>
      <c r="RQ795" s="1"/>
      <c r="RR795" s="1"/>
      <c r="RS795" s="1"/>
      <c r="RT795" s="1"/>
      <c r="RU795" s="1"/>
      <c r="RV795" s="1"/>
      <c r="RW795" s="1"/>
      <c r="RX795" s="1"/>
      <c r="RY795" s="1"/>
      <c r="RZ795" s="1"/>
      <c r="SA795" s="1"/>
      <c r="SB795" s="1"/>
      <c r="SC795" s="1"/>
      <c r="SD795" s="1"/>
      <c r="SE795" s="1"/>
      <c r="SF795" s="1"/>
      <c r="SG795" s="1"/>
      <c r="SH795" s="1"/>
      <c r="SI795" s="1"/>
      <c r="SJ795" s="1"/>
      <c r="SK795" s="1"/>
      <c r="SL795" s="1"/>
      <c r="SM795" s="1"/>
      <c r="SN795" s="1"/>
      <c r="SO795" s="1"/>
      <c r="SP795" s="1"/>
      <c r="SQ795" s="1"/>
      <c r="SR795" s="1"/>
      <c r="SS795" s="1"/>
      <c r="ST795" s="1"/>
      <c r="SU795" s="1"/>
      <c r="SV795" s="1"/>
      <c r="SW795" s="1"/>
      <c r="SX795" s="1"/>
      <c r="SY795" s="1"/>
      <c r="SZ795" s="1"/>
      <c r="TA795" s="1"/>
      <c r="TB795" s="1"/>
      <c r="TC795" s="1"/>
      <c r="TD795" s="1"/>
      <c r="TE795" s="1"/>
      <c r="TF795" s="1"/>
      <c r="TG795" s="1"/>
      <c r="TH795" s="1"/>
      <c r="TI795" s="1"/>
      <c r="TJ795" s="1"/>
      <c r="TK795" s="1"/>
      <c r="TL795" s="1"/>
      <c r="TM795" s="1"/>
      <c r="TN795" s="1"/>
      <c r="TO795" s="1"/>
      <c r="TP795" s="1"/>
      <c r="TQ795" s="1"/>
      <c r="TR795" s="1"/>
      <c r="TS795" s="1"/>
      <c r="TT795" s="1"/>
      <c r="TU795" s="1"/>
      <c r="TV795" s="1"/>
      <c r="TW795" s="1"/>
      <c r="TX795" s="1"/>
      <c r="TY795" s="1"/>
      <c r="TZ795" s="1"/>
      <c r="UA795" s="1"/>
      <c r="UB795" s="1"/>
      <c r="UC795" s="1"/>
      <c r="UD795" s="1"/>
      <c r="UE795" s="1"/>
      <c r="UF795" s="1"/>
      <c r="UG795" s="1"/>
      <c r="UH795" s="1"/>
      <c r="UI795" s="1"/>
    </row>
    <row r="796" spans="1:555" s="685" customFormat="1" ht="67.5">
      <c r="A796" s="57">
        <v>757</v>
      </c>
      <c r="B796" s="58" t="s">
        <v>6172</v>
      </c>
      <c r="C796" s="59">
        <v>93445457</v>
      </c>
      <c r="D796" s="170" t="s">
        <v>2446</v>
      </c>
      <c r="E796" s="60">
        <v>43174</v>
      </c>
      <c r="F796" s="61">
        <v>43160</v>
      </c>
      <c r="G796" s="62" t="s">
        <v>6173</v>
      </c>
      <c r="H796" s="58" t="s">
        <v>1493</v>
      </c>
      <c r="I796" s="58" t="s">
        <v>6174</v>
      </c>
      <c r="J796" s="60">
        <v>43202</v>
      </c>
      <c r="K796" s="61">
        <v>43191</v>
      </c>
      <c r="L796" s="62" t="s">
        <v>6175</v>
      </c>
      <c r="M796" s="58" t="s">
        <v>625</v>
      </c>
      <c r="N796" s="58" t="s">
        <v>6035</v>
      </c>
      <c r="O796" s="60">
        <v>43203</v>
      </c>
      <c r="P796" s="63">
        <v>43191</v>
      </c>
      <c r="Q796" s="62" t="s">
        <v>6176</v>
      </c>
      <c r="R796" s="58" t="s">
        <v>625</v>
      </c>
      <c r="S796" s="58" t="s">
        <v>6005</v>
      </c>
      <c r="T796" s="60">
        <v>43417</v>
      </c>
      <c r="U796" s="61">
        <v>43417</v>
      </c>
      <c r="V796" s="62" t="s">
        <v>7441</v>
      </c>
      <c r="W796" s="58" t="s">
        <v>5</v>
      </c>
      <c r="X796" s="58" t="s">
        <v>85</v>
      </c>
      <c r="Y796" s="60"/>
      <c r="Z796" s="61"/>
      <c r="AA796" s="62"/>
      <c r="AB796" s="58"/>
      <c r="AC796" s="58"/>
      <c r="AD796" s="60"/>
      <c r="AE796" s="61"/>
      <c r="AF796" s="62"/>
      <c r="AG796" s="58"/>
      <c r="AH796" s="58"/>
      <c r="AI796" s="117"/>
      <c r="AJ796" s="61"/>
      <c r="AK796" s="62"/>
      <c r="AL796" s="58"/>
      <c r="AM796" s="58"/>
      <c r="AN796" s="58" t="s">
        <v>918</v>
      </c>
      <c r="AO796" s="479">
        <v>43417</v>
      </c>
      <c r="AP796" s="119" t="s">
        <v>2558</v>
      </c>
      <c r="AQ796" s="62" t="s">
        <v>6177</v>
      </c>
      <c r="AR796" s="58" t="s">
        <v>2395</v>
      </c>
      <c r="AS796" s="60">
        <v>40118</v>
      </c>
      <c r="AT796" s="60">
        <v>40862</v>
      </c>
      <c r="AU796" s="58" t="s">
        <v>7525</v>
      </c>
      <c r="AV796" s="58"/>
      <c r="AW796" s="58" t="s">
        <v>69</v>
      </c>
      <c r="AX796" s="58" t="s">
        <v>6178</v>
      </c>
      <c r="AY796" s="60">
        <v>42300</v>
      </c>
      <c r="AZ796" s="58" t="s">
        <v>5726</v>
      </c>
      <c r="BA796" s="60">
        <v>43146</v>
      </c>
      <c r="BB796" s="382">
        <v>43180</v>
      </c>
      <c r="BC796" s="58" t="s">
        <v>95</v>
      </c>
      <c r="BD796" s="58" t="s">
        <v>1792</v>
      </c>
      <c r="BE796" s="58"/>
      <c r="BF796" s="62"/>
      <c r="BG796" s="62"/>
      <c r="BH796" s="62"/>
      <c r="BI796" s="62"/>
      <c r="BJ796" s="209">
        <f>+'[309]MATRIZ '!$J$52</f>
        <v>8387789.738301442</v>
      </c>
      <c r="BK796" s="67"/>
      <c r="BL796" s="68"/>
      <c r="BM796" s="60"/>
      <c r="BN796" s="61"/>
      <c r="BO796" s="463"/>
      <c r="BP796" s="122"/>
      <c r="BQ796" s="58"/>
      <c r="BR796" s="70"/>
      <c r="BS796" s="62"/>
      <c r="BT796" s="62"/>
      <c r="BU796" s="62"/>
      <c r="BV796" s="62"/>
      <c r="BW796" s="71"/>
      <c r="BX796" s="66"/>
      <c r="BY796" s="60"/>
      <c r="BZ796" s="72"/>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c r="JW796" s="1"/>
      <c r="JX796" s="1"/>
      <c r="JY796" s="1"/>
      <c r="JZ796" s="1"/>
      <c r="KA796" s="1"/>
      <c r="KB796" s="1"/>
      <c r="KC796" s="1"/>
      <c r="KD796" s="1"/>
      <c r="KE796" s="1"/>
      <c r="KF796" s="1"/>
      <c r="KG796" s="1"/>
      <c r="KH796" s="1"/>
      <c r="KI796" s="1"/>
      <c r="KJ796" s="1"/>
      <c r="KK796" s="1"/>
      <c r="KL796" s="1"/>
      <c r="KM796" s="1"/>
      <c r="KN796" s="1"/>
      <c r="KO796" s="1"/>
      <c r="KP796" s="1"/>
      <c r="KQ796" s="1"/>
      <c r="KR796" s="1"/>
      <c r="KS796" s="1"/>
      <c r="KT796" s="1"/>
      <c r="KU796" s="1"/>
      <c r="KV796" s="1"/>
      <c r="KW796" s="1"/>
      <c r="KX796" s="1"/>
      <c r="KY796" s="1"/>
      <c r="KZ796" s="1"/>
      <c r="LA796" s="1"/>
      <c r="LB796" s="1"/>
      <c r="LC796" s="1"/>
      <c r="LD796" s="1"/>
      <c r="LE796" s="1"/>
      <c r="LF796" s="1"/>
      <c r="LG796" s="1"/>
      <c r="LH796" s="1"/>
      <c r="LI796" s="1"/>
      <c r="LJ796" s="1"/>
      <c r="LK796" s="1"/>
      <c r="LL796" s="1"/>
      <c r="LM796" s="1"/>
      <c r="LN796" s="1"/>
      <c r="LO796" s="1"/>
      <c r="LP796" s="1"/>
      <c r="LQ796" s="1"/>
      <c r="LR796" s="1"/>
      <c r="LS796" s="1"/>
      <c r="LT796" s="1"/>
      <c r="LU796" s="1"/>
      <c r="LV796" s="1"/>
      <c r="LW796" s="1"/>
      <c r="LX796" s="1"/>
      <c r="LY796" s="1"/>
      <c r="LZ796" s="1"/>
      <c r="MA796" s="1"/>
      <c r="MB796" s="1"/>
      <c r="MC796" s="1"/>
      <c r="MD796" s="1"/>
      <c r="ME796" s="1"/>
      <c r="MF796" s="1"/>
      <c r="MG796" s="1"/>
      <c r="MH796" s="1"/>
      <c r="MI796" s="1"/>
      <c r="MJ796" s="1"/>
      <c r="MK796" s="1"/>
      <c r="ML796" s="1"/>
      <c r="MM796" s="1"/>
      <c r="MN796" s="1"/>
      <c r="MO796" s="1"/>
      <c r="MP796" s="1"/>
      <c r="MQ796" s="1"/>
      <c r="MR796" s="1"/>
      <c r="MS796" s="1"/>
      <c r="MT796" s="1"/>
      <c r="MU796" s="1"/>
      <c r="MV796" s="1"/>
      <c r="MW796" s="1"/>
      <c r="MX796" s="1"/>
      <c r="MY796" s="1"/>
      <c r="MZ796" s="1"/>
      <c r="NA796" s="1"/>
      <c r="NB796" s="1"/>
      <c r="NC796" s="1"/>
      <c r="ND796" s="1"/>
      <c r="NE796" s="1"/>
      <c r="NF796" s="1"/>
      <c r="NG796" s="1"/>
      <c r="NH796" s="1"/>
      <c r="NI796" s="1"/>
      <c r="NJ796" s="1"/>
      <c r="NK796" s="1"/>
      <c r="NL796" s="1"/>
      <c r="NM796" s="1"/>
      <c r="NN796" s="1"/>
      <c r="NO796" s="1"/>
      <c r="NP796" s="1"/>
      <c r="NQ796" s="1"/>
      <c r="NR796" s="1"/>
      <c r="NS796" s="1"/>
      <c r="NT796" s="1"/>
      <c r="NU796" s="1"/>
      <c r="NV796" s="1"/>
      <c r="NW796" s="1"/>
      <c r="NX796" s="1"/>
      <c r="NY796" s="1"/>
      <c r="NZ796" s="1"/>
      <c r="OA796" s="1"/>
      <c r="OB796" s="1"/>
      <c r="OC796" s="1"/>
      <c r="OD796" s="1"/>
      <c r="OE796" s="1"/>
      <c r="OF796" s="1"/>
      <c r="OG796" s="1"/>
      <c r="OH796" s="1"/>
      <c r="OI796" s="1"/>
      <c r="OJ796" s="1"/>
      <c r="OK796" s="1"/>
      <c r="OL796" s="1"/>
      <c r="OM796" s="1"/>
      <c r="ON796" s="1"/>
      <c r="OO796" s="1"/>
      <c r="OP796" s="1"/>
      <c r="OQ796" s="1"/>
      <c r="OR796" s="1"/>
      <c r="OS796" s="1"/>
      <c r="OT796" s="1"/>
      <c r="OU796" s="1"/>
      <c r="OV796" s="1"/>
      <c r="OW796" s="1"/>
      <c r="OX796" s="1"/>
      <c r="OY796" s="1"/>
      <c r="OZ796" s="1"/>
      <c r="PA796" s="1"/>
      <c r="PB796" s="1"/>
      <c r="PC796" s="1"/>
      <c r="PD796" s="1"/>
      <c r="PE796" s="1"/>
      <c r="PF796" s="1"/>
      <c r="PG796" s="1"/>
      <c r="PH796" s="1"/>
      <c r="PI796" s="1"/>
      <c r="PJ796" s="1"/>
      <c r="PK796" s="1"/>
      <c r="PL796" s="1"/>
      <c r="PM796" s="1"/>
      <c r="PN796" s="1"/>
      <c r="PO796" s="1"/>
      <c r="PP796" s="1"/>
      <c r="PQ796" s="1"/>
      <c r="PR796" s="1"/>
      <c r="PS796" s="1"/>
      <c r="PT796" s="1"/>
      <c r="PU796" s="1"/>
      <c r="PV796" s="1"/>
      <c r="PW796" s="1"/>
      <c r="PX796" s="1"/>
      <c r="PY796" s="1"/>
      <c r="PZ796" s="1"/>
      <c r="QA796" s="1"/>
      <c r="QB796" s="1"/>
      <c r="QC796" s="1"/>
      <c r="QD796" s="1"/>
      <c r="QE796" s="1"/>
      <c r="QF796" s="1"/>
      <c r="QG796" s="1"/>
      <c r="QH796" s="1"/>
      <c r="QI796" s="1"/>
      <c r="QJ796" s="1"/>
      <c r="QK796" s="1"/>
      <c r="QL796" s="1"/>
      <c r="QM796" s="1"/>
      <c r="QN796" s="1"/>
      <c r="QO796" s="1"/>
      <c r="QP796" s="1"/>
      <c r="QQ796" s="1"/>
      <c r="QR796" s="1"/>
      <c r="QS796" s="1"/>
      <c r="QT796" s="1"/>
      <c r="QU796" s="1"/>
      <c r="QV796" s="1"/>
      <c r="QW796" s="1"/>
      <c r="QX796" s="1"/>
      <c r="QY796" s="1"/>
      <c r="QZ796" s="1"/>
      <c r="RA796" s="1"/>
      <c r="RB796" s="1"/>
      <c r="RC796" s="1"/>
      <c r="RD796" s="1"/>
      <c r="RE796" s="1"/>
      <c r="RF796" s="1"/>
      <c r="RG796" s="1"/>
      <c r="RH796" s="1"/>
      <c r="RI796" s="1"/>
      <c r="RJ796" s="1"/>
      <c r="RK796" s="1"/>
      <c r="RL796" s="1"/>
      <c r="RM796" s="1"/>
      <c r="RN796" s="1"/>
      <c r="RO796" s="1"/>
      <c r="RP796" s="1"/>
      <c r="RQ796" s="1"/>
      <c r="RR796" s="1"/>
      <c r="RS796" s="1"/>
      <c r="RT796" s="1"/>
      <c r="RU796" s="1"/>
      <c r="RV796" s="1"/>
      <c r="RW796" s="1"/>
      <c r="RX796" s="1"/>
      <c r="RY796" s="1"/>
      <c r="RZ796" s="1"/>
      <c r="SA796" s="1"/>
      <c r="SB796" s="1"/>
      <c r="SC796" s="1"/>
      <c r="SD796" s="1"/>
      <c r="SE796" s="1"/>
      <c r="SF796" s="1"/>
      <c r="SG796" s="1"/>
      <c r="SH796" s="1"/>
      <c r="SI796" s="1"/>
      <c r="SJ796" s="1"/>
      <c r="SK796" s="1"/>
      <c r="SL796" s="1"/>
      <c r="SM796" s="1"/>
      <c r="SN796" s="1"/>
      <c r="SO796" s="1"/>
      <c r="SP796" s="1"/>
      <c r="SQ796" s="1"/>
      <c r="SR796" s="1"/>
      <c r="SS796" s="1"/>
      <c r="ST796" s="1"/>
      <c r="SU796" s="1"/>
      <c r="SV796" s="1"/>
      <c r="SW796" s="1"/>
      <c r="SX796" s="1"/>
      <c r="SY796" s="1"/>
      <c r="SZ796" s="1"/>
      <c r="TA796" s="1"/>
      <c r="TB796" s="1"/>
      <c r="TC796" s="1"/>
      <c r="TD796" s="1"/>
      <c r="TE796" s="1"/>
      <c r="TF796" s="1"/>
      <c r="TG796" s="1"/>
      <c r="TH796" s="1"/>
      <c r="TI796" s="1"/>
      <c r="TJ796" s="1"/>
      <c r="TK796" s="1"/>
      <c r="TL796" s="1"/>
      <c r="TM796" s="1"/>
      <c r="TN796" s="1"/>
      <c r="TO796" s="1"/>
      <c r="TP796" s="1"/>
      <c r="TQ796" s="1"/>
      <c r="TR796" s="1"/>
      <c r="TS796" s="1"/>
      <c r="TT796" s="1"/>
      <c r="TU796" s="1"/>
      <c r="TV796" s="1"/>
      <c r="TW796" s="1"/>
      <c r="TX796" s="1"/>
      <c r="TY796" s="1"/>
      <c r="TZ796" s="1"/>
      <c r="UA796" s="1"/>
      <c r="UB796" s="1"/>
      <c r="UC796" s="1"/>
      <c r="UD796" s="1"/>
      <c r="UE796" s="1"/>
      <c r="UF796" s="1"/>
      <c r="UG796" s="1"/>
      <c r="UH796" s="1"/>
      <c r="UI796" s="1"/>
    </row>
    <row r="797" spans="1:555" s="685" customFormat="1" ht="67.5">
      <c r="A797" s="502">
        <v>758</v>
      </c>
      <c r="B797" s="686" t="s">
        <v>6179</v>
      </c>
      <c r="C797" s="687">
        <v>6567420</v>
      </c>
      <c r="D797" s="688" t="s">
        <v>906</v>
      </c>
      <c r="E797" s="27">
        <v>43193</v>
      </c>
      <c r="F797" s="689">
        <v>43191</v>
      </c>
      <c r="G797" s="690" t="s">
        <v>6180</v>
      </c>
      <c r="H797" s="686" t="s">
        <v>1493</v>
      </c>
      <c r="I797" s="686" t="s">
        <v>6174</v>
      </c>
      <c r="J797" s="27">
        <v>43200</v>
      </c>
      <c r="K797" s="689">
        <v>43191</v>
      </c>
      <c r="L797" s="690" t="s">
        <v>6181</v>
      </c>
      <c r="M797" s="686" t="s">
        <v>195</v>
      </c>
      <c r="N797" s="686" t="s">
        <v>1491</v>
      </c>
      <c r="O797" s="16">
        <v>43451</v>
      </c>
      <c r="P797" s="689">
        <v>43451</v>
      </c>
      <c r="Q797" s="706" t="s">
        <v>7990</v>
      </c>
      <c r="R797" s="706" t="s">
        <v>5</v>
      </c>
      <c r="S797" s="706" t="s">
        <v>79</v>
      </c>
      <c r="T797" s="27">
        <v>43551</v>
      </c>
      <c r="U797" s="689">
        <v>43551</v>
      </c>
      <c r="V797" s="690" t="s">
        <v>8578</v>
      </c>
      <c r="W797" s="686" t="s">
        <v>5</v>
      </c>
      <c r="X797" s="686" t="s">
        <v>85</v>
      </c>
      <c r="Y797" s="27"/>
      <c r="Z797" s="689"/>
      <c r="AA797" s="690"/>
      <c r="AB797" s="686"/>
      <c r="AC797" s="686"/>
      <c r="AD797" s="27"/>
      <c r="AE797" s="689"/>
      <c r="AF797" s="690"/>
      <c r="AG797" s="686"/>
      <c r="AH797" s="686"/>
      <c r="AI797" s="704"/>
      <c r="AJ797" s="689"/>
      <c r="AK797" s="690"/>
      <c r="AL797" s="686"/>
      <c r="AM797" s="686"/>
      <c r="AN797" s="686" t="s">
        <v>918</v>
      </c>
      <c r="AO797" s="705" t="s">
        <v>7947</v>
      </c>
      <c r="AP797" s="707" t="s">
        <v>2558</v>
      </c>
      <c r="AQ797" s="690" t="s">
        <v>6182</v>
      </c>
      <c r="AR797" s="686" t="s">
        <v>2395</v>
      </c>
      <c r="AS797" s="27">
        <v>40490</v>
      </c>
      <c r="AT797" s="27">
        <v>40908</v>
      </c>
      <c r="AU797" s="686" t="s">
        <v>6183</v>
      </c>
      <c r="AV797" s="686"/>
      <c r="AW797" s="686" t="s">
        <v>69</v>
      </c>
      <c r="AX797" s="686" t="s">
        <v>6184</v>
      </c>
      <c r="AY797" s="27">
        <v>42272</v>
      </c>
      <c r="AZ797" s="686" t="s">
        <v>5726</v>
      </c>
      <c r="BA797" s="27">
        <v>43160</v>
      </c>
      <c r="BB797" s="27">
        <v>43195</v>
      </c>
      <c r="BC797" s="701" t="s">
        <v>912</v>
      </c>
      <c r="BD797" s="701" t="s">
        <v>4478</v>
      </c>
      <c r="BE797" s="686"/>
      <c r="BF797" s="690"/>
      <c r="BG797" s="690"/>
      <c r="BH797" s="690"/>
      <c r="BI797" s="690"/>
      <c r="BJ797" s="708">
        <f>+[310]MATRIZ!$J$53</f>
        <v>0</v>
      </c>
      <c r="BK797" s="696"/>
      <c r="BL797" s="697"/>
      <c r="BM797" s="27"/>
      <c r="BN797" s="689"/>
      <c r="BO797" s="699"/>
      <c r="BP797" s="700"/>
      <c r="BQ797" s="686"/>
      <c r="BR797" s="701"/>
      <c r="BS797" s="690"/>
      <c r="BT797" s="690"/>
      <c r="BU797" s="690"/>
      <c r="BV797" s="690"/>
      <c r="BW797" s="702"/>
      <c r="BX797" s="693"/>
      <c r="BY797" s="27"/>
      <c r="BZ797" s="703"/>
      <c r="CA797" s="259"/>
      <c r="CB797" s="259"/>
      <c r="CC797" s="259"/>
      <c r="CD797" s="259"/>
      <c r="CE797" s="259"/>
      <c r="CF797" s="259"/>
      <c r="CG797" s="259"/>
      <c r="CH797" s="259"/>
      <c r="CI797" s="259"/>
      <c r="CJ797" s="259"/>
      <c r="CK797" s="259"/>
      <c r="CL797" s="259"/>
      <c r="CM797" s="259"/>
      <c r="CN797" s="259"/>
      <c r="CO797" s="259"/>
      <c r="CP797" s="259"/>
      <c r="CQ797" s="259"/>
      <c r="CR797" s="259"/>
      <c r="CS797" s="259"/>
      <c r="CT797" s="259"/>
      <c r="CU797" s="259"/>
      <c r="CV797" s="259"/>
      <c r="CW797" s="259"/>
      <c r="CX797" s="259"/>
      <c r="CY797" s="259"/>
      <c r="CZ797" s="259"/>
      <c r="DA797" s="259"/>
      <c r="DB797" s="259"/>
      <c r="DC797" s="259"/>
      <c r="DD797" s="259"/>
      <c r="DE797" s="259"/>
      <c r="DF797" s="259"/>
      <c r="DG797" s="259"/>
      <c r="DH797" s="259"/>
      <c r="DI797" s="259"/>
      <c r="DJ797" s="259"/>
      <c r="DK797" s="259"/>
      <c r="DL797" s="259"/>
      <c r="DM797" s="259"/>
      <c r="DN797" s="259"/>
      <c r="DO797" s="259"/>
      <c r="DP797" s="259"/>
      <c r="DQ797" s="259"/>
      <c r="DR797" s="259"/>
      <c r="DS797" s="259"/>
      <c r="DT797" s="259"/>
      <c r="DU797" s="259"/>
      <c r="DV797" s="259"/>
      <c r="DW797" s="259"/>
      <c r="DX797" s="259"/>
      <c r="DY797" s="259"/>
      <c r="DZ797" s="259"/>
      <c r="EA797" s="259"/>
      <c r="EB797" s="259"/>
      <c r="EC797" s="259"/>
      <c r="ED797" s="259"/>
      <c r="EE797" s="259"/>
      <c r="EF797" s="259"/>
      <c r="EG797" s="259"/>
      <c r="EH797" s="259"/>
      <c r="EI797" s="259"/>
      <c r="EJ797" s="259"/>
      <c r="EK797" s="259"/>
      <c r="EL797" s="259"/>
      <c r="EM797" s="259"/>
      <c r="EN797" s="259"/>
      <c r="EO797" s="259"/>
      <c r="EP797" s="259"/>
      <c r="EQ797" s="259"/>
      <c r="ER797" s="259"/>
      <c r="ES797" s="259"/>
      <c r="ET797" s="259"/>
      <c r="EU797" s="259"/>
      <c r="EV797" s="259"/>
      <c r="EW797" s="259"/>
      <c r="EX797" s="259"/>
      <c r="EY797" s="259"/>
      <c r="EZ797" s="259"/>
      <c r="FA797" s="259"/>
      <c r="FB797" s="259"/>
      <c r="FC797" s="259"/>
      <c r="FD797" s="259"/>
      <c r="FE797" s="259"/>
      <c r="FF797" s="259"/>
      <c r="FG797" s="259"/>
      <c r="FH797" s="259"/>
      <c r="FI797" s="259"/>
      <c r="FJ797" s="259"/>
      <c r="FK797" s="259"/>
      <c r="FL797" s="259"/>
      <c r="FM797" s="259"/>
      <c r="FN797" s="259"/>
      <c r="FO797" s="259"/>
      <c r="FP797" s="259"/>
      <c r="FQ797" s="259"/>
      <c r="FR797" s="259"/>
      <c r="FS797" s="259"/>
      <c r="FT797" s="259"/>
      <c r="FU797" s="259"/>
      <c r="FV797" s="259"/>
      <c r="FW797" s="259"/>
      <c r="FX797" s="259"/>
      <c r="FY797" s="259"/>
      <c r="FZ797" s="259"/>
      <c r="GA797" s="259"/>
      <c r="GB797" s="259"/>
      <c r="GC797" s="259"/>
      <c r="GD797" s="259"/>
      <c r="GE797" s="259"/>
      <c r="GF797" s="259"/>
      <c r="GG797" s="259"/>
      <c r="GH797" s="259"/>
      <c r="GI797" s="259"/>
      <c r="GJ797" s="259"/>
      <c r="GK797" s="259"/>
      <c r="GL797" s="259"/>
      <c r="GM797" s="259"/>
      <c r="GN797" s="259"/>
      <c r="GO797" s="259"/>
      <c r="GP797" s="259"/>
      <c r="GQ797" s="259"/>
      <c r="GR797" s="259"/>
      <c r="GS797" s="259"/>
      <c r="GT797" s="259"/>
      <c r="GU797" s="259"/>
      <c r="GV797" s="259"/>
      <c r="GW797" s="259"/>
      <c r="GX797" s="259"/>
      <c r="GY797" s="259"/>
      <c r="GZ797" s="259"/>
      <c r="HA797" s="259"/>
      <c r="HB797" s="259"/>
      <c r="HC797" s="259"/>
      <c r="HD797" s="259"/>
      <c r="HE797" s="259"/>
      <c r="HF797" s="259"/>
      <c r="HG797" s="259"/>
      <c r="HH797" s="259"/>
      <c r="HI797" s="259"/>
      <c r="HJ797" s="259"/>
      <c r="HK797" s="259"/>
      <c r="HL797" s="259"/>
      <c r="HM797" s="259"/>
      <c r="HN797" s="259"/>
      <c r="HO797" s="259"/>
      <c r="HP797" s="259"/>
      <c r="HQ797" s="259"/>
      <c r="HR797" s="259"/>
      <c r="HS797" s="259"/>
      <c r="HT797" s="259"/>
      <c r="HU797" s="259"/>
      <c r="HV797" s="259"/>
      <c r="HW797" s="259"/>
      <c r="HX797" s="259"/>
      <c r="HY797" s="259"/>
      <c r="HZ797" s="259"/>
      <c r="IA797" s="259"/>
      <c r="IB797" s="259"/>
      <c r="IC797" s="259"/>
      <c r="ID797" s="259"/>
      <c r="IE797" s="259"/>
      <c r="IF797" s="259"/>
      <c r="IG797" s="259"/>
      <c r="IH797" s="259"/>
      <c r="II797" s="259"/>
      <c r="IJ797" s="259"/>
      <c r="IK797" s="259"/>
      <c r="IL797" s="259"/>
      <c r="IM797" s="259"/>
      <c r="IN797" s="259"/>
      <c r="IO797" s="259"/>
      <c r="IP797" s="259"/>
      <c r="IQ797" s="259"/>
      <c r="IR797" s="259"/>
      <c r="IS797" s="259"/>
      <c r="IT797" s="259"/>
      <c r="IU797" s="259"/>
      <c r="IV797" s="259"/>
      <c r="IW797" s="259"/>
      <c r="IX797" s="259"/>
      <c r="IY797" s="259"/>
      <c r="IZ797" s="259"/>
      <c r="JA797" s="259"/>
      <c r="JB797" s="259"/>
      <c r="JC797" s="259"/>
      <c r="JD797" s="259"/>
      <c r="JE797" s="259"/>
      <c r="JF797" s="259"/>
      <c r="JG797" s="259"/>
      <c r="JH797" s="259"/>
      <c r="JI797" s="259"/>
      <c r="JJ797" s="259"/>
      <c r="JK797" s="259"/>
      <c r="JL797" s="259"/>
      <c r="JM797" s="259"/>
      <c r="JN797" s="259"/>
      <c r="JO797" s="259"/>
      <c r="JP797" s="259"/>
      <c r="JQ797" s="259"/>
      <c r="JR797" s="259"/>
      <c r="JS797" s="259"/>
      <c r="JT797" s="259"/>
      <c r="JU797" s="259"/>
      <c r="JV797" s="259"/>
      <c r="JW797" s="259"/>
      <c r="JX797" s="259"/>
      <c r="JY797" s="259"/>
      <c r="JZ797" s="259"/>
      <c r="KA797" s="259"/>
      <c r="KB797" s="259"/>
      <c r="KC797" s="259"/>
      <c r="KD797" s="259"/>
      <c r="KE797" s="259"/>
      <c r="KF797" s="259"/>
      <c r="KG797" s="259"/>
      <c r="KH797" s="259"/>
      <c r="KI797" s="259"/>
      <c r="KJ797" s="259"/>
      <c r="KK797" s="259"/>
      <c r="KL797" s="259"/>
      <c r="KM797" s="259"/>
      <c r="KN797" s="259"/>
      <c r="KO797" s="259"/>
      <c r="KP797" s="259"/>
      <c r="KQ797" s="259"/>
      <c r="KR797" s="259"/>
      <c r="KS797" s="259"/>
      <c r="KT797" s="259"/>
      <c r="KU797" s="259"/>
      <c r="KV797" s="259"/>
      <c r="KW797" s="259"/>
      <c r="KX797" s="259"/>
      <c r="KY797" s="259"/>
      <c r="KZ797" s="259"/>
      <c r="LA797" s="259"/>
      <c r="LB797" s="259"/>
      <c r="LC797" s="259"/>
      <c r="LD797" s="259"/>
      <c r="LE797" s="259"/>
      <c r="LF797" s="259"/>
      <c r="LG797" s="259"/>
      <c r="LH797" s="259"/>
      <c r="LI797" s="259"/>
      <c r="LJ797" s="259"/>
      <c r="LK797" s="259"/>
      <c r="LL797" s="259"/>
      <c r="LM797" s="259"/>
      <c r="LN797" s="259"/>
      <c r="LO797" s="259"/>
      <c r="LP797" s="259"/>
      <c r="LQ797" s="259"/>
      <c r="LR797" s="259"/>
      <c r="LS797" s="259"/>
      <c r="LT797" s="259"/>
      <c r="LU797" s="259"/>
      <c r="LV797" s="259"/>
      <c r="LW797" s="259"/>
      <c r="LX797" s="259"/>
      <c r="LY797" s="259"/>
      <c r="LZ797" s="259"/>
      <c r="MA797" s="259"/>
      <c r="MB797" s="259"/>
      <c r="MC797" s="259"/>
      <c r="MD797" s="259"/>
      <c r="ME797" s="259"/>
      <c r="MF797" s="259"/>
      <c r="MG797" s="259"/>
      <c r="MH797" s="259"/>
      <c r="MI797" s="259"/>
      <c r="MJ797" s="259"/>
      <c r="MK797" s="259"/>
      <c r="ML797" s="259"/>
      <c r="MM797" s="259"/>
      <c r="MN797" s="259"/>
      <c r="MO797" s="259"/>
      <c r="MP797" s="259"/>
      <c r="MQ797" s="259"/>
      <c r="MR797" s="259"/>
      <c r="MS797" s="259"/>
      <c r="MT797" s="259"/>
      <c r="MU797" s="259"/>
      <c r="MV797" s="259"/>
      <c r="MW797" s="259"/>
      <c r="MX797" s="259"/>
      <c r="MY797" s="259"/>
      <c r="MZ797" s="259"/>
      <c r="NA797" s="259"/>
      <c r="NB797" s="259"/>
      <c r="NC797" s="259"/>
      <c r="ND797" s="259"/>
      <c r="NE797" s="259"/>
      <c r="NF797" s="259"/>
      <c r="NG797" s="259"/>
      <c r="NH797" s="259"/>
      <c r="NI797" s="259"/>
      <c r="NJ797" s="259"/>
      <c r="NK797" s="259"/>
      <c r="NL797" s="259"/>
      <c r="NM797" s="259"/>
      <c r="NN797" s="259"/>
      <c r="NO797" s="259"/>
      <c r="NP797" s="259"/>
      <c r="NQ797" s="259"/>
      <c r="NR797" s="259"/>
      <c r="NS797" s="259"/>
      <c r="NT797" s="259"/>
      <c r="NU797" s="259"/>
      <c r="NV797" s="259"/>
      <c r="NW797" s="259"/>
      <c r="NX797" s="259"/>
      <c r="NY797" s="259"/>
      <c r="NZ797" s="259"/>
      <c r="OA797" s="259"/>
      <c r="OB797" s="259"/>
      <c r="OC797" s="259"/>
      <c r="OD797" s="259"/>
      <c r="OE797" s="259"/>
      <c r="OF797" s="259"/>
      <c r="OG797" s="259"/>
      <c r="OH797" s="259"/>
      <c r="OI797" s="259"/>
      <c r="OJ797" s="259"/>
      <c r="OK797" s="259"/>
      <c r="OL797" s="259"/>
      <c r="OM797" s="259"/>
      <c r="ON797" s="259"/>
      <c r="OO797" s="259"/>
      <c r="OP797" s="259"/>
      <c r="OQ797" s="259"/>
      <c r="OR797" s="259"/>
      <c r="OS797" s="259"/>
      <c r="OT797" s="259"/>
      <c r="OU797" s="259"/>
      <c r="OV797" s="259"/>
      <c r="OW797" s="259"/>
      <c r="OX797" s="259"/>
      <c r="OY797" s="259"/>
      <c r="OZ797" s="259"/>
      <c r="PA797" s="259"/>
      <c r="PB797" s="259"/>
      <c r="PC797" s="259"/>
      <c r="PD797" s="259"/>
      <c r="PE797" s="259"/>
      <c r="PF797" s="259"/>
      <c r="PG797" s="259"/>
      <c r="PH797" s="259"/>
      <c r="PI797" s="259"/>
      <c r="PJ797" s="259"/>
      <c r="PK797" s="259"/>
      <c r="PL797" s="259"/>
      <c r="PM797" s="259"/>
      <c r="PN797" s="259"/>
      <c r="PO797" s="259"/>
      <c r="PP797" s="259"/>
      <c r="PQ797" s="259"/>
      <c r="PR797" s="259"/>
      <c r="PS797" s="259"/>
      <c r="PT797" s="259"/>
      <c r="PU797" s="259"/>
      <c r="PV797" s="259"/>
      <c r="PW797" s="259"/>
      <c r="PX797" s="259"/>
      <c r="PY797" s="259"/>
      <c r="PZ797" s="259"/>
      <c r="QA797" s="259"/>
      <c r="QB797" s="259"/>
      <c r="QC797" s="259"/>
      <c r="QD797" s="259"/>
      <c r="QE797" s="259"/>
      <c r="QF797" s="259"/>
      <c r="QG797" s="259"/>
      <c r="QH797" s="259"/>
      <c r="QI797" s="259"/>
      <c r="QJ797" s="259"/>
      <c r="QK797" s="259"/>
      <c r="QL797" s="259"/>
      <c r="QM797" s="259"/>
      <c r="QN797" s="259"/>
      <c r="QO797" s="259"/>
      <c r="QP797" s="259"/>
      <c r="QQ797" s="259"/>
      <c r="QR797" s="259"/>
      <c r="QS797" s="259"/>
      <c r="QT797" s="259"/>
      <c r="QU797" s="259"/>
      <c r="QV797" s="259"/>
      <c r="QW797" s="259"/>
      <c r="QX797" s="259"/>
      <c r="QY797" s="259"/>
      <c r="QZ797" s="259"/>
      <c r="RA797" s="259"/>
      <c r="RB797" s="259"/>
      <c r="RC797" s="259"/>
      <c r="RD797" s="259"/>
      <c r="RE797" s="259"/>
      <c r="RF797" s="259"/>
      <c r="RG797" s="259"/>
      <c r="RH797" s="259"/>
      <c r="RI797" s="259"/>
      <c r="RJ797" s="259"/>
      <c r="RK797" s="259"/>
      <c r="RL797" s="259"/>
      <c r="RM797" s="259"/>
      <c r="RN797" s="259"/>
      <c r="RO797" s="259"/>
      <c r="RP797" s="259"/>
      <c r="RQ797" s="259"/>
      <c r="RR797" s="259"/>
      <c r="RS797" s="259"/>
      <c r="RT797" s="259"/>
      <c r="RU797" s="259"/>
      <c r="RV797" s="259"/>
      <c r="RW797" s="259"/>
      <c r="RX797" s="259"/>
      <c r="RY797" s="259"/>
      <c r="RZ797" s="259"/>
      <c r="SA797" s="259"/>
      <c r="SB797" s="259"/>
      <c r="SC797" s="259"/>
      <c r="SD797" s="259"/>
      <c r="SE797" s="259"/>
      <c r="SF797" s="259"/>
      <c r="SG797" s="259"/>
      <c r="SH797" s="259"/>
      <c r="SI797" s="259"/>
      <c r="SJ797" s="259"/>
      <c r="SK797" s="259"/>
      <c r="SL797" s="259"/>
      <c r="SM797" s="259"/>
      <c r="SN797" s="259"/>
      <c r="SO797" s="259"/>
      <c r="SP797" s="259"/>
      <c r="SQ797" s="259"/>
      <c r="SR797" s="259"/>
      <c r="SS797" s="259"/>
      <c r="ST797" s="259"/>
      <c r="SU797" s="259"/>
      <c r="SV797" s="259"/>
      <c r="SW797" s="259"/>
      <c r="SX797" s="259"/>
      <c r="SY797" s="259"/>
      <c r="SZ797" s="259"/>
      <c r="TA797" s="259"/>
      <c r="TB797" s="259"/>
      <c r="TC797" s="259"/>
      <c r="TD797" s="259"/>
      <c r="TE797" s="259"/>
      <c r="TF797" s="259"/>
      <c r="TG797" s="259"/>
      <c r="TH797" s="259"/>
      <c r="TI797" s="259"/>
      <c r="TJ797" s="259"/>
      <c r="TK797" s="259"/>
      <c r="TL797" s="259"/>
      <c r="TM797" s="259"/>
      <c r="TN797" s="259"/>
      <c r="TO797" s="259"/>
      <c r="TP797" s="259"/>
      <c r="TQ797" s="259"/>
      <c r="TR797" s="259"/>
      <c r="TS797" s="259"/>
      <c r="TT797" s="259"/>
      <c r="TU797" s="259"/>
      <c r="TV797" s="259"/>
      <c r="TW797" s="259"/>
      <c r="TX797" s="259"/>
      <c r="TY797" s="259"/>
      <c r="TZ797" s="259"/>
      <c r="UA797" s="259"/>
      <c r="UB797" s="259"/>
      <c r="UC797" s="259"/>
      <c r="UD797" s="259"/>
      <c r="UE797" s="259"/>
      <c r="UF797" s="259"/>
      <c r="UG797" s="259"/>
      <c r="UH797" s="259"/>
      <c r="UI797" s="259"/>
    </row>
    <row r="798" spans="1:555" ht="243">
      <c r="A798" s="729">
        <v>759</v>
      </c>
      <c r="B798" s="854" t="s">
        <v>6185</v>
      </c>
      <c r="C798" s="730"/>
      <c r="D798" s="731"/>
      <c r="E798" s="382"/>
      <c r="F798" s="379"/>
      <c r="G798" s="383"/>
      <c r="H798" s="381"/>
      <c r="I798" s="381"/>
      <c r="J798" s="382"/>
      <c r="K798" s="379"/>
      <c r="L798" s="383"/>
      <c r="M798" s="381"/>
      <c r="N798" s="381"/>
      <c r="O798" s="382"/>
      <c r="P798" s="732"/>
      <c r="Q798" s="383"/>
      <c r="R798" s="381"/>
      <c r="S798" s="381"/>
      <c r="T798" s="382"/>
      <c r="U798" s="379"/>
      <c r="V798" s="383"/>
      <c r="W798" s="381"/>
      <c r="X798" s="381"/>
      <c r="Y798" s="382"/>
      <c r="Z798" s="379"/>
      <c r="AA798" s="383"/>
      <c r="AB798" s="381"/>
      <c r="AC798" s="381"/>
      <c r="AD798" s="382"/>
      <c r="AE798" s="379"/>
      <c r="AF798" s="383"/>
      <c r="AG798" s="381"/>
      <c r="AH798" s="381"/>
      <c r="AI798" s="745"/>
      <c r="AJ798" s="379"/>
      <c r="AK798" s="383"/>
      <c r="AL798" s="381"/>
      <c r="AM798" s="381"/>
      <c r="AN798" s="381"/>
      <c r="AO798" s="381"/>
      <c r="AP798" s="381"/>
      <c r="AQ798" s="383"/>
      <c r="AR798" s="381"/>
      <c r="AS798" s="382"/>
      <c r="AT798" s="382"/>
      <c r="AU798" s="381"/>
      <c r="AV798" s="381"/>
      <c r="AW798" s="381"/>
      <c r="AX798" s="381"/>
      <c r="AY798" s="382"/>
      <c r="AZ798" s="381"/>
      <c r="BA798" s="382"/>
      <c r="BB798" s="382"/>
      <c r="BC798" s="381"/>
      <c r="BD798" s="381"/>
      <c r="BE798" s="381"/>
      <c r="BF798" s="383"/>
      <c r="BG798" s="383"/>
      <c r="BH798" s="383"/>
      <c r="BI798" s="383"/>
      <c r="BJ798" s="737"/>
      <c r="BK798" s="737"/>
      <c r="BL798" s="738"/>
      <c r="BM798" s="382"/>
      <c r="BN798" s="379"/>
      <c r="BO798" s="740"/>
      <c r="BP798" s="741"/>
      <c r="BQ798" s="381"/>
      <c r="BR798" s="742"/>
      <c r="BS798" s="383"/>
      <c r="BT798" s="383"/>
      <c r="BU798" s="383"/>
      <c r="BV798" s="383"/>
      <c r="BW798" s="743"/>
      <c r="BX798" s="733"/>
      <c r="BY798" s="382"/>
      <c r="BZ798" s="744"/>
      <c r="CA798" s="685"/>
      <c r="CB798" s="685"/>
      <c r="CC798" s="685"/>
      <c r="CD798" s="685"/>
      <c r="CE798" s="685"/>
      <c r="CF798" s="685"/>
      <c r="CG798" s="685"/>
      <c r="CH798" s="685"/>
      <c r="CI798" s="685"/>
      <c r="CJ798" s="685"/>
      <c r="CK798" s="685"/>
      <c r="CL798" s="685"/>
      <c r="CM798" s="685"/>
      <c r="CN798" s="685"/>
      <c r="CO798" s="685"/>
      <c r="CP798" s="685"/>
      <c r="CQ798" s="685"/>
      <c r="CR798" s="685"/>
      <c r="CS798" s="685"/>
      <c r="CT798" s="685"/>
      <c r="CU798" s="685"/>
      <c r="CV798" s="685"/>
      <c r="CW798" s="685"/>
      <c r="CX798" s="685"/>
      <c r="CY798" s="685"/>
      <c r="CZ798" s="685"/>
      <c r="DA798" s="685"/>
      <c r="DB798" s="685"/>
      <c r="DC798" s="685"/>
      <c r="DD798" s="685"/>
      <c r="DE798" s="685"/>
      <c r="DF798" s="685"/>
      <c r="DG798" s="685"/>
      <c r="DH798" s="685"/>
      <c r="DI798" s="685"/>
      <c r="DJ798" s="685"/>
      <c r="DK798" s="685"/>
      <c r="DL798" s="685"/>
      <c r="DM798" s="685"/>
      <c r="DN798" s="685"/>
      <c r="DO798" s="685"/>
      <c r="DP798" s="685"/>
      <c r="DQ798" s="685"/>
      <c r="DR798" s="685"/>
      <c r="DS798" s="685"/>
      <c r="DT798" s="685"/>
      <c r="DU798" s="685"/>
      <c r="DV798" s="685"/>
      <c r="DW798" s="685"/>
      <c r="DX798" s="685"/>
      <c r="DY798" s="685"/>
      <c r="DZ798" s="685"/>
      <c r="EA798" s="685"/>
      <c r="EB798" s="685"/>
      <c r="EC798" s="685"/>
      <c r="ED798" s="685"/>
      <c r="EE798" s="685"/>
      <c r="EF798" s="685"/>
      <c r="EG798" s="685"/>
      <c r="EH798" s="685"/>
      <c r="EI798" s="685"/>
      <c r="EJ798" s="685"/>
      <c r="EK798" s="685"/>
      <c r="EL798" s="685"/>
      <c r="EM798" s="685"/>
      <c r="EN798" s="685"/>
      <c r="EO798" s="685"/>
      <c r="EP798" s="685"/>
      <c r="EQ798" s="685"/>
      <c r="ER798" s="685"/>
      <c r="ES798" s="685"/>
      <c r="ET798" s="685"/>
      <c r="EU798" s="685"/>
      <c r="EV798" s="685"/>
      <c r="EW798" s="685"/>
      <c r="EX798" s="685"/>
      <c r="EY798" s="685"/>
      <c r="EZ798" s="685"/>
      <c r="FA798" s="685"/>
      <c r="FB798" s="685"/>
      <c r="FC798" s="685"/>
      <c r="FD798" s="685"/>
      <c r="FE798" s="685"/>
      <c r="FF798" s="685"/>
      <c r="FG798" s="685"/>
      <c r="FH798" s="685"/>
      <c r="FI798" s="685"/>
      <c r="FJ798" s="685"/>
      <c r="FK798" s="685"/>
      <c r="FL798" s="685"/>
      <c r="FM798" s="685"/>
      <c r="FN798" s="685"/>
      <c r="FO798" s="685"/>
      <c r="FP798" s="685"/>
      <c r="FQ798" s="685"/>
      <c r="FR798" s="685"/>
      <c r="FS798" s="685"/>
      <c r="FT798" s="685"/>
      <c r="FU798" s="685"/>
      <c r="FV798" s="685"/>
      <c r="FW798" s="685"/>
      <c r="FX798" s="685"/>
      <c r="FY798" s="685"/>
      <c r="FZ798" s="685"/>
      <c r="GA798" s="685"/>
      <c r="GB798" s="685"/>
      <c r="GC798" s="685"/>
      <c r="GD798" s="685"/>
      <c r="GE798" s="685"/>
      <c r="GF798" s="685"/>
      <c r="GG798" s="685"/>
      <c r="GH798" s="685"/>
      <c r="GI798" s="685"/>
      <c r="GJ798" s="685"/>
      <c r="GK798" s="685"/>
      <c r="GL798" s="685"/>
      <c r="GM798" s="685"/>
      <c r="GN798" s="685"/>
      <c r="GO798" s="685"/>
      <c r="GP798" s="685"/>
      <c r="GQ798" s="685"/>
      <c r="GR798" s="685"/>
      <c r="GS798" s="685"/>
      <c r="GT798" s="685"/>
      <c r="GU798" s="685"/>
      <c r="GV798" s="685"/>
      <c r="GW798" s="685"/>
      <c r="GX798" s="685"/>
      <c r="GY798" s="685"/>
      <c r="GZ798" s="685"/>
      <c r="HA798" s="685"/>
      <c r="HB798" s="685"/>
      <c r="HC798" s="685"/>
      <c r="HD798" s="685"/>
      <c r="HE798" s="685"/>
      <c r="HF798" s="685"/>
      <c r="HG798" s="685"/>
      <c r="HH798" s="685"/>
      <c r="HI798" s="685"/>
      <c r="HJ798" s="685"/>
      <c r="HK798" s="685"/>
      <c r="HL798" s="685"/>
      <c r="HM798" s="685"/>
      <c r="HN798" s="685"/>
      <c r="HO798" s="685"/>
      <c r="HP798" s="685"/>
      <c r="HQ798" s="685"/>
      <c r="HR798" s="685"/>
      <c r="HS798" s="685"/>
      <c r="HT798" s="685"/>
      <c r="HU798" s="685"/>
      <c r="HV798" s="685"/>
      <c r="HW798" s="685"/>
      <c r="HX798" s="685"/>
      <c r="HY798" s="685"/>
      <c r="HZ798" s="685"/>
      <c r="IA798" s="685"/>
      <c r="IB798" s="685"/>
      <c r="IC798" s="685"/>
      <c r="ID798" s="685"/>
      <c r="IE798" s="685"/>
      <c r="IF798" s="685"/>
      <c r="IG798" s="685"/>
      <c r="IH798" s="685"/>
      <c r="II798" s="685"/>
      <c r="IJ798" s="685"/>
      <c r="IK798" s="685"/>
      <c r="IL798" s="685"/>
      <c r="IM798" s="685"/>
      <c r="IN798" s="685"/>
      <c r="IO798" s="685"/>
      <c r="IP798" s="685"/>
      <c r="IQ798" s="685"/>
      <c r="IR798" s="685"/>
      <c r="IS798" s="685"/>
      <c r="IT798" s="685"/>
      <c r="IU798" s="685"/>
      <c r="IV798" s="685"/>
      <c r="IW798" s="685"/>
      <c r="IX798" s="685"/>
      <c r="IY798" s="685"/>
      <c r="IZ798" s="685"/>
      <c r="JA798" s="685"/>
      <c r="JB798" s="685"/>
      <c r="JC798" s="685"/>
      <c r="JD798" s="685"/>
      <c r="JE798" s="685"/>
      <c r="JF798" s="685"/>
      <c r="JG798" s="685"/>
      <c r="JH798" s="685"/>
      <c r="JI798" s="685"/>
      <c r="JJ798" s="685"/>
      <c r="JK798" s="685"/>
      <c r="JL798" s="685"/>
      <c r="JM798" s="685"/>
      <c r="JN798" s="685"/>
      <c r="JO798" s="685"/>
      <c r="JP798" s="685"/>
      <c r="JQ798" s="685"/>
      <c r="JR798" s="685"/>
      <c r="JS798" s="685"/>
      <c r="JT798" s="685"/>
      <c r="JU798" s="685"/>
      <c r="JV798" s="685"/>
      <c r="JW798" s="685"/>
      <c r="JX798" s="685"/>
      <c r="JY798" s="685"/>
      <c r="JZ798" s="685"/>
      <c r="KA798" s="685"/>
      <c r="KB798" s="685"/>
      <c r="KC798" s="685"/>
      <c r="KD798" s="685"/>
      <c r="KE798" s="685"/>
      <c r="KF798" s="685"/>
      <c r="KG798" s="685"/>
      <c r="KH798" s="685"/>
      <c r="KI798" s="685"/>
      <c r="KJ798" s="685"/>
      <c r="KK798" s="685"/>
      <c r="KL798" s="685"/>
      <c r="KM798" s="685"/>
      <c r="KN798" s="685"/>
      <c r="KO798" s="685"/>
      <c r="KP798" s="685"/>
      <c r="KQ798" s="685"/>
      <c r="KR798" s="685"/>
      <c r="KS798" s="685"/>
      <c r="KT798" s="685"/>
      <c r="KU798" s="685"/>
      <c r="KV798" s="685"/>
      <c r="KW798" s="685"/>
      <c r="KX798" s="685"/>
      <c r="KY798" s="685"/>
      <c r="KZ798" s="685"/>
      <c r="LA798" s="685"/>
      <c r="LB798" s="685"/>
      <c r="LC798" s="685"/>
      <c r="LD798" s="685"/>
      <c r="LE798" s="685"/>
      <c r="LF798" s="685"/>
      <c r="LG798" s="685"/>
      <c r="LH798" s="685"/>
      <c r="LI798" s="685"/>
      <c r="LJ798" s="685"/>
      <c r="LK798" s="685"/>
      <c r="LL798" s="685"/>
      <c r="LM798" s="685"/>
      <c r="LN798" s="685"/>
      <c r="LO798" s="685"/>
      <c r="LP798" s="685"/>
      <c r="LQ798" s="685"/>
      <c r="LR798" s="685"/>
      <c r="LS798" s="685"/>
      <c r="LT798" s="685"/>
      <c r="LU798" s="685"/>
      <c r="LV798" s="685"/>
      <c r="LW798" s="685"/>
      <c r="LX798" s="685"/>
      <c r="LY798" s="685"/>
      <c r="LZ798" s="685"/>
      <c r="MA798" s="685"/>
      <c r="MB798" s="685"/>
      <c r="MC798" s="685"/>
      <c r="MD798" s="685"/>
      <c r="ME798" s="685"/>
      <c r="MF798" s="685"/>
      <c r="MG798" s="685"/>
      <c r="MH798" s="685"/>
      <c r="MI798" s="685"/>
      <c r="MJ798" s="685"/>
      <c r="MK798" s="685"/>
      <c r="ML798" s="685"/>
      <c r="MM798" s="685"/>
      <c r="MN798" s="685"/>
      <c r="MO798" s="685"/>
      <c r="MP798" s="685"/>
      <c r="MQ798" s="685"/>
      <c r="MR798" s="685"/>
      <c r="MS798" s="685"/>
      <c r="MT798" s="685"/>
      <c r="MU798" s="685"/>
      <c r="MV798" s="685"/>
      <c r="MW798" s="685"/>
      <c r="MX798" s="685"/>
      <c r="MY798" s="685"/>
      <c r="MZ798" s="685"/>
      <c r="NA798" s="685"/>
      <c r="NB798" s="685"/>
      <c r="NC798" s="685"/>
      <c r="ND798" s="685"/>
      <c r="NE798" s="685"/>
      <c r="NF798" s="685"/>
      <c r="NG798" s="685"/>
      <c r="NH798" s="685"/>
      <c r="NI798" s="685"/>
      <c r="NJ798" s="685"/>
      <c r="NK798" s="685"/>
      <c r="NL798" s="685"/>
      <c r="NM798" s="685"/>
      <c r="NN798" s="685"/>
      <c r="NO798" s="685"/>
      <c r="NP798" s="685"/>
      <c r="NQ798" s="685"/>
      <c r="NR798" s="685"/>
      <c r="NS798" s="685"/>
      <c r="NT798" s="685"/>
      <c r="NU798" s="685"/>
      <c r="NV798" s="685"/>
      <c r="NW798" s="685"/>
      <c r="NX798" s="685"/>
      <c r="NY798" s="685"/>
      <c r="NZ798" s="685"/>
      <c r="OA798" s="685"/>
      <c r="OB798" s="685"/>
      <c r="OC798" s="685"/>
      <c r="OD798" s="685"/>
      <c r="OE798" s="685"/>
      <c r="OF798" s="685"/>
      <c r="OG798" s="685"/>
      <c r="OH798" s="685"/>
      <c r="OI798" s="685"/>
      <c r="OJ798" s="685"/>
      <c r="OK798" s="685"/>
      <c r="OL798" s="685"/>
      <c r="OM798" s="685"/>
      <c r="ON798" s="685"/>
      <c r="OO798" s="685"/>
      <c r="OP798" s="685"/>
      <c r="OQ798" s="685"/>
      <c r="OR798" s="685"/>
      <c r="OS798" s="685"/>
      <c r="OT798" s="685"/>
      <c r="OU798" s="685"/>
      <c r="OV798" s="685"/>
      <c r="OW798" s="685"/>
      <c r="OX798" s="685"/>
      <c r="OY798" s="685"/>
      <c r="OZ798" s="685"/>
      <c r="PA798" s="685"/>
      <c r="PB798" s="685"/>
      <c r="PC798" s="685"/>
      <c r="PD798" s="685"/>
      <c r="PE798" s="685"/>
      <c r="PF798" s="685"/>
      <c r="PG798" s="685"/>
      <c r="PH798" s="685"/>
      <c r="PI798" s="685"/>
      <c r="PJ798" s="685"/>
      <c r="PK798" s="685"/>
      <c r="PL798" s="685"/>
      <c r="PM798" s="685"/>
      <c r="PN798" s="685"/>
      <c r="PO798" s="685"/>
      <c r="PP798" s="685"/>
      <c r="PQ798" s="685"/>
      <c r="PR798" s="685"/>
      <c r="PS798" s="685"/>
      <c r="PT798" s="685"/>
      <c r="PU798" s="685"/>
      <c r="PV798" s="685"/>
      <c r="PW798" s="685"/>
      <c r="PX798" s="685"/>
      <c r="PY798" s="685"/>
      <c r="PZ798" s="685"/>
      <c r="QA798" s="685"/>
      <c r="QB798" s="685"/>
      <c r="QC798" s="685"/>
      <c r="QD798" s="685"/>
      <c r="QE798" s="685"/>
      <c r="QF798" s="685"/>
      <c r="QG798" s="685"/>
      <c r="QH798" s="685"/>
      <c r="QI798" s="685"/>
      <c r="QJ798" s="685"/>
      <c r="QK798" s="685"/>
      <c r="QL798" s="685"/>
      <c r="QM798" s="685"/>
      <c r="QN798" s="685"/>
      <c r="QO798" s="685"/>
      <c r="QP798" s="685"/>
      <c r="QQ798" s="685"/>
      <c r="QR798" s="685"/>
      <c r="QS798" s="685"/>
      <c r="QT798" s="685"/>
      <c r="QU798" s="685"/>
      <c r="QV798" s="685"/>
      <c r="QW798" s="685"/>
      <c r="QX798" s="685"/>
      <c r="QY798" s="685"/>
      <c r="QZ798" s="685"/>
      <c r="RA798" s="685"/>
      <c r="RB798" s="685"/>
      <c r="RC798" s="685"/>
      <c r="RD798" s="685"/>
      <c r="RE798" s="685"/>
      <c r="RF798" s="685"/>
      <c r="RG798" s="685"/>
      <c r="RH798" s="685"/>
      <c r="RI798" s="685"/>
      <c r="RJ798" s="685"/>
      <c r="RK798" s="685"/>
      <c r="RL798" s="685"/>
      <c r="RM798" s="685"/>
      <c r="RN798" s="685"/>
      <c r="RO798" s="685"/>
      <c r="RP798" s="685"/>
      <c r="RQ798" s="685"/>
      <c r="RR798" s="685"/>
      <c r="RS798" s="685"/>
      <c r="RT798" s="685"/>
      <c r="RU798" s="685"/>
      <c r="RV798" s="685"/>
      <c r="RW798" s="685"/>
      <c r="RX798" s="685"/>
      <c r="RY798" s="685"/>
      <c r="RZ798" s="685"/>
      <c r="SA798" s="685"/>
      <c r="SB798" s="685"/>
      <c r="SC798" s="685"/>
      <c r="SD798" s="685"/>
      <c r="SE798" s="685"/>
      <c r="SF798" s="685"/>
      <c r="SG798" s="685"/>
      <c r="SH798" s="685"/>
      <c r="SI798" s="685"/>
      <c r="SJ798" s="685"/>
      <c r="SK798" s="685"/>
      <c r="SL798" s="685"/>
      <c r="SM798" s="685"/>
      <c r="SN798" s="685"/>
      <c r="SO798" s="685"/>
      <c r="SP798" s="685"/>
      <c r="SQ798" s="685"/>
      <c r="SR798" s="685"/>
      <c r="SS798" s="685"/>
      <c r="ST798" s="685"/>
      <c r="SU798" s="685"/>
      <c r="SV798" s="685"/>
      <c r="SW798" s="685"/>
      <c r="SX798" s="685"/>
      <c r="SY798" s="685"/>
      <c r="SZ798" s="685"/>
      <c r="TA798" s="685"/>
      <c r="TB798" s="685"/>
      <c r="TC798" s="685"/>
      <c r="TD798" s="685"/>
      <c r="TE798" s="685"/>
      <c r="TF798" s="685"/>
      <c r="TG798" s="685"/>
      <c r="TH798" s="685"/>
      <c r="TI798" s="685"/>
      <c r="TJ798" s="685"/>
      <c r="TK798" s="685"/>
      <c r="TL798" s="685"/>
      <c r="TM798" s="685"/>
      <c r="TN798" s="685"/>
      <c r="TO798" s="685"/>
      <c r="TP798" s="685"/>
      <c r="TQ798" s="685"/>
      <c r="TR798" s="685"/>
      <c r="TS798" s="685"/>
      <c r="TT798" s="685"/>
      <c r="TU798" s="685"/>
      <c r="TV798" s="685"/>
      <c r="TW798" s="685"/>
      <c r="TX798" s="685"/>
      <c r="TY798" s="685"/>
      <c r="TZ798" s="685"/>
      <c r="UA798" s="685"/>
      <c r="UB798" s="685"/>
      <c r="UC798" s="685"/>
      <c r="UD798" s="685"/>
      <c r="UE798" s="685"/>
      <c r="UF798" s="685"/>
      <c r="UG798" s="685"/>
      <c r="UH798" s="685"/>
      <c r="UI798" s="685"/>
    </row>
    <row r="799" spans="1:555" ht="108">
      <c r="A799" s="502">
        <v>760</v>
      </c>
      <c r="B799" s="686" t="s">
        <v>6186</v>
      </c>
      <c r="C799" s="687">
        <v>79564741</v>
      </c>
      <c r="D799" s="688" t="s">
        <v>1153</v>
      </c>
      <c r="E799" s="27">
        <v>43195</v>
      </c>
      <c r="F799" s="689">
        <v>43191</v>
      </c>
      <c r="G799" s="690" t="s">
        <v>6187</v>
      </c>
      <c r="H799" s="686" t="s">
        <v>5</v>
      </c>
      <c r="I799" s="686" t="s">
        <v>79</v>
      </c>
      <c r="J799" s="27">
        <v>43285</v>
      </c>
      <c r="K799" s="689">
        <v>43285</v>
      </c>
      <c r="L799" s="693" t="s">
        <v>6188</v>
      </c>
      <c r="M799" s="693" t="s">
        <v>5</v>
      </c>
      <c r="N799" s="693" t="s">
        <v>85</v>
      </c>
      <c r="O799" s="16">
        <v>43564</v>
      </c>
      <c r="P799" s="689">
        <v>43564</v>
      </c>
      <c r="Q799" s="690" t="s">
        <v>8586</v>
      </c>
      <c r="R799" s="686" t="s">
        <v>5</v>
      </c>
      <c r="S799" s="686" t="s">
        <v>85</v>
      </c>
      <c r="T799" s="27">
        <v>43595</v>
      </c>
      <c r="U799" s="689">
        <v>43595</v>
      </c>
      <c r="V799" s="690" t="s">
        <v>8609</v>
      </c>
      <c r="W799" s="686" t="s">
        <v>286</v>
      </c>
      <c r="X799" s="686" t="s">
        <v>85</v>
      </c>
      <c r="Y799" s="27"/>
      <c r="Z799" s="689"/>
      <c r="AA799" s="690"/>
      <c r="AB799" s="686"/>
      <c r="AC799" s="686"/>
      <c r="AD799" s="27"/>
      <c r="AE799" s="689"/>
      <c r="AF799" s="690"/>
      <c r="AG799" s="686"/>
      <c r="AH799" s="686"/>
      <c r="AI799" s="704"/>
      <c r="AJ799" s="689"/>
      <c r="AK799" s="690"/>
      <c r="AL799" s="686"/>
      <c r="AM799" s="686"/>
      <c r="AN799" s="686" t="s">
        <v>918</v>
      </c>
      <c r="AO799" s="694">
        <v>43195</v>
      </c>
      <c r="AP799" s="692" t="s">
        <v>2558</v>
      </c>
      <c r="AQ799" s="690" t="s">
        <v>6189</v>
      </c>
      <c r="AR799" s="686" t="s">
        <v>79</v>
      </c>
      <c r="AS799" s="27" t="s">
        <v>6190</v>
      </c>
      <c r="AT799" s="27" t="s">
        <v>6191</v>
      </c>
      <c r="AU799" s="686" t="s">
        <v>6192</v>
      </c>
      <c r="AV799" s="686"/>
      <c r="AW799" s="686" t="s">
        <v>69</v>
      </c>
      <c r="AX799" s="686" t="s">
        <v>6193</v>
      </c>
      <c r="AY799" s="27">
        <v>42486</v>
      </c>
      <c r="AZ799" s="686" t="s">
        <v>5536</v>
      </c>
      <c r="BA799" s="27">
        <v>43048</v>
      </c>
      <c r="BB799" s="27">
        <v>43073</v>
      </c>
      <c r="BC799" s="686" t="s">
        <v>95</v>
      </c>
      <c r="BD799" s="701" t="s">
        <v>4604</v>
      </c>
      <c r="BE799" s="686"/>
      <c r="BF799" s="690" t="s">
        <v>6194</v>
      </c>
      <c r="BG799" s="690"/>
      <c r="BH799" s="690"/>
      <c r="BI799" s="690"/>
      <c r="BJ799" s="708">
        <f>+[311]MATRIZ!$J$68</f>
        <v>202437548.69527352</v>
      </c>
      <c r="BK799" s="696"/>
      <c r="BL799" s="697"/>
      <c r="BM799" s="27"/>
      <c r="BN799" s="689"/>
      <c r="BO799" s="699"/>
      <c r="BP799" s="700"/>
      <c r="BQ799" s="686"/>
      <c r="BR799" s="701"/>
      <c r="BS799" s="690"/>
      <c r="BT799" s="690"/>
      <c r="BU799" s="690"/>
      <c r="BV799" s="690"/>
      <c r="BW799" s="702"/>
      <c r="BX799" s="693"/>
      <c r="BY799" s="27"/>
      <c r="BZ799" s="703"/>
      <c r="CA799" s="259"/>
      <c r="CB799" s="259"/>
      <c r="CC799" s="259"/>
      <c r="CD799" s="259"/>
      <c r="CE799" s="259"/>
      <c r="CF799" s="259"/>
      <c r="CG799" s="259"/>
      <c r="CH799" s="259"/>
      <c r="CI799" s="259"/>
      <c r="CJ799" s="259"/>
      <c r="CK799" s="259"/>
      <c r="CL799" s="259"/>
      <c r="CM799" s="259"/>
      <c r="CN799" s="259"/>
      <c r="CO799" s="259"/>
      <c r="CP799" s="259"/>
      <c r="CQ799" s="259"/>
      <c r="CR799" s="259"/>
      <c r="CS799" s="259"/>
      <c r="CT799" s="259"/>
      <c r="CU799" s="259"/>
      <c r="CV799" s="259"/>
      <c r="CW799" s="259"/>
      <c r="CX799" s="259"/>
      <c r="CY799" s="259"/>
      <c r="CZ799" s="259"/>
      <c r="DA799" s="259"/>
      <c r="DB799" s="259"/>
      <c r="DC799" s="259"/>
      <c r="DD799" s="259"/>
      <c r="DE799" s="259"/>
      <c r="DF799" s="259"/>
      <c r="DG799" s="259"/>
      <c r="DH799" s="259"/>
      <c r="DI799" s="259"/>
      <c r="DJ799" s="259"/>
      <c r="DK799" s="259"/>
      <c r="DL799" s="259"/>
      <c r="DM799" s="259"/>
      <c r="DN799" s="259"/>
      <c r="DO799" s="259"/>
      <c r="DP799" s="259"/>
      <c r="DQ799" s="259"/>
      <c r="DR799" s="259"/>
      <c r="DS799" s="259"/>
      <c r="DT799" s="259"/>
      <c r="DU799" s="259"/>
      <c r="DV799" s="259"/>
      <c r="DW799" s="259"/>
      <c r="DX799" s="259"/>
      <c r="DY799" s="259"/>
      <c r="DZ799" s="259"/>
      <c r="EA799" s="259"/>
      <c r="EB799" s="259"/>
      <c r="EC799" s="259"/>
      <c r="ED799" s="259"/>
      <c r="EE799" s="259"/>
      <c r="EF799" s="259"/>
      <c r="EG799" s="259"/>
      <c r="EH799" s="259"/>
      <c r="EI799" s="259"/>
      <c r="EJ799" s="259"/>
      <c r="EK799" s="259"/>
      <c r="EL799" s="259"/>
      <c r="EM799" s="259"/>
      <c r="EN799" s="259"/>
      <c r="EO799" s="259"/>
      <c r="EP799" s="259"/>
      <c r="EQ799" s="259"/>
      <c r="ER799" s="259"/>
      <c r="ES799" s="259"/>
      <c r="ET799" s="259"/>
      <c r="EU799" s="259"/>
      <c r="EV799" s="259"/>
      <c r="EW799" s="259"/>
      <c r="EX799" s="259"/>
      <c r="EY799" s="259"/>
      <c r="EZ799" s="259"/>
      <c r="FA799" s="259"/>
      <c r="FB799" s="259"/>
      <c r="FC799" s="259"/>
      <c r="FD799" s="259"/>
      <c r="FE799" s="259"/>
      <c r="FF799" s="259"/>
      <c r="FG799" s="259"/>
      <c r="FH799" s="259"/>
      <c r="FI799" s="259"/>
      <c r="FJ799" s="259"/>
      <c r="FK799" s="259"/>
      <c r="FL799" s="259"/>
      <c r="FM799" s="259"/>
      <c r="FN799" s="259"/>
      <c r="FO799" s="259"/>
      <c r="FP799" s="259"/>
      <c r="FQ799" s="259"/>
      <c r="FR799" s="259"/>
      <c r="FS799" s="259"/>
      <c r="FT799" s="259"/>
      <c r="FU799" s="259"/>
      <c r="FV799" s="259"/>
      <c r="FW799" s="259"/>
      <c r="FX799" s="259"/>
      <c r="FY799" s="259"/>
      <c r="FZ799" s="259"/>
      <c r="GA799" s="259"/>
      <c r="GB799" s="259"/>
      <c r="GC799" s="259"/>
      <c r="GD799" s="259"/>
      <c r="GE799" s="259"/>
      <c r="GF799" s="259"/>
      <c r="GG799" s="259"/>
      <c r="GH799" s="259"/>
      <c r="GI799" s="259"/>
      <c r="GJ799" s="259"/>
      <c r="GK799" s="259"/>
      <c r="GL799" s="259"/>
      <c r="GM799" s="259"/>
      <c r="GN799" s="259"/>
      <c r="GO799" s="259"/>
      <c r="GP799" s="259"/>
      <c r="GQ799" s="259"/>
      <c r="GR799" s="259"/>
      <c r="GS799" s="259"/>
      <c r="GT799" s="259"/>
      <c r="GU799" s="259"/>
      <c r="GV799" s="259"/>
      <c r="GW799" s="259"/>
      <c r="GX799" s="259"/>
      <c r="GY799" s="259"/>
      <c r="GZ799" s="259"/>
      <c r="HA799" s="259"/>
      <c r="HB799" s="259"/>
      <c r="HC799" s="259"/>
      <c r="HD799" s="259"/>
      <c r="HE799" s="259"/>
      <c r="HF799" s="259"/>
      <c r="HG799" s="259"/>
      <c r="HH799" s="259"/>
      <c r="HI799" s="259"/>
      <c r="HJ799" s="259"/>
      <c r="HK799" s="259"/>
      <c r="HL799" s="259"/>
      <c r="HM799" s="259"/>
      <c r="HN799" s="259"/>
      <c r="HO799" s="259"/>
      <c r="HP799" s="259"/>
      <c r="HQ799" s="259"/>
      <c r="HR799" s="259"/>
      <c r="HS799" s="259"/>
      <c r="HT799" s="259"/>
      <c r="HU799" s="259"/>
      <c r="HV799" s="259"/>
      <c r="HW799" s="259"/>
      <c r="HX799" s="259"/>
      <c r="HY799" s="259"/>
      <c r="HZ799" s="259"/>
      <c r="IA799" s="259"/>
      <c r="IB799" s="259"/>
      <c r="IC799" s="259"/>
      <c r="ID799" s="259"/>
      <c r="IE799" s="259"/>
      <c r="IF799" s="259"/>
      <c r="IG799" s="259"/>
      <c r="IH799" s="259"/>
      <c r="II799" s="259"/>
      <c r="IJ799" s="259"/>
      <c r="IK799" s="259"/>
      <c r="IL799" s="259"/>
      <c r="IM799" s="259"/>
      <c r="IN799" s="259"/>
      <c r="IO799" s="259"/>
      <c r="IP799" s="259"/>
      <c r="IQ799" s="259"/>
      <c r="IR799" s="259"/>
      <c r="IS799" s="259"/>
      <c r="IT799" s="259"/>
      <c r="IU799" s="259"/>
      <c r="IV799" s="259"/>
      <c r="IW799" s="259"/>
      <c r="IX799" s="259"/>
      <c r="IY799" s="259"/>
      <c r="IZ799" s="259"/>
      <c r="JA799" s="259"/>
      <c r="JB799" s="259"/>
      <c r="JC799" s="259"/>
      <c r="JD799" s="259"/>
      <c r="JE799" s="259"/>
      <c r="JF799" s="259"/>
      <c r="JG799" s="259"/>
      <c r="JH799" s="259"/>
      <c r="JI799" s="259"/>
      <c r="JJ799" s="259"/>
      <c r="JK799" s="259"/>
      <c r="JL799" s="259"/>
      <c r="JM799" s="259"/>
      <c r="JN799" s="259"/>
      <c r="JO799" s="259"/>
      <c r="JP799" s="259"/>
      <c r="JQ799" s="259"/>
      <c r="JR799" s="259"/>
      <c r="JS799" s="259"/>
      <c r="JT799" s="259"/>
      <c r="JU799" s="259"/>
      <c r="JV799" s="259"/>
      <c r="JW799" s="259"/>
      <c r="JX799" s="259"/>
      <c r="JY799" s="259"/>
      <c r="JZ799" s="259"/>
      <c r="KA799" s="259"/>
      <c r="KB799" s="259"/>
      <c r="KC799" s="259"/>
      <c r="KD799" s="259"/>
      <c r="KE799" s="259"/>
      <c r="KF799" s="259"/>
      <c r="KG799" s="259"/>
      <c r="KH799" s="259"/>
      <c r="KI799" s="259"/>
      <c r="KJ799" s="259"/>
      <c r="KK799" s="259"/>
      <c r="KL799" s="259"/>
      <c r="KM799" s="259"/>
      <c r="KN799" s="259"/>
      <c r="KO799" s="259"/>
      <c r="KP799" s="259"/>
      <c r="KQ799" s="259"/>
      <c r="KR799" s="259"/>
      <c r="KS799" s="259"/>
      <c r="KT799" s="259"/>
      <c r="KU799" s="259"/>
      <c r="KV799" s="259"/>
      <c r="KW799" s="259"/>
      <c r="KX799" s="259"/>
      <c r="KY799" s="259"/>
      <c r="KZ799" s="259"/>
      <c r="LA799" s="259"/>
      <c r="LB799" s="259"/>
      <c r="LC799" s="259"/>
      <c r="LD799" s="259"/>
      <c r="LE799" s="259"/>
      <c r="LF799" s="259"/>
      <c r="LG799" s="259"/>
      <c r="LH799" s="259"/>
      <c r="LI799" s="259"/>
      <c r="LJ799" s="259"/>
      <c r="LK799" s="259"/>
      <c r="LL799" s="259"/>
      <c r="LM799" s="259"/>
      <c r="LN799" s="259"/>
      <c r="LO799" s="259"/>
      <c r="LP799" s="259"/>
      <c r="LQ799" s="259"/>
      <c r="LR799" s="259"/>
      <c r="LS799" s="259"/>
      <c r="LT799" s="259"/>
      <c r="LU799" s="259"/>
      <c r="LV799" s="259"/>
      <c r="LW799" s="259"/>
      <c r="LX799" s="259"/>
      <c r="LY799" s="259"/>
      <c r="LZ799" s="259"/>
      <c r="MA799" s="259"/>
      <c r="MB799" s="259"/>
      <c r="MC799" s="259"/>
      <c r="MD799" s="259"/>
      <c r="ME799" s="259"/>
      <c r="MF799" s="259"/>
      <c r="MG799" s="259"/>
      <c r="MH799" s="259"/>
      <c r="MI799" s="259"/>
      <c r="MJ799" s="259"/>
      <c r="MK799" s="259"/>
      <c r="ML799" s="259"/>
      <c r="MM799" s="259"/>
      <c r="MN799" s="259"/>
      <c r="MO799" s="259"/>
      <c r="MP799" s="259"/>
      <c r="MQ799" s="259"/>
      <c r="MR799" s="259"/>
      <c r="MS799" s="259"/>
      <c r="MT799" s="259"/>
      <c r="MU799" s="259"/>
      <c r="MV799" s="259"/>
      <c r="MW799" s="259"/>
      <c r="MX799" s="259"/>
      <c r="MY799" s="259"/>
      <c r="MZ799" s="259"/>
      <c r="NA799" s="259"/>
      <c r="NB799" s="259"/>
      <c r="NC799" s="259"/>
      <c r="ND799" s="259"/>
      <c r="NE799" s="259"/>
      <c r="NF799" s="259"/>
      <c r="NG799" s="259"/>
      <c r="NH799" s="259"/>
      <c r="NI799" s="259"/>
      <c r="NJ799" s="259"/>
      <c r="NK799" s="259"/>
      <c r="NL799" s="259"/>
      <c r="NM799" s="259"/>
      <c r="NN799" s="259"/>
      <c r="NO799" s="259"/>
      <c r="NP799" s="259"/>
      <c r="NQ799" s="259"/>
      <c r="NR799" s="259"/>
      <c r="NS799" s="259"/>
      <c r="NT799" s="259"/>
      <c r="NU799" s="259"/>
      <c r="NV799" s="259"/>
      <c r="NW799" s="259"/>
      <c r="NX799" s="259"/>
      <c r="NY799" s="259"/>
      <c r="NZ799" s="259"/>
      <c r="OA799" s="259"/>
      <c r="OB799" s="259"/>
      <c r="OC799" s="259"/>
      <c r="OD799" s="259"/>
      <c r="OE799" s="259"/>
      <c r="OF799" s="259"/>
      <c r="OG799" s="259"/>
      <c r="OH799" s="259"/>
      <c r="OI799" s="259"/>
      <c r="OJ799" s="259"/>
      <c r="OK799" s="259"/>
      <c r="OL799" s="259"/>
      <c r="OM799" s="259"/>
      <c r="ON799" s="259"/>
      <c r="OO799" s="259"/>
      <c r="OP799" s="259"/>
      <c r="OQ799" s="259"/>
      <c r="OR799" s="259"/>
      <c r="OS799" s="259"/>
      <c r="OT799" s="259"/>
      <c r="OU799" s="259"/>
      <c r="OV799" s="259"/>
      <c r="OW799" s="259"/>
      <c r="OX799" s="259"/>
      <c r="OY799" s="259"/>
      <c r="OZ799" s="259"/>
      <c r="PA799" s="259"/>
      <c r="PB799" s="259"/>
      <c r="PC799" s="259"/>
      <c r="PD799" s="259"/>
      <c r="PE799" s="259"/>
      <c r="PF799" s="259"/>
      <c r="PG799" s="259"/>
      <c r="PH799" s="259"/>
      <c r="PI799" s="259"/>
      <c r="PJ799" s="259"/>
      <c r="PK799" s="259"/>
      <c r="PL799" s="259"/>
      <c r="PM799" s="259"/>
      <c r="PN799" s="259"/>
      <c r="PO799" s="259"/>
      <c r="PP799" s="259"/>
      <c r="PQ799" s="259"/>
      <c r="PR799" s="259"/>
      <c r="PS799" s="259"/>
      <c r="PT799" s="259"/>
      <c r="PU799" s="259"/>
      <c r="PV799" s="259"/>
      <c r="PW799" s="259"/>
      <c r="PX799" s="259"/>
      <c r="PY799" s="259"/>
      <c r="PZ799" s="259"/>
      <c r="QA799" s="259"/>
      <c r="QB799" s="259"/>
      <c r="QC799" s="259"/>
      <c r="QD799" s="259"/>
      <c r="QE799" s="259"/>
      <c r="QF799" s="259"/>
      <c r="QG799" s="259"/>
      <c r="QH799" s="259"/>
      <c r="QI799" s="259"/>
      <c r="QJ799" s="259"/>
      <c r="QK799" s="259"/>
      <c r="QL799" s="259"/>
      <c r="QM799" s="259"/>
      <c r="QN799" s="259"/>
      <c r="QO799" s="259"/>
      <c r="QP799" s="259"/>
      <c r="QQ799" s="259"/>
      <c r="QR799" s="259"/>
      <c r="QS799" s="259"/>
      <c r="QT799" s="259"/>
      <c r="QU799" s="259"/>
      <c r="QV799" s="259"/>
      <c r="QW799" s="259"/>
      <c r="QX799" s="259"/>
      <c r="QY799" s="259"/>
      <c r="QZ799" s="259"/>
      <c r="RA799" s="259"/>
      <c r="RB799" s="259"/>
      <c r="RC799" s="259"/>
      <c r="RD799" s="259"/>
      <c r="RE799" s="259"/>
      <c r="RF799" s="259"/>
      <c r="RG799" s="259"/>
      <c r="RH799" s="259"/>
      <c r="RI799" s="259"/>
      <c r="RJ799" s="259"/>
      <c r="RK799" s="259"/>
      <c r="RL799" s="259"/>
      <c r="RM799" s="259"/>
      <c r="RN799" s="259"/>
      <c r="RO799" s="259"/>
      <c r="RP799" s="259"/>
      <c r="RQ799" s="259"/>
      <c r="RR799" s="259"/>
      <c r="RS799" s="259"/>
      <c r="RT799" s="259"/>
      <c r="RU799" s="259"/>
      <c r="RV799" s="259"/>
      <c r="RW799" s="259"/>
      <c r="RX799" s="259"/>
      <c r="RY799" s="259"/>
      <c r="RZ799" s="259"/>
      <c r="SA799" s="259"/>
      <c r="SB799" s="259"/>
      <c r="SC799" s="259"/>
      <c r="SD799" s="259"/>
      <c r="SE799" s="259"/>
      <c r="SF799" s="259"/>
      <c r="SG799" s="259"/>
      <c r="SH799" s="259"/>
      <c r="SI799" s="259"/>
      <c r="SJ799" s="259"/>
      <c r="SK799" s="259"/>
      <c r="SL799" s="259"/>
      <c r="SM799" s="259"/>
      <c r="SN799" s="259"/>
      <c r="SO799" s="259"/>
      <c r="SP799" s="259"/>
      <c r="SQ799" s="259"/>
      <c r="SR799" s="259"/>
      <c r="SS799" s="259"/>
      <c r="ST799" s="259"/>
      <c r="SU799" s="259"/>
      <c r="SV799" s="259"/>
      <c r="SW799" s="259"/>
      <c r="SX799" s="259"/>
      <c r="SY799" s="259"/>
      <c r="SZ799" s="259"/>
      <c r="TA799" s="259"/>
      <c r="TB799" s="259"/>
      <c r="TC799" s="259"/>
      <c r="TD799" s="259"/>
      <c r="TE799" s="259"/>
      <c r="TF799" s="259"/>
      <c r="TG799" s="259"/>
      <c r="TH799" s="259"/>
      <c r="TI799" s="259"/>
      <c r="TJ799" s="259"/>
      <c r="TK799" s="259"/>
      <c r="TL799" s="259"/>
      <c r="TM799" s="259"/>
      <c r="TN799" s="259"/>
      <c r="TO799" s="259"/>
      <c r="TP799" s="259"/>
      <c r="TQ799" s="259"/>
      <c r="TR799" s="259"/>
      <c r="TS799" s="259"/>
      <c r="TT799" s="259"/>
      <c r="TU799" s="259"/>
      <c r="TV799" s="259"/>
      <c r="TW799" s="259"/>
      <c r="TX799" s="259"/>
      <c r="TY799" s="259"/>
      <c r="TZ799" s="259"/>
      <c r="UA799" s="259"/>
      <c r="UB799" s="259"/>
      <c r="UC799" s="259"/>
      <c r="UD799" s="259"/>
      <c r="UE799" s="259"/>
      <c r="UF799" s="259"/>
      <c r="UG799" s="259"/>
      <c r="UH799" s="259"/>
      <c r="UI799" s="259"/>
    </row>
    <row r="800" spans="1:555" ht="162">
      <c r="A800" s="502">
        <v>761</v>
      </c>
      <c r="B800" s="686" t="s">
        <v>6195</v>
      </c>
      <c r="C800" s="687">
        <v>72431299</v>
      </c>
      <c r="D800" s="688" t="s">
        <v>608</v>
      </c>
      <c r="E800" s="27">
        <v>43195</v>
      </c>
      <c r="F800" s="689">
        <v>43191</v>
      </c>
      <c r="G800" s="690" t="s">
        <v>6196</v>
      </c>
      <c r="H800" s="686" t="s">
        <v>5</v>
      </c>
      <c r="I800" s="686" t="s">
        <v>79</v>
      </c>
      <c r="J800" s="16">
        <v>43266</v>
      </c>
      <c r="K800" s="689">
        <v>43252</v>
      </c>
      <c r="L800" s="781" t="s">
        <v>6197</v>
      </c>
      <c r="M800" s="686" t="s">
        <v>5</v>
      </c>
      <c r="N800" s="701" t="s">
        <v>85</v>
      </c>
      <c r="O800" s="16">
        <v>43391</v>
      </c>
      <c r="P800" s="691">
        <v>43391</v>
      </c>
      <c r="Q800" s="706" t="s">
        <v>7258</v>
      </c>
      <c r="R800" s="686" t="s">
        <v>5</v>
      </c>
      <c r="S800" s="686" t="s">
        <v>107</v>
      </c>
      <c r="T800" s="27">
        <v>43371</v>
      </c>
      <c r="U800" s="691">
        <v>43371</v>
      </c>
      <c r="V800" s="693" t="s">
        <v>7262</v>
      </c>
      <c r="W800" s="686" t="s">
        <v>5</v>
      </c>
      <c r="X800" s="693" t="s">
        <v>2161</v>
      </c>
      <c r="Y800" s="27">
        <v>43718</v>
      </c>
      <c r="Z800" s="689">
        <v>43718</v>
      </c>
      <c r="AA800" s="690" t="s">
        <v>9152</v>
      </c>
      <c r="AB800" s="686" t="s">
        <v>5</v>
      </c>
      <c r="AC800" s="686" t="s">
        <v>8243</v>
      </c>
      <c r="AD800" s="27">
        <v>43887</v>
      </c>
      <c r="AE800" s="689">
        <v>43887</v>
      </c>
      <c r="AF800" s="690" t="s">
        <v>9480</v>
      </c>
      <c r="AG800" s="686" t="s">
        <v>5</v>
      </c>
      <c r="AH800" s="686" t="s">
        <v>85</v>
      </c>
      <c r="AI800" s="704"/>
      <c r="AJ800" s="689"/>
      <c r="AK800" s="690"/>
      <c r="AL800" s="686"/>
      <c r="AM800" s="686"/>
      <c r="AN800" s="686" t="s">
        <v>430</v>
      </c>
      <c r="AO800" s="694">
        <v>43195</v>
      </c>
      <c r="AP800" s="686"/>
      <c r="AQ800" s="690" t="s">
        <v>6198</v>
      </c>
      <c r="AR800" s="686" t="s">
        <v>79</v>
      </c>
      <c r="AS800" s="27">
        <v>38777</v>
      </c>
      <c r="AT800" s="27">
        <v>40618</v>
      </c>
      <c r="AU800" s="686" t="s">
        <v>7264</v>
      </c>
      <c r="AV800" s="686"/>
      <c r="AW800" s="686" t="s">
        <v>69</v>
      </c>
      <c r="AX800" s="686" t="s">
        <v>6199</v>
      </c>
      <c r="AY800" s="27">
        <v>42846</v>
      </c>
      <c r="AZ800" s="686" t="s">
        <v>67</v>
      </c>
      <c r="BA800" s="686" t="s">
        <v>67</v>
      </c>
      <c r="BB800" s="27">
        <v>42857</v>
      </c>
      <c r="BC800" s="686" t="s">
        <v>95</v>
      </c>
      <c r="BD800" s="701" t="s">
        <v>4604</v>
      </c>
      <c r="BE800" s="686"/>
      <c r="BF800" s="690" t="s">
        <v>6200</v>
      </c>
      <c r="BG800" s="690"/>
      <c r="BH800" s="690"/>
      <c r="BI800" s="690"/>
      <c r="BJ800" s="708">
        <f>+[312]MATRIZ!$J$63</f>
        <v>0</v>
      </c>
      <c r="BK800" s="696"/>
      <c r="BL800" s="697"/>
      <c r="BM800" s="27"/>
      <c r="BN800" s="689"/>
      <c r="BO800" s="699"/>
      <c r="BP800" s="700"/>
      <c r="BQ800" s="686"/>
      <c r="BR800" s="701"/>
      <c r="BS800" s="690"/>
      <c r="BT800" s="690"/>
      <c r="BU800" s="690"/>
      <c r="BV800" s="690"/>
      <c r="BW800" s="702"/>
      <c r="BX800" s="693"/>
      <c r="BY800" s="27"/>
      <c r="BZ800" s="703"/>
      <c r="CA800" s="259"/>
      <c r="CB800" s="259"/>
      <c r="CC800" s="259"/>
      <c r="CD800" s="259"/>
      <c r="CE800" s="259"/>
      <c r="CF800" s="259"/>
      <c r="CG800" s="259"/>
      <c r="CH800" s="259"/>
      <c r="CI800" s="259"/>
      <c r="CJ800" s="259"/>
      <c r="CK800" s="259"/>
      <c r="CL800" s="259"/>
      <c r="CM800" s="259"/>
      <c r="CN800" s="259"/>
      <c r="CO800" s="259"/>
      <c r="CP800" s="259"/>
      <c r="CQ800" s="259"/>
      <c r="CR800" s="259"/>
      <c r="CS800" s="259"/>
      <c r="CT800" s="259"/>
      <c r="CU800" s="259"/>
      <c r="CV800" s="259"/>
      <c r="CW800" s="259"/>
      <c r="CX800" s="259"/>
      <c r="CY800" s="259"/>
      <c r="CZ800" s="259"/>
      <c r="DA800" s="259"/>
      <c r="DB800" s="259"/>
      <c r="DC800" s="259"/>
      <c r="DD800" s="259"/>
      <c r="DE800" s="259"/>
      <c r="DF800" s="259"/>
      <c r="DG800" s="259"/>
      <c r="DH800" s="259"/>
      <c r="DI800" s="259"/>
      <c r="DJ800" s="259"/>
      <c r="DK800" s="259"/>
      <c r="DL800" s="259"/>
      <c r="DM800" s="259"/>
      <c r="DN800" s="259"/>
      <c r="DO800" s="259"/>
      <c r="DP800" s="259"/>
      <c r="DQ800" s="259"/>
      <c r="DR800" s="259"/>
      <c r="DS800" s="259"/>
      <c r="DT800" s="259"/>
      <c r="DU800" s="259"/>
      <c r="DV800" s="259"/>
      <c r="DW800" s="259"/>
      <c r="DX800" s="259"/>
      <c r="DY800" s="259"/>
      <c r="DZ800" s="259"/>
      <c r="EA800" s="259"/>
      <c r="EB800" s="259"/>
      <c r="EC800" s="259"/>
      <c r="ED800" s="259"/>
      <c r="EE800" s="259"/>
      <c r="EF800" s="259"/>
      <c r="EG800" s="259"/>
      <c r="EH800" s="259"/>
      <c r="EI800" s="259"/>
      <c r="EJ800" s="259"/>
      <c r="EK800" s="259"/>
      <c r="EL800" s="259"/>
      <c r="EM800" s="259"/>
      <c r="EN800" s="259"/>
      <c r="EO800" s="259"/>
      <c r="EP800" s="259"/>
      <c r="EQ800" s="259"/>
      <c r="ER800" s="259"/>
      <c r="ES800" s="259"/>
      <c r="ET800" s="259"/>
      <c r="EU800" s="259"/>
      <c r="EV800" s="259"/>
      <c r="EW800" s="259"/>
      <c r="EX800" s="259"/>
      <c r="EY800" s="259"/>
      <c r="EZ800" s="259"/>
      <c r="FA800" s="259"/>
      <c r="FB800" s="259"/>
      <c r="FC800" s="259"/>
      <c r="FD800" s="259"/>
      <c r="FE800" s="259"/>
      <c r="FF800" s="259"/>
      <c r="FG800" s="259"/>
      <c r="FH800" s="259"/>
      <c r="FI800" s="259"/>
      <c r="FJ800" s="259"/>
      <c r="FK800" s="259"/>
      <c r="FL800" s="259"/>
      <c r="FM800" s="259"/>
      <c r="FN800" s="259"/>
      <c r="FO800" s="259"/>
      <c r="FP800" s="259"/>
      <c r="FQ800" s="259"/>
      <c r="FR800" s="259"/>
      <c r="FS800" s="259"/>
      <c r="FT800" s="259"/>
      <c r="FU800" s="259"/>
      <c r="FV800" s="259"/>
      <c r="FW800" s="259"/>
      <c r="FX800" s="259"/>
      <c r="FY800" s="259"/>
      <c r="FZ800" s="259"/>
      <c r="GA800" s="259"/>
      <c r="GB800" s="259"/>
      <c r="GC800" s="259"/>
      <c r="GD800" s="259"/>
      <c r="GE800" s="259"/>
      <c r="GF800" s="259"/>
      <c r="GG800" s="259"/>
      <c r="GH800" s="259"/>
      <c r="GI800" s="259"/>
      <c r="GJ800" s="259"/>
      <c r="GK800" s="259"/>
      <c r="GL800" s="259"/>
      <c r="GM800" s="259"/>
      <c r="GN800" s="259"/>
      <c r="GO800" s="259"/>
      <c r="GP800" s="259"/>
      <c r="GQ800" s="259"/>
      <c r="GR800" s="259"/>
      <c r="GS800" s="259"/>
      <c r="GT800" s="259"/>
      <c r="GU800" s="259"/>
      <c r="GV800" s="259"/>
      <c r="GW800" s="259"/>
      <c r="GX800" s="259"/>
      <c r="GY800" s="259"/>
      <c r="GZ800" s="259"/>
      <c r="HA800" s="259"/>
      <c r="HB800" s="259"/>
      <c r="HC800" s="259"/>
      <c r="HD800" s="259"/>
      <c r="HE800" s="259"/>
      <c r="HF800" s="259"/>
      <c r="HG800" s="259"/>
      <c r="HH800" s="259"/>
      <c r="HI800" s="259"/>
      <c r="HJ800" s="259"/>
      <c r="HK800" s="259"/>
      <c r="HL800" s="259"/>
      <c r="HM800" s="259"/>
      <c r="HN800" s="259"/>
      <c r="HO800" s="259"/>
      <c r="HP800" s="259"/>
      <c r="HQ800" s="259"/>
      <c r="HR800" s="259"/>
      <c r="HS800" s="259"/>
      <c r="HT800" s="259"/>
      <c r="HU800" s="259"/>
      <c r="HV800" s="259"/>
      <c r="HW800" s="259"/>
      <c r="HX800" s="259"/>
      <c r="HY800" s="259"/>
      <c r="HZ800" s="259"/>
      <c r="IA800" s="259"/>
      <c r="IB800" s="259"/>
      <c r="IC800" s="259"/>
      <c r="ID800" s="259"/>
      <c r="IE800" s="259"/>
      <c r="IF800" s="259"/>
      <c r="IG800" s="259"/>
      <c r="IH800" s="259"/>
      <c r="II800" s="259"/>
      <c r="IJ800" s="259"/>
      <c r="IK800" s="259"/>
      <c r="IL800" s="259"/>
      <c r="IM800" s="259"/>
      <c r="IN800" s="259"/>
      <c r="IO800" s="259"/>
      <c r="IP800" s="259"/>
      <c r="IQ800" s="259"/>
      <c r="IR800" s="259"/>
      <c r="IS800" s="259"/>
      <c r="IT800" s="259"/>
      <c r="IU800" s="259"/>
      <c r="IV800" s="259"/>
      <c r="IW800" s="259"/>
      <c r="IX800" s="259"/>
      <c r="IY800" s="259"/>
      <c r="IZ800" s="259"/>
      <c r="JA800" s="259"/>
      <c r="JB800" s="259"/>
      <c r="JC800" s="259"/>
      <c r="JD800" s="259"/>
      <c r="JE800" s="259"/>
      <c r="JF800" s="259"/>
      <c r="JG800" s="259"/>
      <c r="JH800" s="259"/>
      <c r="JI800" s="259"/>
      <c r="JJ800" s="259"/>
      <c r="JK800" s="259"/>
      <c r="JL800" s="259"/>
      <c r="JM800" s="259"/>
      <c r="JN800" s="259"/>
      <c r="JO800" s="259"/>
      <c r="JP800" s="259"/>
      <c r="JQ800" s="259"/>
      <c r="JR800" s="259"/>
      <c r="JS800" s="259"/>
      <c r="JT800" s="259"/>
      <c r="JU800" s="259"/>
      <c r="JV800" s="259"/>
      <c r="JW800" s="259"/>
      <c r="JX800" s="259"/>
      <c r="JY800" s="259"/>
      <c r="JZ800" s="259"/>
      <c r="KA800" s="259"/>
      <c r="KB800" s="259"/>
      <c r="KC800" s="259"/>
      <c r="KD800" s="259"/>
      <c r="KE800" s="259"/>
      <c r="KF800" s="259"/>
      <c r="KG800" s="259"/>
      <c r="KH800" s="259"/>
      <c r="KI800" s="259"/>
      <c r="KJ800" s="259"/>
      <c r="KK800" s="259"/>
      <c r="KL800" s="259"/>
      <c r="KM800" s="259"/>
      <c r="KN800" s="259"/>
      <c r="KO800" s="259"/>
      <c r="KP800" s="259"/>
      <c r="KQ800" s="259"/>
      <c r="KR800" s="259"/>
      <c r="KS800" s="259"/>
      <c r="KT800" s="259"/>
      <c r="KU800" s="259"/>
      <c r="KV800" s="259"/>
      <c r="KW800" s="259"/>
      <c r="KX800" s="259"/>
      <c r="KY800" s="259"/>
      <c r="KZ800" s="259"/>
      <c r="LA800" s="259"/>
      <c r="LB800" s="259"/>
      <c r="LC800" s="259"/>
      <c r="LD800" s="259"/>
      <c r="LE800" s="259"/>
      <c r="LF800" s="259"/>
      <c r="LG800" s="259"/>
      <c r="LH800" s="259"/>
      <c r="LI800" s="259"/>
      <c r="LJ800" s="259"/>
      <c r="LK800" s="259"/>
      <c r="LL800" s="259"/>
      <c r="LM800" s="259"/>
      <c r="LN800" s="259"/>
      <c r="LO800" s="259"/>
      <c r="LP800" s="259"/>
      <c r="LQ800" s="259"/>
      <c r="LR800" s="259"/>
      <c r="LS800" s="259"/>
      <c r="LT800" s="259"/>
      <c r="LU800" s="259"/>
      <c r="LV800" s="259"/>
      <c r="LW800" s="259"/>
      <c r="LX800" s="259"/>
      <c r="LY800" s="259"/>
      <c r="LZ800" s="259"/>
      <c r="MA800" s="259"/>
      <c r="MB800" s="259"/>
      <c r="MC800" s="259"/>
      <c r="MD800" s="259"/>
      <c r="ME800" s="259"/>
      <c r="MF800" s="259"/>
      <c r="MG800" s="259"/>
      <c r="MH800" s="259"/>
      <c r="MI800" s="259"/>
      <c r="MJ800" s="259"/>
      <c r="MK800" s="259"/>
      <c r="ML800" s="259"/>
      <c r="MM800" s="259"/>
      <c r="MN800" s="259"/>
      <c r="MO800" s="259"/>
      <c r="MP800" s="259"/>
      <c r="MQ800" s="259"/>
      <c r="MR800" s="259"/>
      <c r="MS800" s="259"/>
      <c r="MT800" s="259"/>
      <c r="MU800" s="259"/>
      <c r="MV800" s="259"/>
      <c r="MW800" s="259"/>
      <c r="MX800" s="259"/>
      <c r="MY800" s="259"/>
      <c r="MZ800" s="259"/>
      <c r="NA800" s="259"/>
      <c r="NB800" s="259"/>
      <c r="NC800" s="259"/>
      <c r="ND800" s="259"/>
      <c r="NE800" s="259"/>
      <c r="NF800" s="259"/>
      <c r="NG800" s="259"/>
      <c r="NH800" s="259"/>
      <c r="NI800" s="259"/>
      <c r="NJ800" s="259"/>
      <c r="NK800" s="259"/>
      <c r="NL800" s="259"/>
      <c r="NM800" s="259"/>
      <c r="NN800" s="259"/>
      <c r="NO800" s="259"/>
      <c r="NP800" s="259"/>
      <c r="NQ800" s="259"/>
      <c r="NR800" s="259"/>
      <c r="NS800" s="259"/>
      <c r="NT800" s="259"/>
      <c r="NU800" s="259"/>
      <c r="NV800" s="259"/>
      <c r="NW800" s="259"/>
      <c r="NX800" s="259"/>
      <c r="NY800" s="259"/>
      <c r="NZ800" s="259"/>
      <c r="OA800" s="259"/>
      <c r="OB800" s="259"/>
      <c r="OC800" s="259"/>
      <c r="OD800" s="259"/>
      <c r="OE800" s="259"/>
      <c r="OF800" s="259"/>
      <c r="OG800" s="259"/>
      <c r="OH800" s="259"/>
      <c r="OI800" s="259"/>
      <c r="OJ800" s="259"/>
      <c r="OK800" s="259"/>
      <c r="OL800" s="259"/>
      <c r="OM800" s="259"/>
      <c r="ON800" s="259"/>
      <c r="OO800" s="259"/>
      <c r="OP800" s="259"/>
      <c r="OQ800" s="259"/>
      <c r="OR800" s="259"/>
      <c r="OS800" s="259"/>
      <c r="OT800" s="259"/>
      <c r="OU800" s="259"/>
      <c r="OV800" s="259"/>
      <c r="OW800" s="259"/>
      <c r="OX800" s="259"/>
      <c r="OY800" s="259"/>
      <c r="OZ800" s="259"/>
      <c r="PA800" s="259"/>
      <c r="PB800" s="259"/>
      <c r="PC800" s="259"/>
      <c r="PD800" s="259"/>
      <c r="PE800" s="259"/>
      <c r="PF800" s="259"/>
      <c r="PG800" s="259"/>
      <c r="PH800" s="259"/>
      <c r="PI800" s="259"/>
      <c r="PJ800" s="259"/>
      <c r="PK800" s="259"/>
      <c r="PL800" s="259"/>
      <c r="PM800" s="259"/>
      <c r="PN800" s="259"/>
      <c r="PO800" s="259"/>
      <c r="PP800" s="259"/>
      <c r="PQ800" s="259"/>
      <c r="PR800" s="259"/>
      <c r="PS800" s="259"/>
      <c r="PT800" s="259"/>
      <c r="PU800" s="259"/>
      <c r="PV800" s="259"/>
      <c r="PW800" s="259"/>
      <c r="PX800" s="259"/>
      <c r="PY800" s="259"/>
      <c r="PZ800" s="259"/>
      <c r="QA800" s="259"/>
      <c r="QB800" s="259"/>
      <c r="QC800" s="259"/>
      <c r="QD800" s="259"/>
      <c r="QE800" s="259"/>
      <c r="QF800" s="259"/>
      <c r="QG800" s="259"/>
      <c r="QH800" s="259"/>
      <c r="QI800" s="259"/>
      <c r="QJ800" s="259"/>
      <c r="QK800" s="259"/>
      <c r="QL800" s="259"/>
      <c r="QM800" s="259"/>
      <c r="QN800" s="259"/>
      <c r="QO800" s="259"/>
      <c r="QP800" s="259"/>
      <c r="QQ800" s="259"/>
      <c r="QR800" s="259"/>
      <c r="QS800" s="259"/>
      <c r="QT800" s="259"/>
      <c r="QU800" s="259"/>
      <c r="QV800" s="259"/>
      <c r="QW800" s="259"/>
      <c r="QX800" s="259"/>
      <c r="QY800" s="259"/>
      <c r="QZ800" s="259"/>
      <c r="RA800" s="259"/>
      <c r="RB800" s="259"/>
      <c r="RC800" s="259"/>
      <c r="RD800" s="259"/>
      <c r="RE800" s="259"/>
      <c r="RF800" s="259"/>
      <c r="RG800" s="259"/>
      <c r="RH800" s="259"/>
      <c r="RI800" s="259"/>
      <c r="RJ800" s="259"/>
      <c r="RK800" s="259"/>
      <c r="RL800" s="259"/>
      <c r="RM800" s="259"/>
      <c r="RN800" s="259"/>
      <c r="RO800" s="259"/>
      <c r="RP800" s="259"/>
      <c r="RQ800" s="259"/>
      <c r="RR800" s="259"/>
      <c r="RS800" s="259"/>
      <c r="RT800" s="259"/>
      <c r="RU800" s="259"/>
      <c r="RV800" s="259"/>
      <c r="RW800" s="259"/>
      <c r="RX800" s="259"/>
      <c r="RY800" s="259"/>
      <c r="RZ800" s="259"/>
      <c r="SA800" s="259"/>
      <c r="SB800" s="259"/>
      <c r="SC800" s="259"/>
      <c r="SD800" s="259"/>
      <c r="SE800" s="259"/>
      <c r="SF800" s="259"/>
      <c r="SG800" s="259"/>
      <c r="SH800" s="259"/>
      <c r="SI800" s="259"/>
      <c r="SJ800" s="259"/>
      <c r="SK800" s="259"/>
      <c r="SL800" s="259"/>
      <c r="SM800" s="259"/>
      <c r="SN800" s="259"/>
      <c r="SO800" s="259"/>
      <c r="SP800" s="259"/>
      <c r="SQ800" s="259"/>
      <c r="SR800" s="259"/>
      <c r="SS800" s="259"/>
      <c r="ST800" s="259"/>
      <c r="SU800" s="259"/>
      <c r="SV800" s="259"/>
      <c r="SW800" s="259"/>
      <c r="SX800" s="259"/>
      <c r="SY800" s="259"/>
      <c r="SZ800" s="259"/>
      <c r="TA800" s="259"/>
      <c r="TB800" s="259"/>
      <c r="TC800" s="259"/>
      <c r="TD800" s="259"/>
      <c r="TE800" s="259"/>
      <c r="TF800" s="259"/>
      <c r="TG800" s="259"/>
      <c r="TH800" s="259"/>
      <c r="TI800" s="259"/>
      <c r="TJ800" s="259"/>
      <c r="TK800" s="259"/>
      <c r="TL800" s="259"/>
      <c r="TM800" s="259"/>
      <c r="TN800" s="259"/>
      <c r="TO800" s="259"/>
      <c r="TP800" s="259"/>
      <c r="TQ800" s="259"/>
      <c r="TR800" s="259"/>
      <c r="TS800" s="259"/>
      <c r="TT800" s="259"/>
      <c r="TU800" s="259"/>
      <c r="TV800" s="259"/>
      <c r="TW800" s="259"/>
      <c r="TX800" s="259"/>
      <c r="TY800" s="259"/>
      <c r="TZ800" s="259"/>
      <c r="UA800" s="259"/>
      <c r="UB800" s="259"/>
      <c r="UC800" s="259"/>
      <c r="UD800" s="259"/>
      <c r="UE800" s="259"/>
      <c r="UF800" s="259"/>
      <c r="UG800" s="259"/>
      <c r="UH800" s="259"/>
      <c r="UI800" s="259"/>
    </row>
    <row r="801" spans="1:555" ht="95.25" customHeight="1">
      <c r="A801" s="96">
        <v>762</v>
      </c>
      <c r="B801" s="141" t="s">
        <v>6201</v>
      </c>
      <c r="C801" s="142" t="s">
        <v>6202</v>
      </c>
      <c r="D801" s="438" t="s">
        <v>6203</v>
      </c>
      <c r="E801" s="143">
        <v>43209</v>
      </c>
      <c r="F801" s="144">
        <v>43191</v>
      </c>
      <c r="G801" s="145" t="s">
        <v>6204</v>
      </c>
      <c r="H801" s="141" t="s">
        <v>4895</v>
      </c>
      <c r="I801" s="141" t="s">
        <v>79</v>
      </c>
      <c r="J801" s="143">
        <v>43266</v>
      </c>
      <c r="K801" s="144">
        <v>43252</v>
      </c>
      <c r="L801" s="145" t="s">
        <v>6205</v>
      </c>
      <c r="M801" s="141" t="s">
        <v>4895</v>
      </c>
      <c r="N801" s="141" t="s">
        <v>6206</v>
      </c>
      <c r="O801" s="143">
        <v>43312</v>
      </c>
      <c r="P801" s="146">
        <v>43312</v>
      </c>
      <c r="Q801" s="145" t="s">
        <v>6207</v>
      </c>
      <c r="R801" s="141" t="s">
        <v>4895</v>
      </c>
      <c r="S801" s="141" t="s">
        <v>6208</v>
      </c>
      <c r="T801" s="143">
        <v>43528</v>
      </c>
      <c r="U801" s="144">
        <v>43528</v>
      </c>
      <c r="V801" s="145" t="s">
        <v>8245</v>
      </c>
      <c r="W801" s="141" t="s">
        <v>4895</v>
      </c>
      <c r="X801" s="141" t="s">
        <v>8243</v>
      </c>
      <c r="Y801" s="143">
        <v>44084</v>
      </c>
      <c r="Z801" s="144">
        <v>44084</v>
      </c>
      <c r="AA801" s="145" t="s">
        <v>9756</v>
      </c>
      <c r="AB801" s="141" t="s">
        <v>103</v>
      </c>
      <c r="AC801" s="141" t="s">
        <v>9757</v>
      </c>
      <c r="AD801" s="143"/>
      <c r="AE801" s="144"/>
      <c r="AF801" s="145"/>
      <c r="AG801" s="141"/>
      <c r="AH801" s="141"/>
      <c r="AI801" s="148"/>
      <c r="AJ801" s="144"/>
      <c r="AK801" s="145"/>
      <c r="AL801" s="141"/>
      <c r="AM801" s="141"/>
      <c r="AN801" s="422"/>
      <c r="AO801" s="478" t="s">
        <v>7950</v>
      </c>
      <c r="AP801" s="422"/>
      <c r="AQ801" s="145"/>
      <c r="AR801" s="141" t="s">
        <v>79</v>
      </c>
      <c r="AS801" s="143" t="s">
        <v>67</v>
      </c>
      <c r="AT801" s="143" t="s">
        <v>67</v>
      </c>
      <c r="AU801" s="141" t="s">
        <v>9877</v>
      </c>
      <c r="AV801" s="141"/>
      <c r="AW801" s="141" t="s">
        <v>69</v>
      </c>
      <c r="AX801" s="141" t="s">
        <v>6209</v>
      </c>
      <c r="AY801" s="143">
        <v>43129</v>
      </c>
      <c r="AZ801" s="141" t="s">
        <v>67</v>
      </c>
      <c r="BA801" s="143" t="s">
        <v>67</v>
      </c>
      <c r="BB801" s="382">
        <v>43062</v>
      </c>
      <c r="BC801" s="141" t="s">
        <v>71</v>
      </c>
      <c r="BD801" s="141"/>
      <c r="BE801" s="141"/>
      <c r="BF801" s="145" t="s">
        <v>6210</v>
      </c>
      <c r="BG801" s="145"/>
      <c r="BH801" s="145"/>
      <c r="BI801" s="145"/>
      <c r="BJ801" s="209">
        <f>+[313]MATRIZ!$G$32</f>
        <v>5197000173</v>
      </c>
      <c r="BK801" s="149"/>
      <c r="BL801" s="150"/>
      <c r="BM801" s="143"/>
      <c r="BN801" s="144"/>
      <c r="BO801" s="470"/>
      <c r="BP801" s="402"/>
      <c r="BQ801" s="141"/>
      <c r="BR801" s="151"/>
      <c r="BS801" s="145"/>
      <c r="BT801" s="145"/>
      <c r="BU801" s="145"/>
      <c r="BV801" s="145"/>
      <c r="BW801" s="152"/>
      <c r="BX801" s="153"/>
      <c r="BY801" s="143"/>
      <c r="BZ801" s="154"/>
    </row>
    <row r="802" spans="1:555" ht="81">
      <c r="A802" s="502">
        <v>763</v>
      </c>
      <c r="B802" s="686" t="s">
        <v>4099</v>
      </c>
      <c r="C802" s="687">
        <v>11409637</v>
      </c>
      <c r="D802" s="688" t="s">
        <v>906</v>
      </c>
      <c r="E802" s="27">
        <v>43208</v>
      </c>
      <c r="F802" s="689">
        <v>43191</v>
      </c>
      <c r="G802" s="690" t="s">
        <v>6211</v>
      </c>
      <c r="H802" s="686" t="s">
        <v>1493</v>
      </c>
      <c r="I802" s="686" t="s">
        <v>6212</v>
      </c>
      <c r="J802" s="27">
        <v>43208</v>
      </c>
      <c r="K802" s="689">
        <v>43191</v>
      </c>
      <c r="L802" s="690" t="s">
        <v>6211</v>
      </c>
      <c r="M802" s="686" t="s">
        <v>625</v>
      </c>
      <c r="N802" s="686" t="s">
        <v>6213</v>
      </c>
      <c r="O802" s="27"/>
      <c r="P802" s="691"/>
      <c r="Q802" s="690"/>
      <c r="R802" s="686"/>
      <c r="S802" s="686"/>
      <c r="T802" s="27"/>
      <c r="U802" s="689"/>
      <c r="V802" s="690"/>
      <c r="W802" s="686"/>
      <c r="X802" s="686"/>
      <c r="Y802" s="27"/>
      <c r="Z802" s="689"/>
      <c r="AA802" s="690"/>
      <c r="AB802" s="686"/>
      <c r="AC802" s="686"/>
      <c r="AD802" s="27"/>
      <c r="AE802" s="689"/>
      <c r="AF802" s="690"/>
      <c r="AG802" s="686"/>
      <c r="AH802" s="686"/>
      <c r="AI802" s="704"/>
      <c r="AJ802" s="689"/>
      <c r="AK802" s="690"/>
      <c r="AL802" s="686"/>
      <c r="AM802" s="686"/>
      <c r="AN802" s="686" t="s">
        <v>430</v>
      </c>
      <c r="AO802" s="705" t="s">
        <v>7946</v>
      </c>
      <c r="AP802" s="686"/>
      <c r="AQ802" s="690" t="s">
        <v>6214</v>
      </c>
      <c r="AR802" s="686" t="s">
        <v>1495</v>
      </c>
      <c r="AS802" s="27">
        <v>34351</v>
      </c>
      <c r="AT802" s="27">
        <v>40908</v>
      </c>
      <c r="AU802" s="686" t="s">
        <v>4499</v>
      </c>
      <c r="AV802" s="686"/>
      <c r="AW802" s="686" t="s">
        <v>69</v>
      </c>
      <c r="AX802" s="686" t="s">
        <v>5837</v>
      </c>
      <c r="AY802" s="27">
        <v>43310</v>
      </c>
      <c r="AZ802" s="686" t="s">
        <v>5226</v>
      </c>
      <c r="BA802" s="27">
        <v>43154</v>
      </c>
      <c r="BB802" s="27">
        <v>43167</v>
      </c>
      <c r="BC802" s="701" t="s">
        <v>912</v>
      </c>
      <c r="BD802" s="701" t="s">
        <v>4604</v>
      </c>
      <c r="BE802" s="686"/>
      <c r="BF802" s="865" t="s">
        <v>6215</v>
      </c>
      <c r="BG802" s="865"/>
      <c r="BH802" s="690"/>
      <c r="BI802" s="690"/>
      <c r="BJ802" s="708">
        <f>+'[314]MATRIZ '!$J$57</f>
        <v>0</v>
      </c>
      <c r="BK802" s="696"/>
      <c r="BL802" s="697"/>
      <c r="BM802" s="27"/>
      <c r="BN802" s="689"/>
      <c r="BO802" s="699"/>
      <c r="BP802" s="700"/>
      <c r="BQ802" s="686"/>
      <c r="BR802" s="701"/>
      <c r="BS802" s="690"/>
      <c r="BT802" s="690"/>
      <c r="BU802" s="690"/>
      <c r="BV802" s="690"/>
      <c r="BW802" s="702"/>
      <c r="BX802" s="693"/>
      <c r="BY802" s="27"/>
      <c r="BZ802" s="703"/>
      <c r="CA802" s="259"/>
      <c r="CB802" s="259"/>
      <c r="CC802" s="259"/>
      <c r="CD802" s="259"/>
      <c r="CE802" s="259"/>
      <c r="CF802" s="259"/>
      <c r="CG802" s="259"/>
      <c r="CH802" s="259"/>
      <c r="CI802" s="259"/>
      <c r="CJ802" s="259"/>
      <c r="CK802" s="259"/>
      <c r="CL802" s="259"/>
      <c r="CM802" s="259"/>
      <c r="CN802" s="259"/>
      <c r="CO802" s="259"/>
      <c r="CP802" s="259"/>
      <c r="CQ802" s="259"/>
      <c r="CR802" s="259"/>
      <c r="CS802" s="259"/>
      <c r="CT802" s="259"/>
      <c r="CU802" s="259"/>
      <c r="CV802" s="259"/>
      <c r="CW802" s="259"/>
      <c r="CX802" s="259"/>
      <c r="CY802" s="259"/>
      <c r="CZ802" s="259"/>
      <c r="DA802" s="259"/>
      <c r="DB802" s="259"/>
      <c r="DC802" s="259"/>
      <c r="DD802" s="259"/>
      <c r="DE802" s="259"/>
      <c r="DF802" s="259"/>
      <c r="DG802" s="259"/>
      <c r="DH802" s="259"/>
      <c r="DI802" s="259"/>
      <c r="DJ802" s="259"/>
      <c r="DK802" s="259"/>
      <c r="DL802" s="259"/>
      <c r="DM802" s="259"/>
      <c r="DN802" s="259"/>
      <c r="DO802" s="259"/>
      <c r="DP802" s="259"/>
      <c r="DQ802" s="259"/>
      <c r="DR802" s="259"/>
      <c r="DS802" s="259"/>
      <c r="DT802" s="259"/>
      <c r="DU802" s="259"/>
      <c r="DV802" s="259"/>
      <c r="DW802" s="259"/>
      <c r="DX802" s="259"/>
      <c r="DY802" s="259"/>
      <c r="DZ802" s="259"/>
      <c r="EA802" s="259"/>
      <c r="EB802" s="259"/>
      <c r="EC802" s="259"/>
      <c r="ED802" s="259"/>
      <c r="EE802" s="259"/>
      <c r="EF802" s="259"/>
      <c r="EG802" s="259"/>
      <c r="EH802" s="259"/>
      <c r="EI802" s="259"/>
      <c r="EJ802" s="259"/>
      <c r="EK802" s="259"/>
      <c r="EL802" s="259"/>
      <c r="EM802" s="259"/>
      <c r="EN802" s="259"/>
      <c r="EO802" s="259"/>
      <c r="EP802" s="259"/>
      <c r="EQ802" s="259"/>
      <c r="ER802" s="259"/>
      <c r="ES802" s="259"/>
      <c r="ET802" s="259"/>
      <c r="EU802" s="259"/>
      <c r="EV802" s="259"/>
      <c r="EW802" s="259"/>
      <c r="EX802" s="259"/>
      <c r="EY802" s="259"/>
      <c r="EZ802" s="259"/>
      <c r="FA802" s="259"/>
      <c r="FB802" s="259"/>
      <c r="FC802" s="259"/>
      <c r="FD802" s="259"/>
      <c r="FE802" s="259"/>
      <c r="FF802" s="259"/>
      <c r="FG802" s="259"/>
      <c r="FH802" s="259"/>
      <c r="FI802" s="259"/>
      <c r="FJ802" s="259"/>
      <c r="FK802" s="259"/>
      <c r="FL802" s="259"/>
      <c r="FM802" s="259"/>
      <c r="FN802" s="259"/>
      <c r="FO802" s="259"/>
      <c r="FP802" s="259"/>
      <c r="FQ802" s="259"/>
      <c r="FR802" s="259"/>
      <c r="FS802" s="259"/>
      <c r="FT802" s="259"/>
      <c r="FU802" s="259"/>
      <c r="FV802" s="259"/>
      <c r="FW802" s="259"/>
      <c r="FX802" s="259"/>
      <c r="FY802" s="259"/>
      <c r="FZ802" s="259"/>
      <c r="GA802" s="259"/>
      <c r="GB802" s="259"/>
      <c r="GC802" s="259"/>
      <c r="GD802" s="259"/>
      <c r="GE802" s="259"/>
      <c r="GF802" s="259"/>
      <c r="GG802" s="259"/>
      <c r="GH802" s="259"/>
      <c r="GI802" s="259"/>
      <c r="GJ802" s="259"/>
      <c r="GK802" s="259"/>
      <c r="GL802" s="259"/>
      <c r="GM802" s="259"/>
      <c r="GN802" s="259"/>
      <c r="GO802" s="259"/>
      <c r="GP802" s="259"/>
      <c r="GQ802" s="259"/>
      <c r="GR802" s="259"/>
      <c r="GS802" s="259"/>
      <c r="GT802" s="259"/>
      <c r="GU802" s="259"/>
      <c r="GV802" s="259"/>
      <c r="GW802" s="259"/>
      <c r="GX802" s="259"/>
      <c r="GY802" s="259"/>
      <c r="GZ802" s="259"/>
      <c r="HA802" s="259"/>
      <c r="HB802" s="259"/>
      <c r="HC802" s="259"/>
      <c r="HD802" s="259"/>
      <c r="HE802" s="259"/>
      <c r="HF802" s="259"/>
      <c r="HG802" s="259"/>
      <c r="HH802" s="259"/>
      <c r="HI802" s="259"/>
      <c r="HJ802" s="259"/>
      <c r="HK802" s="259"/>
      <c r="HL802" s="259"/>
      <c r="HM802" s="259"/>
      <c r="HN802" s="259"/>
      <c r="HO802" s="259"/>
      <c r="HP802" s="259"/>
      <c r="HQ802" s="259"/>
      <c r="HR802" s="259"/>
      <c r="HS802" s="259"/>
      <c r="HT802" s="259"/>
      <c r="HU802" s="259"/>
      <c r="HV802" s="259"/>
      <c r="HW802" s="259"/>
      <c r="HX802" s="259"/>
      <c r="HY802" s="259"/>
      <c r="HZ802" s="259"/>
      <c r="IA802" s="259"/>
      <c r="IB802" s="259"/>
      <c r="IC802" s="259"/>
      <c r="ID802" s="259"/>
      <c r="IE802" s="259"/>
      <c r="IF802" s="259"/>
      <c r="IG802" s="259"/>
      <c r="IH802" s="259"/>
      <c r="II802" s="259"/>
      <c r="IJ802" s="259"/>
      <c r="IK802" s="259"/>
      <c r="IL802" s="259"/>
      <c r="IM802" s="259"/>
      <c r="IN802" s="259"/>
      <c r="IO802" s="259"/>
      <c r="IP802" s="259"/>
      <c r="IQ802" s="259"/>
      <c r="IR802" s="259"/>
      <c r="IS802" s="259"/>
      <c r="IT802" s="259"/>
      <c r="IU802" s="259"/>
      <c r="IV802" s="259"/>
      <c r="IW802" s="259"/>
      <c r="IX802" s="259"/>
      <c r="IY802" s="259"/>
      <c r="IZ802" s="259"/>
      <c r="JA802" s="259"/>
      <c r="JB802" s="259"/>
      <c r="JC802" s="259"/>
      <c r="JD802" s="259"/>
      <c r="JE802" s="259"/>
      <c r="JF802" s="259"/>
      <c r="JG802" s="259"/>
      <c r="JH802" s="259"/>
      <c r="JI802" s="259"/>
      <c r="JJ802" s="259"/>
      <c r="JK802" s="259"/>
      <c r="JL802" s="259"/>
      <c r="JM802" s="259"/>
      <c r="JN802" s="259"/>
      <c r="JO802" s="259"/>
      <c r="JP802" s="259"/>
      <c r="JQ802" s="259"/>
      <c r="JR802" s="259"/>
      <c r="JS802" s="259"/>
      <c r="JT802" s="259"/>
      <c r="JU802" s="259"/>
      <c r="JV802" s="259"/>
      <c r="JW802" s="259"/>
      <c r="JX802" s="259"/>
      <c r="JY802" s="259"/>
      <c r="JZ802" s="259"/>
      <c r="KA802" s="259"/>
      <c r="KB802" s="259"/>
      <c r="KC802" s="259"/>
      <c r="KD802" s="259"/>
      <c r="KE802" s="259"/>
      <c r="KF802" s="259"/>
      <c r="KG802" s="259"/>
      <c r="KH802" s="259"/>
      <c r="KI802" s="259"/>
      <c r="KJ802" s="259"/>
      <c r="KK802" s="259"/>
      <c r="KL802" s="259"/>
      <c r="KM802" s="259"/>
      <c r="KN802" s="259"/>
      <c r="KO802" s="259"/>
      <c r="KP802" s="259"/>
      <c r="KQ802" s="259"/>
      <c r="KR802" s="259"/>
      <c r="KS802" s="259"/>
      <c r="KT802" s="259"/>
      <c r="KU802" s="259"/>
      <c r="KV802" s="259"/>
      <c r="KW802" s="259"/>
      <c r="KX802" s="259"/>
      <c r="KY802" s="259"/>
      <c r="KZ802" s="259"/>
      <c r="LA802" s="259"/>
      <c r="LB802" s="259"/>
      <c r="LC802" s="259"/>
      <c r="LD802" s="259"/>
      <c r="LE802" s="259"/>
      <c r="LF802" s="259"/>
      <c r="LG802" s="259"/>
      <c r="LH802" s="259"/>
      <c r="LI802" s="259"/>
      <c r="LJ802" s="259"/>
      <c r="LK802" s="259"/>
      <c r="LL802" s="259"/>
      <c r="LM802" s="259"/>
      <c r="LN802" s="259"/>
      <c r="LO802" s="259"/>
      <c r="LP802" s="259"/>
      <c r="LQ802" s="259"/>
      <c r="LR802" s="259"/>
      <c r="LS802" s="259"/>
      <c r="LT802" s="259"/>
      <c r="LU802" s="259"/>
      <c r="LV802" s="259"/>
      <c r="LW802" s="259"/>
      <c r="LX802" s="259"/>
      <c r="LY802" s="259"/>
      <c r="LZ802" s="259"/>
      <c r="MA802" s="259"/>
      <c r="MB802" s="259"/>
      <c r="MC802" s="259"/>
      <c r="MD802" s="259"/>
      <c r="ME802" s="259"/>
      <c r="MF802" s="259"/>
      <c r="MG802" s="259"/>
      <c r="MH802" s="259"/>
      <c r="MI802" s="259"/>
      <c r="MJ802" s="259"/>
      <c r="MK802" s="259"/>
      <c r="ML802" s="259"/>
      <c r="MM802" s="259"/>
      <c r="MN802" s="259"/>
      <c r="MO802" s="259"/>
      <c r="MP802" s="259"/>
      <c r="MQ802" s="259"/>
      <c r="MR802" s="259"/>
      <c r="MS802" s="259"/>
      <c r="MT802" s="259"/>
      <c r="MU802" s="259"/>
      <c r="MV802" s="259"/>
      <c r="MW802" s="259"/>
      <c r="MX802" s="259"/>
      <c r="MY802" s="259"/>
      <c r="MZ802" s="259"/>
      <c r="NA802" s="259"/>
      <c r="NB802" s="259"/>
      <c r="NC802" s="259"/>
      <c r="ND802" s="259"/>
      <c r="NE802" s="259"/>
      <c r="NF802" s="259"/>
      <c r="NG802" s="259"/>
      <c r="NH802" s="259"/>
      <c r="NI802" s="259"/>
      <c r="NJ802" s="259"/>
      <c r="NK802" s="259"/>
      <c r="NL802" s="259"/>
      <c r="NM802" s="259"/>
      <c r="NN802" s="259"/>
      <c r="NO802" s="259"/>
      <c r="NP802" s="259"/>
      <c r="NQ802" s="259"/>
      <c r="NR802" s="259"/>
      <c r="NS802" s="259"/>
      <c r="NT802" s="259"/>
      <c r="NU802" s="259"/>
      <c r="NV802" s="259"/>
      <c r="NW802" s="259"/>
      <c r="NX802" s="259"/>
      <c r="NY802" s="259"/>
      <c r="NZ802" s="259"/>
      <c r="OA802" s="259"/>
      <c r="OB802" s="259"/>
      <c r="OC802" s="259"/>
      <c r="OD802" s="259"/>
      <c r="OE802" s="259"/>
      <c r="OF802" s="259"/>
      <c r="OG802" s="259"/>
      <c r="OH802" s="259"/>
      <c r="OI802" s="259"/>
      <c r="OJ802" s="259"/>
      <c r="OK802" s="259"/>
      <c r="OL802" s="259"/>
      <c r="OM802" s="259"/>
      <c r="ON802" s="259"/>
      <c r="OO802" s="259"/>
      <c r="OP802" s="259"/>
      <c r="OQ802" s="259"/>
      <c r="OR802" s="259"/>
      <c r="OS802" s="259"/>
      <c r="OT802" s="259"/>
      <c r="OU802" s="259"/>
      <c r="OV802" s="259"/>
      <c r="OW802" s="259"/>
      <c r="OX802" s="259"/>
      <c r="OY802" s="259"/>
      <c r="OZ802" s="259"/>
      <c r="PA802" s="259"/>
      <c r="PB802" s="259"/>
      <c r="PC802" s="259"/>
      <c r="PD802" s="259"/>
      <c r="PE802" s="259"/>
      <c r="PF802" s="259"/>
      <c r="PG802" s="259"/>
      <c r="PH802" s="259"/>
      <c r="PI802" s="259"/>
      <c r="PJ802" s="259"/>
      <c r="PK802" s="259"/>
      <c r="PL802" s="259"/>
      <c r="PM802" s="259"/>
      <c r="PN802" s="259"/>
      <c r="PO802" s="259"/>
      <c r="PP802" s="259"/>
      <c r="PQ802" s="259"/>
      <c r="PR802" s="259"/>
      <c r="PS802" s="259"/>
      <c r="PT802" s="259"/>
      <c r="PU802" s="259"/>
      <c r="PV802" s="259"/>
      <c r="PW802" s="259"/>
      <c r="PX802" s="259"/>
      <c r="PY802" s="259"/>
      <c r="PZ802" s="259"/>
      <c r="QA802" s="259"/>
      <c r="QB802" s="259"/>
      <c r="QC802" s="259"/>
      <c r="QD802" s="259"/>
      <c r="QE802" s="259"/>
      <c r="QF802" s="259"/>
      <c r="QG802" s="259"/>
      <c r="QH802" s="259"/>
      <c r="QI802" s="259"/>
      <c r="QJ802" s="259"/>
      <c r="QK802" s="259"/>
      <c r="QL802" s="259"/>
      <c r="QM802" s="259"/>
      <c r="QN802" s="259"/>
      <c r="QO802" s="259"/>
      <c r="QP802" s="259"/>
      <c r="QQ802" s="259"/>
      <c r="QR802" s="259"/>
      <c r="QS802" s="259"/>
      <c r="QT802" s="259"/>
      <c r="QU802" s="259"/>
      <c r="QV802" s="259"/>
      <c r="QW802" s="259"/>
      <c r="QX802" s="259"/>
      <c r="QY802" s="259"/>
      <c r="QZ802" s="259"/>
      <c r="RA802" s="259"/>
      <c r="RB802" s="259"/>
      <c r="RC802" s="259"/>
      <c r="RD802" s="259"/>
      <c r="RE802" s="259"/>
      <c r="RF802" s="259"/>
      <c r="RG802" s="259"/>
      <c r="RH802" s="259"/>
      <c r="RI802" s="259"/>
      <c r="RJ802" s="259"/>
      <c r="RK802" s="259"/>
      <c r="RL802" s="259"/>
      <c r="RM802" s="259"/>
      <c r="RN802" s="259"/>
      <c r="RO802" s="259"/>
      <c r="RP802" s="259"/>
      <c r="RQ802" s="259"/>
      <c r="RR802" s="259"/>
      <c r="RS802" s="259"/>
      <c r="RT802" s="259"/>
      <c r="RU802" s="259"/>
      <c r="RV802" s="259"/>
      <c r="RW802" s="259"/>
      <c r="RX802" s="259"/>
      <c r="RY802" s="259"/>
      <c r="RZ802" s="259"/>
      <c r="SA802" s="259"/>
      <c r="SB802" s="259"/>
      <c r="SC802" s="259"/>
      <c r="SD802" s="259"/>
      <c r="SE802" s="259"/>
      <c r="SF802" s="259"/>
      <c r="SG802" s="259"/>
      <c r="SH802" s="259"/>
      <c r="SI802" s="259"/>
      <c r="SJ802" s="259"/>
      <c r="SK802" s="259"/>
      <c r="SL802" s="259"/>
      <c r="SM802" s="259"/>
      <c r="SN802" s="259"/>
      <c r="SO802" s="259"/>
      <c r="SP802" s="259"/>
      <c r="SQ802" s="259"/>
      <c r="SR802" s="259"/>
      <c r="SS802" s="259"/>
      <c r="ST802" s="259"/>
      <c r="SU802" s="259"/>
      <c r="SV802" s="259"/>
      <c r="SW802" s="259"/>
      <c r="SX802" s="259"/>
      <c r="SY802" s="259"/>
      <c r="SZ802" s="259"/>
      <c r="TA802" s="259"/>
      <c r="TB802" s="259"/>
      <c r="TC802" s="259"/>
      <c r="TD802" s="259"/>
      <c r="TE802" s="259"/>
      <c r="TF802" s="259"/>
      <c r="TG802" s="259"/>
      <c r="TH802" s="259"/>
      <c r="TI802" s="259"/>
      <c r="TJ802" s="259"/>
      <c r="TK802" s="259"/>
      <c r="TL802" s="259"/>
      <c r="TM802" s="259"/>
      <c r="TN802" s="259"/>
      <c r="TO802" s="259"/>
      <c r="TP802" s="259"/>
      <c r="TQ802" s="259"/>
      <c r="TR802" s="259"/>
      <c r="TS802" s="259"/>
      <c r="TT802" s="259"/>
      <c r="TU802" s="259"/>
      <c r="TV802" s="259"/>
      <c r="TW802" s="259"/>
      <c r="TX802" s="259"/>
      <c r="TY802" s="259"/>
      <c r="TZ802" s="259"/>
      <c r="UA802" s="259"/>
      <c r="UB802" s="259"/>
      <c r="UC802" s="259"/>
      <c r="UD802" s="259"/>
      <c r="UE802" s="259"/>
      <c r="UF802" s="259"/>
      <c r="UG802" s="259"/>
      <c r="UH802" s="259"/>
      <c r="UI802" s="259"/>
    </row>
    <row r="803" spans="1:555" ht="40.5">
      <c r="A803" s="100">
        <v>764</v>
      </c>
      <c r="B803" s="34" t="s">
        <v>6216</v>
      </c>
      <c r="C803" s="35"/>
      <c r="D803" s="440"/>
      <c r="E803" s="37"/>
      <c r="F803" s="38"/>
      <c r="G803" s="39"/>
      <c r="H803" s="34"/>
      <c r="I803" s="34"/>
      <c r="J803" s="37"/>
      <c r="K803" s="38"/>
      <c r="L803" s="39"/>
      <c r="M803" s="34"/>
      <c r="N803" s="34"/>
      <c r="O803" s="37"/>
      <c r="P803" s="40"/>
      <c r="Q803" s="39"/>
      <c r="R803" s="34"/>
      <c r="S803" s="34"/>
      <c r="T803" s="37"/>
      <c r="U803" s="38"/>
      <c r="V803" s="39"/>
      <c r="W803" s="34"/>
      <c r="X803" s="34"/>
      <c r="Y803" s="37"/>
      <c r="Z803" s="38"/>
      <c r="AA803" s="39"/>
      <c r="AB803" s="34"/>
      <c r="AC803" s="34"/>
      <c r="AD803" s="37"/>
      <c r="AE803" s="38"/>
      <c r="AF803" s="39"/>
      <c r="AG803" s="34"/>
      <c r="AH803" s="34"/>
      <c r="AI803" s="73"/>
      <c r="AJ803" s="38"/>
      <c r="AK803" s="39"/>
      <c r="AL803" s="34"/>
      <c r="AM803" s="34"/>
      <c r="AN803" s="34"/>
      <c r="AO803" s="473"/>
      <c r="AP803" s="34"/>
      <c r="AQ803" s="39"/>
      <c r="AR803" s="34"/>
      <c r="AS803" s="37"/>
      <c r="AT803" s="37"/>
      <c r="AU803" s="34"/>
      <c r="AV803" s="34"/>
      <c r="AW803" s="34"/>
      <c r="AX803" s="34"/>
      <c r="AY803" s="37"/>
      <c r="AZ803" s="34"/>
      <c r="BA803" s="37"/>
      <c r="BB803" s="382"/>
      <c r="BC803" s="34"/>
      <c r="BD803" s="34"/>
      <c r="BE803" s="34"/>
      <c r="BF803" s="39"/>
      <c r="BG803" s="39"/>
      <c r="BH803" s="39"/>
      <c r="BI803" s="39"/>
      <c r="BJ803" s="74"/>
      <c r="BK803" s="74"/>
      <c r="BL803" s="44"/>
      <c r="BM803" s="37"/>
      <c r="BN803" s="38"/>
      <c r="BO803" s="462"/>
      <c r="BP803" s="391"/>
      <c r="BQ803" s="34"/>
      <c r="BR803" s="42"/>
      <c r="BS803" s="39"/>
      <c r="BT803" s="39"/>
      <c r="BU803" s="39"/>
      <c r="BV803" s="39"/>
      <c r="BW803" s="51"/>
      <c r="BX803" s="41"/>
      <c r="BY803" s="37"/>
      <c r="BZ803" s="52"/>
    </row>
    <row r="804" spans="1:555" ht="94.5">
      <c r="A804" s="96">
        <v>765</v>
      </c>
      <c r="B804" s="141" t="s">
        <v>6217</v>
      </c>
      <c r="C804" s="142" t="s">
        <v>8205</v>
      </c>
      <c r="D804" s="438"/>
      <c r="E804" s="143">
        <v>43242</v>
      </c>
      <c r="F804" s="144">
        <v>43242</v>
      </c>
      <c r="G804" s="145" t="s">
        <v>6220</v>
      </c>
      <c r="H804" s="141" t="s">
        <v>208</v>
      </c>
      <c r="I804" s="141" t="s">
        <v>6219</v>
      </c>
      <c r="J804" s="143">
        <v>43242</v>
      </c>
      <c r="K804" s="144">
        <v>43221</v>
      </c>
      <c r="L804" s="145" t="s">
        <v>6220</v>
      </c>
      <c r="M804" s="141" t="s">
        <v>6221</v>
      </c>
      <c r="N804" s="141" t="s">
        <v>1114</v>
      </c>
      <c r="O804" s="147">
        <v>43269</v>
      </c>
      <c r="P804" s="146">
        <v>43252</v>
      </c>
      <c r="Q804" s="157" t="s">
        <v>6222</v>
      </c>
      <c r="R804" s="151" t="s">
        <v>6223</v>
      </c>
      <c r="S804" s="151" t="s">
        <v>79</v>
      </c>
      <c r="T804" s="143">
        <v>44545</v>
      </c>
      <c r="U804" s="144">
        <v>44531</v>
      </c>
      <c r="V804" s="145" t="s">
        <v>10723</v>
      </c>
      <c r="W804" s="141" t="s">
        <v>10724</v>
      </c>
      <c r="X804" s="141" t="s">
        <v>10725</v>
      </c>
      <c r="Y804" s="143"/>
      <c r="Z804" s="144"/>
      <c r="AA804" s="145"/>
      <c r="AB804" s="141"/>
      <c r="AC804" s="141"/>
      <c r="AD804" s="143"/>
      <c r="AE804" s="144"/>
      <c r="AF804" s="145"/>
      <c r="AG804" s="141"/>
      <c r="AH804" s="141"/>
      <c r="AI804" s="148"/>
      <c r="AJ804" s="144"/>
      <c r="AK804" s="145"/>
      <c r="AL804" s="141"/>
      <c r="AM804" s="141"/>
      <c r="AN804" s="422"/>
      <c r="AO804" s="478"/>
      <c r="AP804" s="422"/>
      <c r="AQ804" s="145" t="s">
        <v>6224</v>
      </c>
      <c r="AR804" s="141" t="s">
        <v>6225</v>
      </c>
      <c r="AS804" s="143"/>
      <c r="AT804" s="143"/>
      <c r="AU804" s="141" t="s">
        <v>6226</v>
      </c>
      <c r="AV804" s="141"/>
      <c r="AW804" s="141"/>
      <c r="AX804" s="141" t="s">
        <v>6227</v>
      </c>
      <c r="AY804" s="143">
        <v>43215</v>
      </c>
      <c r="AZ804" s="141" t="s">
        <v>67</v>
      </c>
      <c r="BA804" s="141" t="s">
        <v>67</v>
      </c>
      <c r="BB804" s="382">
        <v>43322</v>
      </c>
      <c r="BC804" s="141" t="s">
        <v>5086</v>
      </c>
      <c r="BD804" s="141"/>
      <c r="BE804" s="141"/>
      <c r="BF804" s="145" t="s">
        <v>6228</v>
      </c>
      <c r="BG804" s="145"/>
      <c r="BH804" s="145"/>
      <c r="BI804" s="145"/>
      <c r="BJ804" s="209">
        <f>57002495+213246</f>
        <v>57215741</v>
      </c>
      <c r="BK804" s="149"/>
      <c r="BL804" s="150"/>
      <c r="BM804" s="143"/>
      <c r="BN804" s="144"/>
      <c r="BO804" s="470"/>
      <c r="BP804" s="402"/>
      <c r="BQ804" s="141"/>
      <c r="BR804" s="151"/>
      <c r="BS804" s="145"/>
      <c r="BT804" s="145"/>
      <c r="BU804" s="145"/>
      <c r="BV804" s="145"/>
      <c r="BW804" s="152"/>
      <c r="BX804" s="153"/>
      <c r="BY804" s="143"/>
      <c r="BZ804" s="154"/>
    </row>
    <row r="805" spans="1:555" ht="108">
      <c r="A805" s="502">
        <v>767</v>
      </c>
      <c r="B805" s="686" t="s">
        <v>4794</v>
      </c>
      <c r="C805" s="687">
        <v>15614029</v>
      </c>
      <c r="D805" s="688" t="s">
        <v>906</v>
      </c>
      <c r="E805" s="27">
        <v>43201</v>
      </c>
      <c r="F805" s="689">
        <v>43191</v>
      </c>
      <c r="G805" s="690" t="s">
        <v>6236</v>
      </c>
      <c r="H805" s="686" t="s">
        <v>1493</v>
      </c>
      <c r="I805" s="686" t="s">
        <v>6237</v>
      </c>
      <c r="J805" s="27">
        <v>43502</v>
      </c>
      <c r="K805" s="689">
        <v>43502</v>
      </c>
      <c r="L805" s="690" t="s">
        <v>8488</v>
      </c>
      <c r="M805" s="686" t="s">
        <v>5</v>
      </c>
      <c r="N805" s="686" t="s">
        <v>79</v>
      </c>
      <c r="O805" s="27"/>
      <c r="P805" s="691"/>
      <c r="Q805" s="690"/>
      <c r="R805" s="686"/>
      <c r="S805" s="686"/>
      <c r="T805" s="27"/>
      <c r="U805" s="689"/>
      <c r="V805" s="690"/>
      <c r="W805" s="686"/>
      <c r="X805" s="686"/>
      <c r="Y805" s="27"/>
      <c r="Z805" s="689"/>
      <c r="AA805" s="690"/>
      <c r="AB805" s="686"/>
      <c r="AC805" s="686"/>
      <c r="AD805" s="27"/>
      <c r="AE805" s="689"/>
      <c r="AF805" s="690"/>
      <c r="AG805" s="686"/>
      <c r="AH805" s="686"/>
      <c r="AI805" s="704"/>
      <c r="AJ805" s="689"/>
      <c r="AK805" s="690"/>
      <c r="AL805" s="686"/>
      <c r="AM805" s="686"/>
      <c r="AN805" s="686" t="s">
        <v>4331</v>
      </c>
      <c r="AO805" s="705" t="s">
        <v>7946</v>
      </c>
      <c r="AP805" s="686" t="s">
        <v>2558</v>
      </c>
      <c r="AQ805" s="690" t="s">
        <v>6238</v>
      </c>
      <c r="AR805" s="686" t="s">
        <v>1495</v>
      </c>
      <c r="AS805" s="27">
        <v>40524</v>
      </c>
      <c r="AT805" s="27">
        <v>40908</v>
      </c>
      <c r="AU805" s="686" t="s">
        <v>4499</v>
      </c>
      <c r="AV805" s="686"/>
      <c r="AW805" s="686" t="s">
        <v>69</v>
      </c>
      <c r="AX805" s="686" t="s">
        <v>219</v>
      </c>
      <c r="AY805" s="27">
        <v>42247</v>
      </c>
      <c r="AZ805" s="686" t="s">
        <v>5726</v>
      </c>
      <c r="BA805" s="27">
        <v>43063</v>
      </c>
      <c r="BB805" s="27">
        <v>43154</v>
      </c>
      <c r="BC805" s="701" t="s">
        <v>912</v>
      </c>
      <c r="BD805" s="686" t="s">
        <v>6098</v>
      </c>
      <c r="BE805" s="686"/>
      <c r="BF805" s="690"/>
      <c r="BG805" s="690"/>
      <c r="BH805" s="690"/>
      <c r="BI805" s="690"/>
      <c r="BJ805" s="708">
        <f>+[315]MATRIZ!$J$53</f>
        <v>0</v>
      </c>
      <c r="BK805" s="696"/>
      <c r="BL805" s="697"/>
      <c r="BM805" s="27"/>
      <c r="BN805" s="689"/>
      <c r="BO805" s="699"/>
      <c r="BP805" s="700"/>
      <c r="BQ805" s="686"/>
      <c r="BR805" s="701"/>
      <c r="BS805" s="690"/>
      <c r="BT805" s="690"/>
      <c r="BU805" s="690"/>
      <c r="BV805" s="690"/>
      <c r="BW805" s="702"/>
      <c r="BX805" s="693"/>
      <c r="BY805" s="27"/>
      <c r="BZ805" s="703"/>
      <c r="CA805" s="259"/>
      <c r="CB805" s="259"/>
      <c r="CC805" s="259"/>
      <c r="CD805" s="259"/>
      <c r="CE805" s="259"/>
      <c r="CF805" s="259"/>
      <c r="CG805" s="259"/>
      <c r="CH805" s="259"/>
      <c r="CI805" s="259"/>
      <c r="CJ805" s="259"/>
      <c r="CK805" s="259"/>
      <c r="CL805" s="259"/>
      <c r="CM805" s="259"/>
      <c r="CN805" s="259"/>
      <c r="CO805" s="259"/>
      <c r="CP805" s="259"/>
      <c r="CQ805" s="259"/>
      <c r="CR805" s="259"/>
      <c r="CS805" s="259"/>
      <c r="CT805" s="259"/>
      <c r="CU805" s="259"/>
      <c r="CV805" s="259"/>
      <c r="CW805" s="259"/>
      <c r="CX805" s="259"/>
      <c r="CY805" s="259"/>
      <c r="CZ805" s="259"/>
      <c r="DA805" s="259"/>
      <c r="DB805" s="259"/>
      <c r="DC805" s="259"/>
      <c r="DD805" s="259"/>
      <c r="DE805" s="259"/>
      <c r="DF805" s="259"/>
      <c r="DG805" s="259"/>
      <c r="DH805" s="259"/>
      <c r="DI805" s="259"/>
      <c r="DJ805" s="259"/>
      <c r="DK805" s="259"/>
      <c r="DL805" s="259"/>
      <c r="DM805" s="259"/>
      <c r="DN805" s="259"/>
      <c r="DO805" s="259"/>
      <c r="DP805" s="259"/>
      <c r="DQ805" s="259"/>
      <c r="DR805" s="259"/>
      <c r="DS805" s="259"/>
      <c r="DT805" s="259"/>
      <c r="DU805" s="259"/>
      <c r="DV805" s="259"/>
      <c r="DW805" s="259"/>
      <c r="DX805" s="259"/>
      <c r="DY805" s="259"/>
      <c r="DZ805" s="259"/>
      <c r="EA805" s="259"/>
      <c r="EB805" s="259"/>
      <c r="EC805" s="259"/>
      <c r="ED805" s="259"/>
      <c r="EE805" s="259"/>
      <c r="EF805" s="259"/>
      <c r="EG805" s="259"/>
      <c r="EH805" s="259"/>
      <c r="EI805" s="259"/>
      <c r="EJ805" s="259"/>
      <c r="EK805" s="259"/>
      <c r="EL805" s="259"/>
      <c r="EM805" s="259"/>
      <c r="EN805" s="259"/>
      <c r="EO805" s="259"/>
      <c r="EP805" s="259"/>
      <c r="EQ805" s="259"/>
      <c r="ER805" s="259"/>
      <c r="ES805" s="259"/>
      <c r="ET805" s="259"/>
      <c r="EU805" s="259"/>
      <c r="EV805" s="259"/>
      <c r="EW805" s="259"/>
      <c r="EX805" s="259"/>
      <c r="EY805" s="259"/>
      <c r="EZ805" s="259"/>
      <c r="FA805" s="259"/>
      <c r="FB805" s="259"/>
      <c r="FC805" s="259"/>
      <c r="FD805" s="259"/>
      <c r="FE805" s="259"/>
      <c r="FF805" s="259"/>
      <c r="FG805" s="259"/>
      <c r="FH805" s="259"/>
      <c r="FI805" s="259"/>
      <c r="FJ805" s="259"/>
      <c r="FK805" s="259"/>
      <c r="FL805" s="259"/>
      <c r="FM805" s="259"/>
      <c r="FN805" s="259"/>
      <c r="FO805" s="259"/>
      <c r="FP805" s="259"/>
      <c r="FQ805" s="259"/>
      <c r="FR805" s="259"/>
      <c r="FS805" s="259"/>
      <c r="FT805" s="259"/>
      <c r="FU805" s="259"/>
      <c r="FV805" s="259"/>
      <c r="FW805" s="259"/>
      <c r="FX805" s="259"/>
      <c r="FY805" s="259"/>
      <c r="FZ805" s="259"/>
      <c r="GA805" s="259"/>
      <c r="GB805" s="259"/>
      <c r="GC805" s="259"/>
      <c r="GD805" s="259"/>
      <c r="GE805" s="259"/>
      <c r="GF805" s="259"/>
      <c r="GG805" s="259"/>
      <c r="GH805" s="259"/>
      <c r="GI805" s="259"/>
      <c r="GJ805" s="259"/>
      <c r="GK805" s="259"/>
      <c r="GL805" s="259"/>
      <c r="GM805" s="259"/>
      <c r="GN805" s="259"/>
      <c r="GO805" s="259"/>
      <c r="GP805" s="259"/>
      <c r="GQ805" s="259"/>
      <c r="GR805" s="259"/>
      <c r="GS805" s="259"/>
      <c r="GT805" s="259"/>
      <c r="GU805" s="259"/>
      <c r="GV805" s="259"/>
      <c r="GW805" s="259"/>
      <c r="GX805" s="259"/>
      <c r="GY805" s="259"/>
      <c r="GZ805" s="259"/>
      <c r="HA805" s="259"/>
      <c r="HB805" s="259"/>
      <c r="HC805" s="259"/>
      <c r="HD805" s="259"/>
      <c r="HE805" s="259"/>
      <c r="HF805" s="259"/>
      <c r="HG805" s="259"/>
      <c r="HH805" s="259"/>
      <c r="HI805" s="259"/>
      <c r="HJ805" s="259"/>
      <c r="HK805" s="259"/>
      <c r="HL805" s="259"/>
      <c r="HM805" s="259"/>
      <c r="HN805" s="259"/>
      <c r="HO805" s="259"/>
      <c r="HP805" s="259"/>
      <c r="HQ805" s="259"/>
      <c r="HR805" s="259"/>
      <c r="HS805" s="259"/>
      <c r="HT805" s="259"/>
      <c r="HU805" s="259"/>
      <c r="HV805" s="259"/>
      <c r="HW805" s="259"/>
      <c r="HX805" s="259"/>
      <c r="HY805" s="259"/>
      <c r="HZ805" s="259"/>
      <c r="IA805" s="259"/>
      <c r="IB805" s="259"/>
      <c r="IC805" s="259"/>
      <c r="ID805" s="259"/>
      <c r="IE805" s="259"/>
      <c r="IF805" s="259"/>
      <c r="IG805" s="259"/>
      <c r="IH805" s="259"/>
      <c r="II805" s="259"/>
      <c r="IJ805" s="259"/>
      <c r="IK805" s="259"/>
      <c r="IL805" s="259"/>
      <c r="IM805" s="259"/>
      <c r="IN805" s="259"/>
      <c r="IO805" s="259"/>
      <c r="IP805" s="259"/>
      <c r="IQ805" s="259"/>
      <c r="IR805" s="259"/>
      <c r="IS805" s="259"/>
      <c r="IT805" s="259"/>
      <c r="IU805" s="259"/>
      <c r="IV805" s="259"/>
      <c r="IW805" s="259"/>
      <c r="IX805" s="259"/>
      <c r="IY805" s="259"/>
      <c r="IZ805" s="259"/>
      <c r="JA805" s="259"/>
      <c r="JB805" s="259"/>
      <c r="JC805" s="259"/>
      <c r="JD805" s="259"/>
      <c r="JE805" s="259"/>
      <c r="JF805" s="259"/>
      <c r="JG805" s="259"/>
      <c r="JH805" s="259"/>
      <c r="JI805" s="259"/>
      <c r="JJ805" s="259"/>
      <c r="JK805" s="259"/>
      <c r="JL805" s="259"/>
      <c r="JM805" s="259"/>
      <c r="JN805" s="259"/>
      <c r="JO805" s="259"/>
      <c r="JP805" s="259"/>
      <c r="JQ805" s="259"/>
      <c r="JR805" s="259"/>
      <c r="JS805" s="259"/>
      <c r="JT805" s="259"/>
      <c r="JU805" s="259"/>
      <c r="JV805" s="259"/>
      <c r="JW805" s="259"/>
      <c r="JX805" s="259"/>
      <c r="JY805" s="259"/>
      <c r="JZ805" s="259"/>
      <c r="KA805" s="259"/>
      <c r="KB805" s="259"/>
      <c r="KC805" s="259"/>
      <c r="KD805" s="259"/>
      <c r="KE805" s="259"/>
      <c r="KF805" s="259"/>
      <c r="KG805" s="259"/>
      <c r="KH805" s="259"/>
      <c r="KI805" s="259"/>
      <c r="KJ805" s="259"/>
      <c r="KK805" s="259"/>
      <c r="KL805" s="259"/>
      <c r="KM805" s="259"/>
      <c r="KN805" s="259"/>
      <c r="KO805" s="259"/>
      <c r="KP805" s="259"/>
      <c r="KQ805" s="259"/>
      <c r="KR805" s="259"/>
      <c r="KS805" s="259"/>
      <c r="KT805" s="259"/>
      <c r="KU805" s="259"/>
      <c r="KV805" s="259"/>
      <c r="KW805" s="259"/>
      <c r="KX805" s="259"/>
      <c r="KY805" s="259"/>
      <c r="KZ805" s="259"/>
      <c r="LA805" s="259"/>
      <c r="LB805" s="259"/>
      <c r="LC805" s="259"/>
      <c r="LD805" s="259"/>
      <c r="LE805" s="259"/>
      <c r="LF805" s="259"/>
      <c r="LG805" s="259"/>
      <c r="LH805" s="259"/>
      <c r="LI805" s="259"/>
      <c r="LJ805" s="259"/>
      <c r="LK805" s="259"/>
      <c r="LL805" s="259"/>
      <c r="LM805" s="259"/>
      <c r="LN805" s="259"/>
      <c r="LO805" s="259"/>
      <c r="LP805" s="259"/>
      <c r="LQ805" s="259"/>
      <c r="LR805" s="259"/>
      <c r="LS805" s="259"/>
      <c r="LT805" s="259"/>
      <c r="LU805" s="259"/>
      <c r="LV805" s="259"/>
      <c r="LW805" s="259"/>
      <c r="LX805" s="259"/>
      <c r="LY805" s="259"/>
      <c r="LZ805" s="259"/>
      <c r="MA805" s="259"/>
      <c r="MB805" s="259"/>
      <c r="MC805" s="259"/>
      <c r="MD805" s="259"/>
      <c r="ME805" s="259"/>
      <c r="MF805" s="259"/>
      <c r="MG805" s="259"/>
      <c r="MH805" s="259"/>
      <c r="MI805" s="259"/>
      <c r="MJ805" s="259"/>
      <c r="MK805" s="259"/>
      <c r="ML805" s="259"/>
      <c r="MM805" s="259"/>
      <c r="MN805" s="259"/>
      <c r="MO805" s="259"/>
      <c r="MP805" s="259"/>
      <c r="MQ805" s="259"/>
      <c r="MR805" s="259"/>
      <c r="MS805" s="259"/>
      <c r="MT805" s="259"/>
      <c r="MU805" s="259"/>
      <c r="MV805" s="259"/>
      <c r="MW805" s="259"/>
      <c r="MX805" s="259"/>
      <c r="MY805" s="259"/>
      <c r="MZ805" s="259"/>
      <c r="NA805" s="259"/>
      <c r="NB805" s="259"/>
      <c r="NC805" s="259"/>
      <c r="ND805" s="259"/>
      <c r="NE805" s="259"/>
      <c r="NF805" s="259"/>
      <c r="NG805" s="259"/>
      <c r="NH805" s="259"/>
      <c r="NI805" s="259"/>
      <c r="NJ805" s="259"/>
      <c r="NK805" s="259"/>
      <c r="NL805" s="259"/>
      <c r="NM805" s="259"/>
      <c r="NN805" s="259"/>
      <c r="NO805" s="259"/>
      <c r="NP805" s="259"/>
      <c r="NQ805" s="259"/>
      <c r="NR805" s="259"/>
      <c r="NS805" s="259"/>
      <c r="NT805" s="259"/>
      <c r="NU805" s="259"/>
      <c r="NV805" s="259"/>
      <c r="NW805" s="259"/>
      <c r="NX805" s="259"/>
      <c r="NY805" s="259"/>
      <c r="NZ805" s="259"/>
      <c r="OA805" s="259"/>
      <c r="OB805" s="259"/>
      <c r="OC805" s="259"/>
      <c r="OD805" s="259"/>
      <c r="OE805" s="259"/>
      <c r="OF805" s="259"/>
      <c r="OG805" s="259"/>
      <c r="OH805" s="259"/>
      <c r="OI805" s="259"/>
      <c r="OJ805" s="259"/>
      <c r="OK805" s="259"/>
      <c r="OL805" s="259"/>
      <c r="OM805" s="259"/>
      <c r="ON805" s="259"/>
      <c r="OO805" s="259"/>
      <c r="OP805" s="259"/>
      <c r="OQ805" s="259"/>
      <c r="OR805" s="259"/>
      <c r="OS805" s="259"/>
      <c r="OT805" s="259"/>
      <c r="OU805" s="259"/>
      <c r="OV805" s="259"/>
      <c r="OW805" s="259"/>
      <c r="OX805" s="259"/>
      <c r="OY805" s="259"/>
      <c r="OZ805" s="259"/>
      <c r="PA805" s="259"/>
      <c r="PB805" s="259"/>
      <c r="PC805" s="259"/>
      <c r="PD805" s="259"/>
      <c r="PE805" s="259"/>
      <c r="PF805" s="259"/>
      <c r="PG805" s="259"/>
      <c r="PH805" s="259"/>
      <c r="PI805" s="259"/>
      <c r="PJ805" s="259"/>
      <c r="PK805" s="259"/>
      <c r="PL805" s="259"/>
      <c r="PM805" s="259"/>
      <c r="PN805" s="259"/>
      <c r="PO805" s="259"/>
      <c r="PP805" s="259"/>
      <c r="PQ805" s="259"/>
      <c r="PR805" s="259"/>
      <c r="PS805" s="259"/>
      <c r="PT805" s="259"/>
      <c r="PU805" s="259"/>
      <c r="PV805" s="259"/>
      <c r="PW805" s="259"/>
      <c r="PX805" s="259"/>
      <c r="PY805" s="259"/>
      <c r="PZ805" s="259"/>
      <c r="QA805" s="259"/>
      <c r="QB805" s="259"/>
      <c r="QC805" s="259"/>
      <c r="QD805" s="259"/>
      <c r="QE805" s="259"/>
      <c r="QF805" s="259"/>
      <c r="QG805" s="259"/>
      <c r="QH805" s="259"/>
      <c r="QI805" s="259"/>
      <c r="QJ805" s="259"/>
      <c r="QK805" s="259"/>
      <c r="QL805" s="259"/>
      <c r="QM805" s="259"/>
      <c r="QN805" s="259"/>
      <c r="QO805" s="259"/>
      <c r="QP805" s="259"/>
      <c r="QQ805" s="259"/>
      <c r="QR805" s="259"/>
      <c r="QS805" s="259"/>
      <c r="QT805" s="259"/>
      <c r="QU805" s="259"/>
      <c r="QV805" s="259"/>
      <c r="QW805" s="259"/>
      <c r="QX805" s="259"/>
      <c r="QY805" s="259"/>
      <c r="QZ805" s="259"/>
      <c r="RA805" s="259"/>
      <c r="RB805" s="259"/>
      <c r="RC805" s="259"/>
      <c r="RD805" s="259"/>
      <c r="RE805" s="259"/>
      <c r="RF805" s="259"/>
      <c r="RG805" s="259"/>
      <c r="RH805" s="259"/>
      <c r="RI805" s="259"/>
      <c r="RJ805" s="259"/>
      <c r="RK805" s="259"/>
      <c r="RL805" s="259"/>
      <c r="RM805" s="259"/>
      <c r="RN805" s="259"/>
      <c r="RO805" s="259"/>
      <c r="RP805" s="259"/>
      <c r="RQ805" s="259"/>
      <c r="RR805" s="259"/>
      <c r="RS805" s="259"/>
      <c r="RT805" s="259"/>
      <c r="RU805" s="259"/>
      <c r="RV805" s="259"/>
      <c r="RW805" s="259"/>
      <c r="RX805" s="259"/>
      <c r="RY805" s="259"/>
      <c r="RZ805" s="259"/>
      <c r="SA805" s="259"/>
      <c r="SB805" s="259"/>
      <c r="SC805" s="259"/>
      <c r="SD805" s="259"/>
      <c r="SE805" s="259"/>
      <c r="SF805" s="259"/>
      <c r="SG805" s="259"/>
      <c r="SH805" s="259"/>
      <c r="SI805" s="259"/>
      <c r="SJ805" s="259"/>
      <c r="SK805" s="259"/>
      <c r="SL805" s="259"/>
      <c r="SM805" s="259"/>
      <c r="SN805" s="259"/>
      <c r="SO805" s="259"/>
      <c r="SP805" s="259"/>
      <c r="SQ805" s="259"/>
      <c r="SR805" s="259"/>
      <c r="SS805" s="259"/>
      <c r="ST805" s="259"/>
      <c r="SU805" s="259"/>
      <c r="SV805" s="259"/>
      <c r="SW805" s="259"/>
      <c r="SX805" s="259"/>
      <c r="SY805" s="259"/>
      <c r="SZ805" s="259"/>
      <c r="TA805" s="259"/>
      <c r="TB805" s="259"/>
      <c r="TC805" s="259"/>
      <c r="TD805" s="259"/>
      <c r="TE805" s="259"/>
      <c r="TF805" s="259"/>
      <c r="TG805" s="259"/>
      <c r="TH805" s="259"/>
      <c r="TI805" s="259"/>
      <c r="TJ805" s="259"/>
      <c r="TK805" s="259"/>
      <c r="TL805" s="259"/>
      <c r="TM805" s="259"/>
      <c r="TN805" s="259"/>
      <c r="TO805" s="259"/>
      <c r="TP805" s="259"/>
      <c r="TQ805" s="259"/>
      <c r="TR805" s="259"/>
      <c r="TS805" s="259"/>
      <c r="TT805" s="259"/>
      <c r="TU805" s="259"/>
      <c r="TV805" s="259"/>
      <c r="TW805" s="259"/>
      <c r="TX805" s="259"/>
      <c r="TY805" s="259"/>
      <c r="TZ805" s="259"/>
      <c r="UA805" s="259"/>
      <c r="UB805" s="259"/>
      <c r="UC805" s="259"/>
      <c r="UD805" s="259"/>
      <c r="UE805" s="259"/>
      <c r="UF805" s="259"/>
      <c r="UG805" s="259"/>
      <c r="UH805" s="259"/>
      <c r="UI805" s="259"/>
    </row>
    <row r="806" spans="1:555" ht="108">
      <c r="A806" s="502">
        <v>768</v>
      </c>
      <c r="B806" s="686" t="s">
        <v>6239</v>
      </c>
      <c r="C806" s="687">
        <v>79396299</v>
      </c>
      <c r="D806" s="688" t="s">
        <v>906</v>
      </c>
      <c r="E806" s="27">
        <v>43201</v>
      </c>
      <c r="F806" s="689">
        <v>43191</v>
      </c>
      <c r="G806" s="690" t="s">
        <v>6240</v>
      </c>
      <c r="H806" s="686" t="s">
        <v>1493</v>
      </c>
      <c r="I806" s="686" t="s">
        <v>6005</v>
      </c>
      <c r="J806" s="27">
        <v>43630</v>
      </c>
      <c r="K806" s="689">
        <v>43630</v>
      </c>
      <c r="L806" s="690" t="s">
        <v>8842</v>
      </c>
      <c r="M806" s="686" t="s">
        <v>5</v>
      </c>
      <c r="N806" s="686" t="s">
        <v>79</v>
      </c>
      <c r="O806" s="27"/>
      <c r="P806" s="691"/>
      <c r="Q806" s="690"/>
      <c r="R806" s="686"/>
      <c r="S806" s="686"/>
      <c r="T806" s="27"/>
      <c r="U806" s="689"/>
      <c r="V806" s="690"/>
      <c r="W806" s="686"/>
      <c r="X806" s="686"/>
      <c r="Y806" s="27"/>
      <c r="Z806" s="689"/>
      <c r="AA806" s="690"/>
      <c r="AB806" s="686"/>
      <c r="AC806" s="686"/>
      <c r="AD806" s="27"/>
      <c r="AE806" s="689"/>
      <c r="AF806" s="690"/>
      <c r="AG806" s="686"/>
      <c r="AH806" s="686"/>
      <c r="AI806" s="704"/>
      <c r="AJ806" s="689"/>
      <c r="AK806" s="690"/>
      <c r="AL806" s="686"/>
      <c r="AM806" s="686"/>
      <c r="AN806" s="686" t="s">
        <v>6241</v>
      </c>
      <c r="AO806" s="705" t="s">
        <v>7946</v>
      </c>
      <c r="AP806" s="686" t="s">
        <v>2558</v>
      </c>
      <c r="AQ806" s="690" t="s">
        <v>6242</v>
      </c>
      <c r="AR806" s="686" t="s">
        <v>1495</v>
      </c>
      <c r="AS806" s="27">
        <v>40503</v>
      </c>
      <c r="AT806" s="27">
        <v>40908</v>
      </c>
      <c r="AU806" s="686" t="s">
        <v>4499</v>
      </c>
      <c r="AV806" s="686"/>
      <c r="AW806" s="686" t="s">
        <v>69</v>
      </c>
      <c r="AX806" s="686" t="s">
        <v>6148</v>
      </c>
      <c r="AY806" s="27">
        <v>42479</v>
      </c>
      <c r="AZ806" s="686" t="s">
        <v>6243</v>
      </c>
      <c r="BA806" s="27">
        <v>43063</v>
      </c>
      <c r="BB806" s="27">
        <v>43154</v>
      </c>
      <c r="BC806" s="701" t="s">
        <v>912</v>
      </c>
      <c r="BD806" s="701" t="s">
        <v>2009</v>
      </c>
      <c r="BE806" s="686"/>
      <c r="BF806" s="690"/>
      <c r="BG806" s="690"/>
      <c r="BH806" s="690"/>
      <c r="BI806" s="690"/>
      <c r="BJ806" s="708">
        <f>+[316]MATRIZ!$J$53</f>
        <v>6227908.9783383664</v>
      </c>
      <c r="BK806" s="696"/>
      <c r="BL806" s="697"/>
      <c r="BM806" s="27"/>
      <c r="BN806" s="689"/>
      <c r="BO806" s="699"/>
      <c r="BP806" s="700"/>
      <c r="BQ806" s="686"/>
      <c r="BR806" s="701"/>
      <c r="BS806" s="690"/>
      <c r="BT806" s="690"/>
      <c r="BU806" s="690"/>
      <c r="BV806" s="690"/>
      <c r="BW806" s="702"/>
      <c r="BX806" s="693"/>
      <c r="BY806" s="27"/>
      <c r="BZ806" s="703"/>
      <c r="CA806" s="259"/>
      <c r="CB806" s="259"/>
      <c r="CC806" s="259"/>
      <c r="CD806" s="259"/>
      <c r="CE806" s="259"/>
      <c r="CF806" s="259"/>
      <c r="CG806" s="259"/>
      <c r="CH806" s="259"/>
      <c r="CI806" s="259"/>
      <c r="CJ806" s="259"/>
      <c r="CK806" s="259"/>
      <c r="CL806" s="259"/>
      <c r="CM806" s="259"/>
      <c r="CN806" s="259"/>
      <c r="CO806" s="259"/>
      <c r="CP806" s="259"/>
      <c r="CQ806" s="259"/>
      <c r="CR806" s="259"/>
      <c r="CS806" s="259"/>
      <c r="CT806" s="259"/>
      <c r="CU806" s="259"/>
      <c r="CV806" s="259"/>
      <c r="CW806" s="259"/>
      <c r="CX806" s="259"/>
      <c r="CY806" s="259"/>
      <c r="CZ806" s="259"/>
      <c r="DA806" s="259"/>
      <c r="DB806" s="259"/>
      <c r="DC806" s="259"/>
      <c r="DD806" s="259"/>
      <c r="DE806" s="259"/>
      <c r="DF806" s="259"/>
      <c r="DG806" s="259"/>
      <c r="DH806" s="259"/>
      <c r="DI806" s="259"/>
      <c r="DJ806" s="259"/>
      <c r="DK806" s="259"/>
      <c r="DL806" s="259"/>
      <c r="DM806" s="259"/>
      <c r="DN806" s="259"/>
      <c r="DO806" s="259"/>
      <c r="DP806" s="259"/>
      <c r="DQ806" s="259"/>
      <c r="DR806" s="259"/>
      <c r="DS806" s="259"/>
      <c r="DT806" s="259"/>
      <c r="DU806" s="259"/>
      <c r="DV806" s="259"/>
      <c r="DW806" s="259"/>
      <c r="DX806" s="259"/>
      <c r="DY806" s="259"/>
      <c r="DZ806" s="259"/>
      <c r="EA806" s="259"/>
      <c r="EB806" s="259"/>
      <c r="EC806" s="259"/>
      <c r="ED806" s="259"/>
      <c r="EE806" s="259"/>
      <c r="EF806" s="259"/>
      <c r="EG806" s="259"/>
      <c r="EH806" s="259"/>
      <c r="EI806" s="259"/>
      <c r="EJ806" s="259"/>
      <c r="EK806" s="259"/>
      <c r="EL806" s="259"/>
      <c r="EM806" s="259"/>
      <c r="EN806" s="259"/>
      <c r="EO806" s="259"/>
      <c r="EP806" s="259"/>
      <c r="EQ806" s="259"/>
      <c r="ER806" s="259"/>
      <c r="ES806" s="259"/>
      <c r="ET806" s="259"/>
      <c r="EU806" s="259"/>
      <c r="EV806" s="259"/>
      <c r="EW806" s="259"/>
      <c r="EX806" s="259"/>
      <c r="EY806" s="259"/>
      <c r="EZ806" s="259"/>
      <c r="FA806" s="259"/>
      <c r="FB806" s="259"/>
      <c r="FC806" s="259"/>
      <c r="FD806" s="259"/>
      <c r="FE806" s="259"/>
      <c r="FF806" s="259"/>
      <c r="FG806" s="259"/>
      <c r="FH806" s="259"/>
      <c r="FI806" s="259"/>
      <c r="FJ806" s="259"/>
      <c r="FK806" s="259"/>
      <c r="FL806" s="259"/>
      <c r="FM806" s="259"/>
      <c r="FN806" s="259"/>
      <c r="FO806" s="259"/>
      <c r="FP806" s="259"/>
      <c r="FQ806" s="259"/>
      <c r="FR806" s="259"/>
      <c r="FS806" s="259"/>
      <c r="FT806" s="259"/>
      <c r="FU806" s="259"/>
      <c r="FV806" s="259"/>
      <c r="FW806" s="259"/>
      <c r="FX806" s="259"/>
      <c r="FY806" s="259"/>
      <c r="FZ806" s="259"/>
      <c r="GA806" s="259"/>
      <c r="GB806" s="259"/>
      <c r="GC806" s="259"/>
      <c r="GD806" s="259"/>
      <c r="GE806" s="259"/>
      <c r="GF806" s="259"/>
      <c r="GG806" s="259"/>
      <c r="GH806" s="259"/>
      <c r="GI806" s="259"/>
      <c r="GJ806" s="259"/>
      <c r="GK806" s="259"/>
      <c r="GL806" s="259"/>
      <c r="GM806" s="259"/>
      <c r="GN806" s="259"/>
      <c r="GO806" s="259"/>
      <c r="GP806" s="259"/>
      <c r="GQ806" s="259"/>
      <c r="GR806" s="259"/>
      <c r="GS806" s="259"/>
      <c r="GT806" s="259"/>
      <c r="GU806" s="259"/>
      <c r="GV806" s="259"/>
      <c r="GW806" s="259"/>
      <c r="GX806" s="259"/>
      <c r="GY806" s="259"/>
      <c r="GZ806" s="259"/>
      <c r="HA806" s="259"/>
      <c r="HB806" s="259"/>
      <c r="HC806" s="259"/>
      <c r="HD806" s="259"/>
      <c r="HE806" s="259"/>
      <c r="HF806" s="259"/>
      <c r="HG806" s="259"/>
      <c r="HH806" s="259"/>
      <c r="HI806" s="259"/>
      <c r="HJ806" s="259"/>
      <c r="HK806" s="259"/>
      <c r="HL806" s="259"/>
      <c r="HM806" s="259"/>
      <c r="HN806" s="259"/>
      <c r="HO806" s="259"/>
      <c r="HP806" s="259"/>
      <c r="HQ806" s="259"/>
      <c r="HR806" s="259"/>
      <c r="HS806" s="259"/>
      <c r="HT806" s="259"/>
      <c r="HU806" s="259"/>
      <c r="HV806" s="259"/>
      <c r="HW806" s="259"/>
      <c r="HX806" s="259"/>
      <c r="HY806" s="259"/>
      <c r="HZ806" s="259"/>
      <c r="IA806" s="259"/>
      <c r="IB806" s="259"/>
      <c r="IC806" s="259"/>
      <c r="ID806" s="259"/>
      <c r="IE806" s="259"/>
      <c r="IF806" s="259"/>
      <c r="IG806" s="259"/>
      <c r="IH806" s="259"/>
      <c r="II806" s="259"/>
      <c r="IJ806" s="259"/>
      <c r="IK806" s="259"/>
      <c r="IL806" s="259"/>
      <c r="IM806" s="259"/>
      <c r="IN806" s="259"/>
      <c r="IO806" s="259"/>
      <c r="IP806" s="259"/>
      <c r="IQ806" s="259"/>
      <c r="IR806" s="259"/>
      <c r="IS806" s="259"/>
      <c r="IT806" s="259"/>
      <c r="IU806" s="259"/>
      <c r="IV806" s="259"/>
      <c r="IW806" s="259"/>
      <c r="IX806" s="259"/>
      <c r="IY806" s="259"/>
      <c r="IZ806" s="259"/>
      <c r="JA806" s="259"/>
      <c r="JB806" s="259"/>
      <c r="JC806" s="259"/>
      <c r="JD806" s="259"/>
      <c r="JE806" s="259"/>
      <c r="JF806" s="259"/>
      <c r="JG806" s="259"/>
      <c r="JH806" s="259"/>
      <c r="JI806" s="259"/>
      <c r="JJ806" s="259"/>
      <c r="JK806" s="259"/>
      <c r="JL806" s="259"/>
      <c r="JM806" s="259"/>
      <c r="JN806" s="259"/>
      <c r="JO806" s="259"/>
      <c r="JP806" s="259"/>
      <c r="JQ806" s="259"/>
      <c r="JR806" s="259"/>
      <c r="JS806" s="259"/>
      <c r="JT806" s="259"/>
      <c r="JU806" s="259"/>
      <c r="JV806" s="259"/>
      <c r="JW806" s="259"/>
      <c r="JX806" s="259"/>
      <c r="JY806" s="259"/>
      <c r="JZ806" s="259"/>
      <c r="KA806" s="259"/>
      <c r="KB806" s="259"/>
      <c r="KC806" s="259"/>
      <c r="KD806" s="259"/>
      <c r="KE806" s="259"/>
      <c r="KF806" s="259"/>
      <c r="KG806" s="259"/>
      <c r="KH806" s="259"/>
      <c r="KI806" s="259"/>
      <c r="KJ806" s="259"/>
      <c r="KK806" s="259"/>
      <c r="KL806" s="259"/>
      <c r="KM806" s="259"/>
      <c r="KN806" s="259"/>
      <c r="KO806" s="259"/>
      <c r="KP806" s="259"/>
      <c r="KQ806" s="259"/>
      <c r="KR806" s="259"/>
      <c r="KS806" s="259"/>
      <c r="KT806" s="259"/>
      <c r="KU806" s="259"/>
      <c r="KV806" s="259"/>
      <c r="KW806" s="259"/>
      <c r="KX806" s="259"/>
      <c r="KY806" s="259"/>
      <c r="KZ806" s="259"/>
      <c r="LA806" s="259"/>
      <c r="LB806" s="259"/>
      <c r="LC806" s="259"/>
      <c r="LD806" s="259"/>
      <c r="LE806" s="259"/>
      <c r="LF806" s="259"/>
      <c r="LG806" s="259"/>
      <c r="LH806" s="259"/>
      <c r="LI806" s="259"/>
      <c r="LJ806" s="259"/>
      <c r="LK806" s="259"/>
      <c r="LL806" s="259"/>
      <c r="LM806" s="259"/>
      <c r="LN806" s="259"/>
      <c r="LO806" s="259"/>
      <c r="LP806" s="259"/>
      <c r="LQ806" s="259"/>
      <c r="LR806" s="259"/>
      <c r="LS806" s="259"/>
      <c r="LT806" s="259"/>
      <c r="LU806" s="259"/>
      <c r="LV806" s="259"/>
      <c r="LW806" s="259"/>
      <c r="LX806" s="259"/>
      <c r="LY806" s="259"/>
      <c r="LZ806" s="259"/>
      <c r="MA806" s="259"/>
      <c r="MB806" s="259"/>
      <c r="MC806" s="259"/>
      <c r="MD806" s="259"/>
      <c r="ME806" s="259"/>
      <c r="MF806" s="259"/>
      <c r="MG806" s="259"/>
      <c r="MH806" s="259"/>
      <c r="MI806" s="259"/>
      <c r="MJ806" s="259"/>
      <c r="MK806" s="259"/>
      <c r="ML806" s="259"/>
      <c r="MM806" s="259"/>
      <c r="MN806" s="259"/>
      <c r="MO806" s="259"/>
      <c r="MP806" s="259"/>
      <c r="MQ806" s="259"/>
      <c r="MR806" s="259"/>
      <c r="MS806" s="259"/>
      <c r="MT806" s="259"/>
      <c r="MU806" s="259"/>
      <c r="MV806" s="259"/>
      <c r="MW806" s="259"/>
      <c r="MX806" s="259"/>
      <c r="MY806" s="259"/>
      <c r="MZ806" s="259"/>
      <c r="NA806" s="259"/>
      <c r="NB806" s="259"/>
      <c r="NC806" s="259"/>
      <c r="ND806" s="259"/>
      <c r="NE806" s="259"/>
      <c r="NF806" s="259"/>
      <c r="NG806" s="259"/>
      <c r="NH806" s="259"/>
      <c r="NI806" s="259"/>
      <c r="NJ806" s="259"/>
      <c r="NK806" s="259"/>
      <c r="NL806" s="259"/>
      <c r="NM806" s="259"/>
      <c r="NN806" s="259"/>
      <c r="NO806" s="259"/>
      <c r="NP806" s="259"/>
      <c r="NQ806" s="259"/>
      <c r="NR806" s="259"/>
      <c r="NS806" s="259"/>
      <c r="NT806" s="259"/>
      <c r="NU806" s="259"/>
      <c r="NV806" s="259"/>
      <c r="NW806" s="259"/>
      <c r="NX806" s="259"/>
      <c r="NY806" s="259"/>
      <c r="NZ806" s="259"/>
      <c r="OA806" s="259"/>
      <c r="OB806" s="259"/>
      <c r="OC806" s="259"/>
      <c r="OD806" s="259"/>
      <c r="OE806" s="259"/>
      <c r="OF806" s="259"/>
      <c r="OG806" s="259"/>
      <c r="OH806" s="259"/>
      <c r="OI806" s="259"/>
      <c r="OJ806" s="259"/>
      <c r="OK806" s="259"/>
      <c r="OL806" s="259"/>
      <c r="OM806" s="259"/>
      <c r="ON806" s="259"/>
      <c r="OO806" s="259"/>
      <c r="OP806" s="259"/>
      <c r="OQ806" s="259"/>
      <c r="OR806" s="259"/>
      <c r="OS806" s="259"/>
      <c r="OT806" s="259"/>
      <c r="OU806" s="259"/>
      <c r="OV806" s="259"/>
      <c r="OW806" s="259"/>
      <c r="OX806" s="259"/>
      <c r="OY806" s="259"/>
      <c r="OZ806" s="259"/>
      <c r="PA806" s="259"/>
      <c r="PB806" s="259"/>
      <c r="PC806" s="259"/>
      <c r="PD806" s="259"/>
      <c r="PE806" s="259"/>
      <c r="PF806" s="259"/>
      <c r="PG806" s="259"/>
      <c r="PH806" s="259"/>
      <c r="PI806" s="259"/>
      <c r="PJ806" s="259"/>
      <c r="PK806" s="259"/>
      <c r="PL806" s="259"/>
      <c r="PM806" s="259"/>
      <c r="PN806" s="259"/>
      <c r="PO806" s="259"/>
      <c r="PP806" s="259"/>
      <c r="PQ806" s="259"/>
      <c r="PR806" s="259"/>
      <c r="PS806" s="259"/>
      <c r="PT806" s="259"/>
      <c r="PU806" s="259"/>
      <c r="PV806" s="259"/>
      <c r="PW806" s="259"/>
      <c r="PX806" s="259"/>
      <c r="PY806" s="259"/>
      <c r="PZ806" s="259"/>
      <c r="QA806" s="259"/>
      <c r="QB806" s="259"/>
      <c r="QC806" s="259"/>
      <c r="QD806" s="259"/>
      <c r="QE806" s="259"/>
      <c r="QF806" s="259"/>
      <c r="QG806" s="259"/>
      <c r="QH806" s="259"/>
      <c r="QI806" s="259"/>
      <c r="QJ806" s="259"/>
      <c r="QK806" s="259"/>
      <c r="QL806" s="259"/>
      <c r="QM806" s="259"/>
      <c r="QN806" s="259"/>
      <c r="QO806" s="259"/>
      <c r="QP806" s="259"/>
      <c r="QQ806" s="259"/>
      <c r="QR806" s="259"/>
      <c r="QS806" s="259"/>
      <c r="QT806" s="259"/>
      <c r="QU806" s="259"/>
      <c r="QV806" s="259"/>
      <c r="QW806" s="259"/>
      <c r="QX806" s="259"/>
      <c r="QY806" s="259"/>
      <c r="QZ806" s="259"/>
      <c r="RA806" s="259"/>
      <c r="RB806" s="259"/>
      <c r="RC806" s="259"/>
      <c r="RD806" s="259"/>
      <c r="RE806" s="259"/>
      <c r="RF806" s="259"/>
      <c r="RG806" s="259"/>
      <c r="RH806" s="259"/>
      <c r="RI806" s="259"/>
      <c r="RJ806" s="259"/>
      <c r="RK806" s="259"/>
      <c r="RL806" s="259"/>
      <c r="RM806" s="259"/>
      <c r="RN806" s="259"/>
      <c r="RO806" s="259"/>
      <c r="RP806" s="259"/>
      <c r="RQ806" s="259"/>
      <c r="RR806" s="259"/>
      <c r="RS806" s="259"/>
      <c r="RT806" s="259"/>
      <c r="RU806" s="259"/>
      <c r="RV806" s="259"/>
      <c r="RW806" s="259"/>
      <c r="RX806" s="259"/>
      <c r="RY806" s="259"/>
      <c r="RZ806" s="259"/>
      <c r="SA806" s="259"/>
      <c r="SB806" s="259"/>
      <c r="SC806" s="259"/>
      <c r="SD806" s="259"/>
      <c r="SE806" s="259"/>
      <c r="SF806" s="259"/>
      <c r="SG806" s="259"/>
      <c r="SH806" s="259"/>
      <c r="SI806" s="259"/>
      <c r="SJ806" s="259"/>
      <c r="SK806" s="259"/>
      <c r="SL806" s="259"/>
      <c r="SM806" s="259"/>
      <c r="SN806" s="259"/>
      <c r="SO806" s="259"/>
      <c r="SP806" s="259"/>
      <c r="SQ806" s="259"/>
      <c r="SR806" s="259"/>
      <c r="SS806" s="259"/>
      <c r="ST806" s="259"/>
      <c r="SU806" s="259"/>
      <c r="SV806" s="259"/>
      <c r="SW806" s="259"/>
      <c r="SX806" s="259"/>
      <c r="SY806" s="259"/>
      <c r="SZ806" s="259"/>
      <c r="TA806" s="259"/>
      <c r="TB806" s="259"/>
      <c r="TC806" s="259"/>
      <c r="TD806" s="259"/>
      <c r="TE806" s="259"/>
      <c r="TF806" s="259"/>
      <c r="TG806" s="259"/>
      <c r="TH806" s="259"/>
      <c r="TI806" s="259"/>
      <c r="TJ806" s="259"/>
      <c r="TK806" s="259"/>
      <c r="TL806" s="259"/>
      <c r="TM806" s="259"/>
      <c r="TN806" s="259"/>
      <c r="TO806" s="259"/>
      <c r="TP806" s="259"/>
      <c r="TQ806" s="259"/>
      <c r="TR806" s="259"/>
      <c r="TS806" s="259"/>
      <c r="TT806" s="259"/>
      <c r="TU806" s="259"/>
      <c r="TV806" s="259"/>
      <c r="TW806" s="259"/>
      <c r="TX806" s="259"/>
      <c r="TY806" s="259"/>
      <c r="TZ806" s="259"/>
      <c r="UA806" s="259"/>
      <c r="UB806" s="259"/>
      <c r="UC806" s="259"/>
      <c r="UD806" s="259"/>
      <c r="UE806" s="259"/>
      <c r="UF806" s="259"/>
      <c r="UG806" s="259"/>
      <c r="UH806" s="259"/>
      <c r="UI806" s="259"/>
    </row>
    <row r="807" spans="1:555" ht="67.5">
      <c r="A807" s="502">
        <v>769</v>
      </c>
      <c r="B807" s="686" t="s">
        <v>6244</v>
      </c>
      <c r="C807" s="687">
        <v>53037187</v>
      </c>
      <c r="D807" s="706" t="s">
        <v>2446</v>
      </c>
      <c r="E807" s="27">
        <v>43132</v>
      </c>
      <c r="F807" s="689">
        <v>43132</v>
      </c>
      <c r="G807" s="690" t="s">
        <v>6245</v>
      </c>
      <c r="H807" s="686" t="s">
        <v>1493</v>
      </c>
      <c r="I807" s="686" t="s">
        <v>6212</v>
      </c>
      <c r="J807" s="27">
        <v>43140</v>
      </c>
      <c r="K807" s="689">
        <v>43132</v>
      </c>
      <c r="L807" s="690" t="s">
        <v>6246</v>
      </c>
      <c r="M807" s="686" t="s">
        <v>195</v>
      </c>
      <c r="N807" s="686" t="s">
        <v>1491</v>
      </c>
      <c r="O807" s="27">
        <v>43417</v>
      </c>
      <c r="P807" s="691">
        <v>43417</v>
      </c>
      <c r="Q807" s="690" t="s">
        <v>7396</v>
      </c>
      <c r="R807" s="686" t="s">
        <v>5</v>
      </c>
      <c r="S807" s="686" t="s">
        <v>79</v>
      </c>
      <c r="T807" s="27">
        <v>43847</v>
      </c>
      <c r="U807" s="689">
        <v>43847</v>
      </c>
      <c r="V807" s="690" t="s">
        <v>9387</v>
      </c>
      <c r="W807" s="686" t="s">
        <v>5</v>
      </c>
      <c r="X807" s="686" t="s">
        <v>8243</v>
      </c>
      <c r="Y807" s="27">
        <v>44474</v>
      </c>
      <c r="Z807" s="689">
        <v>44470</v>
      </c>
      <c r="AA807" s="962" t="s">
        <v>10646</v>
      </c>
      <c r="AB807" s="686" t="s">
        <v>208</v>
      </c>
      <c r="AC807" s="686" t="s">
        <v>10647</v>
      </c>
      <c r="AD807" s="963">
        <v>44547</v>
      </c>
      <c r="AE807" s="689">
        <v>44531</v>
      </c>
      <c r="AF807" s="959" t="s">
        <v>10706</v>
      </c>
      <c r="AG807" s="686" t="s">
        <v>3534</v>
      </c>
      <c r="AH807" s="686" t="s">
        <v>107</v>
      </c>
      <c r="AI807" s="704"/>
      <c r="AJ807" s="689"/>
      <c r="AK807" s="690"/>
      <c r="AL807" s="686"/>
      <c r="AM807" s="686"/>
      <c r="AN807" s="686" t="s">
        <v>6247</v>
      </c>
      <c r="AO807" s="694">
        <v>43417</v>
      </c>
      <c r="AP807" s="707" t="s">
        <v>2558</v>
      </c>
      <c r="AQ807" s="690" t="s">
        <v>6248</v>
      </c>
      <c r="AR807" s="686" t="s">
        <v>1495</v>
      </c>
      <c r="AS807" s="27">
        <v>38534</v>
      </c>
      <c r="AT807" s="27">
        <v>40862</v>
      </c>
      <c r="AU807" s="686" t="s">
        <v>7397</v>
      </c>
      <c r="AV807" s="686"/>
      <c r="AW807" s="686" t="s">
        <v>69</v>
      </c>
      <c r="AX807" s="686" t="s">
        <v>6249</v>
      </c>
      <c r="AY807" s="27">
        <v>42783</v>
      </c>
      <c r="AZ807" s="686" t="s">
        <v>3994</v>
      </c>
      <c r="BA807" s="27">
        <v>43083</v>
      </c>
      <c r="BB807" s="27">
        <v>43136</v>
      </c>
      <c r="BC807" s="686" t="s">
        <v>95</v>
      </c>
      <c r="BD807" s="686" t="s">
        <v>6098</v>
      </c>
      <c r="BE807" s="686"/>
      <c r="BF807" s="690"/>
      <c r="BG807" s="690"/>
      <c r="BH807" s="690"/>
      <c r="BI807" s="690"/>
      <c r="BJ807" s="708">
        <f>+[317]MATRIZ!$J$55</f>
        <v>233384452.59175727</v>
      </c>
      <c r="BK807" s="696"/>
      <c r="BL807" s="697"/>
      <c r="BM807" s="27"/>
      <c r="BN807" s="689"/>
      <c r="BO807" s="699"/>
      <c r="BP807" s="875"/>
      <c r="BQ807" s="860"/>
      <c r="BR807" s="880"/>
      <c r="BS807" s="886"/>
      <c r="BT807" s="690"/>
      <c r="BU807" s="690"/>
      <c r="BV807" s="690"/>
      <c r="BW807" s="702"/>
      <c r="BX807" s="693"/>
      <c r="BY807" s="27"/>
      <c r="BZ807" s="703"/>
      <c r="CA807" s="259"/>
      <c r="CB807" s="259"/>
      <c r="CC807" s="259"/>
      <c r="CD807" s="259"/>
      <c r="CE807" s="259"/>
      <c r="CF807" s="259"/>
      <c r="CG807" s="259"/>
      <c r="CH807" s="259"/>
      <c r="CI807" s="259"/>
      <c r="CJ807" s="259"/>
      <c r="CK807" s="259"/>
      <c r="CL807" s="259"/>
      <c r="CM807" s="259"/>
      <c r="CN807" s="259"/>
      <c r="CO807" s="259"/>
      <c r="CP807" s="259"/>
      <c r="CQ807" s="259"/>
      <c r="CR807" s="259"/>
      <c r="CS807" s="259"/>
      <c r="CT807" s="259"/>
      <c r="CU807" s="259"/>
      <c r="CV807" s="259"/>
      <c r="CW807" s="259"/>
      <c r="CX807" s="259"/>
      <c r="CY807" s="259"/>
      <c r="CZ807" s="259"/>
      <c r="DA807" s="259"/>
      <c r="DB807" s="259"/>
      <c r="DC807" s="259"/>
      <c r="DD807" s="259"/>
      <c r="DE807" s="259"/>
      <c r="DF807" s="259"/>
      <c r="DG807" s="259"/>
      <c r="DH807" s="259"/>
      <c r="DI807" s="259"/>
      <c r="DJ807" s="259"/>
      <c r="DK807" s="259"/>
      <c r="DL807" s="259"/>
      <c r="DM807" s="259"/>
      <c r="DN807" s="259"/>
      <c r="DO807" s="259"/>
      <c r="DP807" s="259"/>
      <c r="DQ807" s="259"/>
      <c r="DR807" s="259"/>
      <c r="DS807" s="259"/>
      <c r="DT807" s="259"/>
      <c r="DU807" s="259"/>
      <c r="DV807" s="259"/>
      <c r="DW807" s="259"/>
      <c r="DX807" s="259"/>
      <c r="DY807" s="259"/>
      <c r="DZ807" s="259"/>
      <c r="EA807" s="259"/>
      <c r="EB807" s="259"/>
      <c r="EC807" s="259"/>
      <c r="ED807" s="259"/>
      <c r="EE807" s="259"/>
      <c r="EF807" s="259"/>
      <c r="EG807" s="259"/>
      <c r="EH807" s="259"/>
      <c r="EI807" s="259"/>
      <c r="EJ807" s="259"/>
      <c r="EK807" s="259"/>
      <c r="EL807" s="259"/>
      <c r="EM807" s="259"/>
      <c r="EN807" s="259"/>
      <c r="EO807" s="259"/>
      <c r="EP807" s="259"/>
      <c r="EQ807" s="259"/>
      <c r="ER807" s="259"/>
      <c r="ES807" s="259"/>
      <c r="ET807" s="259"/>
      <c r="EU807" s="259"/>
      <c r="EV807" s="259"/>
      <c r="EW807" s="259"/>
      <c r="EX807" s="259"/>
      <c r="EY807" s="259"/>
      <c r="EZ807" s="259"/>
      <c r="FA807" s="259"/>
      <c r="FB807" s="259"/>
      <c r="FC807" s="259"/>
      <c r="FD807" s="259"/>
      <c r="FE807" s="259"/>
      <c r="FF807" s="259"/>
      <c r="FG807" s="259"/>
      <c r="FH807" s="259"/>
      <c r="FI807" s="259"/>
      <c r="FJ807" s="259"/>
      <c r="FK807" s="259"/>
      <c r="FL807" s="259"/>
      <c r="FM807" s="259"/>
      <c r="FN807" s="259"/>
      <c r="FO807" s="259"/>
      <c r="FP807" s="259"/>
      <c r="FQ807" s="259"/>
      <c r="FR807" s="259"/>
      <c r="FS807" s="259"/>
      <c r="FT807" s="259"/>
      <c r="FU807" s="259"/>
      <c r="FV807" s="259"/>
      <c r="FW807" s="259"/>
      <c r="FX807" s="259"/>
      <c r="FY807" s="259"/>
      <c r="FZ807" s="259"/>
      <c r="GA807" s="259"/>
      <c r="GB807" s="259"/>
      <c r="GC807" s="259"/>
      <c r="GD807" s="259"/>
      <c r="GE807" s="259"/>
      <c r="GF807" s="259"/>
      <c r="GG807" s="259"/>
      <c r="GH807" s="259"/>
      <c r="GI807" s="259"/>
      <c r="GJ807" s="259"/>
      <c r="GK807" s="259"/>
      <c r="GL807" s="259"/>
      <c r="GM807" s="259"/>
      <c r="GN807" s="259"/>
      <c r="GO807" s="259"/>
      <c r="GP807" s="259"/>
      <c r="GQ807" s="259"/>
      <c r="GR807" s="259"/>
      <c r="GS807" s="259"/>
      <c r="GT807" s="259"/>
      <c r="GU807" s="259"/>
      <c r="GV807" s="259"/>
      <c r="GW807" s="259"/>
      <c r="GX807" s="259"/>
      <c r="GY807" s="259"/>
      <c r="GZ807" s="259"/>
      <c r="HA807" s="259"/>
      <c r="HB807" s="259"/>
      <c r="HC807" s="259"/>
      <c r="HD807" s="259"/>
      <c r="HE807" s="259"/>
      <c r="HF807" s="259"/>
      <c r="HG807" s="259"/>
      <c r="HH807" s="259"/>
      <c r="HI807" s="259"/>
      <c r="HJ807" s="259"/>
      <c r="HK807" s="259"/>
      <c r="HL807" s="259"/>
      <c r="HM807" s="259"/>
      <c r="HN807" s="259"/>
      <c r="HO807" s="259"/>
      <c r="HP807" s="259"/>
      <c r="HQ807" s="259"/>
      <c r="HR807" s="259"/>
      <c r="HS807" s="259"/>
      <c r="HT807" s="259"/>
      <c r="HU807" s="259"/>
      <c r="HV807" s="259"/>
      <c r="HW807" s="259"/>
      <c r="HX807" s="259"/>
      <c r="HY807" s="259"/>
      <c r="HZ807" s="259"/>
      <c r="IA807" s="259"/>
      <c r="IB807" s="259"/>
      <c r="IC807" s="259"/>
      <c r="ID807" s="259"/>
      <c r="IE807" s="259"/>
      <c r="IF807" s="259"/>
      <c r="IG807" s="259"/>
      <c r="IH807" s="259"/>
      <c r="II807" s="259"/>
      <c r="IJ807" s="259"/>
      <c r="IK807" s="259"/>
      <c r="IL807" s="259"/>
      <c r="IM807" s="259"/>
      <c r="IN807" s="259"/>
      <c r="IO807" s="259"/>
      <c r="IP807" s="259"/>
      <c r="IQ807" s="259"/>
      <c r="IR807" s="259"/>
      <c r="IS807" s="259"/>
      <c r="IT807" s="259"/>
      <c r="IU807" s="259"/>
      <c r="IV807" s="259"/>
      <c r="IW807" s="259"/>
      <c r="IX807" s="259"/>
      <c r="IY807" s="259"/>
      <c r="IZ807" s="259"/>
      <c r="JA807" s="259"/>
      <c r="JB807" s="259"/>
      <c r="JC807" s="259"/>
      <c r="JD807" s="259"/>
      <c r="JE807" s="259"/>
      <c r="JF807" s="259"/>
      <c r="JG807" s="259"/>
      <c r="JH807" s="259"/>
      <c r="JI807" s="259"/>
      <c r="JJ807" s="259"/>
      <c r="JK807" s="259"/>
      <c r="JL807" s="259"/>
      <c r="JM807" s="259"/>
      <c r="JN807" s="259"/>
      <c r="JO807" s="259"/>
      <c r="JP807" s="259"/>
      <c r="JQ807" s="259"/>
      <c r="JR807" s="259"/>
      <c r="JS807" s="259"/>
      <c r="JT807" s="259"/>
      <c r="JU807" s="259"/>
      <c r="JV807" s="259"/>
      <c r="JW807" s="259"/>
      <c r="JX807" s="259"/>
      <c r="JY807" s="259"/>
      <c r="JZ807" s="259"/>
      <c r="KA807" s="259"/>
      <c r="KB807" s="259"/>
      <c r="KC807" s="259"/>
      <c r="KD807" s="259"/>
      <c r="KE807" s="259"/>
      <c r="KF807" s="259"/>
      <c r="KG807" s="259"/>
      <c r="KH807" s="259"/>
      <c r="KI807" s="259"/>
      <c r="KJ807" s="259"/>
      <c r="KK807" s="259"/>
      <c r="KL807" s="259"/>
      <c r="KM807" s="259"/>
      <c r="KN807" s="259"/>
      <c r="KO807" s="259"/>
      <c r="KP807" s="259"/>
      <c r="KQ807" s="259"/>
      <c r="KR807" s="259"/>
      <c r="KS807" s="259"/>
      <c r="KT807" s="259"/>
      <c r="KU807" s="259"/>
      <c r="KV807" s="259"/>
      <c r="KW807" s="259"/>
      <c r="KX807" s="259"/>
      <c r="KY807" s="259"/>
      <c r="KZ807" s="259"/>
      <c r="LA807" s="259"/>
      <c r="LB807" s="259"/>
      <c r="LC807" s="259"/>
      <c r="LD807" s="259"/>
      <c r="LE807" s="259"/>
      <c r="LF807" s="259"/>
      <c r="LG807" s="259"/>
      <c r="LH807" s="259"/>
      <c r="LI807" s="259"/>
      <c r="LJ807" s="259"/>
      <c r="LK807" s="259"/>
      <c r="LL807" s="259"/>
      <c r="LM807" s="259"/>
      <c r="LN807" s="259"/>
      <c r="LO807" s="259"/>
      <c r="LP807" s="259"/>
      <c r="LQ807" s="259"/>
      <c r="LR807" s="259"/>
      <c r="LS807" s="259"/>
      <c r="LT807" s="259"/>
      <c r="LU807" s="259"/>
      <c r="LV807" s="259"/>
      <c r="LW807" s="259"/>
      <c r="LX807" s="259"/>
      <c r="LY807" s="259"/>
      <c r="LZ807" s="259"/>
      <c r="MA807" s="259"/>
      <c r="MB807" s="259"/>
      <c r="MC807" s="259"/>
      <c r="MD807" s="259"/>
      <c r="ME807" s="259"/>
      <c r="MF807" s="259"/>
      <c r="MG807" s="259"/>
      <c r="MH807" s="259"/>
      <c r="MI807" s="259"/>
      <c r="MJ807" s="259"/>
      <c r="MK807" s="259"/>
      <c r="ML807" s="259"/>
      <c r="MM807" s="259"/>
      <c r="MN807" s="259"/>
      <c r="MO807" s="259"/>
      <c r="MP807" s="259"/>
      <c r="MQ807" s="259"/>
      <c r="MR807" s="259"/>
      <c r="MS807" s="259"/>
      <c r="MT807" s="259"/>
      <c r="MU807" s="259"/>
      <c r="MV807" s="259"/>
      <c r="MW807" s="259"/>
      <c r="MX807" s="259"/>
      <c r="MY807" s="259"/>
      <c r="MZ807" s="259"/>
      <c r="NA807" s="259"/>
      <c r="NB807" s="259"/>
      <c r="NC807" s="259"/>
      <c r="ND807" s="259"/>
      <c r="NE807" s="259"/>
      <c r="NF807" s="259"/>
      <c r="NG807" s="259"/>
      <c r="NH807" s="259"/>
      <c r="NI807" s="259"/>
      <c r="NJ807" s="259"/>
      <c r="NK807" s="259"/>
      <c r="NL807" s="259"/>
      <c r="NM807" s="259"/>
      <c r="NN807" s="259"/>
      <c r="NO807" s="259"/>
      <c r="NP807" s="259"/>
      <c r="NQ807" s="259"/>
      <c r="NR807" s="259"/>
      <c r="NS807" s="259"/>
      <c r="NT807" s="259"/>
      <c r="NU807" s="259"/>
      <c r="NV807" s="259"/>
      <c r="NW807" s="259"/>
      <c r="NX807" s="259"/>
      <c r="NY807" s="259"/>
      <c r="NZ807" s="259"/>
      <c r="OA807" s="259"/>
      <c r="OB807" s="259"/>
      <c r="OC807" s="259"/>
      <c r="OD807" s="259"/>
      <c r="OE807" s="259"/>
      <c r="OF807" s="259"/>
      <c r="OG807" s="259"/>
      <c r="OH807" s="259"/>
      <c r="OI807" s="259"/>
      <c r="OJ807" s="259"/>
      <c r="OK807" s="259"/>
      <c r="OL807" s="259"/>
      <c r="OM807" s="259"/>
      <c r="ON807" s="259"/>
      <c r="OO807" s="259"/>
      <c r="OP807" s="259"/>
      <c r="OQ807" s="259"/>
      <c r="OR807" s="259"/>
      <c r="OS807" s="259"/>
      <c r="OT807" s="259"/>
      <c r="OU807" s="259"/>
      <c r="OV807" s="259"/>
      <c r="OW807" s="259"/>
      <c r="OX807" s="259"/>
      <c r="OY807" s="259"/>
      <c r="OZ807" s="259"/>
      <c r="PA807" s="259"/>
      <c r="PB807" s="259"/>
      <c r="PC807" s="259"/>
      <c r="PD807" s="259"/>
      <c r="PE807" s="259"/>
      <c r="PF807" s="259"/>
      <c r="PG807" s="259"/>
      <c r="PH807" s="259"/>
      <c r="PI807" s="259"/>
      <c r="PJ807" s="259"/>
      <c r="PK807" s="259"/>
      <c r="PL807" s="259"/>
      <c r="PM807" s="259"/>
      <c r="PN807" s="259"/>
      <c r="PO807" s="259"/>
      <c r="PP807" s="259"/>
      <c r="PQ807" s="259"/>
      <c r="PR807" s="259"/>
      <c r="PS807" s="259"/>
      <c r="PT807" s="259"/>
      <c r="PU807" s="259"/>
      <c r="PV807" s="259"/>
      <c r="PW807" s="259"/>
      <c r="PX807" s="259"/>
      <c r="PY807" s="259"/>
      <c r="PZ807" s="259"/>
      <c r="QA807" s="259"/>
      <c r="QB807" s="259"/>
      <c r="QC807" s="259"/>
      <c r="QD807" s="259"/>
      <c r="QE807" s="259"/>
      <c r="QF807" s="259"/>
      <c r="QG807" s="259"/>
      <c r="QH807" s="259"/>
      <c r="QI807" s="259"/>
      <c r="QJ807" s="259"/>
      <c r="QK807" s="259"/>
      <c r="QL807" s="259"/>
      <c r="QM807" s="259"/>
      <c r="QN807" s="259"/>
      <c r="QO807" s="259"/>
      <c r="QP807" s="259"/>
      <c r="QQ807" s="259"/>
      <c r="QR807" s="259"/>
      <c r="QS807" s="259"/>
      <c r="QT807" s="259"/>
      <c r="QU807" s="259"/>
      <c r="QV807" s="259"/>
      <c r="QW807" s="259"/>
      <c r="QX807" s="259"/>
      <c r="QY807" s="259"/>
      <c r="QZ807" s="259"/>
      <c r="RA807" s="259"/>
      <c r="RB807" s="259"/>
      <c r="RC807" s="259"/>
      <c r="RD807" s="259"/>
      <c r="RE807" s="259"/>
      <c r="RF807" s="259"/>
      <c r="RG807" s="259"/>
      <c r="RH807" s="259"/>
      <c r="RI807" s="259"/>
      <c r="RJ807" s="259"/>
      <c r="RK807" s="259"/>
      <c r="RL807" s="259"/>
      <c r="RM807" s="259"/>
      <c r="RN807" s="259"/>
      <c r="RO807" s="259"/>
      <c r="RP807" s="259"/>
      <c r="RQ807" s="259"/>
      <c r="RR807" s="259"/>
      <c r="RS807" s="259"/>
      <c r="RT807" s="259"/>
      <c r="RU807" s="259"/>
      <c r="RV807" s="259"/>
      <c r="RW807" s="259"/>
      <c r="RX807" s="259"/>
      <c r="RY807" s="259"/>
      <c r="RZ807" s="259"/>
      <c r="SA807" s="259"/>
      <c r="SB807" s="259"/>
      <c r="SC807" s="259"/>
      <c r="SD807" s="259"/>
      <c r="SE807" s="259"/>
      <c r="SF807" s="259"/>
      <c r="SG807" s="259"/>
      <c r="SH807" s="259"/>
      <c r="SI807" s="259"/>
      <c r="SJ807" s="259"/>
      <c r="SK807" s="259"/>
      <c r="SL807" s="259"/>
      <c r="SM807" s="259"/>
      <c r="SN807" s="259"/>
      <c r="SO807" s="259"/>
      <c r="SP807" s="259"/>
      <c r="SQ807" s="259"/>
      <c r="SR807" s="259"/>
      <c r="SS807" s="259"/>
      <c r="ST807" s="259"/>
      <c r="SU807" s="259"/>
      <c r="SV807" s="259"/>
      <c r="SW807" s="259"/>
      <c r="SX807" s="259"/>
      <c r="SY807" s="259"/>
      <c r="SZ807" s="259"/>
      <c r="TA807" s="259"/>
      <c r="TB807" s="259"/>
      <c r="TC807" s="259"/>
      <c r="TD807" s="259"/>
      <c r="TE807" s="259"/>
      <c r="TF807" s="259"/>
      <c r="TG807" s="259"/>
      <c r="TH807" s="259"/>
      <c r="TI807" s="259"/>
      <c r="TJ807" s="259"/>
      <c r="TK807" s="259"/>
      <c r="TL807" s="259"/>
      <c r="TM807" s="259"/>
      <c r="TN807" s="259"/>
      <c r="TO807" s="259"/>
      <c r="TP807" s="259"/>
      <c r="TQ807" s="259"/>
      <c r="TR807" s="259"/>
      <c r="TS807" s="259"/>
      <c r="TT807" s="259"/>
      <c r="TU807" s="259"/>
      <c r="TV807" s="259"/>
      <c r="TW807" s="259"/>
      <c r="TX807" s="259"/>
      <c r="TY807" s="259"/>
      <c r="TZ807" s="259"/>
      <c r="UA807" s="259"/>
      <c r="UB807" s="259"/>
      <c r="UC807" s="259"/>
      <c r="UD807" s="259"/>
      <c r="UE807" s="259"/>
      <c r="UF807" s="259"/>
      <c r="UG807" s="259"/>
      <c r="UH807" s="259"/>
      <c r="UI807" s="259"/>
    </row>
    <row r="808" spans="1:555" ht="162">
      <c r="A808" s="57">
        <v>770</v>
      </c>
      <c r="B808" s="58" t="s">
        <v>6250</v>
      </c>
      <c r="C808" s="59">
        <v>79981593</v>
      </c>
      <c r="D808" s="425" t="s">
        <v>6251</v>
      </c>
      <c r="E808" s="60">
        <v>43222</v>
      </c>
      <c r="F808" s="61">
        <v>43221</v>
      </c>
      <c r="G808" s="62" t="s">
        <v>6252</v>
      </c>
      <c r="H808" s="58" t="s">
        <v>1493</v>
      </c>
      <c r="I808" s="58" t="s">
        <v>6212</v>
      </c>
      <c r="J808" s="60">
        <v>43230</v>
      </c>
      <c r="K808" s="61">
        <v>43221</v>
      </c>
      <c r="L808" s="62" t="s">
        <v>6253</v>
      </c>
      <c r="M808" s="58" t="s">
        <v>195</v>
      </c>
      <c r="N808" s="58" t="s">
        <v>1491</v>
      </c>
      <c r="O808" s="64">
        <v>43329</v>
      </c>
      <c r="P808" s="63">
        <v>43329</v>
      </c>
      <c r="Q808" s="425" t="s">
        <v>6254</v>
      </c>
      <c r="R808" s="425" t="s">
        <v>63</v>
      </c>
      <c r="S808" s="425" t="s">
        <v>79</v>
      </c>
      <c r="T808" s="60">
        <v>43375</v>
      </c>
      <c r="U808" s="61">
        <v>43375</v>
      </c>
      <c r="V808" s="62" t="s">
        <v>7269</v>
      </c>
      <c r="W808" s="58" t="s">
        <v>5</v>
      </c>
      <c r="X808" s="58" t="s">
        <v>6331</v>
      </c>
      <c r="Y808" s="60">
        <v>43445</v>
      </c>
      <c r="Z808" s="61">
        <v>43445</v>
      </c>
      <c r="AA808" s="500" t="s">
        <v>7971</v>
      </c>
      <c r="AB808" s="58" t="s">
        <v>63</v>
      </c>
      <c r="AC808" s="58" t="s">
        <v>79</v>
      </c>
      <c r="AD808" s="60"/>
      <c r="AE808" s="61"/>
      <c r="AF808" s="62"/>
      <c r="AG808" s="58"/>
      <c r="AH808" s="58"/>
      <c r="AI808" s="117"/>
      <c r="AJ808" s="61"/>
      <c r="AK808" s="62"/>
      <c r="AL808" s="58"/>
      <c r="AM808" s="58"/>
      <c r="AN808" s="58" t="s">
        <v>918</v>
      </c>
      <c r="AO808" s="479">
        <v>43375</v>
      </c>
      <c r="AP808" s="119" t="s">
        <v>2558</v>
      </c>
      <c r="AQ808" s="62" t="s">
        <v>6255</v>
      </c>
      <c r="AR808" s="58" t="s">
        <v>1495</v>
      </c>
      <c r="AS808" s="60">
        <v>37956</v>
      </c>
      <c r="AT808" s="60">
        <v>40713</v>
      </c>
      <c r="AU808" s="58" t="s">
        <v>7981</v>
      </c>
      <c r="AV808" s="58"/>
      <c r="AW808" s="58" t="s">
        <v>69</v>
      </c>
      <c r="AX808" s="58" t="s">
        <v>6256</v>
      </c>
      <c r="AY808" s="60">
        <v>42780</v>
      </c>
      <c r="AZ808" s="58" t="s">
        <v>6257</v>
      </c>
      <c r="BA808" s="60">
        <v>42999</v>
      </c>
      <c r="BB808" s="382">
        <v>43224</v>
      </c>
      <c r="BC808" s="58" t="s">
        <v>95</v>
      </c>
      <c r="BD808" s="58" t="s">
        <v>6098</v>
      </c>
      <c r="BE808" s="58"/>
      <c r="BF808" s="62"/>
      <c r="BG808" s="62"/>
      <c r="BH808" s="62"/>
      <c r="BI808" s="62"/>
      <c r="BJ808" s="209">
        <f>+[318]MATRIZ!$J$53</f>
        <v>0</v>
      </c>
      <c r="BK808" s="67"/>
      <c r="BL808" s="68"/>
      <c r="BM808" s="60"/>
      <c r="BN808" s="61"/>
      <c r="BO808" s="873"/>
      <c r="BP808" s="876"/>
      <c r="BQ808" s="878"/>
      <c r="BR808" s="884"/>
      <c r="BS808" s="62"/>
      <c r="BT808" s="62"/>
      <c r="BU808" s="62"/>
      <c r="BV808" s="62"/>
      <c r="BW808" s="71"/>
      <c r="BX808" s="66"/>
      <c r="BY808" s="60"/>
      <c r="BZ808" s="72"/>
    </row>
    <row r="809" spans="1:555" ht="67.5">
      <c r="A809" s="57">
        <v>771</v>
      </c>
      <c r="B809" s="58" t="s">
        <v>6258</v>
      </c>
      <c r="C809" s="59">
        <v>79960084</v>
      </c>
      <c r="D809" s="170" t="s">
        <v>5980</v>
      </c>
      <c r="E809" s="60">
        <v>43124</v>
      </c>
      <c r="F809" s="61">
        <v>43101</v>
      </c>
      <c r="G809" s="62" t="s">
        <v>6259</v>
      </c>
      <c r="H809" s="58" t="s">
        <v>1493</v>
      </c>
      <c r="I809" s="58" t="s">
        <v>6212</v>
      </c>
      <c r="J809" s="60"/>
      <c r="K809" s="61"/>
      <c r="L809" s="62"/>
      <c r="M809" s="58"/>
      <c r="N809" s="58"/>
      <c r="O809" s="60"/>
      <c r="P809" s="63"/>
      <c r="Q809" s="62"/>
      <c r="R809" s="58"/>
      <c r="S809" s="58"/>
      <c r="T809" s="60"/>
      <c r="U809" s="61"/>
      <c r="V809" s="62"/>
      <c r="W809" s="58"/>
      <c r="X809" s="58"/>
      <c r="Y809" s="60"/>
      <c r="Z809" s="61"/>
      <c r="AA809" s="62"/>
      <c r="AB809" s="58"/>
      <c r="AC809" s="58"/>
      <c r="AD809" s="60"/>
      <c r="AE809" s="61"/>
      <c r="AF809" s="62"/>
      <c r="AG809" s="58"/>
      <c r="AH809" s="58"/>
      <c r="AI809" s="117"/>
      <c r="AJ809" s="61"/>
      <c r="AK809" s="62"/>
      <c r="AL809" s="58"/>
      <c r="AM809" s="58"/>
      <c r="AN809" s="58" t="s">
        <v>918</v>
      </c>
      <c r="AO809" s="478" t="s">
        <v>7946</v>
      </c>
      <c r="AP809" s="118" t="s">
        <v>2558</v>
      </c>
      <c r="AQ809" s="62" t="s">
        <v>6260</v>
      </c>
      <c r="AR809" s="58" t="s">
        <v>1495</v>
      </c>
      <c r="AS809" s="60">
        <v>39063</v>
      </c>
      <c r="AT809" s="60">
        <v>39801</v>
      </c>
      <c r="AU809" s="58" t="s">
        <v>6261</v>
      </c>
      <c r="AV809" s="58"/>
      <c r="AW809" s="58" t="s">
        <v>69</v>
      </c>
      <c r="AX809" s="58" t="s">
        <v>6262</v>
      </c>
      <c r="AY809" s="60">
        <v>42524</v>
      </c>
      <c r="AZ809" s="58" t="s">
        <v>6263</v>
      </c>
      <c r="BA809" s="60">
        <v>43119</v>
      </c>
      <c r="BB809" s="382">
        <v>43129</v>
      </c>
      <c r="BC809" s="58" t="s">
        <v>95</v>
      </c>
      <c r="BD809" s="58" t="s">
        <v>566</v>
      </c>
      <c r="BE809" s="58"/>
      <c r="BF809" s="62"/>
      <c r="BG809" s="62"/>
      <c r="BH809" s="62"/>
      <c r="BI809" s="62"/>
      <c r="BJ809" s="209">
        <f>+'[319]MATRIZ '!$J$45</f>
        <v>12087888.116701774</v>
      </c>
      <c r="BK809" s="67"/>
      <c r="BL809" s="68"/>
      <c r="BM809" s="60"/>
      <c r="BN809" s="61"/>
      <c r="BO809" s="463"/>
      <c r="BP809" s="122"/>
      <c r="BQ809" s="58"/>
      <c r="BR809" s="70"/>
      <c r="BS809" s="62"/>
      <c r="BT809" s="62"/>
      <c r="BU809" s="62"/>
      <c r="BV809" s="62"/>
      <c r="BW809" s="71"/>
      <c r="BX809" s="66"/>
      <c r="BY809" s="60"/>
      <c r="BZ809" s="72"/>
    </row>
    <row r="810" spans="1:555" ht="54">
      <c r="A810" s="96">
        <v>772</v>
      </c>
      <c r="B810" s="141" t="s">
        <v>6264</v>
      </c>
      <c r="C810" s="161">
        <v>12634104</v>
      </c>
      <c r="D810" s="162" t="s">
        <v>6265</v>
      </c>
      <c r="E810" s="143">
        <v>43159</v>
      </c>
      <c r="F810" s="144">
        <v>43132</v>
      </c>
      <c r="G810" s="157" t="s">
        <v>6266</v>
      </c>
      <c r="H810" s="141" t="s">
        <v>5</v>
      </c>
      <c r="I810" s="141" t="s">
        <v>79</v>
      </c>
      <c r="J810" s="143">
        <v>43434</v>
      </c>
      <c r="K810" s="144">
        <v>43434</v>
      </c>
      <c r="L810" s="428" t="s">
        <v>7571</v>
      </c>
      <c r="M810" s="141" t="s">
        <v>5</v>
      </c>
      <c r="N810" s="428" t="s">
        <v>7572</v>
      </c>
      <c r="O810" s="143">
        <v>44350</v>
      </c>
      <c r="P810" s="146">
        <v>44350</v>
      </c>
      <c r="Q810" s="145" t="s">
        <v>10390</v>
      </c>
      <c r="R810" s="141" t="s">
        <v>576</v>
      </c>
      <c r="S810" s="141" t="s">
        <v>7541</v>
      </c>
      <c r="T810" s="963">
        <v>44568</v>
      </c>
      <c r="U810" s="144">
        <v>44562</v>
      </c>
      <c r="V810" s="959" t="s">
        <v>10740</v>
      </c>
      <c r="W810" s="141" t="s">
        <v>5</v>
      </c>
      <c r="X810" s="141" t="s">
        <v>6066</v>
      </c>
      <c r="Y810" s="143"/>
      <c r="Z810" s="144"/>
      <c r="AA810" s="145"/>
      <c r="AB810" s="141"/>
      <c r="AC810" s="141"/>
      <c r="AD810" s="143"/>
      <c r="AE810" s="144"/>
      <c r="AF810" s="145"/>
      <c r="AG810" s="141"/>
      <c r="AH810" s="141"/>
      <c r="AI810" s="148"/>
      <c r="AJ810" s="144"/>
      <c r="AK810" s="145"/>
      <c r="AL810" s="141"/>
      <c r="AM810" s="141"/>
      <c r="AN810" s="422" t="s">
        <v>430</v>
      </c>
      <c r="AO810" s="479">
        <v>43196</v>
      </c>
      <c r="AP810" s="422"/>
      <c r="AQ810" s="157" t="s">
        <v>7529</v>
      </c>
      <c r="AR810" s="151" t="s">
        <v>6267</v>
      </c>
      <c r="AS810" s="147">
        <v>38412</v>
      </c>
      <c r="AT810" s="147">
        <v>40786</v>
      </c>
      <c r="AU810" s="141" t="s">
        <v>4499</v>
      </c>
      <c r="AV810" s="141"/>
      <c r="AW810" s="151" t="s">
        <v>92</v>
      </c>
      <c r="AX810" s="151" t="s">
        <v>328</v>
      </c>
      <c r="AY810" s="147">
        <v>42873</v>
      </c>
      <c r="AZ810" s="151" t="s">
        <v>576</v>
      </c>
      <c r="BA810" s="147">
        <v>44112</v>
      </c>
      <c r="BB810" s="678">
        <v>44223</v>
      </c>
      <c r="BC810" s="158" t="s">
        <v>95</v>
      </c>
      <c r="BD810" s="158" t="s">
        <v>6098</v>
      </c>
      <c r="BE810" s="141"/>
      <c r="BF810" s="145"/>
      <c r="BG810" s="145"/>
      <c r="BH810" s="145"/>
      <c r="BI810" s="145"/>
      <c r="BJ810" s="209">
        <f>+[320]MATRIZ!$J$75</f>
        <v>0</v>
      </c>
      <c r="BK810" s="149"/>
      <c r="BL810" s="150"/>
      <c r="BM810" s="143"/>
      <c r="BN810" s="144"/>
      <c r="BO810" s="470"/>
      <c r="BP810" s="402"/>
      <c r="BQ810" s="141"/>
      <c r="BR810" s="151"/>
      <c r="BS810" s="145"/>
      <c r="BT810" s="145"/>
      <c r="BU810" s="145"/>
      <c r="BV810" s="145"/>
      <c r="BW810" s="152"/>
      <c r="BX810" s="153"/>
      <c r="BY810" s="143"/>
      <c r="BZ810" s="154"/>
    </row>
    <row r="811" spans="1:555" ht="94.5">
      <c r="A811" s="502">
        <v>773</v>
      </c>
      <c r="B811" s="686" t="s">
        <v>6268</v>
      </c>
      <c r="C811" s="802">
        <v>72002081</v>
      </c>
      <c r="D811" s="791" t="s">
        <v>608</v>
      </c>
      <c r="E811" s="27">
        <v>43195</v>
      </c>
      <c r="F811" s="689">
        <v>43191</v>
      </c>
      <c r="G811" s="781" t="s">
        <v>6269</v>
      </c>
      <c r="H811" s="686" t="s">
        <v>5</v>
      </c>
      <c r="I811" s="686" t="s">
        <v>79</v>
      </c>
      <c r="J811" s="16">
        <v>43391</v>
      </c>
      <c r="K811" s="689">
        <v>43391</v>
      </c>
      <c r="L811" s="706" t="s">
        <v>7258</v>
      </c>
      <c r="M811" s="706" t="s">
        <v>5</v>
      </c>
      <c r="N811" s="706" t="s">
        <v>107</v>
      </c>
      <c r="O811" s="27">
        <v>43371</v>
      </c>
      <c r="P811" s="691">
        <v>43371</v>
      </c>
      <c r="Q811" s="693" t="s">
        <v>7262</v>
      </c>
      <c r="R811" s="686" t="s">
        <v>5</v>
      </c>
      <c r="S811" s="693" t="s">
        <v>3366</v>
      </c>
      <c r="T811" s="27">
        <v>43488</v>
      </c>
      <c r="U811" s="689">
        <v>43488</v>
      </c>
      <c r="V811" s="690" t="s">
        <v>8030</v>
      </c>
      <c r="W811" s="686" t="s">
        <v>5</v>
      </c>
      <c r="X811" s="686" t="s">
        <v>85</v>
      </c>
      <c r="Y811" s="27">
        <v>43718</v>
      </c>
      <c r="Z811" s="689">
        <v>43718</v>
      </c>
      <c r="AA811" s="690" t="s">
        <v>9152</v>
      </c>
      <c r="AB811" s="686" t="s">
        <v>5</v>
      </c>
      <c r="AC811" s="686" t="s">
        <v>8243</v>
      </c>
      <c r="AD811" s="27">
        <v>43887</v>
      </c>
      <c r="AE811" s="689">
        <v>43887</v>
      </c>
      <c r="AF811" s="690" t="s">
        <v>9480</v>
      </c>
      <c r="AG811" s="686" t="s">
        <v>5</v>
      </c>
      <c r="AH811" s="686" t="s">
        <v>85</v>
      </c>
      <c r="AI811" s="704"/>
      <c r="AJ811" s="689"/>
      <c r="AK811" s="690"/>
      <c r="AL811" s="686"/>
      <c r="AM811" s="686"/>
      <c r="AN811" s="686"/>
      <c r="AO811" s="694">
        <v>43224</v>
      </c>
      <c r="AP811" s="686"/>
      <c r="AQ811" s="781" t="s">
        <v>8156</v>
      </c>
      <c r="AR811" s="701" t="s">
        <v>79</v>
      </c>
      <c r="AS811" s="16">
        <v>40422</v>
      </c>
      <c r="AT811" s="16">
        <v>40847</v>
      </c>
      <c r="AU811" s="686" t="s">
        <v>7265</v>
      </c>
      <c r="AV811" s="686"/>
      <c r="AW811" s="701" t="s">
        <v>92</v>
      </c>
      <c r="AX811" s="701" t="s">
        <v>328</v>
      </c>
      <c r="AY811" s="16">
        <v>42695</v>
      </c>
      <c r="AZ811" s="701" t="s">
        <v>67</v>
      </c>
      <c r="BA811" s="16" t="s">
        <v>67</v>
      </c>
      <c r="BB811" s="16">
        <v>42768</v>
      </c>
      <c r="BC811" s="686" t="s">
        <v>95</v>
      </c>
      <c r="BD811" s="686" t="s">
        <v>1792</v>
      </c>
      <c r="BE811" s="686"/>
      <c r="BF811" s="690"/>
      <c r="BG811" s="690"/>
      <c r="BH811" s="690"/>
      <c r="BI811" s="690"/>
      <c r="BJ811" s="696">
        <f>+[321]MATRIZ!$J$44</f>
        <v>0</v>
      </c>
      <c r="BK811" s="696"/>
      <c r="BL811" s="697"/>
      <c r="BM811" s="27"/>
      <c r="BN811" s="689"/>
      <c r="BO811" s="699"/>
      <c r="BP811" s="700"/>
      <c r="BQ811" s="686"/>
      <c r="BR811" s="701"/>
      <c r="BS811" s="690"/>
      <c r="BT811" s="690"/>
      <c r="BU811" s="690"/>
      <c r="BV811" s="690"/>
      <c r="BW811" s="702"/>
      <c r="BX811" s="693"/>
      <c r="BY811" s="27"/>
      <c r="BZ811" s="703"/>
      <c r="CA811" s="259"/>
      <c r="CB811" s="259"/>
      <c r="CC811" s="259"/>
      <c r="CD811" s="259"/>
      <c r="CE811" s="259"/>
      <c r="CF811" s="259"/>
      <c r="CG811" s="259"/>
      <c r="CH811" s="259"/>
      <c r="CI811" s="259"/>
      <c r="CJ811" s="259"/>
      <c r="CK811" s="259"/>
      <c r="CL811" s="259"/>
      <c r="CM811" s="259"/>
      <c r="CN811" s="259"/>
      <c r="CO811" s="259"/>
      <c r="CP811" s="259"/>
      <c r="CQ811" s="259"/>
      <c r="CR811" s="259"/>
      <c r="CS811" s="259"/>
      <c r="CT811" s="259"/>
      <c r="CU811" s="259"/>
      <c r="CV811" s="259"/>
      <c r="CW811" s="259"/>
      <c r="CX811" s="259"/>
      <c r="CY811" s="259"/>
      <c r="CZ811" s="259"/>
      <c r="DA811" s="259"/>
      <c r="DB811" s="259"/>
      <c r="DC811" s="259"/>
      <c r="DD811" s="259"/>
      <c r="DE811" s="259"/>
      <c r="DF811" s="259"/>
      <c r="DG811" s="259"/>
      <c r="DH811" s="259"/>
      <c r="DI811" s="259"/>
      <c r="DJ811" s="259"/>
      <c r="DK811" s="259"/>
      <c r="DL811" s="259"/>
      <c r="DM811" s="259"/>
      <c r="DN811" s="259"/>
      <c r="DO811" s="259"/>
      <c r="DP811" s="259"/>
      <c r="DQ811" s="259"/>
      <c r="DR811" s="259"/>
      <c r="DS811" s="259"/>
      <c r="DT811" s="259"/>
      <c r="DU811" s="259"/>
      <c r="DV811" s="259"/>
      <c r="DW811" s="259"/>
      <c r="DX811" s="259"/>
      <c r="DY811" s="259"/>
      <c r="DZ811" s="259"/>
      <c r="EA811" s="259"/>
      <c r="EB811" s="259"/>
      <c r="EC811" s="259"/>
      <c r="ED811" s="259"/>
      <c r="EE811" s="259"/>
      <c r="EF811" s="259"/>
      <c r="EG811" s="259"/>
      <c r="EH811" s="259"/>
      <c r="EI811" s="259"/>
      <c r="EJ811" s="259"/>
      <c r="EK811" s="259"/>
      <c r="EL811" s="259"/>
      <c r="EM811" s="259"/>
      <c r="EN811" s="259"/>
      <c r="EO811" s="259"/>
      <c r="EP811" s="259"/>
      <c r="EQ811" s="259"/>
      <c r="ER811" s="259"/>
      <c r="ES811" s="259"/>
      <c r="ET811" s="259"/>
      <c r="EU811" s="259"/>
      <c r="EV811" s="259"/>
      <c r="EW811" s="259"/>
      <c r="EX811" s="259"/>
      <c r="EY811" s="259"/>
      <c r="EZ811" s="259"/>
      <c r="FA811" s="259"/>
      <c r="FB811" s="259"/>
      <c r="FC811" s="259"/>
      <c r="FD811" s="259"/>
      <c r="FE811" s="259"/>
      <c r="FF811" s="259"/>
      <c r="FG811" s="259"/>
      <c r="FH811" s="259"/>
      <c r="FI811" s="259"/>
      <c r="FJ811" s="259"/>
      <c r="FK811" s="259"/>
      <c r="FL811" s="259"/>
      <c r="FM811" s="259"/>
      <c r="FN811" s="259"/>
      <c r="FO811" s="259"/>
      <c r="FP811" s="259"/>
      <c r="FQ811" s="259"/>
      <c r="FR811" s="259"/>
      <c r="FS811" s="259"/>
      <c r="FT811" s="259"/>
      <c r="FU811" s="259"/>
      <c r="FV811" s="259"/>
      <c r="FW811" s="259"/>
      <c r="FX811" s="259"/>
      <c r="FY811" s="259"/>
      <c r="FZ811" s="259"/>
      <c r="GA811" s="259"/>
      <c r="GB811" s="259"/>
      <c r="GC811" s="259"/>
      <c r="GD811" s="259"/>
      <c r="GE811" s="259"/>
      <c r="GF811" s="259"/>
      <c r="GG811" s="259"/>
      <c r="GH811" s="259"/>
      <c r="GI811" s="259"/>
      <c r="GJ811" s="259"/>
      <c r="GK811" s="259"/>
      <c r="GL811" s="259"/>
      <c r="GM811" s="259"/>
      <c r="GN811" s="259"/>
      <c r="GO811" s="259"/>
      <c r="GP811" s="259"/>
      <c r="GQ811" s="259"/>
      <c r="GR811" s="259"/>
      <c r="GS811" s="259"/>
      <c r="GT811" s="259"/>
      <c r="GU811" s="259"/>
      <c r="GV811" s="259"/>
      <c r="GW811" s="259"/>
      <c r="GX811" s="259"/>
      <c r="GY811" s="259"/>
      <c r="GZ811" s="259"/>
      <c r="HA811" s="259"/>
      <c r="HB811" s="259"/>
      <c r="HC811" s="259"/>
      <c r="HD811" s="259"/>
      <c r="HE811" s="259"/>
      <c r="HF811" s="259"/>
      <c r="HG811" s="259"/>
      <c r="HH811" s="259"/>
      <c r="HI811" s="259"/>
      <c r="HJ811" s="259"/>
      <c r="HK811" s="259"/>
      <c r="HL811" s="259"/>
      <c r="HM811" s="259"/>
      <c r="HN811" s="259"/>
      <c r="HO811" s="259"/>
      <c r="HP811" s="259"/>
      <c r="HQ811" s="259"/>
      <c r="HR811" s="259"/>
      <c r="HS811" s="259"/>
      <c r="HT811" s="259"/>
      <c r="HU811" s="259"/>
      <c r="HV811" s="259"/>
      <c r="HW811" s="259"/>
      <c r="HX811" s="259"/>
      <c r="HY811" s="259"/>
      <c r="HZ811" s="259"/>
      <c r="IA811" s="259"/>
      <c r="IB811" s="259"/>
      <c r="IC811" s="259"/>
      <c r="ID811" s="259"/>
      <c r="IE811" s="259"/>
      <c r="IF811" s="259"/>
      <c r="IG811" s="259"/>
      <c r="IH811" s="259"/>
      <c r="II811" s="259"/>
      <c r="IJ811" s="259"/>
      <c r="IK811" s="259"/>
      <c r="IL811" s="259"/>
      <c r="IM811" s="259"/>
      <c r="IN811" s="259"/>
      <c r="IO811" s="259"/>
      <c r="IP811" s="259"/>
      <c r="IQ811" s="259"/>
      <c r="IR811" s="259"/>
      <c r="IS811" s="259"/>
      <c r="IT811" s="259"/>
      <c r="IU811" s="259"/>
      <c r="IV811" s="259"/>
      <c r="IW811" s="259"/>
      <c r="IX811" s="259"/>
      <c r="IY811" s="259"/>
      <c r="IZ811" s="259"/>
      <c r="JA811" s="259"/>
      <c r="JB811" s="259"/>
      <c r="JC811" s="259"/>
      <c r="JD811" s="259"/>
      <c r="JE811" s="259"/>
      <c r="JF811" s="259"/>
      <c r="JG811" s="259"/>
      <c r="JH811" s="259"/>
      <c r="JI811" s="259"/>
      <c r="JJ811" s="259"/>
      <c r="JK811" s="259"/>
      <c r="JL811" s="259"/>
      <c r="JM811" s="259"/>
      <c r="JN811" s="259"/>
      <c r="JO811" s="259"/>
      <c r="JP811" s="259"/>
      <c r="JQ811" s="259"/>
      <c r="JR811" s="259"/>
      <c r="JS811" s="259"/>
      <c r="JT811" s="259"/>
      <c r="JU811" s="259"/>
      <c r="JV811" s="259"/>
      <c r="JW811" s="259"/>
      <c r="JX811" s="259"/>
      <c r="JY811" s="259"/>
      <c r="JZ811" s="259"/>
      <c r="KA811" s="259"/>
      <c r="KB811" s="259"/>
      <c r="KC811" s="259"/>
      <c r="KD811" s="259"/>
      <c r="KE811" s="259"/>
      <c r="KF811" s="259"/>
      <c r="KG811" s="259"/>
      <c r="KH811" s="259"/>
      <c r="KI811" s="259"/>
      <c r="KJ811" s="259"/>
      <c r="KK811" s="259"/>
      <c r="KL811" s="259"/>
      <c r="KM811" s="259"/>
      <c r="KN811" s="259"/>
      <c r="KO811" s="259"/>
      <c r="KP811" s="259"/>
      <c r="KQ811" s="259"/>
      <c r="KR811" s="259"/>
      <c r="KS811" s="259"/>
      <c r="KT811" s="259"/>
      <c r="KU811" s="259"/>
      <c r="KV811" s="259"/>
      <c r="KW811" s="259"/>
      <c r="KX811" s="259"/>
      <c r="KY811" s="259"/>
      <c r="KZ811" s="259"/>
      <c r="LA811" s="259"/>
      <c r="LB811" s="259"/>
      <c r="LC811" s="259"/>
      <c r="LD811" s="259"/>
      <c r="LE811" s="259"/>
      <c r="LF811" s="259"/>
      <c r="LG811" s="259"/>
      <c r="LH811" s="259"/>
      <c r="LI811" s="259"/>
      <c r="LJ811" s="259"/>
      <c r="LK811" s="259"/>
      <c r="LL811" s="259"/>
      <c r="LM811" s="259"/>
      <c r="LN811" s="259"/>
      <c r="LO811" s="259"/>
      <c r="LP811" s="259"/>
      <c r="LQ811" s="259"/>
      <c r="LR811" s="259"/>
      <c r="LS811" s="259"/>
      <c r="LT811" s="259"/>
      <c r="LU811" s="259"/>
      <c r="LV811" s="259"/>
      <c r="LW811" s="259"/>
      <c r="LX811" s="259"/>
      <c r="LY811" s="259"/>
      <c r="LZ811" s="259"/>
      <c r="MA811" s="259"/>
      <c r="MB811" s="259"/>
      <c r="MC811" s="259"/>
      <c r="MD811" s="259"/>
      <c r="ME811" s="259"/>
      <c r="MF811" s="259"/>
      <c r="MG811" s="259"/>
      <c r="MH811" s="259"/>
      <c r="MI811" s="259"/>
      <c r="MJ811" s="259"/>
      <c r="MK811" s="259"/>
      <c r="ML811" s="259"/>
      <c r="MM811" s="259"/>
      <c r="MN811" s="259"/>
      <c r="MO811" s="259"/>
      <c r="MP811" s="259"/>
      <c r="MQ811" s="259"/>
      <c r="MR811" s="259"/>
      <c r="MS811" s="259"/>
      <c r="MT811" s="259"/>
      <c r="MU811" s="259"/>
      <c r="MV811" s="259"/>
      <c r="MW811" s="259"/>
      <c r="MX811" s="259"/>
      <c r="MY811" s="259"/>
      <c r="MZ811" s="259"/>
      <c r="NA811" s="259"/>
      <c r="NB811" s="259"/>
      <c r="NC811" s="259"/>
      <c r="ND811" s="259"/>
      <c r="NE811" s="259"/>
      <c r="NF811" s="259"/>
      <c r="NG811" s="259"/>
      <c r="NH811" s="259"/>
      <c r="NI811" s="259"/>
      <c r="NJ811" s="259"/>
      <c r="NK811" s="259"/>
      <c r="NL811" s="259"/>
      <c r="NM811" s="259"/>
      <c r="NN811" s="259"/>
      <c r="NO811" s="259"/>
      <c r="NP811" s="259"/>
      <c r="NQ811" s="259"/>
      <c r="NR811" s="259"/>
      <c r="NS811" s="259"/>
      <c r="NT811" s="259"/>
      <c r="NU811" s="259"/>
      <c r="NV811" s="259"/>
      <c r="NW811" s="259"/>
      <c r="NX811" s="259"/>
      <c r="NY811" s="259"/>
      <c r="NZ811" s="259"/>
      <c r="OA811" s="259"/>
      <c r="OB811" s="259"/>
      <c r="OC811" s="259"/>
      <c r="OD811" s="259"/>
      <c r="OE811" s="259"/>
      <c r="OF811" s="259"/>
      <c r="OG811" s="259"/>
      <c r="OH811" s="259"/>
      <c r="OI811" s="259"/>
      <c r="OJ811" s="259"/>
      <c r="OK811" s="259"/>
      <c r="OL811" s="259"/>
      <c r="OM811" s="259"/>
      <c r="ON811" s="259"/>
      <c r="OO811" s="259"/>
      <c r="OP811" s="259"/>
      <c r="OQ811" s="259"/>
      <c r="OR811" s="259"/>
      <c r="OS811" s="259"/>
      <c r="OT811" s="259"/>
      <c r="OU811" s="259"/>
      <c r="OV811" s="259"/>
      <c r="OW811" s="259"/>
      <c r="OX811" s="259"/>
      <c r="OY811" s="259"/>
      <c r="OZ811" s="259"/>
      <c r="PA811" s="259"/>
      <c r="PB811" s="259"/>
      <c r="PC811" s="259"/>
      <c r="PD811" s="259"/>
      <c r="PE811" s="259"/>
      <c r="PF811" s="259"/>
      <c r="PG811" s="259"/>
      <c r="PH811" s="259"/>
      <c r="PI811" s="259"/>
      <c r="PJ811" s="259"/>
      <c r="PK811" s="259"/>
      <c r="PL811" s="259"/>
      <c r="PM811" s="259"/>
      <c r="PN811" s="259"/>
      <c r="PO811" s="259"/>
      <c r="PP811" s="259"/>
      <c r="PQ811" s="259"/>
      <c r="PR811" s="259"/>
      <c r="PS811" s="259"/>
      <c r="PT811" s="259"/>
      <c r="PU811" s="259"/>
      <c r="PV811" s="259"/>
      <c r="PW811" s="259"/>
      <c r="PX811" s="259"/>
      <c r="PY811" s="259"/>
      <c r="PZ811" s="259"/>
      <c r="QA811" s="259"/>
      <c r="QB811" s="259"/>
      <c r="QC811" s="259"/>
      <c r="QD811" s="259"/>
      <c r="QE811" s="259"/>
      <c r="QF811" s="259"/>
      <c r="QG811" s="259"/>
      <c r="QH811" s="259"/>
      <c r="QI811" s="259"/>
      <c r="QJ811" s="259"/>
      <c r="QK811" s="259"/>
      <c r="QL811" s="259"/>
      <c r="QM811" s="259"/>
      <c r="QN811" s="259"/>
      <c r="QO811" s="259"/>
      <c r="QP811" s="259"/>
      <c r="QQ811" s="259"/>
      <c r="QR811" s="259"/>
      <c r="QS811" s="259"/>
      <c r="QT811" s="259"/>
      <c r="QU811" s="259"/>
      <c r="QV811" s="259"/>
      <c r="QW811" s="259"/>
      <c r="QX811" s="259"/>
      <c r="QY811" s="259"/>
      <c r="QZ811" s="259"/>
      <c r="RA811" s="259"/>
      <c r="RB811" s="259"/>
      <c r="RC811" s="259"/>
      <c r="RD811" s="259"/>
      <c r="RE811" s="259"/>
      <c r="RF811" s="259"/>
      <c r="RG811" s="259"/>
      <c r="RH811" s="259"/>
      <c r="RI811" s="259"/>
      <c r="RJ811" s="259"/>
      <c r="RK811" s="259"/>
      <c r="RL811" s="259"/>
      <c r="RM811" s="259"/>
      <c r="RN811" s="259"/>
      <c r="RO811" s="259"/>
      <c r="RP811" s="259"/>
      <c r="RQ811" s="259"/>
      <c r="RR811" s="259"/>
      <c r="RS811" s="259"/>
      <c r="RT811" s="259"/>
      <c r="RU811" s="259"/>
      <c r="RV811" s="259"/>
      <c r="RW811" s="259"/>
      <c r="RX811" s="259"/>
      <c r="RY811" s="259"/>
      <c r="RZ811" s="259"/>
      <c r="SA811" s="259"/>
      <c r="SB811" s="259"/>
      <c r="SC811" s="259"/>
      <c r="SD811" s="259"/>
      <c r="SE811" s="259"/>
      <c r="SF811" s="259"/>
      <c r="SG811" s="259"/>
      <c r="SH811" s="259"/>
      <c r="SI811" s="259"/>
      <c r="SJ811" s="259"/>
      <c r="SK811" s="259"/>
      <c r="SL811" s="259"/>
      <c r="SM811" s="259"/>
      <c r="SN811" s="259"/>
      <c r="SO811" s="259"/>
      <c r="SP811" s="259"/>
      <c r="SQ811" s="259"/>
      <c r="SR811" s="259"/>
      <c r="SS811" s="259"/>
      <c r="ST811" s="259"/>
      <c r="SU811" s="259"/>
      <c r="SV811" s="259"/>
      <c r="SW811" s="259"/>
      <c r="SX811" s="259"/>
      <c r="SY811" s="259"/>
      <c r="SZ811" s="259"/>
      <c r="TA811" s="259"/>
      <c r="TB811" s="259"/>
      <c r="TC811" s="259"/>
      <c r="TD811" s="259"/>
      <c r="TE811" s="259"/>
      <c r="TF811" s="259"/>
      <c r="TG811" s="259"/>
      <c r="TH811" s="259"/>
      <c r="TI811" s="259"/>
      <c r="TJ811" s="259"/>
      <c r="TK811" s="259"/>
      <c r="TL811" s="259"/>
      <c r="TM811" s="259"/>
      <c r="TN811" s="259"/>
      <c r="TO811" s="259"/>
      <c r="TP811" s="259"/>
      <c r="TQ811" s="259"/>
      <c r="TR811" s="259"/>
      <c r="TS811" s="259"/>
      <c r="TT811" s="259"/>
      <c r="TU811" s="259"/>
      <c r="TV811" s="259"/>
      <c r="TW811" s="259"/>
      <c r="TX811" s="259"/>
      <c r="TY811" s="259"/>
      <c r="TZ811" s="259"/>
      <c r="UA811" s="259"/>
      <c r="UB811" s="259"/>
      <c r="UC811" s="259"/>
      <c r="UD811" s="259"/>
      <c r="UE811" s="259"/>
      <c r="UF811" s="259"/>
      <c r="UG811" s="259"/>
      <c r="UH811" s="259"/>
      <c r="UI811" s="259"/>
    </row>
    <row r="812" spans="1:555" ht="54">
      <c r="A812" s="57">
        <v>774</v>
      </c>
      <c r="B812" s="70" t="s">
        <v>8018</v>
      </c>
      <c r="C812" s="163">
        <v>7711892</v>
      </c>
      <c r="D812" s="435" t="s">
        <v>3645</v>
      </c>
      <c r="E812" s="60">
        <v>43208</v>
      </c>
      <c r="F812" s="61">
        <v>43191</v>
      </c>
      <c r="G812" s="92" t="s">
        <v>6270</v>
      </c>
      <c r="H812" s="58" t="s">
        <v>5</v>
      </c>
      <c r="I812" s="58" t="s">
        <v>79</v>
      </c>
      <c r="J812" s="60">
        <v>43896</v>
      </c>
      <c r="K812" s="63">
        <v>43896</v>
      </c>
      <c r="L812" s="62" t="s">
        <v>9493</v>
      </c>
      <c r="M812" s="58" t="s">
        <v>63</v>
      </c>
      <c r="N812" s="58" t="s">
        <v>8255</v>
      </c>
      <c r="O812" s="60"/>
      <c r="P812" s="63"/>
      <c r="Q812" s="62"/>
      <c r="R812" s="58"/>
      <c r="S812" s="58"/>
      <c r="T812" s="60"/>
      <c r="U812" s="61"/>
      <c r="V812" s="62"/>
      <c r="W812" s="58"/>
      <c r="X812" s="58"/>
      <c r="Y812" s="60"/>
      <c r="Z812" s="61"/>
      <c r="AA812" s="62"/>
      <c r="AB812" s="58"/>
      <c r="AC812" s="58"/>
      <c r="AD812" s="60"/>
      <c r="AE812" s="61"/>
      <c r="AF812" s="62"/>
      <c r="AG812" s="58"/>
      <c r="AH812" s="58"/>
      <c r="AI812" s="117"/>
      <c r="AJ812" s="61"/>
      <c r="AK812" s="62"/>
      <c r="AL812" s="58"/>
      <c r="AM812" s="58"/>
      <c r="AN812" s="58" t="s">
        <v>5804</v>
      </c>
      <c r="AO812" s="478"/>
      <c r="AP812" s="118" t="s">
        <v>2558</v>
      </c>
      <c r="AQ812" s="92" t="s">
        <v>6271</v>
      </c>
      <c r="AR812" s="70" t="s">
        <v>79</v>
      </c>
      <c r="AS812" s="64">
        <v>39052</v>
      </c>
      <c r="AT812" s="64">
        <v>39813</v>
      </c>
      <c r="AU812" s="58" t="s">
        <v>6272</v>
      </c>
      <c r="AV812" s="58"/>
      <c r="AW812" s="70" t="s">
        <v>92</v>
      </c>
      <c r="AX812" s="70" t="s">
        <v>6273</v>
      </c>
      <c r="AY812" s="64">
        <v>41789</v>
      </c>
      <c r="AZ812" s="70" t="s">
        <v>6274</v>
      </c>
      <c r="BA812" s="64">
        <v>42970</v>
      </c>
      <c r="BB812" s="678">
        <v>42985</v>
      </c>
      <c r="BC812" s="58" t="s">
        <v>95</v>
      </c>
      <c r="BD812" s="58" t="s">
        <v>566</v>
      </c>
      <c r="BE812" s="58"/>
      <c r="BF812" s="62"/>
      <c r="BG812" s="62"/>
      <c r="BH812" s="62"/>
      <c r="BI812" s="62"/>
      <c r="BJ812" s="74">
        <f>+'[322]MATRIZ DE CONTRATOS '!$J$57</f>
        <v>0</v>
      </c>
      <c r="BK812" s="67"/>
      <c r="BL812" s="68"/>
      <c r="BM812" s="60"/>
      <c r="BN812" s="69"/>
      <c r="BO812" s="463"/>
      <c r="BP812" s="122"/>
      <c r="BQ812" s="58"/>
      <c r="BR812" s="70"/>
      <c r="BS812" s="62"/>
      <c r="BT812" s="62"/>
      <c r="BU812" s="62"/>
      <c r="BV812" s="62"/>
      <c r="BW812" s="71"/>
      <c r="BX812" s="66"/>
      <c r="BY812" s="60"/>
      <c r="BZ812" s="72"/>
    </row>
    <row r="813" spans="1:555" ht="67.5">
      <c r="A813" s="502">
        <v>776</v>
      </c>
      <c r="B813" s="686" t="s">
        <v>4404</v>
      </c>
      <c r="C813" s="687">
        <v>71662627</v>
      </c>
      <c r="D813" s="791" t="s">
        <v>906</v>
      </c>
      <c r="E813" s="27">
        <v>43207</v>
      </c>
      <c r="F813" s="689">
        <v>43191</v>
      </c>
      <c r="G813" s="690" t="s">
        <v>6279</v>
      </c>
      <c r="H813" s="686" t="s">
        <v>5</v>
      </c>
      <c r="I813" s="686" t="s">
        <v>79</v>
      </c>
      <c r="J813" s="27"/>
      <c r="K813" s="689"/>
      <c r="L813" s="690"/>
      <c r="M813" s="686"/>
      <c r="N813" s="686"/>
      <c r="O813" s="27"/>
      <c r="P813" s="691"/>
      <c r="Q813" s="690"/>
      <c r="R813" s="686"/>
      <c r="S813" s="686"/>
      <c r="T813" s="27"/>
      <c r="U813" s="689"/>
      <c r="V813" s="690"/>
      <c r="W813" s="686"/>
      <c r="X813" s="686"/>
      <c r="Y813" s="27"/>
      <c r="Z813" s="689"/>
      <c r="AA813" s="690"/>
      <c r="AB813" s="686"/>
      <c r="AC813" s="686"/>
      <c r="AD813" s="27"/>
      <c r="AE813" s="689"/>
      <c r="AF813" s="690"/>
      <c r="AG813" s="686"/>
      <c r="AH813" s="686"/>
      <c r="AI813" s="704"/>
      <c r="AJ813" s="689"/>
      <c r="AK813" s="690"/>
      <c r="AL813" s="686"/>
      <c r="AM813" s="686"/>
      <c r="AN813" s="686" t="s">
        <v>918</v>
      </c>
      <c r="AO813" s="705"/>
      <c r="AP813" s="692" t="s">
        <v>2558</v>
      </c>
      <c r="AQ813" s="690" t="s">
        <v>6280</v>
      </c>
      <c r="AR813" s="686" t="s">
        <v>79</v>
      </c>
      <c r="AS813" s="27">
        <v>36671</v>
      </c>
      <c r="AT813" s="27">
        <v>40908</v>
      </c>
      <c r="AU813" s="686" t="s">
        <v>6281</v>
      </c>
      <c r="AV813" s="686"/>
      <c r="AW813" s="686" t="s">
        <v>69</v>
      </c>
      <c r="AX813" s="686" t="s">
        <v>6138</v>
      </c>
      <c r="AY813" s="27">
        <v>42433</v>
      </c>
      <c r="AZ813" s="686" t="s">
        <v>6282</v>
      </c>
      <c r="BA813" s="27">
        <v>42975</v>
      </c>
      <c r="BB813" s="27">
        <v>42985</v>
      </c>
      <c r="BC813" s="701" t="s">
        <v>912</v>
      </c>
      <c r="BD813" s="701" t="s">
        <v>6098</v>
      </c>
      <c r="BE813" s="686"/>
      <c r="BF813" s="690"/>
      <c r="BG813" s="690"/>
      <c r="BH813" s="690"/>
      <c r="BI813" s="690"/>
      <c r="BJ813" s="708">
        <f>+[323]MATRIZ!$J$68</f>
        <v>0</v>
      </c>
      <c r="BK813" s="696"/>
      <c r="BL813" s="697"/>
      <c r="BM813" s="27"/>
      <c r="BN813" s="689"/>
      <c r="BO813" s="699"/>
      <c r="BP813" s="700"/>
      <c r="BQ813" s="686"/>
      <c r="BR813" s="701"/>
      <c r="BS813" s="690"/>
      <c r="BT813" s="690"/>
      <c r="BU813" s="690"/>
      <c r="BV813" s="690"/>
      <c r="BW813" s="702"/>
      <c r="BX813" s="693"/>
      <c r="BY813" s="27"/>
      <c r="BZ813" s="703"/>
      <c r="CA813" s="259"/>
      <c r="CB813" s="259"/>
      <c r="CC813" s="259"/>
      <c r="CD813" s="259"/>
      <c r="CE813" s="259"/>
      <c r="CF813" s="259"/>
      <c r="CG813" s="259"/>
      <c r="CH813" s="259"/>
      <c r="CI813" s="259"/>
      <c r="CJ813" s="259"/>
      <c r="CK813" s="259"/>
      <c r="CL813" s="259"/>
      <c r="CM813" s="259"/>
      <c r="CN813" s="259"/>
      <c r="CO813" s="259"/>
      <c r="CP813" s="259"/>
      <c r="CQ813" s="259"/>
      <c r="CR813" s="259"/>
      <c r="CS813" s="259"/>
      <c r="CT813" s="259"/>
      <c r="CU813" s="259"/>
      <c r="CV813" s="259"/>
      <c r="CW813" s="259"/>
      <c r="CX813" s="259"/>
      <c r="CY813" s="259"/>
      <c r="CZ813" s="259"/>
      <c r="DA813" s="259"/>
      <c r="DB813" s="259"/>
      <c r="DC813" s="259"/>
      <c r="DD813" s="259"/>
      <c r="DE813" s="259"/>
      <c r="DF813" s="259"/>
      <c r="DG813" s="259"/>
      <c r="DH813" s="259"/>
      <c r="DI813" s="259"/>
      <c r="DJ813" s="259"/>
      <c r="DK813" s="259"/>
      <c r="DL813" s="259"/>
      <c r="DM813" s="259"/>
      <c r="DN813" s="259"/>
      <c r="DO813" s="259"/>
      <c r="DP813" s="259"/>
      <c r="DQ813" s="259"/>
      <c r="DR813" s="259"/>
      <c r="DS813" s="259"/>
      <c r="DT813" s="259"/>
      <c r="DU813" s="259"/>
      <c r="DV813" s="259"/>
      <c r="DW813" s="259"/>
      <c r="DX813" s="259"/>
      <c r="DY813" s="259"/>
      <c r="DZ813" s="259"/>
      <c r="EA813" s="259"/>
      <c r="EB813" s="259"/>
      <c r="EC813" s="259"/>
      <c r="ED813" s="259"/>
      <c r="EE813" s="259"/>
      <c r="EF813" s="259"/>
      <c r="EG813" s="259"/>
      <c r="EH813" s="259"/>
      <c r="EI813" s="259"/>
      <c r="EJ813" s="259"/>
      <c r="EK813" s="259"/>
      <c r="EL813" s="259"/>
      <c r="EM813" s="259"/>
      <c r="EN813" s="259"/>
      <c r="EO813" s="259"/>
      <c r="EP813" s="259"/>
      <c r="EQ813" s="259"/>
      <c r="ER813" s="259"/>
      <c r="ES813" s="259"/>
      <c r="ET813" s="259"/>
      <c r="EU813" s="259"/>
      <c r="EV813" s="259"/>
      <c r="EW813" s="259"/>
      <c r="EX813" s="259"/>
      <c r="EY813" s="259"/>
      <c r="EZ813" s="259"/>
      <c r="FA813" s="259"/>
      <c r="FB813" s="259"/>
      <c r="FC813" s="259"/>
      <c r="FD813" s="259"/>
      <c r="FE813" s="259"/>
      <c r="FF813" s="259"/>
      <c r="FG813" s="259"/>
      <c r="FH813" s="259"/>
      <c r="FI813" s="259"/>
      <c r="FJ813" s="259"/>
      <c r="FK813" s="259"/>
      <c r="FL813" s="259"/>
      <c r="FM813" s="259"/>
      <c r="FN813" s="259"/>
      <c r="FO813" s="259"/>
      <c r="FP813" s="259"/>
      <c r="FQ813" s="259"/>
      <c r="FR813" s="259"/>
      <c r="FS813" s="259"/>
      <c r="FT813" s="259"/>
      <c r="FU813" s="259"/>
      <c r="FV813" s="259"/>
      <c r="FW813" s="259"/>
      <c r="FX813" s="259"/>
      <c r="FY813" s="259"/>
      <c r="FZ813" s="259"/>
      <c r="GA813" s="259"/>
      <c r="GB813" s="259"/>
      <c r="GC813" s="259"/>
      <c r="GD813" s="259"/>
      <c r="GE813" s="259"/>
      <c r="GF813" s="259"/>
      <c r="GG813" s="259"/>
      <c r="GH813" s="259"/>
      <c r="GI813" s="259"/>
      <c r="GJ813" s="259"/>
      <c r="GK813" s="259"/>
      <c r="GL813" s="259"/>
      <c r="GM813" s="259"/>
      <c r="GN813" s="259"/>
      <c r="GO813" s="259"/>
      <c r="GP813" s="259"/>
      <c r="GQ813" s="259"/>
      <c r="GR813" s="259"/>
      <c r="GS813" s="259"/>
      <c r="GT813" s="259"/>
      <c r="GU813" s="259"/>
      <c r="GV813" s="259"/>
      <c r="GW813" s="259"/>
      <c r="GX813" s="259"/>
      <c r="GY813" s="259"/>
      <c r="GZ813" s="259"/>
      <c r="HA813" s="259"/>
      <c r="HB813" s="259"/>
      <c r="HC813" s="259"/>
      <c r="HD813" s="259"/>
      <c r="HE813" s="259"/>
      <c r="HF813" s="259"/>
      <c r="HG813" s="259"/>
      <c r="HH813" s="259"/>
      <c r="HI813" s="259"/>
      <c r="HJ813" s="259"/>
      <c r="HK813" s="259"/>
      <c r="HL813" s="259"/>
      <c r="HM813" s="259"/>
      <c r="HN813" s="259"/>
      <c r="HO813" s="259"/>
      <c r="HP813" s="259"/>
      <c r="HQ813" s="259"/>
      <c r="HR813" s="259"/>
      <c r="HS813" s="259"/>
      <c r="HT813" s="259"/>
      <c r="HU813" s="259"/>
      <c r="HV813" s="259"/>
      <c r="HW813" s="259"/>
      <c r="HX813" s="259"/>
      <c r="HY813" s="259"/>
      <c r="HZ813" s="259"/>
      <c r="IA813" s="259"/>
      <c r="IB813" s="259"/>
      <c r="IC813" s="259"/>
      <c r="ID813" s="259"/>
      <c r="IE813" s="259"/>
      <c r="IF813" s="259"/>
      <c r="IG813" s="259"/>
      <c r="IH813" s="259"/>
      <c r="II813" s="259"/>
      <c r="IJ813" s="259"/>
      <c r="IK813" s="259"/>
      <c r="IL813" s="259"/>
      <c r="IM813" s="259"/>
      <c r="IN813" s="259"/>
      <c r="IO813" s="259"/>
      <c r="IP813" s="259"/>
      <c r="IQ813" s="259"/>
      <c r="IR813" s="259"/>
      <c r="IS813" s="259"/>
      <c r="IT813" s="259"/>
      <c r="IU813" s="259"/>
      <c r="IV813" s="259"/>
      <c r="IW813" s="259"/>
      <c r="IX813" s="259"/>
      <c r="IY813" s="259"/>
      <c r="IZ813" s="259"/>
      <c r="JA813" s="259"/>
      <c r="JB813" s="259"/>
      <c r="JC813" s="259"/>
      <c r="JD813" s="259"/>
      <c r="JE813" s="259"/>
      <c r="JF813" s="259"/>
      <c r="JG813" s="259"/>
      <c r="JH813" s="259"/>
      <c r="JI813" s="259"/>
      <c r="JJ813" s="259"/>
      <c r="JK813" s="259"/>
      <c r="JL813" s="259"/>
      <c r="JM813" s="259"/>
      <c r="JN813" s="259"/>
      <c r="JO813" s="259"/>
      <c r="JP813" s="259"/>
      <c r="JQ813" s="259"/>
      <c r="JR813" s="259"/>
      <c r="JS813" s="259"/>
      <c r="JT813" s="259"/>
      <c r="JU813" s="259"/>
      <c r="JV813" s="259"/>
      <c r="JW813" s="259"/>
      <c r="JX813" s="259"/>
      <c r="JY813" s="259"/>
      <c r="JZ813" s="259"/>
      <c r="KA813" s="259"/>
      <c r="KB813" s="259"/>
      <c r="KC813" s="259"/>
      <c r="KD813" s="259"/>
      <c r="KE813" s="259"/>
      <c r="KF813" s="259"/>
      <c r="KG813" s="259"/>
      <c r="KH813" s="259"/>
      <c r="KI813" s="259"/>
      <c r="KJ813" s="259"/>
      <c r="KK813" s="259"/>
      <c r="KL813" s="259"/>
      <c r="KM813" s="259"/>
      <c r="KN813" s="259"/>
      <c r="KO813" s="259"/>
      <c r="KP813" s="259"/>
      <c r="KQ813" s="259"/>
      <c r="KR813" s="259"/>
      <c r="KS813" s="259"/>
      <c r="KT813" s="259"/>
      <c r="KU813" s="259"/>
      <c r="KV813" s="259"/>
      <c r="KW813" s="259"/>
      <c r="KX813" s="259"/>
      <c r="KY813" s="259"/>
      <c r="KZ813" s="259"/>
      <c r="LA813" s="259"/>
      <c r="LB813" s="259"/>
      <c r="LC813" s="259"/>
      <c r="LD813" s="259"/>
      <c r="LE813" s="259"/>
      <c r="LF813" s="259"/>
      <c r="LG813" s="259"/>
      <c r="LH813" s="259"/>
      <c r="LI813" s="259"/>
      <c r="LJ813" s="259"/>
      <c r="LK813" s="259"/>
      <c r="LL813" s="259"/>
      <c r="LM813" s="259"/>
      <c r="LN813" s="259"/>
      <c r="LO813" s="259"/>
      <c r="LP813" s="259"/>
      <c r="LQ813" s="259"/>
      <c r="LR813" s="259"/>
      <c r="LS813" s="259"/>
      <c r="LT813" s="259"/>
      <c r="LU813" s="259"/>
      <c r="LV813" s="259"/>
      <c r="LW813" s="259"/>
      <c r="LX813" s="259"/>
      <c r="LY813" s="259"/>
      <c r="LZ813" s="259"/>
      <c r="MA813" s="259"/>
      <c r="MB813" s="259"/>
      <c r="MC813" s="259"/>
      <c r="MD813" s="259"/>
      <c r="ME813" s="259"/>
      <c r="MF813" s="259"/>
      <c r="MG813" s="259"/>
      <c r="MH813" s="259"/>
      <c r="MI813" s="259"/>
      <c r="MJ813" s="259"/>
      <c r="MK813" s="259"/>
      <c r="ML813" s="259"/>
      <c r="MM813" s="259"/>
      <c r="MN813" s="259"/>
      <c r="MO813" s="259"/>
      <c r="MP813" s="259"/>
      <c r="MQ813" s="259"/>
      <c r="MR813" s="259"/>
      <c r="MS813" s="259"/>
      <c r="MT813" s="259"/>
      <c r="MU813" s="259"/>
      <c r="MV813" s="259"/>
      <c r="MW813" s="259"/>
      <c r="MX813" s="259"/>
      <c r="MY813" s="259"/>
      <c r="MZ813" s="259"/>
      <c r="NA813" s="259"/>
      <c r="NB813" s="259"/>
      <c r="NC813" s="259"/>
      <c r="ND813" s="259"/>
      <c r="NE813" s="259"/>
      <c r="NF813" s="259"/>
      <c r="NG813" s="259"/>
      <c r="NH813" s="259"/>
      <c r="NI813" s="259"/>
      <c r="NJ813" s="259"/>
      <c r="NK813" s="259"/>
      <c r="NL813" s="259"/>
      <c r="NM813" s="259"/>
      <c r="NN813" s="259"/>
      <c r="NO813" s="259"/>
      <c r="NP813" s="259"/>
      <c r="NQ813" s="259"/>
      <c r="NR813" s="259"/>
      <c r="NS813" s="259"/>
      <c r="NT813" s="259"/>
      <c r="NU813" s="259"/>
      <c r="NV813" s="259"/>
      <c r="NW813" s="259"/>
      <c r="NX813" s="259"/>
      <c r="NY813" s="259"/>
      <c r="NZ813" s="259"/>
      <c r="OA813" s="259"/>
      <c r="OB813" s="259"/>
      <c r="OC813" s="259"/>
      <c r="OD813" s="259"/>
      <c r="OE813" s="259"/>
      <c r="OF813" s="259"/>
      <c r="OG813" s="259"/>
      <c r="OH813" s="259"/>
      <c r="OI813" s="259"/>
      <c r="OJ813" s="259"/>
      <c r="OK813" s="259"/>
      <c r="OL813" s="259"/>
      <c r="OM813" s="259"/>
      <c r="ON813" s="259"/>
      <c r="OO813" s="259"/>
      <c r="OP813" s="259"/>
      <c r="OQ813" s="259"/>
      <c r="OR813" s="259"/>
      <c r="OS813" s="259"/>
      <c r="OT813" s="259"/>
      <c r="OU813" s="259"/>
      <c r="OV813" s="259"/>
      <c r="OW813" s="259"/>
      <c r="OX813" s="259"/>
      <c r="OY813" s="259"/>
      <c r="OZ813" s="259"/>
      <c r="PA813" s="259"/>
      <c r="PB813" s="259"/>
      <c r="PC813" s="259"/>
      <c r="PD813" s="259"/>
      <c r="PE813" s="259"/>
      <c r="PF813" s="259"/>
      <c r="PG813" s="259"/>
      <c r="PH813" s="259"/>
      <c r="PI813" s="259"/>
      <c r="PJ813" s="259"/>
      <c r="PK813" s="259"/>
      <c r="PL813" s="259"/>
      <c r="PM813" s="259"/>
      <c r="PN813" s="259"/>
      <c r="PO813" s="259"/>
      <c r="PP813" s="259"/>
      <c r="PQ813" s="259"/>
      <c r="PR813" s="259"/>
      <c r="PS813" s="259"/>
      <c r="PT813" s="259"/>
      <c r="PU813" s="259"/>
      <c r="PV813" s="259"/>
      <c r="PW813" s="259"/>
      <c r="PX813" s="259"/>
      <c r="PY813" s="259"/>
      <c r="PZ813" s="259"/>
      <c r="QA813" s="259"/>
      <c r="QB813" s="259"/>
      <c r="QC813" s="259"/>
      <c r="QD813" s="259"/>
      <c r="QE813" s="259"/>
      <c r="QF813" s="259"/>
      <c r="QG813" s="259"/>
      <c r="QH813" s="259"/>
      <c r="QI813" s="259"/>
      <c r="QJ813" s="259"/>
      <c r="QK813" s="259"/>
      <c r="QL813" s="259"/>
      <c r="QM813" s="259"/>
      <c r="QN813" s="259"/>
      <c r="QO813" s="259"/>
      <c r="QP813" s="259"/>
      <c r="QQ813" s="259"/>
      <c r="QR813" s="259"/>
      <c r="QS813" s="259"/>
      <c r="QT813" s="259"/>
      <c r="QU813" s="259"/>
      <c r="QV813" s="259"/>
      <c r="QW813" s="259"/>
      <c r="QX813" s="259"/>
      <c r="QY813" s="259"/>
      <c r="QZ813" s="259"/>
      <c r="RA813" s="259"/>
      <c r="RB813" s="259"/>
      <c r="RC813" s="259"/>
      <c r="RD813" s="259"/>
      <c r="RE813" s="259"/>
      <c r="RF813" s="259"/>
      <c r="RG813" s="259"/>
      <c r="RH813" s="259"/>
      <c r="RI813" s="259"/>
      <c r="RJ813" s="259"/>
      <c r="RK813" s="259"/>
      <c r="RL813" s="259"/>
      <c r="RM813" s="259"/>
      <c r="RN813" s="259"/>
      <c r="RO813" s="259"/>
      <c r="RP813" s="259"/>
      <c r="RQ813" s="259"/>
      <c r="RR813" s="259"/>
      <c r="RS813" s="259"/>
      <c r="RT813" s="259"/>
      <c r="RU813" s="259"/>
      <c r="RV813" s="259"/>
      <c r="RW813" s="259"/>
      <c r="RX813" s="259"/>
      <c r="RY813" s="259"/>
      <c r="RZ813" s="259"/>
      <c r="SA813" s="259"/>
      <c r="SB813" s="259"/>
      <c r="SC813" s="259"/>
      <c r="SD813" s="259"/>
      <c r="SE813" s="259"/>
      <c r="SF813" s="259"/>
      <c r="SG813" s="259"/>
      <c r="SH813" s="259"/>
      <c r="SI813" s="259"/>
      <c r="SJ813" s="259"/>
      <c r="SK813" s="259"/>
      <c r="SL813" s="259"/>
      <c r="SM813" s="259"/>
      <c r="SN813" s="259"/>
      <c r="SO813" s="259"/>
      <c r="SP813" s="259"/>
      <c r="SQ813" s="259"/>
      <c r="SR813" s="259"/>
      <c r="SS813" s="259"/>
      <c r="ST813" s="259"/>
      <c r="SU813" s="259"/>
      <c r="SV813" s="259"/>
      <c r="SW813" s="259"/>
      <c r="SX813" s="259"/>
      <c r="SY813" s="259"/>
      <c r="SZ813" s="259"/>
      <c r="TA813" s="259"/>
      <c r="TB813" s="259"/>
      <c r="TC813" s="259"/>
      <c r="TD813" s="259"/>
      <c r="TE813" s="259"/>
      <c r="TF813" s="259"/>
      <c r="TG813" s="259"/>
      <c r="TH813" s="259"/>
      <c r="TI813" s="259"/>
      <c r="TJ813" s="259"/>
      <c r="TK813" s="259"/>
      <c r="TL813" s="259"/>
      <c r="TM813" s="259"/>
      <c r="TN813" s="259"/>
      <c r="TO813" s="259"/>
      <c r="TP813" s="259"/>
      <c r="TQ813" s="259"/>
      <c r="TR813" s="259"/>
      <c r="TS813" s="259"/>
      <c r="TT813" s="259"/>
      <c r="TU813" s="259"/>
      <c r="TV813" s="259"/>
      <c r="TW813" s="259"/>
      <c r="TX813" s="259"/>
      <c r="TY813" s="259"/>
      <c r="TZ813" s="259"/>
      <c r="UA813" s="259"/>
      <c r="UB813" s="259"/>
      <c r="UC813" s="259"/>
      <c r="UD813" s="259"/>
      <c r="UE813" s="259"/>
      <c r="UF813" s="259"/>
      <c r="UG813" s="259"/>
      <c r="UH813" s="259"/>
      <c r="UI813" s="259"/>
    </row>
    <row r="814" spans="1:555" ht="81">
      <c r="A814" s="57">
        <v>778</v>
      </c>
      <c r="B814" s="58" t="s">
        <v>6283</v>
      </c>
      <c r="C814" s="59">
        <v>91155735</v>
      </c>
      <c r="D814" s="435" t="s">
        <v>382</v>
      </c>
      <c r="E814" s="60">
        <v>43209</v>
      </c>
      <c r="F814" s="61">
        <v>43191</v>
      </c>
      <c r="G814" s="62" t="s">
        <v>6284</v>
      </c>
      <c r="H814" s="58" t="s">
        <v>5</v>
      </c>
      <c r="I814" s="58" t="s">
        <v>79</v>
      </c>
      <c r="J814" s="60">
        <v>43244</v>
      </c>
      <c r="K814" s="61">
        <v>43221</v>
      </c>
      <c r="L814" s="62" t="s">
        <v>6285</v>
      </c>
      <c r="M814" s="58" t="s">
        <v>5</v>
      </c>
      <c r="N814" s="58" t="s">
        <v>79</v>
      </c>
      <c r="O814" s="60">
        <v>43425</v>
      </c>
      <c r="P814" s="63">
        <v>43425</v>
      </c>
      <c r="Q814" s="62" t="s">
        <v>7407</v>
      </c>
      <c r="R814" s="58" t="s">
        <v>195</v>
      </c>
      <c r="S814" s="58" t="s">
        <v>570</v>
      </c>
      <c r="T814" s="60"/>
      <c r="U814" s="61"/>
      <c r="V814" s="62"/>
      <c r="W814" s="58"/>
      <c r="X814" s="58"/>
      <c r="Y814" s="60"/>
      <c r="Z814" s="61"/>
      <c r="AA814" s="62"/>
      <c r="AB814" s="58"/>
      <c r="AC814" s="58"/>
      <c r="AD814" s="60"/>
      <c r="AE814" s="61"/>
      <c r="AF814" s="62"/>
      <c r="AG814" s="58"/>
      <c r="AH814" s="58"/>
      <c r="AI814" s="117"/>
      <c r="AJ814" s="61"/>
      <c r="AK814" s="62"/>
      <c r="AL814" s="58"/>
      <c r="AM814" s="58"/>
      <c r="AN814" s="58" t="s">
        <v>5706</v>
      </c>
      <c r="AO814" s="478"/>
      <c r="AP814" s="58" t="s">
        <v>2558</v>
      </c>
      <c r="AQ814" s="62" t="s">
        <v>6286</v>
      </c>
      <c r="AR814" s="58" t="s">
        <v>79</v>
      </c>
      <c r="AS814" s="60">
        <v>37810</v>
      </c>
      <c r="AT814" s="60">
        <v>40633</v>
      </c>
      <c r="AU814" s="58" t="s">
        <v>6287</v>
      </c>
      <c r="AV814" s="58"/>
      <c r="AW814" s="58" t="s">
        <v>69</v>
      </c>
      <c r="AX814" s="58" t="s">
        <v>177</v>
      </c>
      <c r="AY814" s="60">
        <v>41690</v>
      </c>
      <c r="AZ814" s="58" t="s">
        <v>6288</v>
      </c>
      <c r="BA814" s="60">
        <v>43013</v>
      </c>
      <c r="BB814" s="382">
        <v>43059</v>
      </c>
      <c r="BC814" s="58" t="s">
        <v>95</v>
      </c>
      <c r="BD814" s="70" t="s">
        <v>1792</v>
      </c>
      <c r="BE814" s="58"/>
      <c r="BF814" s="62"/>
      <c r="BG814" s="62"/>
      <c r="BH814" s="62"/>
      <c r="BI814" s="62"/>
      <c r="BJ814" s="209">
        <f>+'[324]MATRIZ DE CONTRATOS '!$K$79</f>
        <v>0</v>
      </c>
      <c r="BK814" s="67"/>
      <c r="BL814" s="68"/>
      <c r="BM814" s="60"/>
      <c r="BN814" s="61"/>
      <c r="BO814" s="463"/>
      <c r="BP814" s="122"/>
      <c r="BQ814" s="58"/>
      <c r="BR814" s="70"/>
      <c r="BS814" s="62"/>
      <c r="BT814" s="62"/>
      <c r="BU814" s="62"/>
      <c r="BV814" s="62"/>
      <c r="BW814" s="71"/>
      <c r="BX814" s="66"/>
      <c r="BY814" s="60"/>
      <c r="BZ814" s="72"/>
    </row>
    <row r="815" spans="1:555" ht="216">
      <c r="A815" s="502">
        <v>779</v>
      </c>
      <c r="B815" s="58" t="s">
        <v>4342</v>
      </c>
      <c r="C815" s="59">
        <v>71676538</v>
      </c>
      <c r="D815" s="435" t="s">
        <v>906</v>
      </c>
      <c r="E815" s="60">
        <v>43230</v>
      </c>
      <c r="F815" s="61">
        <v>43221</v>
      </c>
      <c r="G815" s="62" t="s">
        <v>6289</v>
      </c>
      <c r="H815" s="58" t="s">
        <v>625</v>
      </c>
      <c r="I815" s="58" t="s">
        <v>6174</v>
      </c>
      <c r="J815" s="60">
        <v>43242</v>
      </c>
      <c r="K815" s="61">
        <v>43221</v>
      </c>
      <c r="L815" s="62" t="s">
        <v>6290</v>
      </c>
      <c r="M815" s="58" t="s">
        <v>195</v>
      </c>
      <c r="N815" s="58" t="s">
        <v>1491</v>
      </c>
      <c r="O815" s="60">
        <v>43294</v>
      </c>
      <c r="P815" s="63">
        <v>43294</v>
      </c>
      <c r="Q815" s="62" t="s">
        <v>6291</v>
      </c>
      <c r="R815" s="425" t="s">
        <v>6292</v>
      </c>
      <c r="S815" s="58" t="s">
        <v>6293</v>
      </c>
      <c r="T815" s="60">
        <v>43259</v>
      </c>
      <c r="U815" s="61">
        <v>43259</v>
      </c>
      <c r="V815" s="62" t="s">
        <v>6294</v>
      </c>
      <c r="W815" s="58" t="s">
        <v>171</v>
      </c>
      <c r="X815" s="58" t="s">
        <v>6295</v>
      </c>
      <c r="Y815" s="60">
        <v>43502</v>
      </c>
      <c r="Z815" s="61">
        <v>43502</v>
      </c>
      <c r="AA815" s="62" t="s">
        <v>8131</v>
      </c>
      <c r="AB815" s="58" t="s">
        <v>5</v>
      </c>
      <c r="AC815" s="58" t="s">
        <v>8132</v>
      </c>
      <c r="AD815" s="60">
        <v>43510</v>
      </c>
      <c r="AE815" s="61">
        <v>43510</v>
      </c>
      <c r="AF815" s="62" t="s">
        <v>8133</v>
      </c>
      <c r="AG815" s="58" t="s">
        <v>5</v>
      </c>
      <c r="AH815" s="58" t="s">
        <v>85</v>
      </c>
      <c r="AI815" s="963">
        <v>44615</v>
      </c>
      <c r="AJ815" s="61">
        <v>44593</v>
      </c>
      <c r="AK815" s="959" t="s">
        <v>10756</v>
      </c>
      <c r="AL815" s="58" t="s">
        <v>5</v>
      </c>
      <c r="AM815" s="58" t="s">
        <v>10688</v>
      </c>
      <c r="AN815" s="58" t="s">
        <v>5706</v>
      </c>
      <c r="AO815" s="478"/>
      <c r="AP815" s="58" t="s">
        <v>2558</v>
      </c>
      <c r="AQ815" s="62" t="s">
        <v>6296</v>
      </c>
      <c r="AR815" s="58" t="s">
        <v>6297</v>
      </c>
      <c r="AS815" s="60">
        <v>39958</v>
      </c>
      <c r="AT815" s="60">
        <v>41054</v>
      </c>
      <c r="AU815" s="58" t="s">
        <v>8134</v>
      </c>
      <c r="AV815" s="58"/>
      <c r="AW815" s="58" t="s">
        <v>69</v>
      </c>
      <c r="AX815" s="58" t="s">
        <v>6138</v>
      </c>
      <c r="AY815" s="60">
        <v>42425</v>
      </c>
      <c r="AZ815" s="58" t="s">
        <v>6298</v>
      </c>
      <c r="BA815" s="60">
        <v>43229</v>
      </c>
      <c r="BB815" s="382">
        <v>43234</v>
      </c>
      <c r="BC815" s="70" t="s">
        <v>912</v>
      </c>
      <c r="BD815" s="70" t="s">
        <v>1792</v>
      </c>
      <c r="BE815" s="58"/>
      <c r="BF815" s="62"/>
      <c r="BG815" s="62"/>
      <c r="BH815" s="62"/>
      <c r="BI815" s="62"/>
      <c r="BJ815" s="209">
        <f>+'[325]MATRIZ DE CONTRATOS '!$J$71</f>
        <v>14558931.212344304</v>
      </c>
      <c r="BK815" s="67"/>
      <c r="BL815" s="68"/>
      <c r="BM815" s="60"/>
      <c r="BN815" s="61"/>
      <c r="BO815" s="463"/>
      <c r="BP815" s="122"/>
      <c r="BQ815" s="58"/>
      <c r="BR815" s="70"/>
      <c r="BS815" s="62" t="s">
        <v>6299</v>
      </c>
      <c r="BT815" s="62"/>
      <c r="BU815" s="62"/>
      <c r="BV815" s="62"/>
      <c r="BW815" s="71"/>
      <c r="BX815" s="66"/>
      <c r="BY815" s="60"/>
      <c r="BZ815" s="72"/>
    </row>
    <row r="816" spans="1:555" ht="175.5">
      <c r="A816" s="57">
        <v>780</v>
      </c>
      <c r="B816" s="58" t="s">
        <v>6300</v>
      </c>
      <c r="C816" s="59">
        <v>7724344</v>
      </c>
      <c r="D816" s="435" t="s">
        <v>3645</v>
      </c>
      <c r="E816" s="60">
        <v>43208</v>
      </c>
      <c r="F816" s="61">
        <v>43191</v>
      </c>
      <c r="G816" s="62" t="s">
        <v>6301</v>
      </c>
      <c r="H816" s="58" t="s">
        <v>63</v>
      </c>
      <c r="I816" s="58" t="s">
        <v>570</v>
      </c>
      <c r="J816" s="60">
        <v>43607</v>
      </c>
      <c r="K816" s="61">
        <v>43607</v>
      </c>
      <c r="L816" s="62" t="s">
        <v>8701</v>
      </c>
      <c r="M816" s="58" t="s">
        <v>8702</v>
      </c>
      <c r="N816" s="58" t="s">
        <v>8703</v>
      </c>
      <c r="O816" s="60">
        <v>43896</v>
      </c>
      <c r="P816" s="63">
        <v>43896</v>
      </c>
      <c r="Q816" s="62" t="s">
        <v>9493</v>
      </c>
      <c r="R816" s="58" t="s">
        <v>63</v>
      </c>
      <c r="S816" s="58" t="s">
        <v>8255</v>
      </c>
      <c r="T816" s="60"/>
      <c r="U816" s="61"/>
      <c r="V816" s="62"/>
      <c r="W816" s="58"/>
      <c r="X816" s="58"/>
      <c r="Y816" s="60"/>
      <c r="Z816" s="61"/>
      <c r="AA816" s="62"/>
      <c r="AB816" s="58"/>
      <c r="AC816" s="58"/>
      <c r="AD816" s="60"/>
      <c r="AE816" s="61"/>
      <c r="AF816" s="62"/>
      <c r="AG816" s="58"/>
      <c r="AH816" s="58"/>
      <c r="AI816" s="117"/>
      <c r="AJ816" s="61"/>
      <c r="AK816" s="62"/>
      <c r="AL816" s="58"/>
      <c r="AM816" s="58"/>
      <c r="AN816" s="58" t="s">
        <v>6302</v>
      </c>
      <c r="AO816" s="479">
        <v>43208</v>
      </c>
      <c r="AP816" s="58"/>
      <c r="AQ816" s="165" t="s">
        <v>6303</v>
      </c>
      <c r="AR816" s="58" t="s">
        <v>79</v>
      </c>
      <c r="AS816" s="60">
        <v>38784</v>
      </c>
      <c r="AT816" s="60">
        <v>39804</v>
      </c>
      <c r="AU816" s="58" t="s">
        <v>8721</v>
      </c>
      <c r="AV816" s="58"/>
      <c r="AW816" s="58" t="s">
        <v>92</v>
      </c>
      <c r="AX816" s="58" t="s">
        <v>6095</v>
      </c>
      <c r="AY816" s="60">
        <v>41816</v>
      </c>
      <c r="AZ816" s="58" t="s">
        <v>2591</v>
      </c>
      <c r="BA816" s="60">
        <v>42963</v>
      </c>
      <c r="BB816" s="382">
        <v>43423</v>
      </c>
      <c r="BC816" s="58" t="s">
        <v>95</v>
      </c>
      <c r="BD816" s="58" t="s">
        <v>566</v>
      </c>
      <c r="BE816" s="58"/>
      <c r="BF816" s="62"/>
      <c r="BG816" s="62"/>
      <c r="BH816" s="62"/>
      <c r="BI816" s="62"/>
      <c r="BJ816" s="209">
        <f>+'[326]MATRIZ '!$J$55</f>
        <v>106968169.82707715</v>
      </c>
      <c r="BK816" s="67"/>
      <c r="BL816" s="68"/>
      <c r="BM816" s="60"/>
      <c r="BN816" s="61"/>
      <c r="BO816" s="463"/>
      <c r="BP816" s="122"/>
      <c r="BQ816" s="58"/>
      <c r="BR816" s="70"/>
      <c r="BS816" s="62"/>
      <c r="BT816" s="62"/>
      <c r="BU816" s="62"/>
      <c r="BV816" s="62"/>
      <c r="BW816" s="71"/>
      <c r="BX816" s="66"/>
      <c r="BY816" s="60"/>
      <c r="BZ816" s="72"/>
    </row>
    <row r="817" spans="1:555" ht="135">
      <c r="A817" s="96">
        <v>781</v>
      </c>
      <c r="B817" s="422" t="s">
        <v>6304</v>
      </c>
      <c r="C817" s="142" t="s">
        <v>7344</v>
      </c>
      <c r="D817" s="436" t="s">
        <v>7390</v>
      </c>
      <c r="E817" s="143">
        <v>43165</v>
      </c>
      <c r="F817" s="144">
        <v>43160</v>
      </c>
      <c r="G817" s="145" t="s">
        <v>6305</v>
      </c>
      <c r="H817" s="141" t="s">
        <v>6306</v>
      </c>
      <c r="I817" s="141" t="s">
        <v>418</v>
      </c>
      <c r="J817" s="147">
        <v>43276</v>
      </c>
      <c r="K817" s="144">
        <v>43252</v>
      </c>
      <c r="L817" s="157" t="s">
        <v>6307</v>
      </c>
      <c r="M817" s="151" t="s">
        <v>6308</v>
      </c>
      <c r="N817" s="151" t="s">
        <v>79</v>
      </c>
      <c r="O817" s="147">
        <v>43350</v>
      </c>
      <c r="P817" s="146">
        <v>43350</v>
      </c>
      <c r="Q817" s="145" t="s">
        <v>6309</v>
      </c>
      <c r="R817" s="141" t="s">
        <v>6310</v>
      </c>
      <c r="S817" s="141" t="s">
        <v>1114</v>
      </c>
      <c r="T817" s="143">
        <v>43418</v>
      </c>
      <c r="U817" s="144">
        <v>43418</v>
      </c>
      <c r="V817" s="145" t="s">
        <v>7391</v>
      </c>
      <c r="W817" s="141" t="s">
        <v>4895</v>
      </c>
      <c r="X817" s="141" t="s">
        <v>7392</v>
      </c>
      <c r="Y817" s="423">
        <v>43686</v>
      </c>
      <c r="Z817" s="21">
        <v>43686</v>
      </c>
      <c r="AA817" s="424" t="s">
        <v>9098</v>
      </c>
      <c r="AB817" s="422" t="s">
        <v>208</v>
      </c>
      <c r="AC817" s="423" t="s">
        <v>8243</v>
      </c>
      <c r="AD817" s="143"/>
      <c r="AE817" s="144"/>
      <c r="AF817" s="145"/>
      <c r="AG817" s="141"/>
      <c r="AH817" s="141"/>
      <c r="AI817" s="148"/>
      <c r="AJ817" s="144"/>
      <c r="AK817" s="145"/>
      <c r="AL817" s="141"/>
      <c r="AM817" s="141"/>
      <c r="AN817" s="422"/>
      <c r="AO817" s="479">
        <v>43165</v>
      </c>
      <c r="AP817" s="141"/>
      <c r="AQ817" s="145" t="s">
        <v>6311</v>
      </c>
      <c r="AR817" s="141" t="s">
        <v>79</v>
      </c>
      <c r="AS817" s="143" t="s">
        <v>67</v>
      </c>
      <c r="AT817" s="143" t="s">
        <v>67</v>
      </c>
      <c r="AU817" s="141" t="s">
        <v>7393</v>
      </c>
      <c r="AV817" s="141"/>
      <c r="AW817" s="141"/>
      <c r="AX817" s="141" t="s">
        <v>6312</v>
      </c>
      <c r="AY817" s="143">
        <v>43159</v>
      </c>
      <c r="AZ817" s="141" t="s">
        <v>67</v>
      </c>
      <c r="BA817" s="141" t="s">
        <v>67</v>
      </c>
      <c r="BB817" s="382">
        <v>43159</v>
      </c>
      <c r="BC817" s="141" t="s">
        <v>5086</v>
      </c>
      <c r="BD817" s="141"/>
      <c r="BE817" s="141"/>
      <c r="BF817" s="145"/>
      <c r="BG817" s="145"/>
      <c r="BH817" s="145"/>
      <c r="BI817" s="145"/>
      <c r="BJ817" s="74">
        <f>+'[327]MATRIZ '!$I$29</f>
        <v>116887306.4259174</v>
      </c>
      <c r="BK817" s="149"/>
      <c r="BL817" s="150"/>
      <c r="BM817" s="143"/>
      <c r="BN817" s="144"/>
      <c r="BO817" s="470"/>
      <c r="BP817" s="402"/>
      <c r="BQ817" s="141"/>
      <c r="BR817" s="151"/>
      <c r="BS817" s="145"/>
      <c r="BT817" s="145"/>
      <c r="BU817" s="145"/>
      <c r="BV817" s="145"/>
      <c r="BW817" s="152"/>
      <c r="BX817" s="153"/>
      <c r="BY817" s="143"/>
      <c r="BZ817" s="154"/>
    </row>
    <row r="818" spans="1:555" ht="72" customHeight="1">
      <c r="A818" s="33">
        <v>782</v>
      </c>
      <c r="B818" s="34" t="s">
        <v>6313</v>
      </c>
      <c r="C818" s="35"/>
      <c r="D818" s="440"/>
      <c r="E818" s="37">
        <v>43241</v>
      </c>
      <c r="F818" s="38">
        <v>43221</v>
      </c>
      <c r="G818" s="39" t="s">
        <v>6314</v>
      </c>
      <c r="H818" s="34" t="s">
        <v>625</v>
      </c>
      <c r="I818" s="34" t="s">
        <v>6174</v>
      </c>
      <c r="J818" s="37">
        <v>43241</v>
      </c>
      <c r="K818" s="38">
        <v>43221</v>
      </c>
      <c r="L818" s="39" t="s">
        <v>6314</v>
      </c>
      <c r="M818" s="34" t="s">
        <v>1493</v>
      </c>
      <c r="N818" s="34" t="s">
        <v>6174</v>
      </c>
      <c r="O818" s="37"/>
      <c r="P818" s="40"/>
      <c r="Q818" s="39"/>
      <c r="R818" s="34"/>
      <c r="S818" s="34"/>
      <c r="T818" s="37"/>
      <c r="U818" s="38"/>
      <c r="V818" s="39"/>
      <c r="W818" s="34"/>
      <c r="X818" s="34"/>
      <c r="Y818" s="37"/>
      <c r="Z818" s="38"/>
      <c r="AA818" s="39"/>
      <c r="AB818" s="34"/>
      <c r="AC818" s="34"/>
      <c r="AD818" s="37"/>
      <c r="AE818" s="38"/>
      <c r="AF818" s="39"/>
      <c r="AG818" s="34"/>
      <c r="AH818" s="34"/>
      <c r="AI818" s="73"/>
      <c r="AJ818" s="38"/>
      <c r="AK818" s="39"/>
      <c r="AL818" s="34"/>
      <c r="AM818" s="34"/>
      <c r="AN818" s="34"/>
      <c r="AO818" s="473"/>
      <c r="AP818" s="34"/>
      <c r="AQ818" s="39" t="s">
        <v>6315</v>
      </c>
      <c r="AR818" s="34" t="s">
        <v>6297</v>
      </c>
      <c r="AS818" s="37">
        <v>40482</v>
      </c>
      <c r="AT818" s="37">
        <v>40908</v>
      </c>
      <c r="AU818" s="34" t="s">
        <v>6316</v>
      </c>
      <c r="AV818" s="34"/>
      <c r="AW818" s="34" t="s">
        <v>69</v>
      </c>
      <c r="AX818" s="34" t="s">
        <v>6055</v>
      </c>
      <c r="AY818" s="37">
        <v>42061</v>
      </c>
      <c r="AZ818" s="34" t="s">
        <v>6317</v>
      </c>
      <c r="BA818" s="37">
        <v>43160</v>
      </c>
      <c r="BB818" s="382"/>
      <c r="BC818" s="42" t="s">
        <v>912</v>
      </c>
      <c r="BD818" s="42"/>
      <c r="BE818" s="34"/>
      <c r="BF818" s="39"/>
      <c r="BG818" s="39"/>
      <c r="BH818" s="39"/>
      <c r="BI818" s="39"/>
      <c r="BJ818" s="74"/>
      <c r="BK818" s="74"/>
      <c r="BL818" s="44"/>
      <c r="BM818" s="37"/>
      <c r="BN818" s="38"/>
      <c r="BO818" s="462"/>
      <c r="BP818" s="391"/>
      <c r="BQ818" s="34"/>
      <c r="BR818" s="42"/>
      <c r="BS818" s="39"/>
      <c r="BT818" s="39"/>
      <c r="BU818" s="39"/>
      <c r="BV818" s="39"/>
      <c r="BW818" s="51"/>
      <c r="BX818" s="41"/>
      <c r="BY818" s="37"/>
      <c r="BZ818" s="52"/>
    </row>
    <row r="819" spans="1:555" ht="67.5">
      <c r="A819" s="57">
        <v>783</v>
      </c>
      <c r="B819" s="58" t="s">
        <v>4802</v>
      </c>
      <c r="C819" s="59">
        <v>80165606</v>
      </c>
      <c r="D819" s="170" t="s">
        <v>8071</v>
      </c>
      <c r="E819" s="60">
        <v>43244</v>
      </c>
      <c r="F819" s="61">
        <v>43221</v>
      </c>
      <c r="G819" s="62" t="s">
        <v>6318</v>
      </c>
      <c r="H819" s="58" t="s">
        <v>625</v>
      </c>
      <c r="I819" s="58" t="s">
        <v>6174</v>
      </c>
      <c r="J819" s="60">
        <v>44069</v>
      </c>
      <c r="K819" s="61">
        <v>44069</v>
      </c>
      <c r="L819" s="62" t="s">
        <v>9613</v>
      </c>
      <c r="M819" s="58" t="s">
        <v>9614</v>
      </c>
      <c r="N819" s="58" t="s">
        <v>9615</v>
      </c>
      <c r="O819" s="60"/>
      <c r="P819" s="63"/>
      <c r="Q819" s="62"/>
      <c r="R819" s="58"/>
      <c r="S819" s="58"/>
      <c r="T819" s="60"/>
      <c r="U819" s="63"/>
      <c r="V819" s="62"/>
      <c r="W819" s="58"/>
      <c r="X819" s="58"/>
      <c r="Y819" s="169"/>
      <c r="Z819" s="63"/>
      <c r="AA819" s="62"/>
      <c r="AB819" s="58"/>
      <c r="AC819" s="58"/>
      <c r="AD819" s="60"/>
      <c r="AE819" s="61"/>
      <c r="AF819" s="62"/>
      <c r="AG819" s="58"/>
      <c r="AH819" s="58"/>
      <c r="AI819" s="117"/>
      <c r="AJ819" s="61"/>
      <c r="AK819" s="62"/>
      <c r="AL819" s="58"/>
      <c r="AM819" s="58"/>
      <c r="AN819" s="58" t="s">
        <v>4896</v>
      </c>
      <c r="AO819" s="478" t="s">
        <v>7946</v>
      </c>
      <c r="AP819" s="58"/>
      <c r="AQ819" s="62" t="s">
        <v>6319</v>
      </c>
      <c r="AR819" s="58" t="s">
        <v>6297</v>
      </c>
      <c r="AS819" s="60">
        <v>40536</v>
      </c>
      <c r="AT819" s="60">
        <v>40908</v>
      </c>
      <c r="AU819" s="58" t="s">
        <v>4499</v>
      </c>
      <c r="AV819" s="58"/>
      <c r="AW819" s="58" t="s">
        <v>69</v>
      </c>
      <c r="AX819" s="58" t="s">
        <v>6320</v>
      </c>
      <c r="AY819" s="60">
        <v>42793</v>
      </c>
      <c r="AZ819" s="58" t="s">
        <v>5720</v>
      </c>
      <c r="BA819" s="60">
        <v>43236</v>
      </c>
      <c r="BB819" s="382">
        <v>43250</v>
      </c>
      <c r="BC819" s="58" t="s">
        <v>912</v>
      </c>
      <c r="BD819" s="58" t="s">
        <v>4604</v>
      </c>
      <c r="BE819" s="58"/>
      <c r="BF819" s="62"/>
      <c r="BG819" s="62"/>
      <c r="BH819" s="62"/>
      <c r="BI819" s="62"/>
      <c r="BJ819" s="74">
        <f>+[328]MATRIZ!$J$53</f>
        <v>0</v>
      </c>
      <c r="BK819" s="67"/>
      <c r="BL819" s="68"/>
      <c r="BM819" s="60"/>
      <c r="BN819" s="61"/>
      <c r="BO819" s="463"/>
      <c r="BP819" s="122"/>
      <c r="BQ819" s="58"/>
      <c r="BR819" s="70"/>
      <c r="BS819" s="62"/>
      <c r="BT819" s="62"/>
      <c r="BU819" s="62"/>
      <c r="BV819" s="62"/>
      <c r="BW819" s="71"/>
      <c r="BX819" s="66"/>
      <c r="BY819" s="60"/>
      <c r="BZ819" s="72"/>
    </row>
    <row r="820" spans="1:555" ht="54">
      <c r="A820" s="96">
        <v>784</v>
      </c>
      <c r="B820" s="141" t="s">
        <v>6321</v>
      </c>
      <c r="C820" s="142">
        <v>7697259</v>
      </c>
      <c r="D820" s="436" t="s">
        <v>3645</v>
      </c>
      <c r="E820" s="143">
        <v>43173</v>
      </c>
      <c r="F820" s="144">
        <v>43160</v>
      </c>
      <c r="G820" s="145" t="s">
        <v>6322</v>
      </c>
      <c r="H820" s="141" t="s">
        <v>63</v>
      </c>
      <c r="I820" s="141" t="s">
        <v>79</v>
      </c>
      <c r="J820" s="60">
        <v>43896</v>
      </c>
      <c r="K820" s="63">
        <v>43896</v>
      </c>
      <c r="L820" s="62" t="s">
        <v>9493</v>
      </c>
      <c r="M820" s="58" t="s">
        <v>63</v>
      </c>
      <c r="N820" s="58" t="s">
        <v>8255</v>
      </c>
      <c r="O820" s="143"/>
      <c r="P820" s="146"/>
      <c r="Q820" s="145"/>
      <c r="R820" s="141"/>
      <c r="S820" s="141"/>
      <c r="T820" s="143"/>
      <c r="U820" s="144"/>
      <c r="V820" s="145"/>
      <c r="W820" s="141"/>
      <c r="X820" s="141"/>
      <c r="Y820" s="143"/>
      <c r="Z820" s="144"/>
      <c r="AA820" s="145"/>
      <c r="AB820" s="141"/>
      <c r="AC820" s="141"/>
      <c r="AD820" s="143"/>
      <c r="AE820" s="144"/>
      <c r="AF820" s="145"/>
      <c r="AG820" s="141"/>
      <c r="AH820" s="141"/>
      <c r="AI820" s="148"/>
      <c r="AJ820" s="144"/>
      <c r="AK820" s="145"/>
      <c r="AL820" s="141"/>
      <c r="AM820" s="141"/>
      <c r="AN820" s="422" t="s">
        <v>430</v>
      </c>
      <c r="AO820" s="479">
        <v>43173</v>
      </c>
      <c r="AP820" s="422"/>
      <c r="AQ820" s="145" t="s">
        <v>6323</v>
      </c>
      <c r="AR820" s="141" t="s">
        <v>79</v>
      </c>
      <c r="AS820" s="143">
        <v>38415</v>
      </c>
      <c r="AT820" s="143">
        <v>39232</v>
      </c>
      <c r="AU820" s="141" t="s">
        <v>6324</v>
      </c>
      <c r="AV820" s="141"/>
      <c r="AW820" s="141" t="s">
        <v>92</v>
      </c>
      <c r="AX820" s="141" t="s">
        <v>6325</v>
      </c>
      <c r="AY820" s="143">
        <v>41816</v>
      </c>
      <c r="AZ820" s="141" t="s">
        <v>6326</v>
      </c>
      <c r="BA820" s="143">
        <v>42625</v>
      </c>
      <c r="BB820" s="382">
        <v>42801</v>
      </c>
      <c r="BC820" s="158" t="s">
        <v>912</v>
      </c>
      <c r="BD820" s="158" t="s">
        <v>4604</v>
      </c>
      <c r="BE820" s="141"/>
      <c r="BF820" s="145"/>
      <c r="BG820" s="145"/>
      <c r="BH820" s="145"/>
      <c r="BI820" s="145"/>
      <c r="BJ820" s="209">
        <f>+[329]MATRIZ!$J$52</f>
        <v>0</v>
      </c>
      <c r="BK820" s="149"/>
      <c r="BL820" s="150"/>
      <c r="BM820" s="143"/>
      <c r="BN820" s="144"/>
      <c r="BO820" s="470"/>
      <c r="BP820" s="402"/>
      <c r="BQ820" s="141"/>
      <c r="BR820" s="151"/>
      <c r="BS820" s="145"/>
      <c r="BT820" s="145"/>
      <c r="BU820" s="145"/>
      <c r="BV820" s="145"/>
      <c r="BW820" s="152"/>
      <c r="BX820" s="153"/>
      <c r="BY820" s="143"/>
      <c r="BZ820" s="154"/>
    </row>
    <row r="821" spans="1:555" ht="108">
      <c r="A821" s="502">
        <v>785</v>
      </c>
      <c r="B821" s="686" t="s">
        <v>9885</v>
      </c>
      <c r="C821" s="687">
        <v>92519000</v>
      </c>
      <c r="D821" s="791" t="s">
        <v>6327</v>
      </c>
      <c r="E821" s="27">
        <v>43119</v>
      </c>
      <c r="F821" s="689">
        <v>43160</v>
      </c>
      <c r="G821" s="690" t="s">
        <v>6328</v>
      </c>
      <c r="H821" s="686" t="s">
        <v>5</v>
      </c>
      <c r="I821" s="686" t="s">
        <v>79</v>
      </c>
      <c r="J821" s="27">
        <v>43228</v>
      </c>
      <c r="K821" s="689">
        <v>43221</v>
      </c>
      <c r="L821" s="690" t="s">
        <v>6329</v>
      </c>
      <c r="M821" s="686" t="s">
        <v>5</v>
      </c>
      <c r="N821" s="686" t="s">
        <v>107</v>
      </c>
      <c r="O821" s="27">
        <v>43362</v>
      </c>
      <c r="P821" s="691">
        <v>43362</v>
      </c>
      <c r="Q821" s="693" t="s">
        <v>6330</v>
      </c>
      <c r="R821" s="686" t="s">
        <v>5</v>
      </c>
      <c r="S821" s="693" t="s">
        <v>6331</v>
      </c>
      <c r="T821" s="27">
        <v>44091</v>
      </c>
      <c r="U821" s="689">
        <v>44091</v>
      </c>
      <c r="V821" s="690" t="s">
        <v>9709</v>
      </c>
      <c r="W821" s="686" t="s">
        <v>208</v>
      </c>
      <c r="X821" s="686" t="s">
        <v>8894</v>
      </c>
      <c r="Y821" s="27"/>
      <c r="Z821" s="689"/>
      <c r="AA821" s="690"/>
      <c r="AB821" s="686"/>
      <c r="AC821" s="686"/>
      <c r="AD821" s="27"/>
      <c r="AE821" s="689"/>
      <c r="AF821" s="690"/>
      <c r="AG821" s="686"/>
      <c r="AH821" s="686"/>
      <c r="AI821" s="704"/>
      <c r="AJ821" s="689"/>
      <c r="AK821" s="690"/>
      <c r="AL821" s="686"/>
      <c r="AM821" s="686"/>
      <c r="AN821" s="686" t="s">
        <v>5706</v>
      </c>
      <c r="AO821" s="705"/>
      <c r="AP821" s="686" t="s">
        <v>2558</v>
      </c>
      <c r="AQ821" s="690" t="s">
        <v>6332</v>
      </c>
      <c r="AR821" s="686" t="s">
        <v>79</v>
      </c>
      <c r="AS821" s="27" t="s">
        <v>67</v>
      </c>
      <c r="AT821" s="27" t="s">
        <v>67</v>
      </c>
      <c r="AU821" s="686" t="s">
        <v>6333</v>
      </c>
      <c r="AV821" s="686"/>
      <c r="AW821" s="686" t="s">
        <v>92</v>
      </c>
      <c r="AX821" s="686" t="s">
        <v>6334</v>
      </c>
      <c r="AY821" s="27">
        <v>41948</v>
      </c>
      <c r="AZ821" s="686" t="s">
        <v>142</v>
      </c>
      <c r="BA821" s="27">
        <v>42794</v>
      </c>
      <c r="BB821" s="27">
        <v>43017</v>
      </c>
      <c r="BC821" s="686" t="s">
        <v>561</v>
      </c>
      <c r="BD821" s="686" t="s">
        <v>586</v>
      </c>
      <c r="BE821" s="686" t="s">
        <v>6335</v>
      </c>
      <c r="BF821" s="690"/>
      <c r="BG821" s="690"/>
      <c r="BH821" s="690"/>
      <c r="BI821" s="690"/>
      <c r="BJ821" s="696">
        <f>+[330]BENEFICIARIOS!$L$35</f>
        <v>33530789.026864741</v>
      </c>
      <c r="BK821" s="696"/>
      <c r="BL821" s="697"/>
      <c r="BM821" s="27"/>
      <c r="BN821" s="689"/>
      <c r="BO821" s="699"/>
      <c r="BP821" s="700"/>
      <c r="BQ821" s="686"/>
      <c r="BR821" s="701"/>
      <c r="BS821" s="690"/>
      <c r="BT821" s="690"/>
      <c r="BU821" s="690"/>
      <c r="BV821" s="690"/>
      <c r="BW821" s="702"/>
      <c r="BX821" s="693"/>
      <c r="BY821" s="27"/>
      <c r="BZ821" s="703"/>
      <c r="CA821" s="259"/>
      <c r="CB821" s="259"/>
      <c r="CC821" s="259"/>
      <c r="CD821" s="259"/>
      <c r="CE821" s="259"/>
      <c r="CF821" s="259"/>
      <c r="CG821" s="259"/>
      <c r="CH821" s="259"/>
      <c r="CI821" s="259"/>
      <c r="CJ821" s="259"/>
      <c r="CK821" s="259"/>
      <c r="CL821" s="259"/>
      <c r="CM821" s="259"/>
      <c r="CN821" s="259"/>
      <c r="CO821" s="259"/>
      <c r="CP821" s="259"/>
      <c r="CQ821" s="259"/>
      <c r="CR821" s="259"/>
      <c r="CS821" s="259"/>
      <c r="CT821" s="259"/>
      <c r="CU821" s="259"/>
      <c r="CV821" s="259"/>
      <c r="CW821" s="259"/>
      <c r="CX821" s="259"/>
      <c r="CY821" s="259"/>
      <c r="CZ821" s="259"/>
      <c r="DA821" s="259"/>
      <c r="DB821" s="259"/>
      <c r="DC821" s="259"/>
      <c r="DD821" s="259"/>
      <c r="DE821" s="259"/>
      <c r="DF821" s="259"/>
      <c r="DG821" s="259"/>
      <c r="DH821" s="259"/>
      <c r="DI821" s="259"/>
      <c r="DJ821" s="259"/>
      <c r="DK821" s="259"/>
      <c r="DL821" s="259"/>
      <c r="DM821" s="259"/>
      <c r="DN821" s="259"/>
      <c r="DO821" s="259"/>
      <c r="DP821" s="259"/>
      <c r="DQ821" s="259"/>
      <c r="DR821" s="259"/>
      <c r="DS821" s="259"/>
      <c r="DT821" s="259"/>
      <c r="DU821" s="259"/>
      <c r="DV821" s="259"/>
      <c r="DW821" s="259"/>
      <c r="DX821" s="259"/>
      <c r="DY821" s="259"/>
      <c r="DZ821" s="259"/>
      <c r="EA821" s="259"/>
      <c r="EB821" s="259"/>
      <c r="EC821" s="259"/>
      <c r="ED821" s="259"/>
      <c r="EE821" s="259"/>
      <c r="EF821" s="259"/>
      <c r="EG821" s="259"/>
      <c r="EH821" s="259"/>
      <c r="EI821" s="259"/>
      <c r="EJ821" s="259"/>
      <c r="EK821" s="259"/>
      <c r="EL821" s="259"/>
      <c r="EM821" s="259"/>
      <c r="EN821" s="259"/>
      <c r="EO821" s="259"/>
      <c r="EP821" s="259"/>
      <c r="EQ821" s="259"/>
      <c r="ER821" s="259"/>
      <c r="ES821" s="259"/>
      <c r="ET821" s="259"/>
      <c r="EU821" s="259"/>
      <c r="EV821" s="259"/>
      <c r="EW821" s="259"/>
      <c r="EX821" s="259"/>
      <c r="EY821" s="259"/>
      <c r="EZ821" s="259"/>
      <c r="FA821" s="259"/>
      <c r="FB821" s="259"/>
      <c r="FC821" s="259"/>
      <c r="FD821" s="259"/>
      <c r="FE821" s="259"/>
      <c r="FF821" s="259"/>
      <c r="FG821" s="259"/>
      <c r="FH821" s="259"/>
      <c r="FI821" s="259"/>
      <c r="FJ821" s="259"/>
      <c r="FK821" s="259"/>
      <c r="FL821" s="259"/>
      <c r="FM821" s="259"/>
      <c r="FN821" s="259"/>
      <c r="FO821" s="259"/>
      <c r="FP821" s="259"/>
      <c r="FQ821" s="259"/>
      <c r="FR821" s="259"/>
      <c r="FS821" s="259"/>
      <c r="FT821" s="259"/>
      <c r="FU821" s="259"/>
      <c r="FV821" s="259"/>
      <c r="FW821" s="259"/>
      <c r="FX821" s="259"/>
      <c r="FY821" s="259"/>
      <c r="FZ821" s="259"/>
      <c r="GA821" s="259"/>
      <c r="GB821" s="259"/>
      <c r="GC821" s="259"/>
      <c r="GD821" s="259"/>
      <c r="GE821" s="259"/>
      <c r="GF821" s="259"/>
      <c r="GG821" s="259"/>
      <c r="GH821" s="259"/>
      <c r="GI821" s="259"/>
      <c r="GJ821" s="259"/>
      <c r="GK821" s="259"/>
      <c r="GL821" s="259"/>
      <c r="GM821" s="259"/>
      <c r="GN821" s="259"/>
      <c r="GO821" s="259"/>
      <c r="GP821" s="259"/>
      <c r="GQ821" s="259"/>
      <c r="GR821" s="259"/>
      <c r="GS821" s="259"/>
      <c r="GT821" s="259"/>
      <c r="GU821" s="259"/>
      <c r="GV821" s="259"/>
      <c r="GW821" s="259"/>
      <c r="GX821" s="259"/>
      <c r="GY821" s="259"/>
      <c r="GZ821" s="259"/>
      <c r="HA821" s="259"/>
      <c r="HB821" s="259"/>
      <c r="HC821" s="259"/>
      <c r="HD821" s="259"/>
      <c r="HE821" s="259"/>
      <c r="HF821" s="259"/>
      <c r="HG821" s="259"/>
      <c r="HH821" s="259"/>
      <c r="HI821" s="259"/>
      <c r="HJ821" s="259"/>
      <c r="HK821" s="259"/>
      <c r="HL821" s="259"/>
      <c r="HM821" s="259"/>
      <c r="HN821" s="259"/>
      <c r="HO821" s="259"/>
      <c r="HP821" s="259"/>
      <c r="HQ821" s="259"/>
      <c r="HR821" s="259"/>
      <c r="HS821" s="259"/>
      <c r="HT821" s="259"/>
      <c r="HU821" s="259"/>
      <c r="HV821" s="259"/>
      <c r="HW821" s="259"/>
      <c r="HX821" s="259"/>
      <c r="HY821" s="259"/>
      <c r="HZ821" s="259"/>
      <c r="IA821" s="259"/>
      <c r="IB821" s="259"/>
      <c r="IC821" s="259"/>
      <c r="ID821" s="259"/>
      <c r="IE821" s="259"/>
      <c r="IF821" s="259"/>
      <c r="IG821" s="259"/>
      <c r="IH821" s="259"/>
      <c r="II821" s="259"/>
      <c r="IJ821" s="259"/>
      <c r="IK821" s="259"/>
      <c r="IL821" s="259"/>
      <c r="IM821" s="259"/>
      <c r="IN821" s="259"/>
      <c r="IO821" s="259"/>
      <c r="IP821" s="259"/>
      <c r="IQ821" s="259"/>
      <c r="IR821" s="259"/>
      <c r="IS821" s="259"/>
      <c r="IT821" s="259"/>
      <c r="IU821" s="259"/>
      <c r="IV821" s="259"/>
      <c r="IW821" s="259"/>
      <c r="IX821" s="259"/>
      <c r="IY821" s="259"/>
      <c r="IZ821" s="259"/>
      <c r="JA821" s="259"/>
      <c r="JB821" s="259"/>
      <c r="JC821" s="259"/>
      <c r="JD821" s="259"/>
      <c r="JE821" s="259"/>
      <c r="JF821" s="259"/>
      <c r="JG821" s="259"/>
      <c r="JH821" s="259"/>
      <c r="JI821" s="259"/>
      <c r="JJ821" s="259"/>
      <c r="JK821" s="259"/>
      <c r="JL821" s="259"/>
      <c r="JM821" s="259"/>
      <c r="JN821" s="259"/>
      <c r="JO821" s="259"/>
      <c r="JP821" s="259"/>
      <c r="JQ821" s="259"/>
      <c r="JR821" s="259"/>
      <c r="JS821" s="259"/>
      <c r="JT821" s="259"/>
      <c r="JU821" s="259"/>
      <c r="JV821" s="259"/>
      <c r="JW821" s="259"/>
      <c r="JX821" s="259"/>
      <c r="JY821" s="259"/>
      <c r="JZ821" s="259"/>
      <c r="KA821" s="259"/>
      <c r="KB821" s="259"/>
      <c r="KC821" s="259"/>
      <c r="KD821" s="259"/>
      <c r="KE821" s="259"/>
      <c r="KF821" s="259"/>
      <c r="KG821" s="259"/>
      <c r="KH821" s="259"/>
      <c r="KI821" s="259"/>
      <c r="KJ821" s="259"/>
      <c r="KK821" s="259"/>
      <c r="KL821" s="259"/>
      <c r="KM821" s="259"/>
      <c r="KN821" s="259"/>
      <c r="KO821" s="259"/>
      <c r="KP821" s="259"/>
      <c r="KQ821" s="259"/>
      <c r="KR821" s="259"/>
      <c r="KS821" s="259"/>
      <c r="KT821" s="259"/>
      <c r="KU821" s="259"/>
      <c r="KV821" s="259"/>
      <c r="KW821" s="259"/>
      <c r="KX821" s="259"/>
      <c r="KY821" s="259"/>
      <c r="KZ821" s="259"/>
      <c r="LA821" s="259"/>
      <c r="LB821" s="259"/>
      <c r="LC821" s="259"/>
      <c r="LD821" s="259"/>
      <c r="LE821" s="259"/>
      <c r="LF821" s="259"/>
      <c r="LG821" s="259"/>
      <c r="LH821" s="259"/>
      <c r="LI821" s="259"/>
      <c r="LJ821" s="259"/>
      <c r="LK821" s="259"/>
      <c r="LL821" s="259"/>
      <c r="LM821" s="259"/>
      <c r="LN821" s="259"/>
      <c r="LO821" s="259"/>
      <c r="LP821" s="259"/>
      <c r="LQ821" s="259"/>
      <c r="LR821" s="259"/>
      <c r="LS821" s="259"/>
      <c r="LT821" s="259"/>
      <c r="LU821" s="259"/>
      <c r="LV821" s="259"/>
      <c r="LW821" s="259"/>
      <c r="LX821" s="259"/>
      <c r="LY821" s="259"/>
      <c r="LZ821" s="259"/>
      <c r="MA821" s="259"/>
      <c r="MB821" s="259"/>
      <c r="MC821" s="259"/>
      <c r="MD821" s="259"/>
      <c r="ME821" s="259"/>
      <c r="MF821" s="259"/>
      <c r="MG821" s="259"/>
      <c r="MH821" s="259"/>
      <c r="MI821" s="259"/>
      <c r="MJ821" s="259"/>
      <c r="MK821" s="259"/>
      <c r="ML821" s="259"/>
      <c r="MM821" s="259"/>
      <c r="MN821" s="259"/>
      <c r="MO821" s="259"/>
      <c r="MP821" s="259"/>
      <c r="MQ821" s="259"/>
      <c r="MR821" s="259"/>
      <c r="MS821" s="259"/>
      <c r="MT821" s="259"/>
      <c r="MU821" s="259"/>
      <c r="MV821" s="259"/>
      <c r="MW821" s="259"/>
      <c r="MX821" s="259"/>
      <c r="MY821" s="259"/>
      <c r="MZ821" s="259"/>
      <c r="NA821" s="259"/>
      <c r="NB821" s="259"/>
      <c r="NC821" s="259"/>
      <c r="ND821" s="259"/>
      <c r="NE821" s="259"/>
      <c r="NF821" s="259"/>
      <c r="NG821" s="259"/>
      <c r="NH821" s="259"/>
      <c r="NI821" s="259"/>
      <c r="NJ821" s="259"/>
      <c r="NK821" s="259"/>
      <c r="NL821" s="259"/>
      <c r="NM821" s="259"/>
      <c r="NN821" s="259"/>
      <c r="NO821" s="259"/>
      <c r="NP821" s="259"/>
      <c r="NQ821" s="259"/>
      <c r="NR821" s="259"/>
      <c r="NS821" s="259"/>
      <c r="NT821" s="259"/>
      <c r="NU821" s="259"/>
      <c r="NV821" s="259"/>
      <c r="NW821" s="259"/>
      <c r="NX821" s="259"/>
      <c r="NY821" s="259"/>
      <c r="NZ821" s="259"/>
      <c r="OA821" s="259"/>
      <c r="OB821" s="259"/>
      <c r="OC821" s="259"/>
      <c r="OD821" s="259"/>
      <c r="OE821" s="259"/>
      <c r="OF821" s="259"/>
      <c r="OG821" s="259"/>
      <c r="OH821" s="259"/>
      <c r="OI821" s="259"/>
      <c r="OJ821" s="259"/>
      <c r="OK821" s="259"/>
      <c r="OL821" s="259"/>
      <c r="OM821" s="259"/>
      <c r="ON821" s="259"/>
      <c r="OO821" s="259"/>
      <c r="OP821" s="259"/>
      <c r="OQ821" s="259"/>
      <c r="OR821" s="259"/>
      <c r="OS821" s="259"/>
      <c r="OT821" s="259"/>
      <c r="OU821" s="259"/>
      <c r="OV821" s="259"/>
      <c r="OW821" s="259"/>
      <c r="OX821" s="259"/>
      <c r="OY821" s="259"/>
      <c r="OZ821" s="259"/>
      <c r="PA821" s="259"/>
      <c r="PB821" s="259"/>
      <c r="PC821" s="259"/>
      <c r="PD821" s="259"/>
      <c r="PE821" s="259"/>
      <c r="PF821" s="259"/>
      <c r="PG821" s="259"/>
      <c r="PH821" s="259"/>
      <c r="PI821" s="259"/>
      <c r="PJ821" s="259"/>
      <c r="PK821" s="259"/>
      <c r="PL821" s="259"/>
      <c r="PM821" s="259"/>
      <c r="PN821" s="259"/>
      <c r="PO821" s="259"/>
      <c r="PP821" s="259"/>
      <c r="PQ821" s="259"/>
      <c r="PR821" s="259"/>
      <c r="PS821" s="259"/>
      <c r="PT821" s="259"/>
      <c r="PU821" s="259"/>
      <c r="PV821" s="259"/>
      <c r="PW821" s="259"/>
      <c r="PX821" s="259"/>
      <c r="PY821" s="259"/>
      <c r="PZ821" s="259"/>
      <c r="QA821" s="259"/>
      <c r="QB821" s="259"/>
      <c r="QC821" s="259"/>
      <c r="QD821" s="259"/>
      <c r="QE821" s="259"/>
      <c r="QF821" s="259"/>
      <c r="QG821" s="259"/>
      <c r="QH821" s="259"/>
      <c r="QI821" s="259"/>
      <c r="QJ821" s="259"/>
      <c r="QK821" s="259"/>
      <c r="QL821" s="259"/>
      <c r="QM821" s="259"/>
      <c r="QN821" s="259"/>
      <c r="QO821" s="259"/>
      <c r="QP821" s="259"/>
      <c r="QQ821" s="259"/>
      <c r="QR821" s="259"/>
      <c r="QS821" s="259"/>
      <c r="QT821" s="259"/>
      <c r="QU821" s="259"/>
      <c r="QV821" s="259"/>
      <c r="QW821" s="259"/>
      <c r="QX821" s="259"/>
      <c r="QY821" s="259"/>
      <c r="QZ821" s="259"/>
      <c r="RA821" s="259"/>
      <c r="RB821" s="259"/>
      <c r="RC821" s="259"/>
      <c r="RD821" s="259"/>
      <c r="RE821" s="259"/>
      <c r="RF821" s="259"/>
      <c r="RG821" s="259"/>
      <c r="RH821" s="259"/>
      <c r="RI821" s="259"/>
      <c r="RJ821" s="259"/>
      <c r="RK821" s="259"/>
      <c r="RL821" s="259"/>
      <c r="RM821" s="259"/>
      <c r="RN821" s="259"/>
      <c r="RO821" s="259"/>
      <c r="RP821" s="259"/>
      <c r="RQ821" s="259"/>
      <c r="RR821" s="259"/>
      <c r="RS821" s="259"/>
      <c r="RT821" s="259"/>
      <c r="RU821" s="259"/>
      <c r="RV821" s="259"/>
      <c r="RW821" s="259"/>
      <c r="RX821" s="259"/>
      <c r="RY821" s="259"/>
      <c r="RZ821" s="259"/>
      <c r="SA821" s="259"/>
      <c r="SB821" s="259"/>
      <c r="SC821" s="259"/>
      <c r="SD821" s="259"/>
      <c r="SE821" s="259"/>
      <c r="SF821" s="259"/>
      <c r="SG821" s="259"/>
      <c r="SH821" s="259"/>
      <c r="SI821" s="259"/>
      <c r="SJ821" s="259"/>
      <c r="SK821" s="259"/>
      <c r="SL821" s="259"/>
      <c r="SM821" s="259"/>
      <c r="SN821" s="259"/>
      <c r="SO821" s="259"/>
      <c r="SP821" s="259"/>
      <c r="SQ821" s="259"/>
      <c r="SR821" s="259"/>
      <c r="SS821" s="259"/>
      <c r="ST821" s="259"/>
      <c r="SU821" s="259"/>
      <c r="SV821" s="259"/>
      <c r="SW821" s="259"/>
      <c r="SX821" s="259"/>
      <c r="SY821" s="259"/>
      <c r="SZ821" s="259"/>
      <c r="TA821" s="259"/>
      <c r="TB821" s="259"/>
      <c r="TC821" s="259"/>
      <c r="TD821" s="259"/>
      <c r="TE821" s="259"/>
      <c r="TF821" s="259"/>
      <c r="TG821" s="259"/>
      <c r="TH821" s="259"/>
      <c r="TI821" s="259"/>
      <c r="TJ821" s="259"/>
      <c r="TK821" s="259"/>
      <c r="TL821" s="259"/>
      <c r="TM821" s="259"/>
      <c r="TN821" s="259"/>
      <c r="TO821" s="259"/>
      <c r="TP821" s="259"/>
      <c r="TQ821" s="259"/>
      <c r="TR821" s="259"/>
      <c r="TS821" s="259"/>
      <c r="TT821" s="259"/>
      <c r="TU821" s="259"/>
      <c r="TV821" s="259"/>
      <c r="TW821" s="259"/>
      <c r="TX821" s="259"/>
      <c r="TY821" s="259"/>
      <c r="TZ821" s="259"/>
      <c r="UA821" s="259"/>
      <c r="UB821" s="259"/>
      <c r="UC821" s="259"/>
      <c r="UD821" s="259"/>
      <c r="UE821" s="259"/>
      <c r="UF821" s="259"/>
      <c r="UG821" s="259"/>
      <c r="UH821" s="259"/>
      <c r="UI821" s="259"/>
    </row>
    <row r="822" spans="1:555" ht="409.5">
      <c r="A822" s="123">
        <v>787</v>
      </c>
      <c r="B822" s="105" t="s">
        <v>9114</v>
      </c>
      <c r="C822" s="124" t="s">
        <v>6348</v>
      </c>
      <c r="D822" s="437" t="s">
        <v>6349</v>
      </c>
      <c r="E822" s="106">
        <v>43241</v>
      </c>
      <c r="F822" s="107">
        <v>43221</v>
      </c>
      <c r="G822" s="108" t="s">
        <v>6350</v>
      </c>
      <c r="H822" s="105" t="s">
        <v>63</v>
      </c>
      <c r="I822" s="105" t="s">
        <v>1114</v>
      </c>
      <c r="J822" s="106">
        <v>43312</v>
      </c>
      <c r="K822" s="107">
        <v>43312</v>
      </c>
      <c r="L822" s="108" t="s">
        <v>6351</v>
      </c>
      <c r="M822" s="105" t="s">
        <v>5</v>
      </c>
      <c r="N822" s="105" t="s">
        <v>6352</v>
      </c>
      <c r="O822" s="106">
        <v>43336</v>
      </c>
      <c r="P822" s="109">
        <v>43336</v>
      </c>
      <c r="Q822" s="108" t="s">
        <v>6353</v>
      </c>
      <c r="R822" s="105" t="s">
        <v>6354</v>
      </c>
      <c r="S822" s="105" t="s">
        <v>6355</v>
      </c>
      <c r="T822" s="106">
        <v>43297</v>
      </c>
      <c r="U822" s="107">
        <v>43297</v>
      </c>
      <c r="V822" s="108" t="s">
        <v>6356</v>
      </c>
      <c r="W822" s="105" t="s">
        <v>171</v>
      </c>
      <c r="X822" s="105" t="s">
        <v>6357</v>
      </c>
      <c r="Y822" s="106">
        <v>43396</v>
      </c>
      <c r="Z822" s="107">
        <v>43396</v>
      </c>
      <c r="AA822" s="108" t="s">
        <v>7405</v>
      </c>
      <c r="AB822" s="105" t="s">
        <v>171</v>
      </c>
      <c r="AC822" s="105" t="s">
        <v>7406</v>
      </c>
      <c r="AD822" s="106">
        <v>43606</v>
      </c>
      <c r="AE822" s="107">
        <v>43606</v>
      </c>
      <c r="AF822" s="108" t="s">
        <v>8787</v>
      </c>
      <c r="AG822" s="105" t="s">
        <v>8788</v>
      </c>
      <c r="AH822" s="105" t="s">
        <v>8789</v>
      </c>
      <c r="AI822" s="106" t="s">
        <v>10748</v>
      </c>
      <c r="AJ822" s="107" t="s">
        <v>10747</v>
      </c>
      <c r="AK822" s="108" t="s">
        <v>10746</v>
      </c>
      <c r="AL822" s="105" t="s">
        <v>9797</v>
      </c>
      <c r="AM822" s="105" t="s">
        <v>10749</v>
      </c>
      <c r="AN822" s="105"/>
      <c r="AO822" s="478" t="s">
        <v>7949</v>
      </c>
      <c r="AP822" s="105"/>
      <c r="AQ822" s="108" t="s">
        <v>6358</v>
      </c>
      <c r="AR822" s="105" t="s">
        <v>79</v>
      </c>
      <c r="AS822" s="106" t="s">
        <v>67</v>
      </c>
      <c r="AT822" s="106" t="s">
        <v>67</v>
      </c>
      <c r="AU822" s="105" t="s">
        <v>8790</v>
      </c>
      <c r="AV822" s="105"/>
      <c r="AW822" s="105" t="s">
        <v>92</v>
      </c>
      <c r="AX822" s="105" t="s">
        <v>627</v>
      </c>
      <c r="AY822" s="106">
        <v>40129</v>
      </c>
      <c r="AZ822" s="105" t="s">
        <v>6359</v>
      </c>
      <c r="BA822" s="106">
        <v>43061</v>
      </c>
      <c r="BB822" s="382">
        <v>43334</v>
      </c>
      <c r="BC822" s="105" t="s">
        <v>561</v>
      </c>
      <c r="BD822" s="113" t="s">
        <v>6360</v>
      </c>
      <c r="BE822" s="105" t="s">
        <v>8143</v>
      </c>
      <c r="BF822" s="108"/>
      <c r="BG822" s="108"/>
      <c r="BH822" s="108"/>
      <c r="BI822" s="108"/>
      <c r="BJ822" s="74">
        <f>+[331]MATRIZ!$I$33</f>
        <v>0</v>
      </c>
      <c r="BK822" s="111"/>
      <c r="BL822" s="112"/>
      <c r="BM822" s="106"/>
      <c r="BN822" s="107"/>
      <c r="BO822" s="466"/>
      <c r="BP822" s="401"/>
      <c r="BQ822" s="105"/>
      <c r="BR822" s="113"/>
      <c r="BS822" s="108"/>
      <c r="BT822" s="108"/>
      <c r="BU822" s="108"/>
      <c r="BV822" s="108"/>
      <c r="BW822" s="114"/>
      <c r="BX822" s="115"/>
      <c r="BY822" s="106"/>
      <c r="BZ822" s="116"/>
    </row>
    <row r="823" spans="1:555" ht="67.5">
      <c r="A823" s="57">
        <v>788</v>
      </c>
      <c r="B823" s="58" t="s">
        <v>6361</v>
      </c>
      <c r="C823" s="59">
        <v>4896377</v>
      </c>
      <c r="D823" s="170" t="s">
        <v>3677</v>
      </c>
      <c r="E823" s="60">
        <v>43242</v>
      </c>
      <c r="F823" s="61">
        <v>43221</v>
      </c>
      <c r="G823" s="62" t="s">
        <v>6362</v>
      </c>
      <c r="H823" s="58" t="s">
        <v>5</v>
      </c>
      <c r="I823" s="58" t="s">
        <v>79</v>
      </c>
      <c r="J823" s="60"/>
      <c r="K823" s="61"/>
      <c r="L823" s="62"/>
      <c r="M823" s="58"/>
      <c r="N823" s="58"/>
      <c r="O823" s="60"/>
      <c r="P823" s="63"/>
      <c r="Q823" s="62"/>
      <c r="R823" s="58"/>
      <c r="S823" s="58"/>
      <c r="T823" s="60"/>
      <c r="U823" s="61"/>
      <c r="V823" s="62"/>
      <c r="W823" s="58"/>
      <c r="X823" s="58"/>
      <c r="Y823" s="60"/>
      <c r="Z823" s="61"/>
      <c r="AA823" s="62"/>
      <c r="AB823" s="58"/>
      <c r="AC823" s="58"/>
      <c r="AD823" s="60"/>
      <c r="AE823" s="61"/>
      <c r="AF823" s="62"/>
      <c r="AG823" s="58"/>
      <c r="AH823" s="58"/>
      <c r="AI823" s="117"/>
      <c r="AJ823" s="61"/>
      <c r="AK823" s="62"/>
      <c r="AL823" s="58"/>
      <c r="AM823" s="58"/>
      <c r="AN823" s="58" t="s">
        <v>5706</v>
      </c>
      <c r="AO823" s="478"/>
      <c r="AP823" s="58" t="s">
        <v>2558</v>
      </c>
      <c r="AQ823" s="62" t="s">
        <v>6363</v>
      </c>
      <c r="AR823" s="58" t="s">
        <v>79</v>
      </c>
      <c r="AS823" s="60">
        <v>43266</v>
      </c>
      <c r="AT823" s="60">
        <v>39813</v>
      </c>
      <c r="AU823" s="58" t="s">
        <v>6364</v>
      </c>
      <c r="AV823" s="58"/>
      <c r="AW823" s="58" t="s">
        <v>92</v>
      </c>
      <c r="AX823" s="58" t="s">
        <v>6121</v>
      </c>
      <c r="AY823" s="60">
        <v>41789</v>
      </c>
      <c r="AZ823" s="58" t="s">
        <v>5732</v>
      </c>
      <c r="BA823" s="60">
        <v>42632</v>
      </c>
      <c r="BB823" s="382">
        <v>42706</v>
      </c>
      <c r="BC823" s="58" t="s">
        <v>95</v>
      </c>
      <c r="BD823" s="58" t="s">
        <v>1792</v>
      </c>
      <c r="BE823" s="58"/>
      <c r="BF823" s="62"/>
      <c r="BG823" s="62"/>
      <c r="BH823" s="62"/>
      <c r="BI823" s="62"/>
      <c r="BJ823" s="74">
        <f>+'[332]MATRIZ DE CONTRATOS '!$J$61</f>
        <v>0</v>
      </c>
      <c r="BK823" s="67"/>
      <c r="BL823" s="68"/>
      <c r="BM823" s="60"/>
      <c r="BN823" s="61"/>
      <c r="BO823" s="463"/>
      <c r="BP823" s="122"/>
      <c r="BQ823" s="58"/>
      <c r="BR823" s="70"/>
      <c r="BS823" s="62"/>
      <c r="BT823" s="62"/>
      <c r="BU823" s="62"/>
      <c r="BV823" s="62"/>
      <c r="BW823" s="71"/>
      <c r="BX823" s="66"/>
      <c r="BY823" s="60"/>
      <c r="BZ823" s="72"/>
    </row>
    <row r="824" spans="1:555" ht="81">
      <c r="A824" s="502">
        <v>789</v>
      </c>
      <c r="B824" s="686" t="s">
        <v>6365</v>
      </c>
      <c r="C824" s="687">
        <v>6442138</v>
      </c>
      <c r="D824" s="688" t="s">
        <v>906</v>
      </c>
      <c r="E824" s="27">
        <v>43238</v>
      </c>
      <c r="F824" s="691">
        <v>43221</v>
      </c>
      <c r="G824" s="690" t="s">
        <v>6366</v>
      </c>
      <c r="H824" s="692" t="s">
        <v>625</v>
      </c>
      <c r="I824" s="686" t="s">
        <v>6367</v>
      </c>
      <c r="J824" s="27">
        <v>43241</v>
      </c>
      <c r="K824" s="689">
        <v>43221</v>
      </c>
      <c r="L824" s="690" t="s">
        <v>6368</v>
      </c>
      <c r="M824" s="686" t="s">
        <v>625</v>
      </c>
      <c r="N824" s="686" t="s">
        <v>6174</v>
      </c>
      <c r="O824" s="27">
        <v>43251</v>
      </c>
      <c r="P824" s="691">
        <v>43221</v>
      </c>
      <c r="Q824" s="690" t="s">
        <v>6369</v>
      </c>
      <c r="R824" s="686" t="s">
        <v>625</v>
      </c>
      <c r="S824" s="860" t="s">
        <v>6370</v>
      </c>
      <c r="T824" s="27">
        <v>43241</v>
      </c>
      <c r="U824" s="689">
        <v>43241</v>
      </c>
      <c r="V824" s="690" t="s">
        <v>6368</v>
      </c>
      <c r="W824" s="686" t="s">
        <v>6371</v>
      </c>
      <c r="X824" s="686" t="s">
        <v>183</v>
      </c>
      <c r="Y824" s="27">
        <v>43551</v>
      </c>
      <c r="Z824" s="689">
        <v>43551</v>
      </c>
      <c r="AA824" s="690" t="s">
        <v>8493</v>
      </c>
      <c r="AB824" s="686" t="s">
        <v>5</v>
      </c>
      <c r="AC824" s="686" t="s">
        <v>79</v>
      </c>
      <c r="AD824" s="27"/>
      <c r="AE824" s="689"/>
      <c r="AF824" s="690"/>
      <c r="AG824" s="686"/>
      <c r="AH824" s="686"/>
      <c r="AI824" s="704"/>
      <c r="AJ824" s="689"/>
      <c r="AK824" s="690"/>
      <c r="AL824" s="686"/>
      <c r="AM824" s="686"/>
      <c r="AN824" s="686" t="s">
        <v>5706</v>
      </c>
      <c r="AO824" s="705"/>
      <c r="AP824" s="686" t="s">
        <v>2558</v>
      </c>
      <c r="AQ824" s="690" t="s">
        <v>6372</v>
      </c>
      <c r="AR824" s="686" t="s">
        <v>6373</v>
      </c>
      <c r="AS824" s="27">
        <v>40515</v>
      </c>
      <c r="AT824" s="27">
        <v>40908</v>
      </c>
      <c r="AU824" s="686" t="s">
        <v>6374</v>
      </c>
      <c r="AV824" s="686"/>
      <c r="AW824" s="686" t="s">
        <v>69</v>
      </c>
      <c r="AX824" s="686" t="s">
        <v>6375</v>
      </c>
      <c r="AY824" s="27">
        <v>42566</v>
      </c>
      <c r="AZ824" s="686" t="s">
        <v>5726</v>
      </c>
      <c r="BA824" s="27">
        <v>43160</v>
      </c>
      <c r="BB824" s="27">
        <v>43243</v>
      </c>
      <c r="BC824" s="686" t="s">
        <v>912</v>
      </c>
      <c r="BD824" s="686" t="s">
        <v>4604</v>
      </c>
      <c r="BE824" s="686"/>
      <c r="BF824" s="690"/>
      <c r="BG824" s="690"/>
      <c r="BH824" s="690"/>
      <c r="BI824" s="690"/>
      <c r="BJ824" s="696">
        <f>+'[333]MATRIZ DE CONTRATOS '!$J$52</f>
        <v>0</v>
      </c>
      <c r="BK824" s="696"/>
      <c r="BL824" s="697"/>
      <c r="BM824" s="27"/>
      <c r="BN824" s="689"/>
      <c r="BO824" s="699"/>
      <c r="BP824" s="700"/>
      <c r="BQ824" s="686"/>
      <c r="BR824" s="701"/>
      <c r="BS824" s="690"/>
      <c r="BT824" s="690"/>
      <c r="BU824" s="690"/>
      <c r="BV824" s="690"/>
      <c r="BW824" s="702"/>
      <c r="BX824" s="693"/>
      <c r="BY824" s="27"/>
      <c r="BZ824" s="703"/>
      <c r="CA824" s="259"/>
      <c r="CB824" s="259"/>
      <c r="CC824" s="259"/>
      <c r="CD824" s="259"/>
      <c r="CE824" s="259"/>
      <c r="CF824" s="259"/>
      <c r="CG824" s="259"/>
      <c r="CH824" s="259"/>
      <c r="CI824" s="259"/>
      <c r="CJ824" s="259"/>
      <c r="CK824" s="259"/>
      <c r="CL824" s="259"/>
      <c r="CM824" s="259"/>
      <c r="CN824" s="259"/>
      <c r="CO824" s="259"/>
      <c r="CP824" s="259"/>
      <c r="CQ824" s="259"/>
      <c r="CR824" s="259"/>
      <c r="CS824" s="259"/>
      <c r="CT824" s="259"/>
      <c r="CU824" s="259"/>
      <c r="CV824" s="259"/>
      <c r="CW824" s="259"/>
      <c r="CX824" s="259"/>
      <c r="CY824" s="259"/>
      <c r="CZ824" s="259"/>
      <c r="DA824" s="259"/>
      <c r="DB824" s="259"/>
      <c r="DC824" s="259"/>
      <c r="DD824" s="259"/>
      <c r="DE824" s="259"/>
      <c r="DF824" s="259"/>
      <c r="DG824" s="259"/>
      <c r="DH824" s="259"/>
      <c r="DI824" s="259"/>
      <c r="DJ824" s="259"/>
      <c r="DK824" s="259"/>
      <c r="DL824" s="259"/>
      <c r="DM824" s="259"/>
      <c r="DN824" s="259"/>
      <c r="DO824" s="259"/>
      <c r="DP824" s="259"/>
      <c r="DQ824" s="259"/>
      <c r="DR824" s="259"/>
      <c r="DS824" s="259"/>
      <c r="DT824" s="259"/>
      <c r="DU824" s="259"/>
      <c r="DV824" s="259"/>
      <c r="DW824" s="259"/>
      <c r="DX824" s="259"/>
      <c r="DY824" s="259"/>
      <c r="DZ824" s="259"/>
      <c r="EA824" s="259"/>
      <c r="EB824" s="259"/>
      <c r="EC824" s="259"/>
      <c r="ED824" s="259"/>
      <c r="EE824" s="259"/>
      <c r="EF824" s="259"/>
      <c r="EG824" s="259"/>
      <c r="EH824" s="259"/>
      <c r="EI824" s="259"/>
      <c r="EJ824" s="259"/>
      <c r="EK824" s="259"/>
      <c r="EL824" s="259"/>
      <c r="EM824" s="259"/>
      <c r="EN824" s="259"/>
      <c r="EO824" s="259"/>
      <c r="EP824" s="259"/>
      <c r="EQ824" s="259"/>
      <c r="ER824" s="259"/>
      <c r="ES824" s="259"/>
      <c r="ET824" s="259"/>
      <c r="EU824" s="259"/>
      <c r="EV824" s="259"/>
      <c r="EW824" s="259"/>
      <c r="EX824" s="259"/>
      <c r="EY824" s="259"/>
      <c r="EZ824" s="259"/>
      <c r="FA824" s="259"/>
      <c r="FB824" s="259"/>
      <c r="FC824" s="259"/>
      <c r="FD824" s="259"/>
      <c r="FE824" s="259"/>
      <c r="FF824" s="259"/>
      <c r="FG824" s="259"/>
      <c r="FH824" s="259"/>
      <c r="FI824" s="259"/>
      <c r="FJ824" s="259"/>
      <c r="FK824" s="259"/>
      <c r="FL824" s="259"/>
      <c r="FM824" s="259"/>
      <c r="FN824" s="259"/>
      <c r="FO824" s="259"/>
      <c r="FP824" s="259"/>
      <c r="FQ824" s="259"/>
      <c r="FR824" s="259"/>
      <c r="FS824" s="259"/>
      <c r="FT824" s="259"/>
      <c r="FU824" s="259"/>
      <c r="FV824" s="259"/>
      <c r="FW824" s="259"/>
      <c r="FX824" s="259"/>
      <c r="FY824" s="259"/>
      <c r="FZ824" s="259"/>
      <c r="GA824" s="259"/>
      <c r="GB824" s="259"/>
      <c r="GC824" s="259"/>
      <c r="GD824" s="259"/>
      <c r="GE824" s="259"/>
      <c r="GF824" s="259"/>
      <c r="GG824" s="259"/>
      <c r="GH824" s="259"/>
      <c r="GI824" s="259"/>
      <c r="GJ824" s="259"/>
      <c r="GK824" s="259"/>
      <c r="GL824" s="259"/>
      <c r="GM824" s="259"/>
      <c r="GN824" s="259"/>
      <c r="GO824" s="259"/>
      <c r="GP824" s="259"/>
      <c r="GQ824" s="259"/>
      <c r="GR824" s="259"/>
      <c r="GS824" s="259"/>
      <c r="GT824" s="259"/>
      <c r="GU824" s="259"/>
      <c r="GV824" s="259"/>
      <c r="GW824" s="259"/>
      <c r="GX824" s="259"/>
      <c r="GY824" s="259"/>
      <c r="GZ824" s="259"/>
      <c r="HA824" s="259"/>
      <c r="HB824" s="259"/>
      <c r="HC824" s="259"/>
      <c r="HD824" s="259"/>
      <c r="HE824" s="259"/>
      <c r="HF824" s="259"/>
      <c r="HG824" s="259"/>
      <c r="HH824" s="259"/>
      <c r="HI824" s="259"/>
      <c r="HJ824" s="259"/>
      <c r="HK824" s="259"/>
      <c r="HL824" s="259"/>
      <c r="HM824" s="259"/>
      <c r="HN824" s="259"/>
      <c r="HO824" s="259"/>
      <c r="HP824" s="259"/>
      <c r="HQ824" s="259"/>
      <c r="HR824" s="259"/>
      <c r="HS824" s="259"/>
      <c r="HT824" s="259"/>
      <c r="HU824" s="259"/>
      <c r="HV824" s="259"/>
      <c r="HW824" s="259"/>
      <c r="HX824" s="259"/>
      <c r="HY824" s="259"/>
      <c r="HZ824" s="259"/>
      <c r="IA824" s="259"/>
      <c r="IB824" s="259"/>
      <c r="IC824" s="259"/>
      <c r="ID824" s="259"/>
      <c r="IE824" s="259"/>
      <c r="IF824" s="259"/>
      <c r="IG824" s="259"/>
      <c r="IH824" s="259"/>
      <c r="II824" s="259"/>
      <c r="IJ824" s="259"/>
      <c r="IK824" s="259"/>
      <c r="IL824" s="259"/>
      <c r="IM824" s="259"/>
      <c r="IN824" s="259"/>
      <c r="IO824" s="259"/>
      <c r="IP824" s="259"/>
      <c r="IQ824" s="259"/>
      <c r="IR824" s="259"/>
      <c r="IS824" s="259"/>
      <c r="IT824" s="259"/>
      <c r="IU824" s="259"/>
      <c r="IV824" s="259"/>
      <c r="IW824" s="259"/>
      <c r="IX824" s="259"/>
      <c r="IY824" s="259"/>
      <c r="IZ824" s="259"/>
      <c r="JA824" s="259"/>
      <c r="JB824" s="259"/>
      <c r="JC824" s="259"/>
      <c r="JD824" s="259"/>
      <c r="JE824" s="259"/>
      <c r="JF824" s="259"/>
      <c r="JG824" s="259"/>
      <c r="JH824" s="259"/>
      <c r="JI824" s="259"/>
      <c r="JJ824" s="259"/>
      <c r="JK824" s="259"/>
      <c r="JL824" s="259"/>
      <c r="JM824" s="259"/>
      <c r="JN824" s="259"/>
      <c r="JO824" s="259"/>
      <c r="JP824" s="259"/>
      <c r="JQ824" s="259"/>
      <c r="JR824" s="259"/>
      <c r="JS824" s="259"/>
      <c r="JT824" s="259"/>
      <c r="JU824" s="259"/>
      <c r="JV824" s="259"/>
      <c r="JW824" s="259"/>
      <c r="JX824" s="259"/>
      <c r="JY824" s="259"/>
      <c r="JZ824" s="259"/>
      <c r="KA824" s="259"/>
      <c r="KB824" s="259"/>
      <c r="KC824" s="259"/>
      <c r="KD824" s="259"/>
      <c r="KE824" s="259"/>
      <c r="KF824" s="259"/>
      <c r="KG824" s="259"/>
      <c r="KH824" s="259"/>
      <c r="KI824" s="259"/>
      <c r="KJ824" s="259"/>
      <c r="KK824" s="259"/>
      <c r="KL824" s="259"/>
      <c r="KM824" s="259"/>
      <c r="KN824" s="259"/>
      <c r="KO824" s="259"/>
      <c r="KP824" s="259"/>
      <c r="KQ824" s="259"/>
      <c r="KR824" s="259"/>
      <c r="KS824" s="259"/>
      <c r="KT824" s="259"/>
      <c r="KU824" s="259"/>
      <c r="KV824" s="259"/>
      <c r="KW824" s="259"/>
      <c r="KX824" s="259"/>
      <c r="KY824" s="259"/>
      <c r="KZ824" s="259"/>
      <c r="LA824" s="259"/>
      <c r="LB824" s="259"/>
      <c r="LC824" s="259"/>
      <c r="LD824" s="259"/>
      <c r="LE824" s="259"/>
      <c r="LF824" s="259"/>
      <c r="LG824" s="259"/>
      <c r="LH824" s="259"/>
      <c r="LI824" s="259"/>
      <c r="LJ824" s="259"/>
      <c r="LK824" s="259"/>
      <c r="LL824" s="259"/>
      <c r="LM824" s="259"/>
      <c r="LN824" s="259"/>
      <c r="LO824" s="259"/>
      <c r="LP824" s="259"/>
      <c r="LQ824" s="259"/>
      <c r="LR824" s="259"/>
      <c r="LS824" s="259"/>
      <c r="LT824" s="259"/>
      <c r="LU824" s="259"/>
      <c r="LV824" s="259"/>
      <c r="LW824" s="259"/>
      <c r="LX824" s="259"/>
      <c r="LY824" s="259"/>
      <c r="LZ824" s="259"/>
      <c r="MA824" s="259"/>
      <c r="MB824" s="259"/>
      <c r="MC824" s="259"/>
      <c r="MD824" s="259"/>
      <c r="ME824" s="259"/>
      <c r="MF824" s="259"/>
      <c r="MG824" s="259"/>
      <c r="MH824" s="259"/>
      <c r="MI824" s="259"/>
      <c r="MJ824" s="259"/>
      <c r="MK824" s="259"/>
      <c r="ML824" s="259"/>
      <c r="MM824" s="259"/>
      <c r="MN824" s="259"/>
      <c r="MO824" s="259"/>
      <c r="MP824" s="259"/>
      <c r="MQ824" s="259"/>
      <c r="MR824" s="259"/>
      <c r="MS824" s="259"/>
      <c r="MT824" s="259"/>
      <c r="MU824" s="259"/>
      <c r="MV824" s="259"/>
      <c r="MW824" s="259"/>
      <c r="MX824" s="259"/>
      <c r="MY824" s="259"/>
      <c r="MZ824" s="259"/>
      <c r="NA824" s="259"/>
      <c r="NB824" s="259"/>
      <c r="NC824" s="259"/>
      <c r="ND824" s="259"/>
      <c r="NE824" s="259"/>
      <c r="NF824" s="259"/>
      <c r="NG824" s="259"/>
      <c r="NH824" s="259"/>
      <c r="NI824" s="259"/>
      <c r="NJ824" s="259"/>
      <c r="NK824" s="259"/>
      <c r="NL824" s="259"/>
      <c r="NM824" s="259"/>
      <c r="NN824" s="259"/>
      <c r="NO824" s="259"/>
      <c r="NP824" s="259"/>
      <c r="NQ824" s="259"/>
      <c r="NR824" s="259"/>
      <c r="NS824" s="259"/>
      <c r="NT824" s="259"/>
      <c r="NU824" s="259"/>
      <c r="NV824" s="259"/>
      <c r="NW824" s="259"/>
      <c r="NX824" s="259"/>
      <c r="NY824" s="259"/>
      <c r="NZ824" s="259"/>
      <c r="OA824" s="259"/>
      <c r="OB824" s="259"/>
      <c r="OC824" s="259"/>
      <c r="OD824" s="259"/>
      <c r="OE824" s="259"/>
      <c r="OF824" s="259"/>
      <c r="OG824" s="259"/>
      <c r="OH824" s="259"/>
      <c r="OI824" s="259"/>
      <c r="OJ824" s="259"/>
      <c r="OK824" s="259"/>
      <c r="OL824" s="259"/>
      <c r="OM824" s="259"/>
      <c r="ON824" s="259"/>
      <c r="OO824" s="259"/>
      <c r="OP824" s="259"/>
      <c r="OQ824" s="259"/>
      <c r="OR824" s="259"/>
      <c r="OS824" s="259"/>
      <c r="OT824" s="259"/>
      <c r="OU824" s="259"/>
      <c r="OV824" s="259"/>
      <c r="OW824" s="259"/>
      <c r="OX824" s="259"/>
      <c r="OY824" s="259"/>
      <c r="OZ824" s="259"/>
      <c r="PA824" s="259"/>
      <c r="PB824" s="259"/>
      <c r="PC824" s="259"/>
      <c r="PD824" s="259"/>
      <c r="PE824" s="259"/>
      <c r="PF824" s="259"/>
      <c r="PG824" s="259"/>
      <c r="PH824" s="259"/>
      <c r="PI824" s="259"/>
      <c r="PJ824" s="259"/>
      <c r="PK824" s="259"/>
      <c r="PL824" s="259"/>
      <c r="PM824" s="259"/>
      <c r="PN824" s="259"/>
      <c r="PO824" s="259"/>
      <c r="PP824" s="259"/>
      <c r="PQ824" s="259"/>
      <c r="PR824" s="259"/>
      <c r="PS824" s="259"/>
      <c r="PT824" s="259"/>
      <c r="PU824" s="259"/>
      <c r="PV824" s="259"/>
      <c r="PW824" s="259"/>
      <c r="PX824" s="259"/>
      <c r="PY824" s="259"/>
      <c r="PZ824" s="259"/>
      <c r="QA824" s="259"/>
      <c r="QB824" s="259"/>
      <c r="QC824" s="259"/>
      <c r="QD824" s="259"/>
      <c r="QE824" s="259"/>
      <c r="QF824" s="259"/>
      <c r="QG824" s="259"/>
      <c r="QH824" s="259"/>
      <c r="QI824" s="259"/>
      <c r="QJ824" s="259"/>
      <c r="QK824" s="259"/>
      <c r="QL824" s="259"/>
      <c r="QM824" s="259"/>
      <c r="QN824" s="259"/>
      <c r="QO824" s="259"/>
      <c r="QP824" s="259"/>
      <c r="QQ824" s="259"/>
      <c r="QR824" s="259"/>
      <c r="QS824" s="259"/>
      <c r="QT824" s="259"/>
      <c r="QU824" s="259"/>
      <c r="QV824" s="259"/>
      <c r="QW824" s="259"/>
      <c r="QX824" s="259"/>
      <c r="QY824" s="259"/>
      <c r="QZ824" s="259"/>
      <c r="RA824" s="259"/>
      <c r="RB824" s="259"/>
      <c r="RC824" s="259"/>
      <c r="RD824" s="259"/>
      <c r="RE824" s="259"/>
      <c r="RF824" s="259"/>
      <c r="RG824" s="259"/>
      <c r="RH824" s="259"/>
      <c r="RI824" s="259"/>
      <c r="RJ824" s="259"/>
      <c r="RK824" s="259"/>
      <c r="RL824" s="259"/>
      <c r="RM824" s="259"/>
      <c r="RN824" s="259"/>
      <c r="RO824" s="259"/>
      <c r="RP824" s="259"/>
      <c r="RQ824" s="259"/>
      <c r="RR824" s="259"/>
      <c r="RS824" s="259"/>
      <c r="RT824" s="259"/>
      <c r="RU824" s="259"/>
      <c r="RV824" s="259"/>
      <c r="RW824" s="259"/>
      <c r="RX824" s="259"/>
      <c r="RY824" s="259"/>
      <c r="RZ824" s="259"/>
      <c r="SA824" s="259"/>
      <c r="SB824" s="259"/>
      <c r="SC824" s="259"/>
      <c r="SD824" s="259"/>
      <c r="SE824" s="259"/>
      <c r="SF824" s="259"/>
      <c r="SG824" s="259"/>
      <c r="SH824" s="259"/>
      <c r="SI824" s="259"/>
      <c r="SJ824" s="259"/>
      <c r="SK824" s="259"/>
      <c r="SL824" s="259"/>
      <c r="SM824" s="259"/>
      <c r="SN824" s="259"/>
      <c r="SO824" s="259"/>
      <c r="SP824" s="259"/>
      <c r="SQ824" s="259"/>
      <c r="SR824" s="259"/>
      <c r="SS824" s="259"/>
      <c r="ST824" s="259"/>
      <c r="SU824" s="259"/>
      <c r="SV824" s="259"/>
      <c r="SW824" s="259"/>
      <c r="SX824" s="259"/>
      <c r="SY824" s="259"/>
      <c r="SZ824" s="259"/>
      <c r="TA824" s="259"/>
      <c r="TB824" s="259"/>
      <c r="TC824" s="259"/>
      <c r="TD824" s="259"/>
      <c r="TE824" s="259"/>
      <c r="TF824" s="259"/>
      <c r="TG824" s="259"/>
      <c r="TH824" s="259"/>
      <c r="TI824" s="259"/>
      <c r="TJ824" s="259"/>
      <c r="TK824" s="259"/>
      <c r="TL824" s="259"/>
      <c r="TM824" s="259"/>
      <c r="TN824" s="259"/>
      <c r="TO824" s="259"/>
      <c r="TP824" s="259"/>
      <c r="TQ824" s="259"/>
      <c r="TR824" s="259"/>
      <c r="TS824" s="259"/>
      <c r="TT824" s="259"/>
      <c r="TU824" s="259"/>
      <c r="TV824" s="259"/>
      <c r="TW824" s="259"/>
      <c r="TX824" s="259"/>
      <c r="TY824" s="259"/>
      <c r="TZ824" s="259"/>
      <c r="UA824" s="259"/>
      <c r="UB824" s="259"/>
      <c r="UC824" s="259"/>
      <c r="UD824" s="259"/>
      <c r="UE824" s="259"/>
      <c r="UF824" s="259"/>
      <c r="UG824" s="259"/>
      <c r="UH824" s="259"/>
      <c r="UI824" s="259"/>
    </row>
    <row r="825" spans="1:555" ht="40.5">
      <c r="A825" s="729">
        <v>790</v>
      </c>
      <c r="B825" s="381" t="s">
        <v>6376</v>
      </c>
      <c r="C825" s="730"/>
      <c r="D825" s="731"/>
      <c r="E825" s="750"/>
      <c r="F825" s="751"/>
      <c r="G825" s="752"/>
      <c r="H825" s="381"/>
      <c r="I825" s="381"/>
      <c r="J825" s="382"/>
      <c r="K825" s="379"/>
      <c r="L825" s="383"/>
      <c r="M825" s="381"/>
      <c r="N825" s="381"/>
      <c r="O825" s="382"/>
      <c r="P825" s="732"/>
      <c r="Q825" s="383"/>
      <c r="R825" s="381"/>
      <c r="S825" s="381"/>
      <c r="T825" s="382"/>
      <c r="U825" s="379"/>
      <c r="V825" s="383"/>
      <c r="W825" s="381"/>
      <c r="X825" s="381"/>
      <c r="Y825" s="382"/>
      <c r="Z825" s="379"/>
      <c r="AA825" s="383"/>
      <c r="AB825" s="381"/>
      <c r="AC825" s="381"/>
      <c r="AD825" s="382"/>
      <c r="AE825" s="379"/>
      <c r="AF825" s="383"/>
      <c r="AG825" s="381"/>
      <c r="AH825" s="381"/>
      <c r="AI825" s="745"/>
      <c r="AJ825" s="379"/>
      <c r="AK825" s="383"/>
      <c r="AL825" s="381"/>
      <c r="AM825" s="381"/>
      <c r="AN825" s="381"/>
      <c r="AO825" s="381"/>
      <c r="AP825" s="381"/>
      <c r="AQ825" s="383"/>
      <c r="AR825" s="381"/>
      <c r="AS825" s="382"/>
      <c r="AT825" s="382"/>
      <c r="AU825" s="381"/>
      <c r="AV825" s="381"/>
      <c r="AW825" s="381"/>
      <c r="AX825" s="381"/>
      <c r="AY825" s="382"/>
      <c r="AZ825" s="381"/>
      <c r="BA825" s="382"/>
      <c r="BB825" s="382"/>
      <c r="BC825" s="381"/>
      <c r="BD825" s="381"/>
      <c r="BE825" s="381"/>
      <c r="BF825" s="383"/>
      <c r="BG825" s="383"/>
      <c r="BH825" s="383"/>
      <c r="BI825" s="383"/>
      <c r="BJ825" s="737"/>
      <c r="BK825" s="737"/>
      <c r="BL825" s="738"/>
      <c r="BM825" s="382"/>
      <c r="BN825" s="379"/>
      <c r="BO825" s="740"/>
      <c r="BP825" s="741"/>
      <c r="BQ825" s="381"/>
      <c r="BR825" s="742"/>
      <c r="BS825" s="383"/>
      <c r="BT825" s="383"/>
      <c r="BU825" s="383"/>
      <c r="BV825" s="383"/>
      <c r="BW825" s="743"/>
      <c r="BX825" s="733"/>
      <c r="BY825" s="382"/>
      <c r="BZ825" s="744"/>
      <c r="CA825" s="685"/>
      <c r="CB825" s="685"/>
      <c r="CC825" s="685"/>
      <c r="CD825" s="685"/>
      <c r="CE825" s="685"/>
      <c r="CF825" s="685"/>
      <c r="CG825" s="685"/>
      <c r="CH825" s="685"/>
      <c r="CI825" s="685"/>
      <c r="CJ825" s="685"/>
      <c r="CK825" s="685"/>
      <c r="CL825" s="685"/>
      <c r="CM825" s="685"/>
      <c r="CN825" s="685"/>
      <c r="CO825" s="685"/>
      <c r="CP825" s="685"/>
      <c r="CQ825" s="685"/>
      <c r="CR825" s="685"/>
      <c r="CS825" s="685"/>
      <c r="CT825" s="685"/>
      <c r="CU825" s="685"/>
      <c r="CV825" s="685"/>
      <c r="CW825" s="685"/>
      <c r="CX825" s="685"/>
      <c r="CY825" s="685"/>
      <c r="CZ825" s="685"/>
      <c r="DA825" s="685"/>
      <c r="DB825" s="685"/>
      <c r="DC825" s="685"/>
      <c r="DD825" s="685"/>
      <c r="DE825" s="685"/>
      <c r="DF825" s="685"/>
      <c r="DG825" s="685"/>
      <c r="DH825" s="685"/>
      <c r="DI825" s="685"/>
      <c r="DJ825" s="685"/>
      <c r="DK825" s="685"/>
      <c r="DL825" s="685"/>
      <c r="DM825" s="685"/>
      <c r="DN825" s="685"/>
      <c r="DO825" s="685"/>
      <c r="DP825" s="685"/>
      <c r="DQ825" s="685"/>
      <c r="DR825" s="685"/>
      <c r="DS825" s="685"/>
      <c r="DT825" s="685"/>
      <c r="DU825" s="685"/>
      <c r="DV825" s="685"/>
      <c r="DW825" s="685"/>
      <c r="DX825" s="685"/>
      <c r="DY825" s="685"/>
      <c r="DZ825" s="685"/>
      <c r="EA825" s="685"/>
      <c r="EB825" s="685"/>
      <c r="EC825" s="685"/>
      <c r="ED825" s="685"/>
      <c r="EE825" s="685"/>
      <c r="EF825" s="685"/>
      <c r="EG825" s="685"/>
      <c r="EH825" s="685"/>
      <c r="EI825" s="685"/>
      <c r="EJ825" s="685"/>
      <c r="EK825" s="685"/>
      <c r="EL825" s="685"/>
      <c r="EM825" s="685"/>
      <c r="EN825" s="685"/>
      <c r="EO825" s="685"/>
      <c r="EP825" s="685"/>
      <c r="EQ825" s="685"/>
      <c r="ER825" s="685"/>
      <c r="ES825" s="685"/>
      <c r="ET825" s="685"/>
      <c r="EU825" s="685"/>
      <c r="EV825" s="685"/>
      <c r="EW825" s="685"/>
      <c r="EX825" s="685"/>
      <c r="EY825" s="685"/>
      <c r="EZ825" s="685"/>
      <c r="FA825" s="685"/>
      <c r="FB825" s="685"/>
      <c r="FC825" s="685"/>
      <c r="FD825" s="685"/>
      <c r="FE825" s="685"/>
      <c r="FF825" s="685"/>
      <c r="FG825" s="685"/>
      <c r="FH825" s="685"/>
      <c r="FI825" s="685"/>
      <c r="FJ825" s="685"/>
      <c r="FK825" s="685"/>
      <c r="FL825" s="685"/>
      <c r="FM825" s="685"/>
      <c r="FN825" s="685"/>
      <c r="FO825" s="685"/>
      <c r="FP825" s="685"/>
      <c r="FQ825" s="685"/>
      <c r="FR825" s="685"/>
      <c r="FS825" s="685"/>
      <c r="FT825" s="685"/>
      <c r="FU825" s="685"/>
      <c r="FV825" s="685"/>
      <c r="FW825" s="685"/>
      <c r="FX825" s="685"/>
      <c r="FY825" s="685"/>
      <c r="FZ825" s="685"/>
      <c r="GA825" s="685"/>
      <c r="GB825" s="685"/>
      <c r="GC825" s="685"/>
      <c r="GD825" s="685"/>
      <c r="GE825" s="685"/>
      <c r="GF825" s="685"/>
      <c r="GG825" s="685"/>
      <c r="GH825" s="685"/>
      <c r="GI825" s="685"/>
      <c r="GJ825" s="685"/>
      <c r="GK825" s="685"/>
      <c r="GL825" s="685"/>
      <c r="GM825" s="685"/>
      <c r="GN825" s="685"/>
      <c r="GO825" s="685"/>
      <c r="GP825" s="685"/>
      <c r="GQ825" s="685"/>
      <c r="GR825" s="685"/>
      <c r="GS825" s="685"/>
      <c r="GT825" s="685"/>
      <c r="GU825" s="685"/>
      <c r="GV825" s="685"/>
      <c r="GW825" s="685"/>
      <c r="GX825" s="685"/>
      <c r="GY825" s="685"/>
      <c r="GZ825" s="685"/>
      <c r="HA825" s="685"/>
      <c r="HB825" s="685"/>
      <c r="HC825" s="685"/>
      <c r="HD825" s="685"/>
      <c r="HE825" s="685"/>
      <c r="HF825" s="685"/>
      <c r="HG825" s="685"/>
      <c r="HH825" s="685"/>
      <c r="HI825" s="685"/>
      <c r="HJ825" s="685"/>
      <c r="HK825" s="685"/>
      <c r="HL825" s="685"/>
      <c r="HM825" s="685"/>
      <c r="HN825" s="685"/>
      <c r="HO825" s="685"/>
      <c r="HP825" s="685"/>
      <c r="HQ825" s="685"/>
      <c r="HR825" s="685"/>
      <c r="HS825" s="685"/>
      <c r="HT825" s="685"/>
      <c r="HU825" s="685"/>
      <c r="HV825" s="685"/>
      <c r="HW825" s="685"/>
      <c r="HX825" s="685"/>
      <c r="HY825" s="685"/>
      <c r="HZ825" s="685"/>
      <c r="IA825" s="685"/>
      <c r="IB825" s="685"/>
      <c r="IC825" s="685"/>
      <c r="ID825" s="685"/>
      <c r="IE825" s="685"/>
      <c r="IF825" s="685"/>
      <c r="IG825" s="685"/>
      <c r="IH825" s="685"/>
      <c r="II825" s="685"/>
      <c r="IJ825" s="685"/>
      <c r="IK825" s="685"/>
      <c r="IL825" s="685"/>
      <c r="IM825" s="685"/>
      <c r="IN825" s="685"/>
      <c r="IO825" s="685"/>
      <c r="IP825" s="685"/>
      <c r="IQ825" s="685"/>
      <c r="IR825" s="685"/>
      <c r="IS825" s="685"/>
      <c r="IT825" s="685"/>
      <c r="IU825" s="685"/>
      <c r="IV825" s="685"/>
      <c r="IW825" s="685"/>
      <c r="IX825" s="685"/>
      <c r="IY825" s="685"/>
      <c r="IZ825" s="685"/>
      <c r="JA825" s="685"/>
      <c r="JB825" s="685"/>
      <c r="JC825" s="685"/>
      <c r="JD825" s="685"/>
      <c r="JE825" s="685"/>
      <c r="JF825" s="685"/>
      <c r="JG825" s="685"/>
      <c r="JH825" s="685"/>
      <c r="JI825" s="685"/>
      <c r="JJ825" s="685"/>
      <c r="JK825" s="685"/>
      <c r="JL825" s="685"/>
      <c r="JM825" s="685"/>
      <c r="JN825" s="685"/>
      <c r="JO825" s="685"/>
      <c r="JP825" s="685"/>
      <c r="JQ825" s="685"/>
      <c r="JR825" s="685"/>
      <c r="JS825" s="685"/>
      <c r="JT825" s="685"/>
      <c r="JU825" s="685"/>
      <c r="JV825" s="685"/>
      <c r="JW825" s="685"/>
      <c r="JX825" s="685"/>
      <c r="JY825" s="685"/>
      <c r="JZ825" s="685"/>
      <c r="KA825" s="685"/>
      <c r="KB825" s="685"/>
      <c r="KC825" s="685"/>
      <c r="KD825" s="685"/>
      <c r="KE825" s="685"/>
      <c r="KF825" s="685"/>
      <c r="KG825" s="685"/>
      <c r="KH825" s="685"/>
      <c r="KI825" s="685"/>
      <c r="KJ825" s="685"/>
      <c r="KK825" s="685"/>
      <c r="KL825" s="685"/>
      <c r="KM825" s="685"/>
      <c r="KN825" s="685"/>
      <c r="KO825" s="685"/>
      <c r="KP825" s="685"/>
      <c r="KQ825" s="685"/>
      <c r="KR825" s="685"/>
      <c r="KS825" s="685"/>
      <c r="KT825" s="685"/>
      <c r="KU825" s="685"/>
      <c r="KV825" s="685"/>
      <c r="KW825" s="685"/>
      <c r="KX825" s="685"/>
      <c r="KY825" s="685"/>
      <c r="KZ825" s="685"/>
      <c r="LA825" s="685"/>
      <c r="LB825" s="685"/>
      <c r="LC825" s="685"/>
      <c r="LD825" s="685"/>
      <c r="LE825" s="685"/>
      <c r="LF825" s="685"/>
      <c r="LG825" s="685"/>
      <c r="LH825" s="685"/>
      <c r="LI825" s="685"/>
      <c r="LJ825" s="685"/>
      <c r="LK825" s="685"/>
      <c r="LL825" s="685"/>
      <c r="LM825" s="685"/>
      <c r="LN825" s="685"/>
      <c r="LO825" s="685"/>
      <c r="LP825" s="685"/>
      <c r="LQ825" s="685"/>
      <c r="LR825" s="685"/>
      <c r="LS825" s="685"/>
      <c r="LT825" s="685"/>
      <c r="LU825" s="685"/>
      <c r="LV825" s="685"/>
      <c r="LW825" s="685"/>
      <c r="LX825" s="685"/>
      <c r="LY825" s="685"/>
      <c r="LZ825" s="685"/>
      <c r="MA825" s="685"/>
      <c r="MB825" s="685"/>
      <c r="MC825" s="685"/>
      <c r="MD825" s="685"/>
      <c r="ME825" s="685"/>
      <c r="MF825" s="685"/>
      <c r="MG825" s="685"/>
      <c r="MH825" s="685"/>
      <c r="MI825" s="685"/>
      <c r="MJ825" s="685"/>
      <c r="MK825" s="685"/>
      <c r="ML825" s="685"/>
      <c r="MM825" s="685"/>
      <c r="MN825" s="685"/>
      <c r="MO825" s="685"/>
      <c r="MP825" s="685"/>
      <c r="MQ825" s="685"/>
      <c r="MR825" s="685"/>
      <c r="MS825" s="685"/>
      <c r="MT825" s="685"/>
      <c r="MU825" s="685"/>
      <c r="MV825" s="685"/>
      <c r="MW825" s="685"/>
      <c r="MX825" s="685"/>
      <c r="MY825" s="685"/>
      <c r="MZ825" s="685"/>
      <c r="NA825" s="685"/>
      <c r="NB825" s="685"/>
      <c r="NC825" s="685"/>
      <c r="ND825" s="685"/>
      <c r="NE825" s="685"/>
      <c r="NF825" s="685"/>
      <c r="NG825" s="685"/>
      <c r="NH825" s="685"/>
      <c r="NI825" s="685"/>
      <c r="NJ825" s="685"/>
      <c r="NK825" s="685"/>
      <c r="NL825" s="685"/>
      <c r="NM825" s="685"/>
      <c r="NN825" s="685"/>
      <c r="NO825" s="685"/>
      <c r="NP825" s="685"/>
      <c r="NQ825" s="685"/>
      <c r="NR825" s="685"/>
      <c r="NS825" s="685"/>
      <c r="NT825" s="685"/>
      <c r="NU825" s="685"/>
      <c r="NV825" s="685"/>
      <c r="NW825" s="685"/>
      <c r="NX825" s="685"/>
      <c r="NY825" s="685"/>
      <c r="NZ825" s="685"/>
      <c r="OA825" s="685"/>
      <c r="OB825" s="685"/>
      <c r="OC825" s="685"/>
      <c r="OD825" s="685"/>
      <c r="OE825" s="685"/>
      <c r="OF825" s="685"/>
      <c r="OG825" s="685"/>
      <c r="OH825" s="685"/>
      <c r="OI825" s="685"/>
      <c r="OJ825" s="685"/>
      <c r="OK825" s="685"/>
      <c r="OL825" s="685"/>
      <c r="OM825" s="685"/>
      <c r="ON825" s="685"/>
      <c r="OO825" s="685"/>
      <c r="OP825" s="685"/>
      <c r="OQ825" s="685"/>
      <c r="OR825" s="685"/>
      <c r="OS825" s="685"/>
      <c r="OT825" s="685"/>
      <c r="OU825" s="685"/>
      <c r="OV825" s="685"/>
      <c r="OW825" s="685"/>
      <c r="OX825" s="685"/>
      <c r="OY825" s="685"/>
      <c r="OZ825" s="685"/>
      <c r="PA825" s="685"/>
      <c r="PB825" s="685"/>
      <c r="PC825" s="685"/>
      <c r="PD825" s="685"/>
      <c r="PE825" s="685"/>
      <c r="PF825" s="685"/>
      <c r="PG825" s="685"/>
      <c r="PH825" s="685"/>
      <c r="PI825" s="685"/>
      <c r="PJ825" s="685"/>
      <c r="PK825" s="685"/>
      <c r="PL825" s="685"/>
      <c r="PM825" s="685"/>
      <c r="PN825" s="685"/>
      <c r="PO825" s="685"/>
      <c r="PP825" s="685"/>
      <c r="PQ825" s="685"/>
      <c r="PR825" s="685"/>
      <c r="PS825" s="685"/>
      <c r="PT825" s="685"/>
      <c r="PU825" s="685"/>
      <c r="PV825" s="685"/>
      <c r="PW825" s="685"/>
      <c r="PX825" s="685"/>
      <c r="PY825" s="685"/>
      <c r="PZ825" s="685"/>
      <c r="QA825" s="685"/>
      <c r="QB825" s="685"/>
      <c r="QC825" s="685"/>
      <c r="QD825" s="685"/>
      <c r="QE825" s="685"/>
      <c r="QF825" s="685"/>
      <c r="QG825" s="685"/>
      <c r="QH825" s="685"/>
      <c r="QI825" s="685"/>
      <c r="QJ825" s="685"/>
      <c r="QK825" s="685"/>
      <c r="QL825" s="685"/>
      <c r="QM825" s="685"/>
      <c r="QN825" s="685"/>
      <c r="QO825" s="685"/>
      <c r="QP825" s="685"/>
      <c r="QQ825" s="685"/>
      <c r="QR825" s="685"/>
      <c r="QS825" s="685"/>
      <c r="QT825" s="685"/>
      <c r="QU825" s="685"/>
      <c r="QV825" s="685"/>
      <c r="QW825" s="685"/>
      <c r="QX825" s="685"/>
      <c r="QY825" s="685"/>
      <c r="QZ825" s="685"/>
      <c r="RA825" s="685"/>
      <c r="RB825" s="685"/>
      <c r="RC825" s="685"/>
      <c r="RD825" s="685"/>
      <c r="RE825" s="685"/>
      <c r="RF825" s="685"/>
      <c r="RG825" s="685"/>
      <c r="RH825" s="685"/>
      <c r="RI825" s="685"/>
      <c r="RJ825" s="685"/>
      <c r="RK825" s="685"/>
      <c r="RL825" s="685"/>
      <c r="RM825" s="685"/>
      <c r="RN825" s="685"/>
      <c r="RO825" s="685"/>
      <c r="RP825" s="685"/>
      <c r="RQ825" s="685"/>
      <c r="RR825" s="685"/>
      <c r="RS825" s="685"/>
      <c r="RT825" s="685"/>
      <c r="RU825" s="685"/>
      <c r="RV825" s="685"/>
      <c r="RW825" s="685"/>
      <c r="RX825" s="685"/>
      <c r="RY825" s="685"/>
      <c r="RZ825" s="685"/>
      <c r="SA825" s="685"/>
      <c r="SB825" s="685"/>
      <c r="SC825" s="685"/>
      <c r="SD825" s="685"/>
      <c r="SE825" s="685"/>
      <c r="SF825" s="685"/>
      <c r="SG825" s="685"/>
      <c r="SH825" s="685"/>
      <c r="SI825" s="685"/>
      <c r="SJ825" s="685"/>
      <c r="SK825" s="685"/>
      <c r="SL825" s="685"/>
      <c r="SM825" s="685"/>
      <c r="SN825" s="685"/>
      <c r="SO825" s="685"/>
      <c r="SP825" s="685"/>
      <c r="SQ825" s="685"/>
      <c r="SR825" s="685"/>
      <c r="SS825" s="685"/>
      <c r="ST825" s="685"/>
      <c r="SU825" s="685"/>
      <c r="SV825" s="685"/>
      <c r="SW825" s="685"/>
      <c r="SX825" s="685"/>
      <c r="SY825" s="685"/>
      <c r="SZ825" s="685"/>
      <c r="TA825" s="685"/>
      <c r="TB825" s="685"/>
      <c r="TC825" s="685"/>
      <c r="TD825" s="685"/>
      <c r="TE825" s="685"/>
      <c r="TF825" s="685"/>
      <c r="TG825" s="685"/>
      <c r="TH825" s="685"/>
      <c r="TI825" s="685"/>
      <c r="TJ825" s="685"/>
      <c r="TK825" s="685"/>
      <c r="TL825" s="685"/>
      <c r="TM825" s="685"/>
      <c r="TN825" s="685"/>
      <c r="TO825" s="685"/>
      <c r="TP825" s="685"/>
      <c r="TQ825" s="685"/>
      <c r="TR825" s="685"/>
      <c r="TS825" s="685"/>
      <c r="TT825" s="685"/>
      <c r="TU825" s="685"/>
      <c r="TV825" s="685"/>
      <c r="TW825" s="685"/>
      <c r="TX825" s="685"/>
      <c r="TY825" s="685"/>
      <c r="TZ825" s="685"/>
      <c r="UA825" s="685"/>
      <c r="UB825" s="685"/>
      <c r="UC825" s="685"/>
      <c r="UD825" s="685"/>
      <c r="UE825" s="685"/>
      <c r="UF825" s="685"/>
      <c r="UG825" s="685"/>
      <c r="UH825" s="685"/>
      <c r="UI825" s="685"/>
    </row>
    <row r="826" spans="1:555" s="259" customFormat="1" ht="69" customHeight="1">
      <c r="A826" s="729">
        <v>791</v>
      </c>
      <c r="B826" s="381" t="s">
        <v>6377</v>
      </c>
      <c r="C826" s="730"/>
      <c r="D826" s="731"/>
      <c r="E826" s="382"/>
      <c r="F826" s="379"/>
      <c r="G826" s="383"/>
      <c r="H826" s="381"/>
      <c r="I826" s="381"/>
      <c r="J826" s="678"/>
      <c r="K826" s="379"/>
      <c r="L826" s="753"/>
      <c r="M826" s="381"/>
      <c r="N826" s="742"/>
      <c r="O826" s="678"/>
      <c r="P826" s="732"/>
      <c r="Q826" s="383"/>
      <c r="R826" s="381"/>
      <c r="S826" s="381"/>
      <c r="T826" s="382"/>
      <c r="U826" s="379"/>
      <c r="V826" s="383"/>
      <c r="W826" s="381"/>
      <c r="X826" s="381"/>
      <c r="Y826" s="382"/>
      <c r="Z826" s="379"/>
      <c r="AA826" s="383"/>
      <c r="AB826" s="381"/>
      <c r="AC826" s="381"/>
      <c r="AD826" s="382"/>
      <c r="AE826" s="379"/>
      <c r="AF826" s="383"/>
      <c r="AG826" s="381"/>
      <c r="AH826" s="381"/>
      <c r="AI826" s="745"/>
      <c r="AJ826" s="379"/>
      <c r="AK826" s="383"/>
      <c r="AL826" s="381"/>
      <c r="AM826" s="381"/>
      <c r="AN826" s="381"/>
      <c r="AO826" s="381"/>
      <c r="AP826" s="381"/>
      <c r="AQ826" s="383"/>
      <c r="AR826" s="381"/>
      <c r="AS826" s="382"/>
      <c r="AT826" s="382"/>
      <c r="AU826" s="381"/>
      <c r="AV826" s="381"/>
      <c r="AW826" s="381"/>
      <c r="AX826" s="381"/>
      <c r="AY826" s="382"/>
      <c r="AZ826" s="381"/>
      <c r="BA826" s="382"/>
      <c r="BB826" s="382"/>
      <c r="BC826" s="381"/>
      <c r="BD826" s="381"/>
      <c r="BE826" s="381"/>
      <c r="BF826" s="383"/>
      <c r="BG826" s="383"/>
      <c r="BH826" s="383"/>
      <c r="BI826" s="383"/>
      <c r="BJ826" s="737"/>
      <c r="BK826" s="737"/>
      <c r="BL826" s="738"/>
      <c r="BM826" s="382"/>
      <c r="BN826" s="379"/>
      <c r="BO826" s="740"/>
      <c r="BP826" s="741"/>
      <c r="BQ826" s="381"/>
      <c r="BR826" s="742"/>
      <c r="BS826" s="383"/>
      <c r="BT826" s="383"/>
      <c r="BU826" s="383"/>
      <c r="BV826" s="383"/>
      <c r="BW826" s="743"/>
      <c r="BX826" s="733"/>
      <c r="BY826" s="382"/>
      <c r="BZ826" s="744"/>
      <c r="CA826" s="685"/>
      <c r="CB826" s="685"/>
      <c r="CC826" s="685"/>
      <c r="CD826" s="685"/>
      <c r="CE826" s="685"/>
      <c r="CF826" s="685"/>
      <c r="CG826" s="685"/>
      <c r="CH826" s="685"/>
      <c r="CI826" s="685"/>
      <c r="CJ826" s="685"/>
      <c r="CK826" s="685"/>
      <c r="CL826" s="685"/>
      <c r="CM826" s="685"/>
      <c r="CN826" s="685"/>
      <c r="CO826" s="685"/>
      <c r="CP826" s="685"/>
      <c r="CQ826" s="685"/>
      <c r="CR826" s="685"/>
      <c r="CS826" s="685"/>
      <c r="CT826" s="685"/>
      <c r="CU826" s="685"/>
      <c r="CV826" s="685"/>
      <c r="CW826" s="685"/>
      <c r="CX826" s="685"/>
      <c r="CY826" s="685"/>
      <c r="CZ826" s="685"/>
      <c r="DA826" s="685"/>
      <c r="DB826" s="685"/>
      <c r="DC826" s="685"/>
      <c r="DD826" s="685"/>
      <c r="DE826" s="685"/>
      <c r="DF826" s="685"/>
      <c r="DG826" s="685"/>
      <c r="DH826" s="685"/>
      <c r="DI826" s="685"/>
      <c r="DJ826" s="685"/>
      <c r="DK826" s="685"/>
      <c r="DL826" s="685"/>
      <c r="DM826" s="685"/>
      <c r="DN826" s="685"/>
      <c r="DO826" s="685"/>
      <c r="DP826" s="685"/>
      <c r="DQ826" s="685"/>
      <c r="DR826" s="685"/>
      <c r="DS826" s="685"/>
      <c r="DT826" s="685"/>
      <c r="DU826" s="685"/>
      <c r="DV826" s="685"/>
      <c r="DW826" s="685"/>
      <c r="DX826" s="685"/>
      <c r="DY826" s="685"/>
      <c r="DZ826" s="685"/>
      <c r="EA826" s="685"/>
      <c r="EB826" s="685"/>
      <c r="EC826" s="685"/>
      <c r="ED826" s="685"/>
      <c r="EE826" s="685"/>
      <c r="EF826" s="685"/>
      <c r="EG826" s="685"/>
      <c r="EH826" s="685"/>
      <c r="EI826" s="685"/>
      <c r="EJ826" s="685"/>
      <c r="EK826" s="685"/>
      <c r="EL826" s="685"/>
      <c r="EM826" s="685"/>
      <c r="EN826" s="685"/>
      <c r="EO826" s="685"/>
      <c r="EP826" s="685"/>
      <c r="EQ826" s="685"/>
      <c r="ER826" s="685"/>
      <c r="ES826" s="685"/>
      <c r="ET826" s="685"/>
      <c r="EU826" s="685"/>
      <c r="EV826" s="685"/>
      <c r="EW826" s="685"/>
      <c r="EX826" s="685"/>
      <c r="EY826" s="685"/>
      <c r="EZ826" s="685"/>
      <c r="FA826" s="685"/>
      <c r="FB826" s="685"/>
      <c r="FC826" s="685"/>
      <c r="FD826" s="685"/>
      <c r="FE826" s="685"/>
      <c r="FF826" s="685"/>
      <c r="FG826" s="685"/>
      <c r="FH826" s="685"/>
      <c r="FI826" s="685"/>
      <c r="FJ826" s="685"/>
      <c r="FK826" s="685"/>
      <c r="FL826" s="685"/>
      <c r="FM826" s="685"/>
      <c r="FN826" s="685"/>
      <c r="FO826" s="685"/>
      <c r="FP826" s="685"/>
      <c r="FQ826" s="685"/>
      <c r="FR826" s="685"/>
      <c r="FS826" s="685"/>
      <c r="FT826" s="685"/>
      <c r="FU826" s="685"/>
      <c r="FV826" s="685"/>
      <c r="FW826" s="685"/>
      <c r="FX826" s="685"/>
      <c r="FY826" s="685"/>
      <c r="FZ826" s="685"/>
      <c r="GA826" s="685"/>
      <c r="GB826" s="685"/>
      <c r="GC826" s="685"/>
      <c r="GD826" s="685"/>
      <c r="GE826" s="685"/>
      <c r="GF826" s="685"/>
      <c r="GG826" s="685"/>
      <c r="GH826" s="685"/>
      <c r="GI826" s="685"/>
      <c r="GJ826" s="685"/>
      <c r="GK826" s="685"/>
      <c r="GL826" s="685"/>
      <c r="GM826" s="685"/>
      <c r="GN826" s="685"/>
      <c r="GO826" s="685"/>
      <c r="GP826" s="685"/>
      <c r="GQ826" s="685"/>
      <c r="GR826" s="685"/>
      <c r="GS826" s="685"/>
      <c r="GT826" s="685"/>
      <c r="GU826" s="685"/>
      <c r="GV826" s="685"/>
      <c r="GW826" s="685"/>
      <c r="GX826" s="685"/>
      <c r="GY826" s="685"/>
      <c r="GZ826" s="685"/>
      <c r="HA826" s="685"/>
      <c r="HB826" s="685"/>
      <c r="HC826" s="685"/>
      <c r="HD826" s="685"/>
      <c r="HE826" s="685"/>
      <c r="HF826" s="685"/>
      <c r="HG826" s="685"/>
      <c r="HH826" s="685"/>
      <c r="HI826" s="685"/>
      <c r="HJ826" s="685"/>
      <c r="HK826" s="685"/>
      <c r="HL826" s="685"/>
      <c r="HM826" s="685"/>
      <c r="HN826" s="685"/>
      <c r="HO826" s="685"/>
      <c r="HP826" s="685"/>
      <c r="HQ826" s="685"/>
      <c r="HR826" s="685"/>
      <c r="HS826" s="685"/>
      <c r="HT826" s="685"/>
      <c r="HU826" s="685"/>
      <c r="HV826" s="685"/>
      <c r="HW826" s="685"/>
      <c r="HX826" s="685"/>
      <c r="HY826" s="685"/>
      <c r="HZ826" s="685"/>
      <c r="IA826" s="685"/>
      <c r="IB826" s="685"/>
      <c r="IC826" s="685"/>
      <c r="ID826" s="685"/>
      <c r="IE826" s="685"/>
      <c r="IF826" s="685"/>
      <c r="IG826" s="685"/>
      <c r="IH826" s="685"/>
      <c r="II826" s="685"/>
      <c r="IJ826" s="685"/>
      <c r="IK826" s="685"/>
      <c r="IL826" s="685"/>
      <c r="IM826" s="685"/>
      <c r="IN826" s="685"/>
      <c r="IO826" s="685"/>
      <c r="IP826" s="685"/>
      <c r="IQ826" s="685"/>
      <c r="IR826" s="685"/>
      <c r="IS826" s="685"/>
      <c r="IT826" s="685"/>
      <c r="IU826" s="685"/>
      <c r="IV826" s="685"/>
      <c r="IW826" s="685"/>
      <c r="IX826" s="685"/>
      <c r="IY826" s="685"/>
      <c r="IZ826" s="685"/>
      <c r="JA826" s="685"/>
      <c r="JB826" s="685"/>
      <c r="JC826" s="685"/>
      <c r="JD826" s="685"/>
      <c r="JE826" s="685"/>
      <c r="JF826" s="685"/>
      <c r="JG826" s="685"/>
      <c r="JH826" s="685"/>
      <c r="JI826" s="685"/>
      <c r="JJ826" s="685"/>
      <c r="JK826" s="685"/>
      <c r="JL826" s="685"/>
      <c r="JM826" s="685"/>
      <c r="JN826" s="685"/>
      <c r="JO826" s="685"/>
      <c r="JP826" s="685"/>
      <c r="JQ826" s="685"/>
      <c r="JR826" s="685"/>
      <c r="JS826" s="685"/>
      <c r="JT826" s="685"/>
      <c r="JU826" s="685"/>
      <c r="JV826" s="685"/>
      <c r="JW826" s="685"/>
      <c r="JX826" s="685"/>
      <c r="JY826" s="685"/>
      <c r="JZ826" s="685"/>
      <c r="KA826" s="685"/>
      <c r="KB826" s="685"/>
      <c r="KC826" s="685"/>
      <c r="KD826" s="685"/>
      <c r="KE826" s="685"/>
      <c r="KF826" s="685"/>
      <c r="KG826" s="685"/>
      <c r="KH826" s="685"/>
      <c r="KI826" s="685"/>
      <c r="KJ826" s="685"/>
      <c r="KK826" s="685"/>
      <c r="KL826" s="685"/>
      <c r="KM826" s="685"/>
      <c r="KN826" s="685"/>
      <c r="KO826" s="685"/>
      <c r="KP826" s="685"/>
      <c r="KQ826" s="685"/>
      <c r="KR826" s="685"/>
      <c r="KS826" s="685"/>
      <c r="KT826" s="685"/>
      <c r="KU826" s="685"/>
      <c r="KV826" s="685"/>
      <c r="KW826" s="685"/>
      <c r="KX826" s="685"/>
      <c r="KY826" s="685"/>
      <c r="KZ826" s="685"/>
      <c r="LA826" s="685"/>
      <c r="LB826" s="685"/>
      <c r="LC826" s="685"/>
      <c r="LD826" s="685"/>
      <c r="LE826" s="685"/>
      <c r="LF826" s="685"/>
      <c r="LG826" s="685"/>
      <c r="LH826" s="685"/>
      <c r="LI826" s="685"/>
      <c r="LJ826" s="685"/>
      <c r="LK826" s="685"/>
      <c r="LL826" s="685"/>
      <c r="LM826" s="685"/>
      <c r="LN826" s="685"/>
      <c r="LO826" s="685"/>
      <c r="LP826" s="685"/>
      <c r="LQ826" s="685"/>
      <c r="LR826" s="685"/>
      <c r="LS826" s="685"/>
      <c r="LT826" s="685"/>
      <c r="LU826" s="685"/>
      <c r="LV826" s="685"/>
      <c r="LW826" s="685"/>
      <c r="LX826" s="685"/>
      <c r="LY826" s="685"/>
      <c r="LZ826" s="685"/>
      <c r="MA826" s="685"/>
      <c r="MB826" s="685"/>
      <c r="MC826" s="685"/>
      <c r="MD826" s="685"/>
      <c r="ME826" s="685"/>
      <c r="MF826" s="685"/>
      <c r="MG826" s="685"/>
      <c r="MH826" s="685"/>
      <c r="MI826" s="685"/>
      <c r="MJ826" s="685"/>
      <c r="MK826" s="685"/>
      <c r="ML826" s="685"/>
      <c r="MM826" s="685"/>
      <c r="MN826" s="685"/>
      <c r="MO826" s="685"/>
      <c r="MP826" s="685"/>
      <c r="MQ826" s="685"/>
      <c r="MR826" s="685"/>
      <c r="MS826" s="685"/>
      <c r="MT826" s="685"/>
      <c r="MU826" s="685"/>
      <c r="MV826" s="685"/>
      <c r="MW826" s="685"/>
      <c r="MX826" s="685"/>
      <c r="MY826" s="685"/>
      <c r="MZ826" s="685"/>
      <c r="NA826" s="685"/>
      <c r="NB826" s="685"/>
      <c r="NC826" s="685"/>
      <c r="ND826" s="685"/>
      <c r="NE826" s="685"/>
      <c r="NF826" s="685"/>
      <c r="NG826" s="685"/>
      <c r="NH826" s="685"/>
      <c r="NI826" s="685"/>
      <c r="NJ826" s="685"/>
      <c r="NK826" s="685"/>
      <c r="NL826" s="685"/>
      <c r="NM826" s="685"/>
      <c r="NN826" s="685"/>
      <c r="NO826" s="685"/>
      <c r="NP826" s="685"/>
      <c r="NQ826" s="685"/>
      <c r="NR826" s="685"/>
      <c r="NS826" s="685"/>
      <c r="NT826" s="685"/>
      <c r="NU826" s="685"/>
      <c r="NV826" s="685"/>
      <c r="NW826" s="685"/>
      <c r="NX826" s="685"/>
      <c r="NY826" s="685"/>
      <c r="NZ826" s="685"/>
      <c r="OA826" s="685"/>
      <c r="OB826" s="685"/>
      <c r="OC826" s="685"/>
      <c r="OD826" s="685"/>
      <c r="OE826" s="685"/>
      <c r="OF826" s="685"/>
      <c r="OG826" s="685"/>
      <c r="OH826" s="685"/>
      <c r="OI826" s="685"/>
      <c r="OJ826" s="685"/>
      <c r="OK826" s="685"/>
      <c r="OL826" s="685"/>
      <c r="OM826" s="685"/>
      <c r="ON826" s="685"/>
      <c r="OO826" s="685"/>
      <c r="OP826" s="685"/>
      <c r="OQ826" s="685"/>
      <c r="OR826" s="685"/>
      <c r="OS826" s="685"/>
      <c r="OT826" s="685"/>
      <c r="OU826" s="685"/>
      <c r="OV826" s="685"/>
      <c r="OW826" s="685"/>
      <c r="OX826" s="685"/>
      <c r="OY826" s="685"/>
      <c r="OZ826" s="685"/>
      <c r="PA826" s="685"/>
      <c r="PB826" s="685"/>
      <c r="PC826" s="685"/>
      <c r="PD826" s="685"/>
      <c r="PE826" s="685"/>
      <c r="PF826" s="685"/>
      <c r="PG826" s="685"/>
      <c r="PH826" s="685"/>
      <c r="PI826" s="685"/>
      <c r="PJ826" s="685"/>
      <c r="PK826" s="685"/>
      <c r="PL826" s="685"/>
      <c r="PM826" s="685"/>
      <c r="PN826" s="685"/>
      <c r="PO826" s="685"/>
      <c r="PP826" s="685"/>
      <c r="PQ826" s="685"/>
      <c r="PR826" s="685"/>
      <c r="PS826" s="685"/>
      <c r="PT826" s="685"/>
      <c r="PU826" s="685"/>
      <c r="PV826" s="685"/>
      <c r="PW826" s="685"/>
      <c r="PX826" s="685"/>
      <c r="PY826" s="685"/>
      <c r="PZ826" s="685"/>
      <c r="QA826" s="685"/>
      <c r="QB826" s="685"/>
      <c r="QC826" s="685"/>
      <c r="QD826" s="685"/>
      <c r="QE826" s="685"/>
      <c r="QF826" s="685"/>
      <c r="QG826" s="685"/>
      <c r="QH826" s="685"/>
      <c r="QI826" s="685"/>
      <c r="QJ826" s="685"/>
      <c r="QK826" s="685"/>
      <c r="QL826" s="685"/>
      <c r="QM826" s="685"/>
      <c r="QN826" s="685"/>
      <c r="QO826" s="685"/>
      <c r="QP826" s="685"/>
      <c r="QQ826" s="685"/>
      <c r="QR826" s="685"/>
      <c r="QS826" s="685"/>
      <c r="QT826" s="685"/>
      <c r="QU826" s="685"/>
      <c r="QV826" s="685"/>
      <c r="QW826" s="685"/>
      <c r="QX826" s="685"/>
      <c r="QY826" s="685"/>
      <c r="QZ826" s="685"/>
      <c r="RA826" s="685"/>
      <c r="RB826" s="685"/>
      <c r="RC826" s="685"/>
      <c r="RD826" s="685"/>
      <c r="RE826" s="685"/>
      <c r="RF826" s="685"/>
      <c r="RG826" s="685"/>
      <c r="RH826" s="685"/>
      <c r="RI826" s="685"/>
      <c r="RJ826" s="685"/>
      <c r="RK826" s="685"/>
      <c r="RL826" s="685"/>
      <c r="RM826" s="685"/>
      <c r="RN826" s="685"/>
      <c r="RO826" s="685"/>
      <c r="RP826" s="685"/>
      <c r="RQ826" s="685"/>
      <c r="RR826" s="685"/>
      <c r="RS826" s="685"/>
      <c r="RT826" s="685"/>
      <c r="RU826" s="685"/>
      <c r="RV826" s="685"/>
      <c r="RW826" s="685"/>
      <c r="RX826" s="685"/>
      <c r="RY826" s="685"/>
      <c r="RZ826" s="685"/>
      <c r="SA826" s="685"/>
      <c r="SB826" s="685"/>
      <c r="SC826" s="685"/>
      <c r="SD826" s="685"/>
      <c r="SE826" s="685"/>
      <c r="SF826" s="685"/>
      <c r="SG826" s="685"/>
      <c r="SH826" s="685"/>
      <c r="SI826" s="685"/>
      <c r="SJ826" s="685"/>
      <c r="SK826" s="685"/>
      <c r="SL826" s="685"/>
      <c r="SM826" s="685"/>
      <c r="SN826" s="685"/>
      <c r="SO826" s="685"/>
      <c r="SP826" s="685"/>
      <c r="SQ826" s="685"/>
      <c r="SR826" s="685"/>
      <c r="SS826" s="685"/>
      <c r="ST826" s="685"/>
      <c r="SU826" s="685"/>
      <c r="SV826" s="685"/>
      <c r="SW826" s="685"/>
      <c r="SX826" s="685"/>
      <c r="SY826" s="685"/>
      <c r="SZ826" s="685"/>
      <c r="TA826" s="685"/>
      <c r="TB826" s="685"/>
      <c r="TC826" s="685"/>
      <c r="TD826" s="685"/>
      <c r="TE826" s="685"/>
      <c r="TF826" s="685"/>
      <c r="TG826" s="685"/>
      <c r="TH826" s="685"/>
      <c r="TI826" s="685"/>
      <c r="TJ826" s="685"/>
      <c r="TK826" s="685"/>
      <c r="TL826" s="685"/>
      <c r="TM826" s="685"/>
      <c r="TN826" s="685"/>
      <c r="TO826" s="685"/>
      <c r="TP826" s="685"/>
      <c r="TQ826" s="685"/>
      <c r="TR826" s="685"/>
      <c r="TS826" s="685"/>
      <c r="TT826" s="685"/>
      <c r="TU826" s="685"/>
      <c r="TV826" s="685"/>
      <c r="TW826" s="685"/>
      <c r="TX826" s="685"/>
      <c r="TY826" s="685"/>
      <c r="TZ826" s="685"/>
      <c r="UA826" s="685"/>
      <c r="UB826" s="685"/>
      <c r="UC826" s="685"/>
      <c r="UD826" s="685"/>
      <c r="UE826" s="685"/>
      <c r="UF826" s="685"/>
      <c r="UG826" s="685"/>
      <c r="UH826" s="685"/>
      <c r="UI826" s="685"/>
    </row>
    <row r="827" spans="1:555" ht="87" customHeight="1">
      <c r="A827" s="96">
        <v>812</v>
      </c>
      <c r="B827" s="141" t="s">
        <v>6435</v>
      </c>
      <c r="C827" s="142">
        <v>71254853</v>
      </c>
      <c r="D827" s="438" t="s">
        <v>333</v>
      </c>
      <c r="E827" s="143">
        <v>42710</v>
      </c>
      <c r="F827" s="146">
        <v>42705</v>
      </c>
      <c r="G827" s="145" t="s">
        <v>6436</v>
      </c>
      <c r="H827" s="141" t="s">
        <v>6437</v>
      </c>
      <c r="I827" s="141" t="s">
        <v>6438</v>
      </c>
      <c r="J827" s="143">
        <v>43259</v>
      </c>
      <c r="K827" s="21">
        <v>43252</v>
      </c>
      <c r="L827" s="145" t="s">
        <v>6439</v>
      </c>
      <c r="M827" s="172" t="s">
        <v>625</v>
      </c>
      <c r="N827" s="141" t="s">
        <v>6440</v>
      </c>
      <c r="O827" s="173">
        <v>43304</v>
      </c>
      <c r="P827" s="146">
        <v>43304</v>
      </c>
      <c r="Q827" s="174" t="s">
        <v>6441</v>
      </c>
      <c r="R827" s="172" t="s">
        <v>625</v>
      </c>
      <c r="S827" s="141" t="s">
        <v>1495</v>
      </c>
      <c r="T827" s="173">
        <v>43304</v>
      </c>
      <c r="U827" s="146">
        <v>43304</v>
      </c>
      <c r="V827" s="174" t="s">
        <v>6442</v>
      </c>
      <c r="W827" s="141" t="s">
        <v>2632</v>
      </c>
      <c r="X827" s="141" t="s">
        <v>1495</v>
      </c>
      <c r="Y827" s="173"/>
      <c r="Z827" s="146"/>
      <c r="AA827" s="174"/>
      <c r="AB827" s="172"/>
      <c r="AC827" s="141"/>
      <c r="AD827" s="173"/>
      <c r="AE827" s="146"/>
      <c r="AF827" s="174"/>
      <c r="AG827" s="172"/>
      <c r="AH827" s="141"/>
      <c r="AI827" s="175"/>
      <c r="AJ827" s="146"/>
      <c r="AK827" s="174"/>
      <c r="AL827" s="172"/>
      <c r="AM827" s="141"/>
      <c r="AN827" s="421"/>
      <c r="AO827" s="483" t="s">
        <v>7946</v>
      </c>
      <c r="AP827" s="421"/>
      <c r="AQ827" s="174" t="s">
        <v>8157</v>
      </c>
      <c r="AR827" s="141" t="s">
        <v>6443</v>
      </c>
      <c r="AS827" s="173">
        <v>38147</v>
      </c>
      <c r="AT827" s="173">
        <v>39813</v>
      </c>
      <c r="AU827" s="172" t="s">
        <v>6444</v>
      </c>
      <c r="AV827" s="172"/>
      <c r="AW827" s="422" t="s">
        <v>69</v>
      </c>
      <c r="AX827" s="141" t="s">
        <v>6445</v>
      </c>
      <c r="AY827" s="173">
        <v>42704</v>
      </c>
      <c r="AZ827" s="859" t="s">
        <v>6446</v>
      </c>
      <c r="BA827" s="173">
        <v>43220</v>
      </c>
      <c r="BB827" s="681">
        <v>43265</v>
      </c>
      <c r="BC827" s="422" t="s">
        <v>95</v>
      </c>
      <c r="BD827" s="422" t="s">
        <v>6447</v>
      </c>
      <c r="BE827" s="172"/>
      <c r="BF827" s="174"/>
      <c r="BG827" s="174"/>
      <c r="BH827" s="174"/>
      <c r="BI827" s="174"/>
      <c r="BJ827" s="209">
        <f>+[334]MATRIZ!$J$39</f>
        <v>11796497.645993808</v>
      </c>
      <c r="BK827" s="176"/>
      <c r="BL827" s="177"/>
      <c r="BM827" s="173"/>
      <c r="BN827" s="146"/>
      <c r="BO827" s="449"/>
      <c r="BP827" s="403"/>
      <c r="BQ827" s="172"/>
      <c r="BR827" s="178"/>
      <c r="BS827" s="174"/>
      <c r="BT827" s="174"/>
      <c r="BU827" s="174"/>
      <c r="BV827" s="174"/>
      <c r="BW827" s="179"/>
      <c r="BX827" s="180"/>
      <c r="BY827" s="173"/>
      <c r="BZ827" s="181"/>
    </row>
    <row r="828" spans="1:555" ht="81">
      <c r="A828" s="57">
        <v>818</v>
      </c>
      <c r="B828" s="58" t="s">
        <v>6469</v>
      </c>
      <c r="C828" s="59">
        <v>9874415</v>
      </c>
      <c r="D828" s="170" t="s">
        <v>677</v>
      </c>
      <c r="E828" s="60">
        <v>43272</v>
      </c>
      <c r="F828" s="63">
        <v>43272</v>
      </c>
      <c r="G828" s="62" t="s">
        <v>6471</v>
      </c>
      <c r="H828" s="58" t="s">
        <v>576</v>
      </c>
      <c r="I828" s="58" t="s">
        <v>4254</v>
      </c>
      <c r="J828" s="169">
        <v>43300</v>
      </c>
      <c r="K828" s="63">
        <v>43300</v>
      </c>
      <c r="L828" s="182" t="s">
        <v>6472</v>
      </c>
      <c r="M828" s="58" t="s">
        <v>576</v>
      </c>
      <c r="N828" s="58" t="s">
        <v>4254</v>
      </c>
      <c r="O828" s="169">
        <v>43300</v>
      </c>
      <c r="P828" s="63">
        <v>43300</v>
      </c>
      <c r="Q828" s="182" t="s">
        <v>6472</v>
      </c>
      <c r="R828" s="170" t="s">
        <v>576</v>
      </c>
      <c r="S828" s="170" t="s">
        <v>6473</v>
      </c>
      <c r="T828" s="169">
        <v>43525</v>
      </c>
      <c r="U828" s="63">
        <v>43525</v>
      </c>
      <c r="V828" s="182" t="s">
        <v>8300</v>
      </c>
      <c r="W828" s="119" t="s">
        <v>5</v>
      </c>
      <c r="X828" s="58" t="s">
        <v>79</v>
      </c>
      <c r="Y828" s="169">
        <v>44018</v>
      </c>
      <c r="Z828" s="63">
        <v>44018</v>
      </c>
      <c r="AA828" s="182" t="s">
        <v>9544</v>
      </c>
      <c r="AB828" s="119" t="s">
        <v>5</v>
      </c>
      <c r="AC828" s="58" t="s">
        <v>9511</v>
      </c>
      <c r="AD828" s="169"/>
      <c r="AE828" s="63"/>
      <c r="AF828" s="182"/>
      <c r="AG828" s="119"/>
      <c r="AH828" s="58"/>
      <c r="AI828" s="183"/>
      <c r="AJ828" s="63"/>
      <c r="AK828" s="182"/>
      <c r="AL828" s="119"/>
      <c r="AM828" s="58"/>
      <c r="AN828" s="58" t="s">
        <v>6474</v>
      </c>
      <c r="AO828" s="479">
        <v>43525</v>
      </c>
      <c r="AP828" s="119" t="s">
        <v>2558</v>
      </c>
      <c r="AQ828" s="182" t="s">
        <v>6475</v>
      </c>
      <c r="AR828" s="861" t="s">
        <v>6476</v>
      </c>
      <c r="AS828" s="169">
        <v>38127</v>
      </c>
      <c r="AT828" s="169">
        <v>40663</v>
      </c>
      <c r="AU828" s="58" t="s">
        <v>8301</v>
      </c>
      <c r="AV828" s="58"/>
      <c r="AW828" s="58" t="s">
        <v>69</v>
      </c>
      <c r="AX828" s="58" t="s">
        <v>2665</v>
      </c>
      <c r="AY828" s="169">
        <v>42276</v>
      </c>
      <c r="AZ828" s="58" t="s">
        <v>6477</v>
      </c>
      <c r="BA828" s="169">
        <v>43237</v>
      </c>
      <c r="BB828" s="681">
        <v>43277</v>
      </c>
      <c r="BC828" s="58" t="s">
        <v>95</v>
      </c>
      <c r="BD828" s="58" t="s">
        <v>4604</v>
      </c>
      <c r="BE828" s="119"/>
      <c r="BF828" s="182"/>
      <c r="BG828" s="182"/>
      <c r="BH828" s="182"/>
      <c r="BI828" s="182"/>
      <c r="BJ828" s="209">
        <f>+[335]MATRIZ!$J$61</f>
        <v>42434152.059719354</v>
      </c>
      <c r="BK828" s="140"/>
      <c r="BL828" s="184"/>
      <c r="BM828" s="169"/>
      <c r="BN828" s="63"/>
      <c r="BO828" s="450"/>
      <c r="BP828" s="405"/>
      <c r="BQ828" s="119"/>
      <c r="BR828" s="185"/>
      <c r="BS828" s="182"/>
      <c r="BT828" s="182"/>
      <c r="BU828" s="182"/>
      <c r="BV828" s="182"/>
      <c r="BW828" s="186"/>
      <c r="BX828" s="187"/>
      <c r="BY828" s="169"/>
      <c r="BZ828" s="188"/>
    </row>
    <row r="829" spans="1:555" s="259" customFormat="1" ht="108">
      <c r="A829" s="502">
        <v>820</v>
      </c>
      <c r="B829" s="701" t="s">
        <v>6482</v>
      </c>
      <c r="C829" s="687" t="s">
        <v>6483</v>
      </c>
      <c r="D829" s="688" t="s">
        <v>6484</v>
      </c>
      <c r="E829" s="16">
        <v>43259</v>
      </c>
      <c r="F829" s="691">
        <v>43252</v>
      </c>
      <c r="G829" s="781" t="s">
        <v>6485</v>
      </c>
      <c r="H829" s="701" t="s">
        <v>581</v>
      </c>
      <c r="I829" s="701" t="s">
        <v>6486</v>
      </c>
      <c r="J829" s="171">
        <v>43769</v>
      </c>
      <c r="K829" s="691">
        <v>43769</v>
      </c>
      <c r="L829" s="717" t="s">
        <v>9213</v>
      </c>
      <c r="M829" s="692" t="s">
        <v>63</v>
      </c>
      <c r="N829" s="686" t="s">
        <v>85</v>
      </c>
      <c r="O829" s="171">
        <v>43850</v>
      </c>
      <c r="P829" s="691">
        <v>43850</v>
      </c>
      <c r="Q829" s="717" t="s">
        <v>9388</v>
      </c>
      <c r="R829" s="692" t="s">
        <v>5</v>
      </c>
      <c r="S829" s="686" t="s">
        <v>85</v>
      </c>
      <c r="T829" s="171"/>
      <c r="U829" s="691"/>
      <c r="V829" s="717"/>
      <c r="W829" s="692"/>
      <c r="X829" s="686"/>
      <c r="Y829" s="171"/>
      <c r="Z829" s="691"/>
      <c r="AA829" s="717"/>
      <c r="AB829" s="692"/>
      <c r="AC829" s="686"/>
      <c r="AD829" s="171"/>
      <c r="AE829" s="691"/>
      <c r="AF829" s="717"/>
      <c r="AG829" s="692"/>
      <c r="AH829" s="686"/>
      <c r="AI829" s="780"/>
      <c r="AJ829" s="691"/>
      <c r="AK829" s="717"/>
      <c r="AL829" s="692"/>
      <c r="AM829" s="686"/>
      <c r="AN829" s="686" t="s">
        <v>6487</v>
      </c>
      <c r="AO829" s="694">
        <v>43259</v>
      </c>
      <c r="AP829" s="692" t="s">
        <v>2558</v>
      </c>
      <c r="AQ829" s="781" t="s">
        <v>6488</v>
      </c>
      <c r="AR829" s="701" t="s">
        <v>79</v>
      </c>
      <c r="AS829" s="171" t="s">
        <v>67</v>
      </c>
      <c r="AT829" s="171" t="s">
        <v>67</v>
      </c>
      <c r="AU829" s="701" t="s">
        <v>6489</v>
      </c>
      <c r="AV829" s="701"/>
      <c r="AW829" s="701" t="s">
        <v>92</v>
      </c>
      <c r="AX829" s="701" t="s">
        <v>6490</v>
      </c>
      <c r="AY829" s="16">
        <v>41789</v>
      </c>
      <c r="AZ829" s="701" t="s">
        <v>6491</v>
      </c>
      <c r="BA829" s="16">
        <v>42950</v>
      </c>
      <c r="BB829" s="16">
        <v>42970</v>
      </c>
      <c r="BC829" s="701" t="s">
        <v>561</v>
      </c>
      <c r="BD829" s="701" t="s">
        <v>2613</v>
      </c>
      <c r="BE829" s="701" t="s">
        <v>7582</v>
      </c>
      <c r="BF829" s="717"/>
      <c r="BG829" s="717"/>
      <c r="BH829" s="717"/>
      <c r="BI829" s="717"/>
      <c r="BJ829" s="708">
        <f>+[336]MATRIZ!$I$29</f>
        <v>0</v>
      </c>
      <c r="BK829" s="708"/>
      <c r="BL829" s="718"/>
      <c r="BM829" s="171"/>
      <c r="BN829" s="691"/>
      <c r="BO829" s="720"/>
      <c r="BP829" s="782"/>
      <c r="BQ829" s="692"/>
      <c r="BR829" s="783"/>
      <c r="BS829" s="717"/>
      <c r="BT829" s="717"/>
      <c r="BU829" s="717"/>
      <c r="BV829" s="717"/>
      <c r="BW829" s="784"/>
      <c r="BX829" s="785"/>
      <c r="BY829" s="171"/>
      <c r="BZ829" s="786"/>
    </row>
    <row r="830" spans="1:555" ht="94.5">
      <c r="A830" s="96">
        <v>821</v>
      </c>
      <c r="B830" s="141" t="s">
        <v>6492</v>
      </c>
      <c r="C830" s="142">
        <v>93456226</v>
      </c>
      <c r="D830" s="439" t="s">
        <v>3313</v>
      </c>
      <c r="E830" s="147">
        <v>43278</v>
      </c>
      <c r="F830" s="146">
        <v>43252</v>
      </c>
      <c r="G830" s="157" t="s">
        <v>6493</v>
      </c>
      <c r="H830" s="141" t="s">
        <v>5</v>
      </c>
      <c r="I830" s="151" t="s">
        <v>1189</v>
      </c>
      <c r="J830" s="173">
        <v>43322</v>
      </c>
      <c r="K830" s="146">
        <v>43322</v>
      </c>
      <c r="L830" s="174" t="s">
        <v>6494</v>
      </c>
      <c r="M830" s="172" t="s">
        <v>5</v>
      </c>
      <c r="N830" s="141" t="s">
        <v>107</v>
      </c>
      <c r="O830" s="173"/>
      <c r="P830" s="146"/>
      <c r="Q830" s="174"/>
      <c r="R830" s="172"/>
      <c r="S830" s="141"/>
      <c r="T830" s="173"/>
      <c r="U830" s="146"/>
      <c r="V830" s="174"/>
      <c r="W830" s="172"/>
      <c r="X830" s="141"/>
      <c r="Y830" s="173"/>
      <c r="Z830" s="146"/>
      <c r="AA830" s="174"/>
      <c r="AB830" s="172"/>
      <c r="AC830" s="141"/>
      <c r="AD830" s="173"/>
      <c r="AE830" s="146"/>
      <c r="AF830" s="174"/>
      <c r="AG830" s="172"/>
      <c r="AH830" s="141"/>
      <c r="AI830" s="175"/>
      <c r="AJ830" s="146"/>
      <c r="AK830" s="174"/>
      <c r="AL830" s="172"/>
      <c r="AM830" s="141"/>
      <c r="AN830" s="421"/>
      <c r="AO830" s="485">
        <v>43278</v>
      </c>
      <c r="AP830" s="189"/>
      <c r="AQ830" s="157" t="s">
        <v>6495</v>
      </c>
      <c r="AR830" s="190" t="s">
        <v>5651</v>
      </c>
      <c r="AS830" s="147">
        <v>38107</v>
      </c>
      <c r="AT830" s="147">
        <v>40633</v>
      </c>
      <c r="AU830" s="151" t="s">
        <v>6496</v>
      </c>
      <c r="AV830" s="151"/>
      <c r="AW830" s="151" t="s">
        <v>92</v>
      </c>
      <c r="AX830" s="151" t="s">
        <v>6497</v>
      </c>
      <c r="AY830" s="147">
        <v>42332</v>
      </c>
      <c r="AZ830" s="151" t="s">
        <v>5996</v>
      </c>
      <c r="BA830" s="147">
        <v>42877</v>
      </c>
      <c r="BB830" s="678">
        <v>42894</v>
      </c>
      <c r="BC830" s="151" t="s">
        <v>6498</v>
      </c>
      <c r="BD830" s="151" t="s">
        <v>4604</v>
      </c>
      <c r="BE830" s="172"/>
      <c r="BF830" s="174"/>
      <c r="BG830" s="174"/>
      <c r="BH830" s="174"/>
      <c r="BI830" s="174"/>
      <c r="BJ830" s="209">
        <f>+[337]MATRIZ!$K$51</f>
        <v>0</v>
      </c>
      <c r="BK830" s="176"/>
      <c r="BL830" s="177"/>
      <c r="BM830" s="173"/>
      <c r="BN830" s="146"/>
      <c r="BO830" s="449"/>
      <c r="BP830" s="403"/>
      <c r="BQ830" s="172"/>
      <c r="BR830" s="178"/>
      <c r="BS830" s="174"/>
      <c r="BT830" s="174"/>
      <c r="BU830" s="174"/>
      <c r="BV830" s="174"/>
      <c r="BW830" s="179"/>
      <c r="BX830" s="180"/>
      <c r="BY830" s="173"/>
      <c r="BZ830" s="181"/>
    </row>
    <row r="831" spans="1:555" ht="108">
      <c r="A831" s="57">
        <v>822</v>
      </c>
      <c r="B831" s="58" t="s">
        <v>6499</v>
      </c>
      <c r="C831" s="163">
        <v>94432444</v>
      </c>
      <c r="D831" s="170" t="s">
        <v>6500</v>
      </c>
      <c r="E831" s="64">
        <v>43278</v>
      </c>
      <c r="F831" s="69">
        <v>43252</v>
      </c>
      <c r="G831" s="92" t="s">
        <v>6501</v>
      </c>
      <c r="H831" s="58" t="s">
        <v>63</v>
      </c>
      <c r="I831" s="70" t="s">
        <v>6066</v>
      </c>
      <c r="J831" s="169">
        <v>43642</v>
      </c>
      <c r="K831" s="63">
        <v>43642</v>
      </c>
      <c r="L831" s="58" t="s">
        <v>8874</v>
      </c>
      <c r="M831" s="119" t="s">
        <v>5</v>
      </c>
      <c r="N831" s="58" t="s">
        <v>8875</v>
      </c>
      <c r="O831" s="169">
        <v>43853</v>
      </c>
      <c r="P831" s="63">
        <v>43853</v>
      </c>
      <c r="Q831" s="182" t="s">
        <v>9392</v>
      </c>
      <c r="R831" s="119" t="s">
        <v>208</v>
      </c>
      <c r="S831" s="58" t="s">
        <v>1114</v>
      </c>
      <c r="T831" s="169">
        <v>43866</v>
      </c>
      <c r="U831" s="63">
        <v>43866</v>
      </c>
      <c r="V831" s="182" t="s">
        <v>9454</v>
      </c>
      <c r="W831" s="119" t="s">
        <v>63</v>
      </c>
      <c r="X831" s="58" t="s">
        <v>847</v>
      </c>
      <c r="Y831" s="169">
        <v>43892</v>
      </c>
      <c r="Z831" s="63">
        <v>43892</v>
      </c>
      <c r="AA831" s="182" t="s">
        <v>9488</v>
      </c>
      <c r="AB831" s="119" t="s">
        <v>208</v>
      </c>
      <c r="AC831" s="58" t="s">
        <v>169</v>
      </c>
      <c r="AD831" s="169">
        <v>43895</v>
      </c>
      <c r="AE831" s="63">
        <v>43895</v>
      </c>
      <c r="AF831" s="182" t="s">
        <v>9490</v>
      </c>
      <c r="AG831" s="119" t="s">
        <v>63</v>
      </c>
      <c r="AH831" s="58" t="s">
        <v>1114</v>
      </c>
      <c r="AI831" s="60" t="s">
        <v>9732</v>
      </c>
      <c r="AJ831" s="61" t="s">
        <v>9733</v>
      </c>
      <c r="AK831" s="62" t="s">
        <v>9734</v>
      </c>
      <c r="AL831" s="58" t="s">
        <v>9735</v>
      </c>
      <c r="AM831" s="58" t="s">
        <v>9736</v>
      </c>
      <c r="AN831" s="58" t="s">
        <v>6502</v>
      </c>
      <c r="AO831" s="479">
        <v>43278</v>
      </c>
      <c r="AP831" s="119" t="s">
        <v>2558</v>
      </c>
      <c r="AQ831" s="92" t="s">
        <v>6503</v>
      </c>
      <c r="AR831" s="70" t="s">
        <v>5651</v>
      </c>
      <c r="AS831" s="64">
        <v>39448</v>
      </c>
      <c r="AT831" s="64">
        <v>40862</v>
      </c>
      <c r="AU831" s="70" t="s">
        <v>8876</v>
      </c>
      <c r="AV831" s="70"/>
      <c r="AW831" s="70" t="s">
        <v>69</v>
      </c>
      <c r="AX831" s="70" t="s">
        <v>6504</v>
      </c>
      <c r="AY831" s="64">
        <v>41694</v>
      </c>
      <c r="AZ831" s="70" t="s">
        <v>2417</v>
      </c>
      <c r="BA831" s="64">
        <v>43140</v>
      </c>
      <c r="BB831" s="678">
        <v>43157</v>
      </c>
      <c r="BC831" s="70" t="s">
        <v>6498</v>
      </c>
      <c r="BD831" s="70" t="s">
        <v>4604</v>
      </c>
      <c r="BE831" s="119"/>
      <c r="BF831" s="182"/>
      <c r="BG831" s="182"/>
      <c r="BH831" s="182"/>
      <c r="BI831" s="182"/>
      <c r="BJ831" s="209">
        <f>[338]MATRIZ!$J$54</f>
        <v>0</v>
      </c>
      <c r="BK831" s="140"/>
      <c r="BL831" s="184"/>
      <c r="BM831" s="169"/>
      <c r="BN831" s="63"/>
      <c r="BO831" s="450"/>
      <c r="BP831" s="405"/>
      <c r="BQ831" s="119"/>
      <c r="BR831" s="185"/>
      <c r="BS831" s="182"/>
      <c r="BT831" s="182"/>
      <c r="BU831" s="182"/>
      <c r="BV831" s="182"/>
      <c r="BW831" s="186"/>
      <c r="BX831" s="187"/>
      <c r="BY831" s="169"/>
      <c r="BZ831" s="188"/>
    </row>
    <row r="832" spans="1:555" ht="94.5">
      <c r="A832" s="502">
        <v>823</v>
      </c>
      <c r="B832" s="686" t="s">
        <v>6505</v>
      </c>
      <c r="C832" s="687">
        <v>94417745</v>
      </c>
      <c r="D832" s="688" t="s">
        <v>1153</v>
      </c>
      <c r="E832" s="16">
        <v>43259</v>
      </c>
      <c r="F832" s="691">
        <v>43259</v>
      </c>
      <c r="G832" s="706" t="s">
        <v>6506</v>
      </c>
      <c r="H832" s="686" t="s">
        <v>286</v>
      </c>
      <c r="I832" s="686" t="s">
        <v>85</v>
      </c>
      <c r="J832" s="16">
        <v>43172</v>
      </c>
      <c r="K832" s="691">
        <v>43172</v>
      </c>
      <c r="L832" s="706" t="s">
        <v>6507</v>
      </c>
      <c r="M832" s="692" t="s">
        <v>63</v>
      </c>
      <c r="N832" s="686" t="s">
        <v>79</v>
      </c>
      <c r="O832" s="16">
        <v>43564</v>
      </c>
      <c r="P832" s="689">
        <v>43564</v>
      </c>
      <c r="Q832" s="690" t="s">
        <v>8586</v>
      </c>
      <c r="R832" s="686" t="s">
        <v>5</v>
      </c>
      <c r="S832" s="686" t="s">
        <v>85</v>
      </c>
      <c r="T832" s="27">
        <v>43595</v>
      </c>
      <c r="U832" s="689">
        <v>43595</v>
      </c>
      <c r="V832" s="690" t="s">
        <v>8609</v>
      </c>
      <c r="W832" s="686" t="s">
        <v>286</v>
      </c>
      <c r="X832" s="686" t="s">
        <v>85</v>
      </c>
      <c r="Y832" s="171"/>
      <c r="Z832" s="691"/>
      <c r="AA832" s="717"/>
      <c r="AB832" s="692"/>
      <c r="AC832" s="686"/>
      <c r="AD832" s="171"/>
      <c r="AE832" s="691"/>
      <c r="AF832" s="717"/>
      <c r="AG832" s="692"/>
      <c r="AH832" s="686"/>
      <c r="AI832" s="780"/>
      <c r="AJ832" s="691"/>
      <c r="AK832" s="717"/>
      <c r="AL832" s="692"/>
      <c r="AM832" s="686"/>
      <c r="AN832" s="692"/>
      <c r="AO832" s="714">
        <v>43258</v>
      </c>
      <c r="AP832" s="707"/>
      <c r="AQ832" s="781" t="s">
        <v>6508</v>
      </c>
      <c r="AR832" s="701" t="s">
        <v>79</v>
      </c>
      <c r="AS832" s="171">
        <v>38108</v>
      </c>
      <c r="AT832" s="171">
        <v>40633</v>
      </c>
      <c r="AU832" s="686" t="s">
        <v>6509</v>
      </c>
      <c r="AV832" s="686"/>
      <c r="AW832" s="686" t="s">
        <v>92</v>
      </c>
      <c r="AX832" s="706" t="s">
        <v>6510</v>
      </c>
      <c r="AY832" s="171">
        <v>42992</v>
      </c>
      <c r="AZ832" s="692" t="s">
        <v>67</v>
      </c>
      <c r="BA832" s="692" t="s">
        <v>67</v>
      </c>
      <c r="BB832" s="171">
        <v>43018</v>
      </c>
      <c r="BC832" s="701" t="s">
        <v>6498</v>
      </c>
      <c r="BD832" s="701" t="s">
        <v>4604</v>
      </c>
      <c r="BE832" s="692"/>
      <c r="BF832" s="717"/>
      <c r="BG832" s="717"/>
      <c r="BH832" s="717"/>
      <c r="BI832" s="717"/>
      <c r="BJ832" s="708">
        <f>+[339]MATRIZ!$J$63</f>
        <v>171370548.85444686</v>
      </c>
      <c r="BK832" s="708"/>
      <c r="BL832" s="718"/>
      <c r="BM832" s="171"/>
      <c r="BN832" s="691"/>
      <c r="BO832" s="720"/>
      <c r="BP832" s="782"/>
      <c r="BQ832" s="692"/>
      <c r="BR832" s="783"/>
      <c r="BS832" s="717"/>
      <c r="BT832" s="717"/>
      <c r="BU832" s="717"/>
      <c r="BV832" s="717"/>
      <c r="BW832" s="784"/>
      <c r="BX832" s="785"/>
      <c r="BY832" s="171"/>
      <c r="BZ832" s="786"/>
      <c r="CA832" s="259"/>
      <c r="CB832" s="259"/>
      <c r="CC832" s="259"/>
      <c r="CD832" s="259"/>
      <c r="CE832" s="259"/>
      <c r="CF832" s="259"/>
      <c r="CG832" s="259"/>
      <c r="CH832" s="259"/>
      <c r="CI832" s="259"/>
      <c r="CJ832" s="259"/>
      <c r="CK832" s="259"/>
      <c r="CL832" s="259"/>
      <c r="CM832" s="259"/>
      <c r="CN832" s="259"/>
      <c r="CO832" s="259"/>
      <c r="CP832" s="259"/>
      <c r="CQ832" s="259"/>
      <c r="CR832" s="259"/>
      <c r="CS832" s="259"/>
      <c r="CT832" s="259"/>
      <c r="CU832" s="259"/>
      <c r="CV832" s="259"/>
      <c r="CW832" s="259"/>
      <c r="CX832" s="259"/>
      <c r="CY832" s="259"/>
      <c r="CZ832" s="259"/>
      <c r="DA832" s="259"/>
      <c r="DB832" s="259"/>
      <c r="DC832" s="259"/>
      <c r="DD832" s="259"/>
      <c r="DE832" s="259"/>
      <c r="DF832" s="259"/>
      <c r="DG832" s="259"/>
      <c r="DH832" s="259"/>
      <c r="DI832" s="259"/>
      <c r="DJ832" s="259"/>
      <c r="DK832" s="259"/>
      <c r="DL832" s="259"/>
      <c r="DM832" s="259"/>
      <c r="DN832" s="259"/>
      <c r="DO832" s="259"/>
      <c r="DP832" s="259"/>
      <c r="DQ832" s="259"/>
      <c r="DR832" s="259"/>
      <c r="DS832" s="259"/>
      <c r="DT832" s="259"/>
      <c r="DU832" s="259"/>
      <c r="DV832" s="259"/>
      <c r="DW832" s="259"/>
      <c r="DX832" s="259"/>
      <c r="DY832" s="259"/>
      <c r="DZ832" s="259"/>
      <c r="EA832" s="259"/>
      <c r="EB832" s="259"/>
      <c r="EC832" s="259"/>
      <c r="ED832" s="259"/>
      <c r="EE832" s="259"/>
      <c r="EF832" s="259"/>
      <c r="EG832" s="259"/>
      <c r="EH832" s="259"/>
      <c r="EI832" s="259"/>
      <c r="EJ832" s="259"/>
      <c r="EK832" s="259"/>
      <c r="EL832" s="259"/>
      <c r="EM832" s="259"/>
      <c r="EN832" s="259"/>
      <c r="EO832" s="259"/>
      <c r="EP832" s="259"/>
      <c r="EQ832" s="259"/>
      <c r="ER832" s="259"/>
      <c r="ES832" s="259"/>
      <c r="ET832" s="259"/>
      <c r="EU832" s="259"/>
      <c r="EV832" s="259"/>
      <c r="EW832" s="259"/>
      <c r="EX832" s="259"/>
      <c r="EY832" s="259"/>
      <c r="EZ832" s="259"/>
      <c r="FA832" s="259"/>
      <c r="FB832" s="259"/>
      <c r="FC832" s="259"/>
      <c r="FD832" s="259"/>
      <c r="FE832" s="259"/>
      <c r="FF832" s="259"/>
      <c r="FG832" s="259"/>
      <c r="FH832" s="259"/>
      <c r="FI832" s="259"/>
      <c r="FJ832" s="259"/>
      <c r="FK832" s="259"/>
      <c r="FL832" s="259"/>
      <c r="FM832" s="259"/>
      <c r="FN832" s="259"/>
      <c r="FO832" s="259"/>
      <c r="FP832" s="259"/>
      <c r="FQ832" s="259"/>
      <c r="FR832" s="259"/>
      <c r="FS832" s="259"/>
      <c r="FT832" s="259"/>
      <c r="FU832" s="259"/>
      <c r="FV832" s="259"/>
      <c r="FW832" s="259"/>
      <c r="FX832" s="259"/>
      <c r="FY832" s="259"/>
      <c r="FZ832" s="259"/>
      <c r="GA832" s="259"/>
      <c r="GB832" s="259"/>
      <c r="GC832" s="259"/>
      <c r="GD832" s="259"/>
      <c r="GE832" s="259"/>
      <c r="GF832" s="259"/>
      <c r="GG832" s="259"/>
      <c r="GH832" s="259"/>
      <c r="GI832" s="259"/>
      <c r="GJ832" s="259"/>
      <c r="GK832" s="259"/>
      <c r="GL832" s="259"/>
      <c r="GM832" s="259"/>
      <c r="GN832" s="259"/>
      <c r="GO832" s="259"/>
      <c r="GP832" s="259"/>
      <c r="GQ832" s="259"/>
      <c r="GR832" s="259"/>
      <c r="GS832" s="259"/>
      <c r="GT832" s="259"/>
      <c r="GU832" s="259"/>
      <c r="GV832" s="259"/>
      <c r="GW832" s="259"/>
      <c r="GX832" s="259"/>
      <c r="GY832" s="259"/>
      <c r="GZ832" s="259"/>
      <c r="HA832" s="259"/>
      <c r="HB832" s="259"/>
      <c r="HC832" s="259"/>
      <c r="HD832" s="259"/>
      <c r="HE832" s="259"/>
      <c r="HF832" s="259"/>
      <c r="HG832" s="259"/>
      <c r="HH832" s="259"/>
      <c r="HI832" s="259"/>
      <c r="HJ832" s="259"/>
      <c r="HK832" s="259"/>
      <c r="HL832" s="259"/>
      <c r="HM832" s="259"/>
      <c r="HN832" s="259"/>
      <c r="HO832" s="259"/>
      <c r="HP832" s="259"/>
      <c r="HQ832" s="259"/>
      <c r="HR832" s="259"/>
      <c r="HS832" s="259"/>
      <c r="HT832" s="259"/>
      <c r="HU832" s="259"/>
      <c r="HV832" s="259"/>
      <c r="HW832" s="259"/>
      <c r="HX832" s="259"/>
      <c r="HY832" s="259"/>
      <c r="HZ832" s="259"/>
      <c r="IA832" s="259"/>
      <c r="IB832" s="259"/>
      <c r="IC832" s="259"/>
      <c r="ID832" s="259"/>
      <c r="IE832" s="259"/>
      <c r="IF832" s="259"/>
      <c r="IG832" s="259"/>
      <c r="IH832" s="259"/>
      <c r="II832" s="259"/>
      <c r="IJ832" s="259"/>
      <c r="IK832" s="259"/>
      <c r="IL832" s="259"/>
      <c r="IM832" s="259"/>
      <c r="IN832" s="259"/>
      <c r="IO832" s="259"/>
      <c r="IP832" s="259"/>
      <c r="IQ832" s="259"/>
      <c r="IR832" s="259"/>
      <c r="IS832" s="259"/>
      <c r="IT832" s="259"/>
      <c r="IU832" s="259"/>
      <c r="IV832" s="259"/>
      <c r="IW832" s="259"/>
      <c r="IX832" s="259"/>
      <c r="IY832" s="259"/>
      <c r="IZ832" s="259"/>
      <c r="JA832" s="259"/>
      <c r="JB832" s="259"/>
      <c r="JC832" s="259"/>
      <c r="JD832" s="259"/>
      <c r="JE832" s="259"/>
      <c r="JF832" s="259"/>
      <c r="JG832" s="259"/>
      <c r="JH832" s="259"/>
      <c r="JI832" s="259"/>
      <c r="JJ832" s="259"/>
      <c r="JK832" s="259"/>
      <c r="JL832" s="259"/>
      <c r="JM832" s="259"/>
      <c r="JN832" s="259"/>
      <c r="JO832" s="259"/>
      <c r="JP832" s="259"/>
      <c r="JQ832" s="259"/>
      <c r="JR832" s="259"/>
      <c r="JS832" s="259"/>
      <c r="JT832" s="259"/>
      <c r="JU832" s="259"/>
      <c r="JV832" s="259"/>
      <c r="JW832" s="259"/>
      <c r="JX832" s="259"/>
      <c r="JY832" s="259"/>
      <c r="JZ832" s="259"/>
      <c r="KA832" s="259"/>
      <c r="KB832" s="259"/>
      <c r="KC832" s="259"/>
      <c r="KD832" s="259"/>
      <c r="KE832" s="259"/>
      <c r="KF832" s="259"/>
      <c r="KG832" s="259"/>
      <c r="KH832" s="259"/>
      <c r="KI832" s="259"/>
      <c r="KJ832" s="259"/>
      <c r="KK832" s="259"/>
      <c r="KL832" s="259"/>
      <c r="KM832" s="259"/>
      <c r="KN832" s="259"/>
      <c r="KO832" s="259"/>
      <c r="KP832" s="259"/>
      <c r="KQ832" s="259"/>
      <c r="KR832" s="259"/>
      <c r="KS832" s="259"/>
      <c r="KT832" s="259"/>
      <c r="KU832" s="259"/>
      <c r="KV832" s="259"/>
      <c r="KW832" s="259"/>
      <c r="KX832" s="259"/>
      <c r="KY832" s="259"/>
      <c r="KZ832" s="259"/>
      <c r="LA832" s="259"/>
      <c r="LB832" s="259"/>
      <c r="LC832" s="259"/>
      <c r="LD832" s="259"/>
      <c r="LE832" s="259"/>
      <c r="LF832" s="259"/>
      <c r="LG832" s="259"/>
      <c r="LH832" s="259"/>
      <c r="LI832" s="259"/>
      <c r="LJ832" s="259"/>
      <c r="LK832" s="259"/>
      <c r="LL832" s="259"/>
      <c r="LM832" s="259"/>
      <c r="LN832" s="259"/>
      <c r="LO832" s="259"/>
      <c r="LP832" s="259"/>
      <c r="LQ832" s="259"/>
      <c r="LR832" s="259"/>
      <c r="LS832" s="259"/>
      <c r="LT832" s="259"/>
      <c r="LU832" s="259"/>
      <c r="LV832" s="259"/>
      <c r="LW832" s="259"/>
      <c r="LX832" s="259"/>
      <c r="LY832" s="259"/>
      <c r="LZ832" s="259"/>
      <c r="MA832" s="259"/>
      <c r="MB832" s="259"/>
      <c r="MC832" s="259"/>
      <c r="MD832" s="259"/>
      <c r="ME832" s="259"/>
      <c r="MF832" s="259"/>
      <c r="MG832" s="259"/>
      <c r="MH832" s="259"/>
      <c r="MI832" s="259"/>
      <c r="MJ832" s="259"/>
      <c r="MK832" s="259"/>
      <c r="ML832" s="259"/>
      <c r="MM832" s="259"/>
      <c r="MN832" s="259"/>
      <c r="MO832" s="259"/>
      <c r="MP832" s="259"/>
      <c r="MQ832" s="259"/>
      <c r="MR832" s="259"/>
      <c r="MS832" s="259"/>
      <c r="MT832" s="259"/>
      <c r="MU832" s="259"/>
      <c r="MV832" s="259"/>
      <c r="MW832" s="259"/>
      <c r="MX832" s="259"/>
      <c r="MY832" s="259"/>
      <c r="MZ832" s="259"/>
      <c r="NA832" s="259"/>
      <c r="NB832" s="259"/>
      <c r="NC832" s="259"/>
      <c r="ND832" s="259"/>
      <c r="NE832" s="259"/>
      <c r="NF832" s="259"/>
      <c r="NG832" s="259"/>
      <c r="NH832" s="259"/>
      <c r="NI832" s="259"/>
      <c r="NJ832" s="259"/>
      <c r="NK832" s="259"/>
      <c r="NL832" s="259"/>
      <c r="NM832" s="259"/>
      <c r="NN832" s="259"/>
      <c r="NO832" s="259"/>
      <c r="NP832" s="259"/>
      <c r="NQ832" s="259"/>
      <c r="NR832" s="259"/>
      <c r="NS832" s="259"/>
      <c r="NT832" s="259"/>
      <c r="NU832" s="259"/>
      <c r="NV832" s="259"/>
      <c r="NW832" s="259"/>
      <c r="NX832" s="259"/>
      <c r="NY832" s="259"/>
      <c r="NZ832" s="259"/>
      <c r="OA832" s="259"/>
      <c r="OB832" s="259"/>
      <c r="OC832" s="259"/>
      <c r="OD832" s="259"/>
      <c r="OE832" s="259"/>
      <c r="OF832" s="259"/>
      <c r="OG832" s="259"/>
      <c r="OH832" s="259"/>
      <c r="OI832" s="259"/>
      <c r="OJ832" s="259"/>
      <c r="OK832" s="259"/>
      <c r="OL832" s="259"/>
      <c r="OM832" s="259"/>
      <c r="ON832" s="259"/>
      <c r="OO832" s="259"/>
      <c r="OP832" s="259"/>
      <c r="OQ832" s="259"/>
      <c r="OR832" s="259"/>
      <c r="OS832" s="259"/>
      <c r="OT832" s="259"/>
      <c r="OU832" s="259"/>
      <c r="OV832" s="259"/>
      <c r="OW832" s="259"/>
      <c r="OX832" s="259"/>
      <c r="OY832" s="259"/>
      <c r="OZ832" s="259"/>
      <c r="PA832" s="259"/>
      <c r="PB832" s="259"/>
      <c r="PC832" s="259"/>
      <c r="PD832" s="259"/>
      <c r="PE832" s="259"/>
      <c r="PF832" s="259"/>
      <c r="PG832" s="259"/>
      <c r="PH832" s="259"/>
      <c r="PI832" s="259"/>
      <c r="PJ832" s="259"/>
      <c r="PK832" s="259"/>
      <c r="PL832" s="259"/>
      <c r="PM832" s="259"/>
      <c r="PN832" s="259"/>
      <c r="PO832" s="259"/>
      <c r="PP832" s="259"/>
      <c r="PQ832" s="259"/>
      <c r="PR832" s="259"/>
      <c r="PS832" s="259"/>
      <c r="PT832" s="259"/>
      <c r="PU832" s="259"/>
      <c r="PV832" s="259"/>
      <c r="PW832" s="259"/>
      <c r="PX832" s="259"/>
      <c r="PY832" s="259"/>
      <c r="PZ832" s="259"/>
      <c r="QA832" s="259"/>
      <c r="QB832" s="259"/>
      <c r="QC832" s="259"/>
      <c r="QD832" s="259"/>
      <c r="QE832" s="259"/>
      <c r="QF832" s="259"/>
      <c r="QG832" s="259"/>
      <c r="QH832" s="259"/>
      <c r="QI832" s="259"/>
      <c r="QJ832" s="259"/>
      <c r="QK832" s="259"/>
      <c r="QL832" s="259"/>
      <c r="QM832" s="259"/>
      <c r="QN832" s="259"/>
      <c r="QO832" s="259"/>
      <c r="QP832" s="259"/>
      <c r="QQ832" s="259"/>
      <c r="QR832" s="259"/>
      <c r="QS832" s="259"/>
      <c r="QT832" s="259"/>
      <c r="QU832" s="259"/>
      <c r="QV832" s="259"/>
      <c r="QW832" s="259"/>
      <c r="QX832" s="259"/>
      <c r="QY832" s="259"/>
      <c r="QZ832" s="259"/>
      <c r="RA832" s="259"/>
      <c r="RB832" s="259"/>
      <c r="RC832" s="259"/>
      <c r="RD832" s="259"/>
      <c r="RE832" s="259"/>
      <c r="RF832" s="259"/>
      <c r="RG832" s="259"/>
      <c r="RH832" s="259"/>
      <c r="RI832" s="259"/>
      <c r="RJ832" s="259"/>
      <c r="RK832" s="259"/>
      <c r="RL832" s="259"/>
      <c r="RM832" s="259"/>
      <c r="RN832" s="259"/>
      <c r="RO832" s="259"/>
      <c r="RP832" s="259"/>
      <c r="RQ832" s="259"/>
      <c r="RR832" s="259"/>
      <c r="RS832" s="259"/>
      <c r="RT832" s="259"/>
      <c r="RU832" s="259"/>
      <c r="RV832" s="259"/>
      <c r="RW832" s="259"/>
      <c r="RX832" s="259"/>
      <c r="RY832" s="259"/>
      <c r="RZ832" s="259"/>
      <c r="SA832" s="259"/>
      <c r="SB832" s="259"/>
      <c r="SC832" s="259"/>
      <c r="SD832" s="259"/>
      <c r="SE832" s="259"/>
      <c r="SF832" s="259"/>
      <c r="SG832" s="259"/>
      <c r="SH832" s="259"/>
      <c r="SI832" s="259"/>
      <c r="SJ832" s="259"/>
      <c r="SK832" s="259"/>
      <c r="SL832" s="259"/>
      <c r="SM832" s="259"/>
      <c r="SN832" s="259"/>
      <c r="SO832" s="259"/>
      <c r="SP832" s="259"/>
      <c r="SQ832" s="259"/>
      <c r="SR832" s="259"/>
      <c r="SS832" s="259"/>
      <c r="ST832" s="259"/>
      <c r="SU832" s="259"/>
      <c r="SV832" s="259"/>
      <c r="SW832" s="259"/>
      <c r="SX832" s="259"/>
      <c r="SY832" s="259"/>
      <c r="SZ832" s="259"/>
      <c r="TA832" s="259"/>
      <c r="TB832" s="259"/>
      <c r="TC832" s="259"/>
      <c r="TD832" s="259"/>
      <c r="TE832" s="259"/>
      <c r="TF832" s="259"/>
      <c r="TG832" s="259"/>
      <c r="TH832" s="259"/>
      <c r="TI832" s="259"/>
      <c r="TJ832" s="259"/>
      <c r="TK832" s="259"/>
      <c r="TL832" s="259"/>
      <c r="TM832" s="259"/>
      <c r="TN832" s="259"/>
      <c r="TO832" s="259"/>
      <c r="TP832" s="259"/>
      <c r="TQ832" s="259"/>
      <c r="TR832" s="259"/>
      <c r="TS832" s="259"/>
      <c r="TT832" s="259"/>
      <c r="TU832" s="259"/>
      <c r="TV832" s="259"/>
      <c r="TW832" s="259"/>
      <c r="TX832" s="259"/>
      <c r="TY832" s="259"/>
      <c r="TZ832" s="259"/>
      <c r="UA832" s="259"/>
      <c r="UB832" s="259"/>
      <c r="UC832" s="259"/>
      <c r="UD832" s="259"/>
      <c r="UE832" s="259"/>
      <c r="UF832" s="259"/>
      <c r="UG832" s="259"/>
      <c r="UH832" s="259"/>
      <c r="UI832" s="259"/>
    </row>
    <row r="833" spans="1:555" ht="105" customHeight="1">
      <c r="A833" s="296">
        <v>824</v>
      </c>
      <c r="B833" s="297" t="s">
        <v>6511</v>
      </c>
      <c r="C833" s="975">
        <v>7695611</v>
      </c>
      <c r="D833" s="354" t="s">
        <v>3645</v>
      </c>
      <c r="E833" s="305">
        <v>43173</v>
      </c>
      <c r="F833" s="302">
        <v>43173</v>
      </c>
      <c r="G833" s="315" t="s">
        <v>6512</v>
      </c>
      <c r="H833" s="345" t="s">
        <v>286</v>
      </c>
      <c r="I833" s="297" t="s">
        <v>79</v>
      </c>
      <c r="J833" s="305">
        <v>43259</v>
      </c>
      <c r="K833" s="302">
        <v>43259</v>
      </c>
      <c r="L833" s="315" t="s">
        <v>6513</v>
      </c>
      <c r="M833" s="345" t="s">
        <v>286</v>
      </c>
      <c r="N833" s="297" t="s">
        <v>85</v>
      </c>
      <c r="O833" s="305">
        <v>43263</v>
      </c>
      <c r="P833" s="302">
        <v>43263</v>
      </c>
      <c r="Q833" s="315" t="s">
        <v>6514</v>
      </c>
      <c r="R833" s="326" t="s">
        <v>63</v>
      </c>
      <c r="S833" s="297" t="s">
        <v>85</v>
      </c>
      <c r="T833" s="305">
        <v>43333</v>
      </c>
      <c r="U833" s="302">
        <v>43333</v>
      </c>
      <c r="V833" s="315" t="s">
        <v>6515</v>
      </c>
      <c r="W833" s="315" t="s">
        <v>63</v>
      </c>
      <c r="X833" s="976" t="s">
        <v>85</v>
      </c>
      <c r="Y833" s="305">
        <v>43333</v>
      </c>
      <c r="Z833" s="302">
        <v>43333</v>
      </c>
      <c r="AA833" s="315" t="s">
        <v>6515</v>
      </c>
      <c r="AB833" s="326" t="s">
        <v>63</v>
      </c>
      <c r="AC833" s="297" t="s">
        <v>85</v>
      </c>
      <c r="AD833" s="344">
        <v>43896</v>
      </c>
      <c r="AE833" s="302">
        <v>43896</v>
      </c>
      <c r="AF833" s="330" t="s">
        <v>9493</v>
      </c>
      <c r="AG833" s="326" t="s">
        <v>63</v>
      </c>
      <c r="AH833" s="297" t="s">
        <v>8243</v>
      </c>
      <c r="AI833" s="346"/>
      <c r="AJ833" s="302"/>
      <c r="AK833" s="330"/>
      <c r="AL833" s="326"/>
      <c r="AM833" s="297"/>
      <c r="AN833" s="326"/>
      <c r="AO833" s="970">
        <v>43173</v>
      </c>
      <c r="AP833" s="355"/>
      <c r="AQ833" s="977" t="s">
        <v>6516</v>
      </c>
      <c r="AR833" s="297" t="s">
        <v>79</v>
      </c>
      <c r="AS833" s="344">
        <v>38415</v>
      </c>
      <c r="AT833" s="344">
        <v>39813</v>
      </c>
      <c r="AU833" s="297" t="s">
        <v>6517</v>
      </c>
      <c r="AV833" s="297"/>
      <c r="AW833" s="297" t="s">
        <v>92</v>
      </c>
      <c r="AX833" s="345" t="s">
        <v>6518</v>
      </c>
      <c r="AY833" s="344">
        <v>41570</v>
      </c>
      <c r="AZ833" s="297" t="s">
        <v>6519</v>
      </c>
      <c r="BA833" s="344">
        <v>42685</v>
      </c>
      <c r="BB833" s="358">
        <v>42703</v>
      </c>
      <c r="BC833" s="297" t="s">
        <v>95</v>
      </c>
      <c r="BD833" s="297" t="s">
        <v>6520</v>
      </c>
      <c r="BE833" s="326"/>
      <c r="BF833" s="330"/>
      <c r="BG833" s="330"/>
      <c r="BH833" s="330"/>
      <c r="BI833" s="330"/>
      <c r="BJ833" s="350">
        <f>+'[340]MATRIZ DE CONTRATOS '!$J$41</f>
        <v>0</v>
      </c>
      <c r="BK833" s="350"/>
      <c r="BL833" s="351"/>
      <c r="BM833" s="344"/>
      <c r="BN833" s="302"/>
      <c r="BO833" s="518"/>
      <c r="BP833" s="404"/>
      <c r="BQ833" s="326"/>
      <c r="BR833" s="353"/>
      <c r="BS833" s="330"/>
      <c r="BT833" s="330"/>
      <c r="BU833" s="330"/>
      <c r="BV833" s="330"/>
      <c r="BW833" s="347"/>
      <c r="BX833" s="348"/>
      <c r="BY833" s="344"/>
      <c r="BZ833" s="349"/>
    </row>
    <row r="834" spans="1:555" ht="56.25" customHeight="1">
      <c r="A834" s="57">
        <v>825</v>
      </c>
      <c r="B834" s="58" t="s">
        <v>6521</v>
      </c>
      <c r="C834" s="59">
        <v>80035276</v>
      </c>
      <c r="D834" s="170" t="s">
        <v>193</v>
      </c>
      <c r="E834" s="60">
        <v>43276</v>
      </c>
      <c r="F834" s="63">
        <v>43252</v>
      </c>
      <c r="G834" s="62" t="s">
        <v>6522</v>
      </c>
      <c r="H834" s="58" t="s">
        <v>2632</v>
      </c>
      <c r="I834" s="58" t="s">
        <v>4254</v>
      </c>
      <c r="J834" s="169">
        <v>43311</v>
      </c>
      <c r="K834" s="63">
        <v>43311</v>
      </c>
      <c r="L834" s="182" t="s">
        <v>6523</v>
      </c>
      <c r="M834" s="119" t="s">
        <v>625</v>
      </c>
      <c r="N834" s="58" t="s">
        <v>3423</v>
      </c>
      <c r="O834" s="169"/>
      <c r="P834" s="63"/>
      <c r="Q834" s="182"/>
      <c r="R834" s="119"/>
      <c r="S834" s="58"/>
      <c r="T834" s="169"/>
      <c r="U834" s="63"/>
      <c r="V834" s="182"/>
      <c r="W834" s="119"/>
      <c r="X834" s="58"/>
      <c r="Y834" s="169"/>
      <c r="Z834" s="63"/>
      <c r="AA834" s="182"/>
      <c r="AB834" s="119"/>
      <c r="AC834" s="58"/>
      <c r="AD834" s="169"/>
      <c r="AE834" s="63"/>
      <c r="AF834" s="182"/>
      <c r="AG834" s="119"/>
      <c r="AH834" s="58"/>
      <c r="AI834" s="183"/>
      <c r="AJ834" s="63"/>
      <c r="AK834" s="182"/>
      <c r="AL834" s="119"/>
      <c r="AM834" s="58"/>
      <c r="AN834" s="58" t="s">
        <v>6474</v>
      </c>
      <c r="AO834" s="478" t="s">
        <v>7946</v>
      </c>
      <c r="AP834" s="58" t="s">
        <v>6524</v>
      </c>
      <c r="AQ834" s="182" t="s">
        <v>6525</v>
      </c>
      <c r="AR834" s="58" t="s">
        <v>4254</v>
      </c>
      <c r="AS834" s="169">
        <v>37818</v>
      </c>
      <c r="AT834" s="169">
        <v>39822</v>
      </c>
      <c r="AU834" s="58" t="s">
        <v>4499</v>
      </c>
      <c r="AV834" s="58"/>
      <c r="AW834" s="58" t="s">
        <v>92</v>
      </c>
      <c r="AX834" s="58" t="s">
        <v>6526</v>
      </c>
      <c r="AY834" s="169">
        <v>43028</v>
      </c>
      <c r="AZ834" s="58" t="s">
        <v>2632</v>
      </c>
      <c r="BA834" s="169">
        <v>43244</v>
      </c>
      <c r="BB834" s="681">
        <v>43278</v>
      </c>
      <c r="BC834" s="58" t="s">
        <v>95</v>
      </c>
      <c r="BD834" s="58" t="s">
        <v>4604</v>
      </c>
      <c r="BE834" s="119"/>
      <c r="BF834" s="182"/>
      <c r="BG834" s="182"/>
      <c r="BH834" s="182"/>
      <c r="BI834" s="182"/>
      <c r="BJ834" s="209">
        <f>+[341]MATRIZ!$J$65</f>
        <v>0</v>
      </c>
      <c r="BK834" s="140"/>
      <c r="BL834" s="184"/>
      <c r="BM834" s="169"/>
      <c r="BN834" s="63"/>
      <c r="BO834" s="450"/>
      <c r="BP834" s="405"/>
      <c r="BQ834" s="119"/>
      <c r="BR834" s="185"/>
      <c r="BS834" s="182"/>
      <c r="BT834" s="182"/>
      <c r="BU834" s="182"/>
      <c r="BV834" s="182"/>
      <c r="BW834" s="186"/>
      <c r="BX834" s="187"/>
      <c r="BY834" s="169"/>
      <c r="BZ834" s="188"/>
    </row>
    <row r="835" spans="1:555" ht="94.5">
      <c r="A835" s="96">
        <v>826</v>
      </c>
      <c r="B835" s="141" t="s">
        <v>6527</v>
      </c>
      <c r="C835" s="142">
        <v>84077428</v>
      </c>
      <c r="D835" s="439" t="s">
        <v>3541</v>
      </c>
      <c r="E835" s="143">
        <v>41887</v>
      </c>
      <c r="F835" s="146">
        <v>41887</v>
      </c>
      <c r="G835" s="145" t="s">
        <v>6528</v>
      </c>
      <c r="H835" s="141" t="s">
        <v>198</v>
      </c>
      <c r="I835" s="141" t="s">
        <v>6529</v>
      </c>
      <c r="J835" s="143">
        <v>43271</v>
      </c>
      <c r="K835" s="146">
        <v>43271</v>
      </c>
      <c r="L835" s="145" t="s">
        <v>6530</v>
      </c>
      <c r="M835" s="141" t="s">
        <v>6531</v>
      </c>
      <c r="N835" s="141" t="s">
        <v>4254</v>
      </c>
      <c r="O835" s="173">
        <v>43390</v>
      </c>
      <c r="P835" s="146">
        <v>43390</v>
      </c>
      <c r="Q835" s="424" t="s">
        <v>7257</v>
      </c>
      <c r="R835" s="172" t="s">
        <v>63</v>
      </c>
      <c r="S835" s="424" t="s">
        <v>79</v>
      </c>
      <c r="T835" s="173">
        <v>43487</v>
      </c>
      <c r="U835" s="146">
        <v>43487</v>
      </c>
      <c r="V835" s="424" t="s">
        <v>8063</v>
      </c>
      <c r="W835" s="172" t="s">
        <v>5</v>
      </c>
      <c r="X835" s="424" t="s">
        <v>8064</v>
      </c>
      <c r="Y835" s="173">
        <v>43531</v>
      </c>
      <c r="Z835" s="146">
        <v>43531</v>
      </c>
      <c r="AA835" s="174" t="s">
        <v>8244</v>
      </c>
      <c r="AB835" s="172" t="s">
        <v>63</v>
      </c>
      <c r="AC835" s="141" t="s">
        <v>85</v>
      </c>
      <c r="AD835" s="420">
        <v>43553</v>
      </c>
      <c r="AE835" s="21">
        <v>43553</v>
      </c>
      <c r="AF835" s="428" t="s">
        <v>8410</v>
      </c>
      <c r="AG835" s="428" t="s">
        <v>5</v>
      </c>
      <c r="AH835" s="428" t="s">
        <v>8411</v>
      </c>
      <c r="AI835" s="420">
        <v>44286</v>
      </c>
      <c r="AJ835" s="21">
        <v>44286</v>
      </c>
      <c r="AK835" s="428" t="s">
        <v>10424</v>
      </c>
      <c r="AL835" s="428" t="s">
        <v>63</v>
      </c>
      <c r="AM835" s="428" t="s">
        <v>9546</v>
      </c>
      <c r="AN835" s="421"/>
      <c r="AO835" s="485">
        <v>43553</v>
      </c>
      <c r="AP835" s="189"/>
      <c r="AQ835" s="174" t="s">
        <v>6532</v>
      </c>
      <c r="AR835" s="141" t="s">
        <v>4254</v>
      </c>
      <c r="AS835" s="173">
        <v>38883</v>
      </c>
      <c r="AT835" s="173">
        <v>39994</v>
      </c>
      <c r="AU835" s="126" t="s">
        <v>8065</v>
      </c>
      <c r="AV835" s="126"/>
      <c r="AW835" s="422" t="s">
        <v>92</v>
      </c>
      <c r="AX835" s="141" t="s">
        <v>6533</v>
      </c>
      <c r="AY835" s="173">
        <v>42081</v>
      </c>
      <c r="AZ835" s="141" t="s">
        <v>6531</v>
      </c>
      <c r="BA835" s="173">
        <v>43217</v>
      </c>
      <c r="BB835" s="681">
        <v>43257</v>
      </c>
      <c r="BC835" s="422" t="s">
        <v>95</v>
      </c>
      <c r="BD835" s="422" t="s">
        <v>4604</v>
      </c>
      <c r="BE835" s="172"/>
      <c r="BF835" s="174"/>
      <c r="BG835" s="174"/>
      <c r="BH835" s="174"/>
      <c r="BI835" s="174"/>
      <c r="BJ835" s="209">
        <f>+[342]MATRIZ!$J$52</f>
        <v>0</v>
      </c>
      <c r="BK835" s="176"/>
      <c r="BL835" s="177"/>
      <c r="BM835" s="173"/>
      <c r="BN835" s="146"/>
      <c r="BO835" s="449"/>
      <c r="BP835" s="403"/>
      <c r="BQ835" s="172"/>
      <c r="BR835" s="178"/>
      <c r="BS835" s="174"/>
      <c r="BT835" s="174"/>
      <c r="BU835" s="174"/>
      <c r="BV835" s="174"/>
      <c r="BW835" s="179"/>
      <c r="BX835" s="180"/>
      <c r="BY835" s="173"/>
      <c r="BZ835" s="181"/>
    </row>
    <row r="836" spans="1:555" s="259" customFormat="1" ht="108">
      <c r="A836" s="96">
        <v>827</v>
      </c>
      <c r="B836" s="141" t="s">
        <v>6534</v>
      </c>
      <c r="C836" s="855">
        <v>8778310</v>
      </c>
      <c r="D836" s="439" t="s">
        <v>8199</v>
      </c>
      <c r="E836" s="143">
        <v>42072</v>
      </c>
      <c r="F836" s="146">
        <v>42072</v>
      </c>
      <c r="G836" s="858" t="s">
        <v>6535</v>
      </c>
      <c r="H836" s="424" t="s">
        <v>6536</v>
      </c>
      <c r="I836" s="422" t="s">
        <v>2395</v>
      </c>
      <c r="J836" s="173">
        <v>42277</v>
      </c>
      <c r="K836" s="146">
        <v>42277</v>
      </c>
      <c r="L836" s="174" t="s">
        <v>6537</v>
      </c>
      <c r="M836" s="424" t="s">
        <v>6536</v>
      </c>
      <c r="N836" s="141" t="s">
        <v>4254</v>
      </c>
      <c r="O836" s="173">
        <v>42433</v>
      </c>
      <c r="P836" s="146">
        <v>42433</v>
      </c>
      <c r="Q836" s="174" t="s">
        <v>6538</v>
      </c>
      <c r="R836" s="141" t="s">
        <v>6539</v>
      </c>
      <c r="S836" s="141" t="s">
        <v>6540</v>
      </c>
      <c r="T836" s="173">
        <v>42513</v>
      </c>
      <c r="U836" s="146">
        <v>42513</v>
      </c>
      <c r="V836" s="173" t="s">
        <v>6541</v>
      </c>
      <c r="W836" s="141" t="s">
        <v>6539</v>
      </c>
      <c r="X836" s="424" t="s">
        <v>6542</v>
      </c>
      <c r="Y836" s="143">
        <v>43293</v>
      </c>
      <c r="Z836" s="146">
        <v>43293</v>
      </c>
      <c r="AA836" s="145" t="s">
        <v>6543</v>
      </c>
      <c r="AB836" s="141" t="s">
        <v>6539</v>
      </c>
      <c r="AC836" s="141" t="s">
        <v>6542</v>
      </c>
      <c r="AD836" s="173">
        <v>43326</v>
      </c>
      <c r="AE836" s="146">
        <v>43326</v>
      </c>
      <c r="AF836" s="174" t="s">
        <v>6544</v>
      </c>
      <c r="AG836" s="141" t="s">
        <v>576</v>
      </c>
      <c r="AH836" s="141" t="s">
        <v>4189</v>
      </c>
      <c r="AI836" s="143" t="s">
        <v>9574</v>
      </c>
      <c r="AJ836" s="144" t="s">
        <v>9575</v>
      </c>
      <c r="AK836" s="145" t="s">
        <v>9573</v>
      </c>
      <c r="AL836" s="141" t="s">
        <v>9576</v>
      </c>
      <c r="AM836" s="141" t="s">
        <v>9577</v>
      </c>
      <c r="AN836" s="421"/>
      <c r="AO836" s="485">
        <v>44284</v>
      </c>
      <c r="AP836" s="189"/>
      <c r="AQ836" s="157" t="s">
        <v>6545</v>
      </c>
      <c r="AR836" s="141" t="s">
        <v>2395</v>
      </c>
      <c r="AS836" s="173">
        <v>38424</v>
      </c>
      <c r="AT836" s="173">
        <v>40633</v>
      </c>
      <c r="AU836" s="422" t="s">
        <v>4499</v>
      </c>
      <c r="AV836" s="422"/>
      <c r="AW836" s="192" t="s">
        <v>6546</v>
      </c>
      <c r="AX836" s="424" t="s">
        <v>6536</v>
      </c>
      <c r="AY836" s="173">
        <v>42024</v>
      </c>
      <c r="AZ836" s="141" t="s">
        <v>6539</v>
      </c>
      <c r="BA836" s="173">
        <v>43265</v>
      </c>
      <c r="BB836" s="681">
        <v>43294</v>
      </c>
      <c r="BC836" s="428" t="s">
        <v>95</v>
      </c>
      <c r="BD836" s="422" t="s">
        <v>4604</v>
      </c>
      <c r="BE836" s="172"/>
      <c r="BF836" s="174"/>
      <c r="BG836" s="174"/>
      <c r="BH836" s="174"/>
      <c r="BI836" s="174"/>
      <c r="BJ836" s="209">
        <f>+[343]MATRIZ!$J$72</f>
        <v>5788510.4951560302</v>
      </c>
      <c r="BK836" s="176"/>
      <c r="BL836" s="177"/>
      <c r="BM836" s="173"/>
      <c r="BN836" s="146"/>
      <c r="BO836" s="449"/>
      <c r="BP836" s="403"/>
      <c r="BQ836" s="172"/>
      <c r="BR836" s="178"/>
      <c r="BS836" s="174"/>
      <c r="BT836" s="174"/>
      <c r="BU836" s="174"/>
      <c r="BV836" s="174"/>
      <c r="BW836" s="179"/>
      <c r="BX836" s="180"/>
      <c r="BY836" s="173"/>
      <c r="BZ836" s="18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c r="JW836" s="1"/>
      <c r="JX836" s="1"/>
      <c r="JY836" s="1"/>
      <c r="JZ836" s="1"/>
      <c r="KA836" s="1"/>
      <c r="KB836" s="1"/>
      <c r="KC836" s="1"/>
      <c r="KD836" s="1"/>
      <c r="KE836" s="1"/>
      <c r="KF836" s="1"/>
      <c r="KG836" s="1"/>
      <c r="KH836" s="1"/>
      <c r="KI836" s="1"/>
      <c r="KJ836" s="1"/>
      <c r="KK836" s="1"/>
      <c r="KL836" s="1"/>
      <c r="KM836" s="1"/>
      <c r="KN836" s="1"/>
      <c r="KO836" s="1"/>
      <c r="KP836" s="1"/>
      <c r="KQ836" s="1"/>
      <c r="KR836" s="1"/>
      <c r="KS836" s="1"/>
      <c r="KT836" s="1"/>
      <c r="KU836" s="1"/>
      <c r="KV836" s="1"/>
      <c r="KW836" s="1"/>
      <c r="KX836" s="1"/>
      <c r="KY836" s="1"/>
      <c r="KZ836" s="1"/>
      <c r="LA836" s="1"/>
      <c r="LB836" s="1"/>
      <c r="LC836" s="1"/>
      <c r="LD836" s="1"/>
      <c r="LE836" s="1"/>
      <c r="LF836" s="1"/>
      <c r="LG836" s="1"/>
      <c r="LH836" s="1"/>
      <c r="LI836" s="1"/>
      <c r="LJ836" s="1"/>
      <c r="LK836" s="1"/>
      <c r="LL836" s="1"/>
      <c r="LM836" s="1"/>
      <c r="LN836" s="1"/>
      <c r="LO836" s="1"/>
      <c r="LP836" s="1"/>
      <c r="LQ836" s="1"/>
      <c r="LR836" s="1"/>
      <c r="LS836" s="1"/>
      <c r="LT836" s="1"/>
      <c r="LU836" s="1"/>
      <c r="LV836" s="1"/>
      <c r="LW836" s="1"/>
      <c r="LX836" s="1"/>
      <c r="LY836" s="1"/>
      <c r="LZ836" s="1"/>
      <c r="MA836" s="1"/>
      <c r="MB836" s="1"/>
      <c r="MC836" s="1"/>
      <c r="MD836" s="1"/>
      <c r="ME836" s="1"/>
      <c r="MF836" s="1"/>
      <c r="MG836" s="1"/>
      <c r="MH836" s="1"/>
      <c r="MI836" s="1"/>
      <c r="MJ836" s="1"/>
      <c r="MK836" s="1"/>
      <c r="ML836" s="1"/>
      <c r="MM836" s="1"/>
      <c r="MN836" s="1"/>
      <c r="MO836" s="1"/>
      <c r="MP836" s="1"/>
      <c r="MQ836" s="1"/>
      <c r="MR836" s="1"/>
      <c r="MS836" s="1"/>
      <c r="MT836" s="1"/>
      <c r="MU836" s="1"/>
      <c r="MV836" s="1"/>
      <c r="MW836" s="1"/>
      <c r="MX836" s="1"/>
      <c r="MY836" s="1"/>
      <c r="MZ836" s="1"/>
      <c r="NA836" s="1"/>
      <c r="NB836" s="1"/>
      <c r="NC836" s="1"/>
      <c r="ND836" s="1"/>
      <c r="NE836" s="1"/>
      <c r="NF836" s="1"/>
      <c r="NG836" s="1"/>
      <c r="NH836" s="1"/>
      <c r="NI836" s="1"/>
      <c r="NJ836" s="1"/>
      <c r="NK836" s="1"/>
      <c r="NL836" s="1"/>
      <c r="NM836" s="1"/>
      <c r="NN836" s="1"/>
      <c r="NO836" s="1"/>
      <c r="NP836" s="1"/>
      <c r="NQ836" s="1"/>
      <c r="NR836" s="1"/>
      <c r="NS836" s="1"/>
      <c r="NT836" s="1"/>
      <c r="NU836" s="1"/>
      <c r="NV836" s="1"/>
      <c r="NW836" s="1"/>
      <c r="NX836" s="1"/>
      <c r="NY836" s="1"/>
      <c r="NZ836" s="1"/>
      <c r="OA836" s="1"/>
      <c r="OB836" s="1"/>
      <c r="OC836" s="1"/>
      <c r="OD836" s="1"/>
      <c r="OE836" s="1"/>
      <c r="OF836" s="1"/>
      <c r="OG836" s="1"/>
      <c r="OH836" s="1"/>
      <c r="OI836" s="1"/>
      <c r="OJ836" s="1"/>
      <c r="OK836" s="1"/>
      <c r="OL836" s="1"/>
      <c r="OM836" s="1"/>
      <c r="ON836" s="1"/>
      <c r="OO836" s="1"/>
      <c r="OP836" s="1"/>
      <c r="OQ836" s="1"/>
      <c r="OR836" s="1"/>
      <c r="OS836" s="1"/>
      <c r="OT836" s="1"/>
      <c r="OU836" s="1"/>
      <c r="OV836" s="1"/>
      <c r="OW836" s="1"/>
      <c r="OX836" s="1"/>
      <c r="OY836" s="1"/>
      <c r="OZ836" s="1"/>
      <c r="PA836" s="1"/>
      <c r="PB836" s="1"/>
      <c r="PC836" s="1"/>
      <c r="PD836" s="1"/>
      <c r="PE836" s="1"/>
      <c r="PF836" s="1"/>
      <c r="PG836" s="1"/>
      <c r="PH836" s="1"/>
      <c r="PI836" s="1"/>
      <c r="PJ836" s="1"/>
      <c r="PK836" s="1"/>
      <c r="PL836" s="1"/>
      <c r="PM836" s="1"/>
      <c r="PN836" s="1"/>
      <c r="PO836" s="1"/>
      <c r="PP836" s="1"/>
      <c r="PQ836" s="1"/>
      <c r="PR836" s="1"/>
      <c r="PS836" s="1"/>
      <c r="PT836" s="1"/>
      <c r="PU836" s="1"/>
      <c r="PV836" s="1"/>
      <c r="PW836" s="1"/>
      <c r="PX836" s="1"/>
      <c r="PY836" s="1"/>
      <c r="PZ836" s="1"/>
      <c r="QA836" s="1"/>
      <c r="QB836" s="1"/>
      <c r="QC836" s="1"/>
      <c r="QD836" s="1"/>
      <c r="QE836" s="1"/>
      <c r="QF836" s="1"/>
      <c r="QG836" s="1"/>
      <c r="QH836" s="1"/>
      <c r="QI836" s="1"/>
      <c r="QJ836" s="1"/>
      <c r="QK836" s="1"/>
      <c r="QL836" s="1"/>
      <c r="QM836" s="1"/>
      <c r="QN836" s="1"/>
      <c r="QO836" s="1"/>
      <c r="QP836" s="1"/>
      <c r="QQ836" s="1"/>
      <c r="QR836" s="1"/>
      <c r="QS836" s="1"/>
      <c r="QT836" s="1"/>
      <c r="QU836" s="1"/>
      <c r="QV836" s="1"/>
      <c r="QW836" s="1"/>
      <c r="QX836" s="1"/>
      <c r="QY836" s="1"/>
      <c r="QZ836" s="1"/>
      <c r="RA836" s="1"/>
      <c r="RB836" s="1"/>
      <c r="RC836" s="1"/>
      <c r="RD836" s="1"/>
      <c r="RE836" s="1"/>
      <c r="RF836" s="1"/>
      <c r="RG836" s="1"/>
      <c r="RH836" s="1"/>
      <c r="RI836" s="1"/>
      <c r="RJ836" s="1"/>
      <c r="RK836" s="1"/>
      <c r="RL836" s="1"/>
      <c r="RM836" s="1"/>
      <c r="RN836" s="1"/>
      <c r="RO836" s="1"/>
      <c r="RP836" s="1"/>
      <c r="RQ836" s="1"/>
      <c r="RR836" s="1"/>
      <c r="RS836" s="1"/>
      <c r="RT836" s="1"/>
      <c r="RU836" s="1"/>
      <c r="RV836" s="1"/>
      <c r="RW836" s="1"/>
      <c r="RX836" s="1"/>
      <c r="RY836" s="1"/>
      <c r="RZ836" s="1"/>
      <c r="SA836" s="1"/>
      <c r="SB836" s="1"/>
      <c r="SC836" s="1"/>
      <c r="SD836" s="1"/>
      <c r="SE836" s="1"/>
      <c r="SF836" s="1"/>
      <c r="SG836" s="1"/>
      <c r="SH836" s="1"/>
      <c r="SI836" s="1"/>
      <c r="SJ836" s="1"/>
      <c r="SK836" s="1"/>
      <c r="SL836" s="1"/>
      <c r="SM836" s="1"/>
      <c r="SN836" s="1"/>
      <c r="SO836" s="1"/>
      <c r="SP836" s="1"/>
      <c r="SQ836" s="1"/>
      <c r="SR836" s="1"/>
      <c r="SS836" s="1"/>
      <c r="ST836" s="1"/>
      <c r="SU836" s="1"/>
      <c r="SV836" s="1"/>
      <c r="SW836" s="1"/>
      <c r="SX836" s="1"/>
      <c r="SY836" s="1"/>
      <c r="SZ836" s="1"/>
      <c r="TA836" s="1"/>
      <c r="TB836" s="1"/>
      <c r="TC836" s="1"/>
      <c r="TD836" s="1"/>
      <c r="TE836" s="1"/>
      <c r="TF836" s="1"/>
      <c r="TG836" s="1"/>
      <c r="TH836" s="1"/>
      <c r="TI836" s="1"/>
      <c r="TJ836" s="1"/>
      <c r="TK836" s="1"/>
      <c r="TL836" s="1"/>
      <c r="TM836" s="1"/>
      <c r="TN836" s="1"/>
      <c r="TO836" s="1"/>
      <c r="TP836" s="1"/>
      <c r="TQ836" s="1"/>
      <c r="TR836" s="1"/>
      <c r="TS836" s="1"/>
      <c r="TT836" s="1"/>
      <c r="TU836" s="1"/>
      <c r="TV836" s="1"/>
      <c r="TW836" s="1"/>
      <c r="TX836" s="1"/>
      <c r="TY836" s="1"/>
      <c r="TZ836" s="1"/>
      <c r="UA836" s="1"/>
      <c r="UB836" s="1"/>
      <c r="UC836" s="1"/>
      <c r="UD836" s="1"/>
      <c r="UE836" s="1"/>
      <c r="UF836" s="1"/>
      <c r="UG836" s="1"/>
      <c r="UH836" s="1"/>
      <c r="UI836" s="1"/>
    </row>
    <row r="837" spans="1:555" s="259" customFormat="1" ht="60" customHeight="1">
      <c r="A837" s="96">
        <v>828</v>
      </c>
      <c r="B837" s="141" t="s">
        <v>6547</v>
      </c>
      <c r="C837" s="142">
        <v>88234923</v>
      </c>
      <c r="D837" s="439" t="s">
        <v>6548</v>
      </c>
      <c r="E837" s="143">
        <v>43292</v>
      </c>
      <c r="F837" s="146">
        <v>43292</v>
      </c>
      <c r="G837" s="145" t="s">
        <v>6549</v>
      </c>
      <c r="H837" s="141" t="s">
        <v>2632</v>
      </c>
      <c r="I837" s="141" t="s">
        <v>2395</v>
      </c>
      <c r="J837" s="173">
        <v>43753</v>
      </c>
      <c r="K837" s="146">
        <v>43753</v>
      </c>
      <c r="L837" s="174" t="s">
        <v>9176</v>
      </c>
      <c r="M837" s="172" t="s">
        <v>5</v>
      </c>
      <c r="N837" s="141" t="s">
        <v>9177</v>
      </c>
      <c r="O837" s="173">
        <v>44104</v>
      </c>
      <c r="P837" s="146">
        <v>44104</v>
      </c>
      <c r="Q837" s="174" t="s">
        <v>9641</v>
      </c>
      <c r="R837" s="172" t="s">
        <v>5</v>
      </c>
      <c r="S837" s="141" t="s">
        <v>85</v>
      </c>
      <c r="T837" s="173">
        <v>44104</v>
      </c>
      <c r="U837" s="146">
        <v>44104</v>
      </c>
      <c r="V837" s="174" t="s">
        <v>9641</v>
      </c>
      <c r="W837" s="172" t="s">
        <v>5</v>
      </c>
      <c r="X837" s="141" t="s">
        <v>85</v>
      </c>
      <c r="Y837" s="173"/>
      <c r="Z837" s="146"/>
      <c r="AA837" s="174"/>
      <c r="AB837" s="172"/>
      <c r="AC837" s="141"/>
      <c r="AD837" s="173"/>
      <c r="AE837" s="146"/>
      <c r="AF837" s="174"/>
      <c r="AG837" s="172"/>
      <c r="AH837" s="141"/>
      <c r="AI837" s="175"/>
      <c r="AJ837" s="146"/>
      <c r="AK837" s="174"/>
      <c r="AL837" s="172"/>
      <c r="AM837" s="141"/>
      <c r="AN837" s="421"/>
      <c r="AO837" s="483" t="s">
        <v>7946</v>
      </c>
      <c r="AP837" s="189"/>
      <c r="AQ837" s="157" t="s">
        <v>6550</v>
      </c>
      <c r="AR837" s="141" t="s">
        <v>2395</v>
      </c>
      <c r="AS837" s="173">
        <v>40522</v>
      </c>
      <c r="AT837" s="173">
        <v>40908</v>
      </c>
      <c r="AU837" s="422" t="s">
        <v>4499</v>
      </c>
      <c r="AV837" s="422"/>
      <c r="AW837" s="192" t="s">
        <v>6546</v>
      </c>
      <c r="AX837" s="141" t="s">
        <v>6551</v>
      </c>
      <c r="AY837" s="173">
        <v>42307</v>
      </c>
      <c r="AZ837" s="141" t="s">
        <v>2632</v>
      </c>
      <c r="BA837" s="173">
        <v>43195</v>
      </c>
      <c r="BB837" s="382">
        <v>43670</v>
      </c>
      <c r="BC837" s="141" t="s">
        <v>912</v>
      </c>
      <c r="BD837" s="141" t="s">
        <v>4604</v>
      </c>
      <c r="BE837" s="172"/>
      <c r="BF837" s="174"/>
      <c r="BG837" s="174"/>
      <c r="BH837" s="174"/>
      <c r="BI837" s="174"/>
      <c r="BJ837" s="209">
        <f>+[344]MATRIZ!$J$55</f>
        <v>4668764.9130352326</v>
      </c>
      <c r="BK837" s="176"/>
      <c r="BL837" s="177"/>
      <c r="BM837" s="173"/>
      <c r="BN837" s="146"/>
      <c r="BO837" s="449"/>
      <c r="BP837" s="403"/>
      <c r="BQ837" s="172"/>
      <c r="BR837" s="178"/>
      <c r="BS837" s="174"/>
      <c r="BT837" s="174"/>
      <c r="BU837" s="174"/>
      <c r="BV837" s="174"/>
      <c r="BW837" s="179"/>
      <c r="BX837" s="180"/>
      <c r="BY837" s="173"/>
      <c r="BZ837" s="18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c r="JW837" s="1"/>
      <c r="JX837" s="1"/>
      <c r="JY837" s="1"/>
      <c r="JZ837" s="1"/>
      <c r="KA837" s="1"/>
      <c r="KB837" s="1"/>
      <c r="KC837" s="1"/>
      <c r="KD837" s="1"/>
      <c r="KE837" s="1"/>
      <c r="KF837" s="1"/>
      <c r="KG837" s="1"/>
      <c r="KH837" s="1"/>
      <c r="KI837" s="1"/>
      <c r="KJ837" s="1"/>
      <c r="KK837" s="1"/>
      <c r="KL837" s="1"/>
      <c r="KM837" s="1"/>
      <c r="KN837" s="1"/>
      <c r="KO837" s="1"/>
      <c r="KP837" s="1"/>
      <c r="KQ837" s="1"/>
      <c r="KR837" s="1"/>
      <c r="KS837" s="1"/>
      <c r="KT837" s="1"/>
      <c r="KU837" s="1"/>
      <c r="KV837" s="1"/>
      <c r="KW837" s="1"/>
      <c r="KX837" s="1"/>
      <c r="KY837" s="1"/>
      <c r="KZ837" s="1"/>
      <c r="LA837" s="1"/>
      <c r="LB837" s="1"/>
      <c r="LC837" s="1"/>
      <c r="LD837" s="1"/>
      <c r="LE837" s="1"/>
      <c r="LF837" s="1"/>
      <c r="LG837" s="1"/>
      <c r="LH837" s="1"/>
      <c r="LI837" s="1"/>
      <c r="LJ837" s="1"/>
      <c r="LK837" s="1"/>
      <c r="LL837" s="1"/>
      <c r="LM837" s="1"/>
      <c r="LN837" s="1"/>
      <c r="LO837" s="1"/>
      <c r="LP837" s="1"/>
      <c r="LQ837" s="1"/>
      <c r="LR837" s="1"/>
      <c r="LS837" s="1"/>
      <c r="LT837" s="1"/>
      <c r="LU837" s="1"/>
      <c r="LV837" s="1"/>
      <c r="LW837" s="1"/>
      <c r="LX837" s="1"/>
      <c r="LY837" s="1"/>
      <c r="LZ837" s="1"/>
      <c r="MA837" s="1"/>
      <c r="MB837" s="1"/>
      <c r="MC837" s="1"/>
      <c r="MD837" s="1"/>
      <c r="ME837" s="1"/>
      <c r="MF837" s="1"/>
      <c r="MG837" s="1"/>
      <c r="MH837" s="1"/>
      <c r="MI837" s="1"/>
      <c r="MJ837" s="1"/>
      <c r="MK837" s="1"/>
      <c r="ML837" s="1"/>
      <c r="MM837" s="1"/>
      <c r="MN837" s="1"/>
      <c r="MO837" s="1"/>
      <c r="MP837" s="1"/>
      <c r="MQ837" s="1"/>
      <c r="MR837" s="1"/>
      <c r="MS837" s="1"/>
      <c r="MT837" s="1"/>
      <c r="MU837" s="1"/>
      <c r="MV837" s="1"/>
      <c r="MW837" s="1"/>
      <c r="MX837" s="1"/>
      <c r="MY837" s="1"/>
      <c r="MZ837" s="1"/>
      <c r="NA837" s="1"/>
      <c r="NB837" s="1"/>
      <c r="NC837" s="1"/>
      <c r="ND837" s="1"/>
      <c r="NE837" s="1"/>
      <c r="NF837" s="1"/>
      <c r="NG837" s="1"/>
      <c r="NH837" s="1"/>
      <c r="NI837" s="1"/>
      <c r="NJ837" s="1"/>
      <c r="NK837" s="1"/>
      <c r="NL837" s="1"/>
      <c r="NM837" s="1"/>
      <c r="NN837" s="1"/>
      <c r="NO837" s="1"/>
      <c r="NP837" s="1"/>
      <c r="NQ837" s="1"/>
      <c r="NR837" s="1"/>
      <c r="NS837" s="1"/>
      <c r="NT837" s="1"/>
      <c r="NU837" s="1"/>
      <c r="NV837" s="1"/>
      <c r="NW837" s="1"/>
      <c r="NX837" s="1"/>
      <c r="NY837" s="1"/>
      <c r="NZ837" s="1"/>
      <c r="OA837" s="1"/>
      <c r="OB837" s="1"/>
      <c r="OC837" s="1"/>
      <c r="OD837" s="1"/>
      <c r="OE837" s="1"/>
      <c r="OF837" s="1"/>
      <c r="OG837" s="1"/>
      <c r="OH837" s="1"/>
      <c r="OI837" s="1"/>
      <c r="OJ837" s="1"/>
      <c r="OK837" s="1"/>
      <c r="OL837" s="1"/>
      <c r="OM837" s="1"/>
      <c r="ON837" s="1"/>
      <c r="OO837" s="1"/>
      <c r="OP837" s="1"/>
      <c r="OQ837" s="1"/>
      <c r="OR837" s="1"/>
      <c r="OS837" s="1"/>
      <c r="OT837" s="1"/>
      <c r="OU837" s="1"/>
      <c r="OV837" s="1"/>
      <c r="OW837" s="1"/>
      <c r="OX837" s="1"/>
      <c r="OY837" s="1"/>
      <c r="OZ837" s="1"/>
      <c r="PA837" s="1"/>
      <c r="PB837" s="1"/>
      <c r="PC837" s="1"/>
      <c r="PD837" s="1"/>
      <c r="PE837" s="1"/>
      <c r="PF837" s="1"/>
      <c r="PG837" s="1"/>
      <c r="PH837" s="1"/>
      <c r="PI837" s="1"/>
      <c r="PJ837" s="1"/>
      <c r="PK837" s="1"/>
      <c r="PL837" s="1"/>
      <c r="PM837" s="1"/>
      <c r="PN837" s="1"/>
      <c r="PO837" s="1"/>
      <c r="PP837" s="1"/>
      <c r="PQ837" s="1"/>
      <c r="PR837" s="1"/>
      <c r="PS837" s="1"/>
      <c r="PT837" s="1"/>
      <c r="PU837" s="1"/>
      <c r="PV837" s="1"/>
      <c r="PW837" s="1"/>
      <c r="PX837" s="1"/>
      <c r="PY837" s="1"/>
      <c r="PZ837" s="1"/>
      <c r="QA837" s="1"/>
      <c r="QB837" s="1"/>
      <c r="QC837" s="1"/>
      <c r="QD837" s="1"/>
      <c r="QE837" s="1"/>
      <c r="QF837" s="1"/>
      <c r="QG837" s="1"/>
      <c r="QH837" s="1"/>
      <c r="QI837" s="1"/>
      <c r="QJ837" s="1"/>
      <c r="QK837" s="1"/>
      <c r="QL837" s="1"/>
      <c r="QM837" s="1"/>
      <c r="QN837" s="1"/>
      <c r="QO837" s="1"/>
      <c r="QP837" s="1"/>
      <c r="QQ837" s="1"/>
      <c r="QR837" s="1"/>
      <c r="QS837" s="1"/>
      <c r="QT837" s="1"/>
      <c r="QU837" s="1"/>
      <c r="QV837" s="1"/>
      <c r="QW837" s="1"/>
      <c r="QX837" s="1"/>
      <c r="QY837" s="1"/>
      <c r="QZ837" s="1"/>
      <c r="RA837" s="1"/>
      <c r="RB837" s="1"/>
      <c r="RC837" s="1"/>
      <c r="RD837" s="1"/>
      <c r="RE837" s="1"/>
      <c r="RF837" s="1"/>
      <c r="RG837" s="1"/>
      <c r="RH837" s="1"/>
      <c r="RI837" s="1"/>
      <c r="RJ837" s="1"/>
      <c r="RK837" s="1"/>
      <c r="RL837" s="1"/>
      <c r="RM837" s="1"/>
      <c r="RN837" s="1"/>
      <c r="RO837" s="1"/>
      <c r="RP837" s="1"/>
      <c r="RQ837" s="1"/>
      <c r="RR837" s="1"/>
      <c r="RS837" s="1"/>
      <c r="RT837" s="1"/>
      <c r="RU837" s="1"/>
      <c r="RV837" s="1"/>
      <c r="RW837" s="1"/>
      <c r="RX837" s="1"/>
      <c r="RY837" s="1"/>
      <c r="RZ837" s="1"/>
      <c r="SA837" s="1"/>
      <c r="SB837" s="1"/>
      <c r="SC837" s="1"/>
      <c r="SD837" s="1"/>
      <c r="SE837" s="1"/>
      <c r="SF837" s="1"/>
      <c r="SG837" s="1"/>
      <c r="SH837" s="1"/>
      <c r="SI837" s="1"/>
      <c r="SJ837" s="1"/>
      <c r="SK837" s="1"/>
      <c r="SL837" s="1"/>
      <c r="SM837" s="1"/>
      <c r="SN837" s="1"/>
      <c r="SO837" s="1"/>
      <c r="SP837" s="1"/>
      <c r="SQ837" s="1"/>
      <c r="SR837" s="1"/>
      <c r="SS837" s="1"/>
      <c r="ST837" s="1"/>
      <c r="SU837" s="1"/>
      <c r="SV837" s="1"/>
      <c r="SW837" s="1"/>
      <c r="SX837" s="1"/>
      <c r="SY837" s="1"/>
      <c r="SZ837" s="1"/>
      <c r="TA837" s="1"/>
      <c r="TB837" s="1"/>
      <c r="TC837" s="1"/>
      <c r="TD837" s="1"/>
      <c r="TE837" s="1"/>
      <c r="TF837" s="1"/>
      <c r="TG837" s="1"/>
      <c r="TH837" s="1"/>
      <c r="TI837" s="1"/>
      <c r="TJ837" s="1"/>
      <c r="TK837" s="1"/>
      <c r="TL837" s="1"/>
      <c r="TM837" s="1"/>
      <c r="TN837" s="1"/>
      <c r="TO837" s="1"/>
      <c r="TP837" s="1"/>
      <c r="TQ837" s="1"/>
      <c r="TR837" s="1"/>
      <c r="TS837" s="1"/>
      <c r="TT837" s="1"/>
      <c r="TU837" s="1"/>
      <c r="TV837" s="1"/>
      <c r="TW837" s="1"/>
      <c r="TX837" s="1"/>
      <c r="TY837" s="1"/>
      <c r="TZ837" s="1"/>
      <c r="UA837" s="1"/>
      <c r="UB837" s="1"/>
      <c r="UC837" s="1"/>
      <c r="UD837" s="1"/>
      <c r="UE837" s="1"/>
      <c r="UF837" s="1"/>
      <c r="UG837" s="1"/>
      <c r="UH837" s="1"/>
      <c r="UI837" s="1"/>
    </row>
    <row r="838" spans="1:555" ht="67.5">
      <c r="A838" s="96">
        <v>829</v>
      </c>
      <c r="B838" s="853" t="s">
        <v>6552</v>
      </c>
      <c r="C838" s="419">
        <v>19422592</v>
      </c>
      <c r="D838" s="439" t="s">
        <v>772</v>
      </c>
      <c r="E838" s="423">
        <v>43287</v>
      </c>
      <c r="F838" s="146">
        <v>43287</v>
      </c>
      <c r="G838" s="26" t="s">
        <v>6553</v>
      </c>
      <c r="H838" s="26" t="s">
        <v>5</v>
      </c>
      <c r="I838" s="26" t="s">
        <v>79</v>
      </c>
      <c r="J838" s="147">
        <v>43339</v>
      </c>
      <c r="K838" s="146">
        <v>43339</v>
      </c>
      <c r="L838" s="424" t="s">
        <v>6554</v>
      </c>
      <c r="M838" s="424" t="s">
        <v>5</v>
      </c>
      <c r="N838" s="424" t="s">
        <v>85</v>
      </c>
      <c r="O838" s="147">
        <v>43339</v>
      </c>
      <c r="P838" s="146">
        <v>43339</v>
      </c>
      <c r="Q838" s="424" t="s">
        <v>6554</v>
      </c>
      <c r="R838" s="172" t="s">
        <v>5</v>
      </c>
      <c r="S838" s="141" t="s">
        <v>85</v>
      </c>
      <c r="T838" s="420">
        <v>43542</v>
      </c>
      <c r="U838" s="21">
        <v>43542</v>
      </c>
      <c r="V838" s="428" t="s">
        <v>8395</v>
      </c>
      <c r="W838" s="428" t="s">
        <v>5</v>
      </c>
      <c r="X838" s="422" t="s">
        <v>1114</v>
      </c>
      <c r="Y838" s="173"/>
      <c r="Z838" s="146"/>
      <c r="AA838" s="174"/>
      <c r="AB838" s="172"/>
      <c r="AC838" s="141"/>
      <c r="AD838" s="173"/>
      <c r="AE838" s="146"/>
      <c r="AF838" s="174"/>
      <c r="AG838" s="172"/>
      <c r="AH838" s="141"/>
      <c r="AI838" s="175"/>
      <c r="AJ838" s="146"/>
      <c r="AK838" s="174"/>
      <c r="AL838" s="172"/>
      <c r="AM838" s="141"/>
      <c r="AN838" s="421"/>
      <c r="AO838" s="485">
        <v>43287</v>
      </c>
      <c r="AP838" s="189"/>
      <c r="AQ838" s="853" t="s">
        <v>6555</v>
      </c>
      <c r="AR838" s="141" t="s">
        <v>79</v>
      </c>
      <c r="AS838" s="423">
        <v>37526</v>
      </c>
      <c r="AT838" s="423">
        <v>40566</v>
      </c>
      <c r="AU838" s="26" t="s">
        <v>6556</v>
      </c>
      <c r="AV838" s="26"/>
      <c r="AW838" s="26" t="s">
        <v>92</v>
      </c>
      <c r="AX838" s="26" t="s">
        <v>6557</v>
      </c>
      <c r="AY838" s="423">
        <v>41466</v>
      </c>
      <c r="AZ838" s="26" t="s">
        <v>4665</v>
      </c>
      <c r="BA838" s="423">
        <v>42978</v>
      </c>
      <c r="BB838" s="678">
        <v>43084</v>
      </c>
      <c r="BC838" s="428" t="s">
        <v>95</v>
      </c>
      <c r="BD838" s="141" t="s">
        <v>4604</v>
      </c>
      <c r="BE838" s="172"/>
      <c r="BF838" s="174"/>
      <c r="BG838" s="174"/>
      <c r="BH838" s="174"/>
      <c r="BI838" s="174"/>
      <c r="BJ838" s="209">
        <f>+[345]MATRIZ!$J$94</f>
        <v>0</v>
      </c>
      <c r="BK838" s="176"/>
      <c r="BL838" s="177"/>
      <c r="BM838" s="173"/>
      <c r="BN838" s="146"/>
      <c r="BO838" s="449"/>
      <c r="BP838" s="403"/>
      <c r="BQ838" s="172"/>
      <c r="BR838" s="178"/>
      <c r="BS838" s="174"/>
      <c r="BT838" s="174"/>
      <c r="BU838" s="174"/>
      <c r="BV838" s="174"/>
      <c r="BW838" s="179"/>
      <c r="BX838" s="180"/>
      <c r="BY838" s="173"/>
      <c r="BZ838" s="181"/>
    </row>
    <row r="839" spans="1:555" ht="54">
      <c r="A839" s="502">
        <v>830</v>
      </c>
      <c r="B839" s="686" t="s">
        <v>6558</v>
      </c>
      <c r="C839" s="687">
        <v>77190688</v>
      </c>
      <c r="D839" s="688" t="s">
        <v>99</v>
      </c>
      <c r="E839" s="27">
        <v>43308</v>
      </c>
      <c r="F839" s="691">
        <v>43308</v>
      </c>
      <c r="G839" s="780" t="s">
        <v>6559</v>
      </c>
      <c r="H839" s="686" t="s">
        <v>142</v>
      </c>
      <c r="I839" s="686" t="s">
        <v>2395</v>
      </c>
      <c r="J839" s="171">
        <v>43383</v>
      </c>
      <c r="K839" s="691">
        <v>43383</v>
      </c>
      <c r="L839" s="717" t="s">
        <v>7282</v>
      </c>
      <c r="M839" s="692" t="s">
        <v>5</v>
      </c>
      <c r="N839" s="686" t="s">
        <v>79</v>
      </c>
      <c r="O839" s="171">
        <v>43712</v>
      </c>
      <c r="P839" s="691">
        <v>43712</v>
      </c>
      <c r="Q839" s="717" t="s">
        <v>9145</v>
      </c>
      <c r="R839" s="692" t="s">
        <v>5</v>
      </c>
      <c r="S839" s="686" t="s">
        <v>8001</v>
      </c>
      <c r="T839" s="171">
        <v>43971</v>
      </c>
      <c r="U839" s="691">
        <v>43971</v>
      </c>
      <c r="V839" s="717" t="s">
        <v>9508</v>
      </c>
      <c r="W839" s="692" t="s">
        <v>63</v>
      </c>
      <c r="X839" s="686" t="s">
        <v>8243</v>
      </c>
      <c r="Y839" s="171"/>
      <c r="Z839" s="691"/>
      <c r="AA839" s="717"/>
      <c r="AB839" s="692"/>
      <c r="AC839" s="686"/>
      <c r="AD839" s="171"/>
      <c r="AE839" s="691"/>
      <c r="AF839" s="717"/>
      <c r="AG839" s="692"/>
      <c r="AH839" s="686"/>
      <c r="AI839" s="780"/>
      <c r="AJ839" s="691"/>
      <c r="AK839" s="717"/>
      <c r="AL839" s="692"/>
      <c r="AM839" s="686"/>
      <c r="AN839" s="692" t="s">
        <v>6474</v>
      </c>
      <c r="AO839" s="774" t="s">
        <v>7946</v>
      </c>
      <c r="AP839" s="692" t="s">
        <v>2558</v>
      </c>
      <c r="AQ839" s="717" t="s">
        <v>8200</v>
      </c>
      <c r="AR839" s="686" t="s">
        <v>2395</v>
      </c>
      <c r="AS839" s="171">
        <v>39449</v>
      </c>
      <c r="AT839" s="171">
        <v>40663</v>
      </c>
      <c r="AU839" s="704" t="s">
        <v>7283</v>
      </c>
      <c r="AV839" s="704"/>
      <c r="AW839" s="787" t="s">
        <v>6546</v>
      </c>
      <c r="AX839" s="686" t="s">
        <v>6560</v>
      </c>
      <c r="AY839" s="171">
        <v>42950</v>
      </c>
      <c r="AZ839" s="686" t="s">
        <v>142</v>
      </c>
      <c r="BA839" s="171">
        <v>43300</v>
      </c>
      <c r="BB839" s="27">
        <v>43313</v>
      </c>
      <c r="BC839" s="686" t="s">
        <v>95</v>
      </c>
      <c r="BD839" s="686" t="s">
        <v>4604</v>
      </c>
      <c r="BE839" s="692"/>
      <c r="BF839" s="717"/>
      <c r="BG839" s="717"/>
      <c r="BH839" s="717"/>
      <c r="BI839" s="717"/>
      <c r="BJ839" s="708">
        <f>+[346]MATRIZ!$J$63</f>
        <v>0</v>
      </c>
      <c r="BK839" s="708"/>
      <c r="BL839" s="718"/>
      <c r="BM839" s="171"/>
      <c r="BN839" s="691"/>
      <c r="BO839" s="720"/>
      <c r="BP839" s="782"/>
      <c r="BQ839" s="692"/>
      <c r="BR839" s="783"/>
      <c r="BS839" s="717"/>
      <c r="BT839" s="717"/>
      <c r="BU839" s="717"/>
      <c r="BV839" s="717"/>
      <c r="BW839" s="784"/>
      <c r="BX839" s="785"/>
      <c r="BY839" s="171"/>
      <c r="BZ839" s="786"/>
      <c r="CA839" s="259"/>
      <c r="CB839" s="259"/>
      <c r="CC839" s="259"/>
      <c r="CD839" s="259"/>
      <c r="CE839" s="259"/>
      <c r="CF839" s="259"/>
      <c r="CG839" s="259"/>
      <c r="CH839" s="259"/>
      <c r="CI839" s="259"/>
      <c r="CJ839" s="259"/>
      <c r="CK839" s="259"/>
      <c r="CL839" s="259"/>
      <c r="CM839" s="259"/>
      <c r="CN839" s="259"/>
      <c r="CO839" s="259"/>
      <c r="CP839" s="259"/>
      <c r="CQ839" s="259"/>
      <c r="CR839" s="259"/>
      <c r="CS839" s="259"/>
      <c r="CT839" s="259"/>
      <c r="CU839" s="259"/>
      <c r="CV839" s="259"/>
      <c r="CW839" s="259"/>
      <c r="CX839" s="259"/>
      <c r="CY839" s="259"/>
      <c r="CZ839" s="259"/>
      <c r="DA839" s="259"/>
      <c r="DB839" s="259"/>
      <c r="DC839" s="259"/>
      <c r="DD839" s="259"/>
      <c r="DE839" s="259"/>
      <c r="DF839" s="259"/>
      <c r="DG839" s="259"/>
      <c r="DH839" s="259"/>
      <c r="DI839" s="259"/>
      <c r="DJ839" s="259"/>
      <c r="DK839" s="259"/>
      <c r="DL839" s="259"/>
      <c r="DM839" s="259"/>
      <c r="DN839" s="259"/>
      <c r="DO839" s="259"/>
      <c r="DP839" s="259"/>
      <c r="DQ839" s="259"/>
      <c r="DR839" s="259"/>
      <c r="DS839" s="259"/>
      <c r="DT839" s="259"/>
      <c r="DU839" s="259"/>
      <c r="DV839" s="259"/>
      <c r="DW839" s="259"/>
      <c r="DX839" s="259"/>
      <c r="DY839" s="259"/>
      <c r="DZ839" s="259"/>
      <c r="EA839" s="259"/>
      <c r="EB839" s="259"/>
      <c r="EC839" s="259"/>
      <c r="ED839" s="259"/>
      <c r="EE839" s="259"/>
      <c r="EF839" s="259"/>
      <c r="EG839" s="259"/>
      <c r="EH839" s="259"/>
      <c r="EI839" s="259"/>
      <c r="EJ839" s="259"/>
      <c r="EK839" s="259"/>
      <c r="EL839" s="259"/>
      <c r="EM839" s="259"/>
      <c r="EN839" s="259"/>
      <c r="EO839" s="259"/>
      <c r="EP839" s="259"/>
      <c r="EQ839" s="259"/>
      <c r="ER839" s="259"/>
      <c r="ES839" s="259"/>
      <c r="ET839" s="259"/>
      <c r="EU839" s="259"/>
      <c r="EV839" s="259"/>
      <c r="EW839" s="259"/>
      <c r="EX839" s="259"/>
      <c r="EY839" s="259"/>
      <c r="EZ839" s="259"/>
      <c r="FA839" s="259"/>
      <c r="FB839" s="259"/>
      <c r="FC839" s="259"/>
      <c r="FD839" s="259"/>
      <c r="FE839" s="259"/>
      <c r="FF839" s="259"/>
      <c r="FG839" s="259"/>
      <c r="FH839" s="259"/>
      <c r="FI839" s="259"/>
      <c r="FJ839" s="259"/>
      <c r="FK839" s="259"/>
      <c r="FL839" s="259"/>
      <c r="FM839" s="259"/>
      <c r="FN839" s="259"/>
      <c r="FO839" s="259"/>
      <c r="FP839" s="259"/>
      <c r="FQ839" s="259"/>
      <c r="FR839" s="259"/>
      <c r="FS839" s="259"/>
      <c r="FT839" s="259"/>
      <c r="FU839" s="259"/>
      <c r="FV839" s="259"/>
      <c r="FW839" s="259"/>
      <c r="FX839" s="259"/>
      <c r="FY839" s="259"/>
      <c r="FZ839" s="259"/>
      <c r="GA839" s="259"/>
      <c r="GB839" s="259"/>
      <c r="GC839" s="259"/>
      <c r="GD839" s="259"/>
      <c r="GE839" s="259"/>
      <c r="GF839" s="259"/>
      <c r="GG839" s="259"/>
      <c r="GH839" s="259"/>
      <c r="GI839" s="259"/>
      <c r="GJ839" s="259"/>
      <c r="GK839" s="259"/>
      <c r="GL839" s="259"/>
      <c r="GM839" s="259"/>
      <c r="GN839" s="259"/>
      <c r="GO839" s="259"/>
      <c r="GP839" s="259"/>
      <c r="GQ839" s="259"/>
      <c r="GR839" s="259"/>
      <c r="GS839" s="259"/>
      <c r="GT839" s="259"/>
      <c r="GU839" s="259"/>
      <c r="GV839" s="259"/>
      <c r="GW839" s="259"/>
      <c r="GX839" s="259"/>
      <c r="GY839" s="259"/>
      <c r="GZ839" s="259"/>
      <c r="HA839" s="259"/>
      <c r="HB839" s="259"/>
      <c r="HC839" s="259"/>
      <c r="HD839" s="259"/>
      <c r="HE839" s="259"/>
      <c r="HF839" s="259"/>
      <c r="HG839" s="259"/>
      <c r="HH839" s="259"/>
      <c r="HI839" s="259"/>
      <c r="HJ839" s="259"/>
      <c r="HK839" s="259"/>
      <c r="HL839" s="259"/>
      <c r="HM839" s="259"/>
      <c r="HN839" s="259"/>
      <c r="HO839" s="259"/>
      <c r="HP839" s="259"/>
      <c r="HQ839" s="259"/>
      <c r="HR839" s="259"/>
      <c r="HS839" s="259"/>
      <c r="HT839" s="259"/>
      <c r="HU839" s="259"/>
      <c r="HV839" s="259"/>
      <c r="HW839" s="259"/>
      <c r="HX839" s="259"/>
      <c r="HY839" s="259"/>
      <c r="HZ839" s="259"/>
      <c r="IA839" s="259"/>
      <c r="IB839" s="259"/>
      <c r="IC839" s="259"/>
      <c r="ID839" s="259"/>
      <c r="IE839" s="259"/>
      <c r="IF839" s="259"/>
      <c r="IG839" s="259"/>
      <c r="IH839" s="259"/>
      <c r="II839" s="259"/>
      <c r="IJ839" s="259"/>
      <c r="IK839" s="259"/>
      <c r="IL839" s="259"/>
      <c r="IM839" s="259"/>
      <c r="IN839" s="259"/>
      <c r="IO839" s="259"/>
      <c r="IP839" s="259"/>
      <c r="IQ839" s="259"/>
      <c r="IR839" s="259"/>
      <c r="IS839" s="259"/>
      <c r="IT839" s="259"/>
      <c r="IU839" s="259"/>
      <c r="IV839" s="259"/>
      <c r="IW839" s="259"/>
      <c r="IX839" s="259"/>
      <c r="IY839" s="259"/>
      <c r="IZ839" s="259"/>
      <c r="JA839" s="259"/>
      <c r="JB839" s="259"/>
      <c r="JC839" s="259"/>
      <c r="JD839" s="259"/>
      <c r="JE839" s="259"/>
      <c r="JF839" s="259"/>
      <c r="JG839" s="259"/>
      <c r="JH839" s="259"/>
      <c r="JI839" s="259"/>
      <c r="JJ839" s="259"/>
      <c r="JK839" s="259"/>
      <c r="JL839" s="259"/>
      <c r="JM839" s="259"/>
      <c r="JN839" s="259"/>
      <c r="JO839" s="259"/>
      <c r="JP839" s="259"/>
      <c r="JQ839" s="259"/>
      <c r="JR839" s="259"/>
      <c r="JS839" s="259"/>
      <c r="JT839" s="259"/>
      <c r="JU839" s="259"/>
      <c r="JV839" s="259"/>
      <c r="JW839" s="259"/>
      <c r="JX839" s="259"/>
      <c r="JY839" s="259"/>
      <c r="JZ839" s="259"/>
      <c r="KA839" s="259"/>
      <c r="KB839" s="259"/>
      <c r="KC839" s="259"/>
      <c r="KD839" s="259"/>
      <c r="KE839" s="259"/>
      <c r="KF839" s="259"/>
      <c r="KG839" s="259"/>
      <c r="KH839" s="259"/>
      <c r="KI839" s="259"/>
      <c r="KJ839" s="259"/>
      <c r="KK839" s="259"/>
      <c r="KL839" s="259"/>
      <c r="KM839" s="259"/>
      <c r="KN839" s="259"/>
      <c r="KO839" s="259"/>
      <c r="KP839" s="259"/>
      <c r="KQ839" s="259"/>
      <c r="KR839" s="259"/>
      <c r="KS839" s="259"/>
      <c r="KT839" s="259"/>
      <c r="KU839" s="259"/>
      <c r="KV839" s="259"/>
      <c r="KW839" s="259"/>
      <c r="KX839" s="259"/>
      <c r="KY839" s="259"/>
      <c r="KZ839" s="259"/>
      <c r="LA839" s="259"/>
      <c r="LB839" s="259"/>
      <c r="LC839" s="259"/>
      <c r="LD839" s="259"/>
      <c r="LE839" s="259"/>
      <c r="LF839" s="259"/>
      <c r="LG839" s="259"/>
      <c r="LH839" s="259"/>
      <c r="LI839" s="259"/>
      <c r="LJ839" s="259"/>
      <c r="LK839" s="259"/>
      <c r="LL839" s="259"/>
      <c r="LM839" s="259"/>
      <c r="LN839" s="259"/>
      <c r="LO839" s="259"/>
      <c r="LP839" s="259"/>
      <c r="LQ839" s="259"/>
      <c r="LR839" s="259"/>
      <c r="LS839" s="259"/>
      <c r="LT839" s="259"/>
      <c r="LU839" s="259"/>
      <c r="LV839" s="259"/>
      <c r="LW839" s="259"/>
      <c r="LX839" s="259"/>
      <c r="LY839" s="259"/>
      <c r="LZ839" s="259"/>
      <c r="MA839" s="259"/>
      <c r="MB839" s="259"/>
      <c r="MC839" s="259"/>
      <c r="MD839" s="259"/>
      <c r="ME839" s="259"/>
      <c r="MF839" s="259"/>
      <c r="MG839" s="259"/>
      <c r="MH839" s="259"/>
      <c r="MI839" s="259"/>
      <c r="MJ839" s="259"/>
      <c r="MK839" s="259"/>
      <c r="ML839" s="259"/>
      <c r="MM839" s="259"/>
      <c r="MN839" s="259"/>
      <c r="MO839" s="259"/>
      <c r="MP839" s="259"/>
      <c r="MQ839" s="259"/>
      <c r="MR839" s="259"/>
      <c r="MS839" s="259"/>
      <c r="MT839" s="259"/>
      <c r="MU839" s="259"/>
      <c r="MV839" s="259"/>
      <c r="MW839" s="259"/>
      <c r="MX839" s="259"/>
      <c r="MY839" s="259"/>
      <c r="MZ839" s="259"/>
      <c r="NA839" s="259"/>
      <c r="NB839" s="259"/>
      <c r="NC839" s="259"/>
      <c r="ND839" s="259"/>
      <c r="NE839" s="259"/>
      <c r="NF839" s="259"/>
      <c r="NG839" s="259"/>
      <c r="NH839" s="259"/>
      <c r="NI839" s="259"/>
      <c r="NJ839" s="259"/>
      <c r="NK839" s="259"/>
      <c r="NL839" s="259"/>
      <c r="NM839" s="259"/>
      <c r="NN839" s="259"/>
      <c r="NO839" s="259"/>
      <c r="NP839" s="259"/>
      <c r="NQ839" s="259"/>
      <c r="NR839" s="259"/>
      <c r="NS839" s="259"/>
      <c r="NT839" s="259"/>
      <c r="NU839" s="259"/>
      <c r="NV839" s="259"/>
      <c r="NW839" s="259"/>
      <c r="NX839" s="259"/>
      <c r="NY839" s="259"/>
      <c r="NZ839" s="259"/>
      <c r="OA839" s="259"/>
      <c r="OB839" s="259"/>
      <c r="OC839" s="259"/>
      <c r="OD839" s="259"/>
      <c r="OE839" s="259"/>
      <c r="OF839" s="259"/>
      <c r="OG839" s="259"/>
      <c r="OH839" s="259"/>
      <c r="OI839" s="259"/>
      <c r="OJ839" s="259"/>
      <c r="OK839" s="259"/>
      <c r="OL839" s="259"/>
      <c r="OM839" s="259"/>
      <c r="ON839" s="259"/>
      <c r="OO839" s="259"/>
      <c r="OP839" s="259"/>
      <c r="OQ839" s="259"/>
      <c r="OR839" s="259"/>
      <c r="OS839" s="259"/>
      <c r="OT839" s="259"/>
      <c r="OU839" s="259"/>
      <c r="OV839" s="259"/>
      <c r="OW839" s="259"/>
      <c r="OX839" s="259"/>
      <c r="OY839" s="259"/>
      <c r="OZ839" s="259"/>
      <c r="PA839" s="259"/>
      <c r="PB839" s="259"/>
      <c r="PC839" s="259"/>
      <c r="PD839" s="259"/>
      <c r="PE839" s="259"/>
      <c r="PF839" s="259"/>
      <c r="PG839" s="259"/>
      <c r="PH839" s="259"/>
      <c r="PI839" s="259"/>
      <c r="PJ839" s="259"/>
      <c r="PK839" s="259"/>
      <c r="PL839" s="259"/>
      <c r="PM839" s="259"/>
      <c r="PN839" s="259"/>
      <c r="PO839" s="259"/>
      <c r="PP839" s="259"/>
      <c r="PQ839" s="259"/>
      <c r="PR839" s="259"/>
      <c r="PS839" s="259"/>
      <c r="PT839" s="259"/>
      <c r="PU839" s="259"/>
      <c r="PV839" s="259"/>
      <c r="PW839" s="259"/>
      <c r="PX839" s="259"/>
      <c r="PY839" s="259"/>
      <c r="PZ839" s="259"/>
      <c r="QA839" s="259"/>
      <c r="QB839" s="259"/>
      <c r="QC839" s="259"/>
      <c r="QD839" s="259"/>
      <c r="QE839" s="259"/>
      <c r="QF839" s="259"/>
      <c r="QG839" s="259"/>
      <c r="QH839" s="259"/>
      <c r="QI839" s="259"/>
      <c r="QJ839" s="259"/>
      <c r="QK839" s="259"/>
      <c r="QL839" s="259"/>
      <c r="QM839" s="259"/>
      <c r="QN839" s="259"/>
      <c r="QO839" s="259"/>
      <c r="QP839" s="259"/>
      <c r="QQ839" s="259"/>
      <c r="QR839" s="259"/>
      <c r="QS839" s="259"/>
      <c r="QT839" s="259"/>
      <c r="QU839" s="259"/>
      <c r="QV839" s="259"/>
      <c r="QW839" s="259"/>
      <c r="QX839" s="259"/>
      <c r="QY839" s="259"/>
      <c r="QZ839" s="259"/>
      <c r="RA839" s="259"/>
      <c r="RB839" s="259"/>
      <c r="RC839" s="259"/>
      <c r="RD839" s="259"/>
      <c r="RE839" s="259"/>
      <c r="RF839" s="259"/>
      <c r="RG839" s="259"/>
      <c r="RH839" s="259"/>
      <c r="RI839" s="259"/>
      <c r="RJ839" s="259"/>
      <c r="RK839" s="259"/>
      <c r="RL839" s="259"/>
      <c r="RM839" s="259"/>
      <c r="RN839" s="259"/>
      <c r="RO839" s="259"/>
      <c r="RP839" s="259"/>
      <c r="RQ839" s="259"/>
      <c r="RR839" s="259"/>
      <c r="RS839" s="259"/>
      <c r="RT839" s="259"/>
      <c r="RU839" s="259"/>
      <c r="RV839" s="259"/>
      <c r="RW839" s="259"/>
      <c r="RX839" s="259"/>
      <c r="RY839" s="259"/>
      <c r="RZ839" s="259"/>
      <c r="SA839" s="259"/>
      <c r="SB839" s="259"/>
      <c r="SC839" s="259"/>
      <c r="SD839" s="259"/>
      <c r="SE839" s="259"/>
      <c r="SF839" s="259"/>
      <c r="SG839" s="259"/>
      <c r="SH839" s="259"/>
      <c r="SI839" s="259"/>
      <c r="SJ839" s="259"/>
      <c r="SK839" s="259"/>
      <c r="SL839" s="259"/>
      <c r="SM839" s="259"/>
      <c r="SN839" s="259"/>
      <c r="SO839" s="259"/>
      <c r="SP839" s="259"/>
      <c r="SQ839" s="259"/>
      <c r="SR839" s="259"/>
      <c r="SS839" s="259"/>
      <c r="ST839" s="259"/>
      <c r="SU839" s="259"/>
      <c r="SV839" s="259"/>
      <c r="SW839" s="259"/>
      <c r="SX839" s="259"/>
      <c r="SY839" s="259"/>
      <c r="SZ839" s="259"/>
      <c r="TA839" s="259"/>
      <c r="TB839" s="259"/>
      <c r="TC839" s="259"/>
      <c r="TD839" s="259"/>
      <c r="TE839" s="259"/>
      <c r="TF839" s="259"/>
      <c r="TG839" s="259"/>
      <c r="TH839" s="259"/>
      <c r="TI839" s="259"/>
      <c r="TJ839" s="259"/>
      <c r="TK839" s="259"/>
      <c r="TL839" s="259"/>
      <c r="TM839" s="259"/>
      <c r="TN839" s="259"/>
      <c r="TO839" s="259"/>
      <c r="TP839" s="259"/>
      <c r="TQ839" s="259"/>
      <c r="TR839" s="259"/>
      <c r="TS839" s="259"/>
      <c r="TT839" s="259"/>
      <c r="TU839" s="259"/>
      <c r="TV839" s="259"/>
      <c r="TW839" s="259"/>
      <c r="TX839" s="259"/>
      <c r="TY839" s="259"/>
      <c r="TZ839" s="259"/>
      <c r="UA839" s="259"/>
      <c r="UB839" s="259"/>
      <c r="UC839" s="259"/>
      <c r="UD839" s="259"/>
      <c r="UE839" s="259"/>
      <c r="UF839" s="259"/>
      <c r="UG839" s="259"/>
      <c r="UH839" s="259"/>
      <c r="UI839" s="259"/>
    </row>
    <row r="840" spans="1:555" ht="66" customHeight="1">
      <c r="A840" s="502">
        <v>831</v>
      </c>
      <c r="B840" s="706" t="s">
        <v>6561</v>
      </c>
      <c r="C840" s="687">
        <v>80054590</v>
      </c>
      <c r="D840" s="688" t="s">
        <v>5980</v>
      </c>
      <c r="E840" s="27">
        <v>43311</v>
      </c>
      <c r="F840" s="691">
        <v>43311</v>
      </c>
      <c r="G840" s="690" t="s">
        <v>6562</v>
      </c>
      <c r="H840" s="686" t="s">
        <v>2632</v>
      </c>
      <c r="I840" s="686" t="s">
        <v>2395</v>
      </c>
      <c r="J840" s="171">
        <v>43311</v>
      </c>
      <c r="K840" s="691">
        <v>43311</v>
      </c>
      <c r="L840" s="717" t="s">
        <v>6563</v>
      </c>
      <c r="M840" s="692" t="s">
        <v>625</v>
      </c>
      <c r="N840" s="686" t="s">
        <v>6564</v>
      </c>
      <c r="O840" s="171">
        <v>43335</v>
      </c>
      <c r="P840" s="691">
        <v>43335</v>
      </c>
      <c r="Q840" s="717" t="s">
        <v>6565</v>
      </c>
      <c r="R840" s="692" t="s">
        <v>625</v>
      </c>
      <c r="S840" s="686" t="s">
        <v>3423</v>
      </c>
      <c r="T840" s="171">
        <v>43570</v>
      </c>
      <c r="U840" s="691">
        <v>43570</v>
      </c>
      <c r="V840" s="717" t="s">
        <v>8670</v>
      </c>
      <c r="W840" s="692" t="s">
        <v>63</v>
      </c>
      <c r="X840" s="686" t="s">
        <v>79</v>
      </c>
      <c r="Y840" s="171">
        <v>43635</v>
      </c>
      <c r="Z840" s="691">
        <v>43635</v>
      </c>
      <c r="AA840" s="717" t="s">
        <v>8873</v>
      </c>
      <c r="AB840" s="692" t="s">
        <v>5</v>
      </c>
      <c r="AC840" s="686" t="s">
        <v>79</v>
      </c>
      <c r="AD840" s="171"/>
      <c r="AE840" s="691"/>
      <c r="AF840" s="717"/>
      <c r="AG840" s="692"/>
      <c r="AH840" s="686"/>
      <c r="AI840" s="780"/>
      <c r="AJ840" s="691"/>
      <c r="AK840" s="717"/>
      <c r="AL840" s="692"/>
      <c r="AM840" s="686"/>
      <c r="AN840" s="692"/>
      <c r="AO840" s="774" t="s">
        <v>7946</v>
      </c>
      <c r="AP840" s="707"/>
      <c r="AQ840" s="160" t="s">
        <v>6566</v>
      </c>
      <c r="AR840" s="686" t="s">
        <v>2395</v>
      </c>
      <c r="AS840" s="171">
        <v>39815</v>
      </c>
      <c r="AT840" s="171">
        <v>40862</v>
      </c>
      <c r="AU840" s="704" t="s">
        <v>6567</v>
      </c>
      <c r="AV840" s="704"/>
      <c r="AW840" s="787" t="s">
        <v>6546</v>
      </c>
      <c r="AX840" s="686" t="s">
        <v>6568</v>
      </c>
      <c r="AY840" s="171">
        <v>42489</v>
      </c>
      <c r="AZ840" s="686" t="s">
        <v>2632</v>
      </c>
      <c r="BA840" s="171">
        <v>43306</v>
      </c>
      <c r="BB840" s="171">
        <v>43314</v>
      </c>
      <c r="BC840" s="686" t="s">
        <v>95</v>
      </c>
      <c r="BD840" s="686" t="s">
        <v>4604</v>
      </c>
      <c r="BE840" s="692"/>
      <c r="BF840" s="717"/>
      <c r="BG840" s="717"/>
      <c r="BH840" s="717"/>
      <c r="BI840" s="717"/>
      <c r="BJ840" s="708">
        <f>+'[347]MATRIZ '!$J$65</f>
        <v>0</v>
      </c>
      <c r="BK840" s="708"/>
      <c r="BL840" s="718"/>
      <c r="BM840" s="171"/>
      <c r="BN840" s="691"/>
      <c r="BO840" s="720"/>
      <c r="BP840" s="782"/>
      <c r="BQ840" s="692"/>
      <c r="BR840" s="783"/>
      <c r="BS840" s="717"/>
      <c r="BT840" s="717"/>
      <c r="BU840" s="717"/>
      <c r="BV840" s="717"/>
      <c r="BW840" s="784"/>
      <c r="BX840" s="785"/>
      <c r="BY840" s="171"/>
      <c r="BZ840" s="786"/>
      <c r="CA840" s="259"/>
      <c r="CB840" s="259"/>
      <c r="CC840" s="259"/>
      <c r="CD840" s="259"/>
      <c r="CE840" s="259"/>
      <c r="CF840" s="259"/>
      <c r="CG840" s="259"/>
      <c r="CH840" s="259"/>
      <c r="CI840" s="259"/>
      <c r="CJ840" s="259"/>
      <c r="CK840" s="259"/>
      <c r="CL840" s="259"/>
      <c r="CM840" s="259"/>
      <c r="CN840" s="259"/>
      <c r="CO840" s="259"/>
      <c r="CP840" s="259"/>
      <c r="CQ840" s="259"/>
      <c r="CR840" s="259"/>
      <c r="CS840" s="259"/>
      <c r="CT840" s="259"/>
      <c r="CU840" s="259"/>
      <c r="CV840" s="259"/>
      <c r="CW840" s="259"/>
      <c r="CX840" s="259"/>
      <c r="CY840" s="259"/>
      <c r="CZ840" s="259"/>
      <c r="DA840" s="259"/>
      <c r="DB840" s="259"/>
      <c r="DC840" s="259"/>
      <c r="DD840" s="259"/>
      <c r="DE840" s="259"/>
      <c r="DF840" s="259"/>
      <c r="DG840" s="259"/>
      <c r="DH840" s="259"/>
      <c r="DI840" s="259"/>
      <c r="DJ840" s="259"/>
      <c r="DK840" s="259"/>
      <c r="DL840" s="259"/>
      <c r="DM840" s="259"/>
      <c r="DN840" s="259"/>
      <c r="DO840" s="259"/>
      <c r="DP840" s="259"/>
      <c r="DQ840" s="259"/>
      <c r="DR840" s="259"/>
      <c r="DS840" s="259"/>
      <c r="DT840" s="259"/>
      <c r="DU840" s="259"/>
      <c r="DV840" s="259"/>
      <c r="DW840" s="259"/>
      <c r="DX840" s="259"/>
      <c r="DY840" s="259"/>
      <c r="DZ840" s="259"/>
      <c r="EA840" s="259"/>
      <c r="EB840" s="259"/>
      <c r="EC840" s="259"/>
      <c r="ED840" s="259"/>
      <c r="EE840" s="259"/>
      <c r="EF840" s="259"/>
      <c r="EG840" s="259"/>
      <c r="EH840" s="259"/>
      <c r="EI840" s="259"/>
      <c r="EJ840" s="259"/>
      <c r="EK840" s="259"/>
      <c r="EL840" s="259"/>
      <c r="EM840" s="259"/>
      <c r="EN840" s="259"/>
      <c r="EO840" s="259"/>
      <c r="EP840" s="259"/>
      <c r="EQ840" s="259"/>
      <c r="ER840" s="259"/>
      <c r="ES840" s="259"/>
      <c r="ET840" s="259"/>
      <c r="EU840" s="259"/>
      <c r="EV840" s="259"/>
      <c r="EW840" s="259"/>
      <c r="EX840" s="259"/>
      <c r="EY840" s="259"/>
      <c r="EZ840" s="259"/>
      <c r="FA840" s="259"/>
      <c r="FB840" s="259"/>
      <c r="FC840" s="259"/>
      <c r="FD840" s="259"/>
      <c r="FE840" s="259"/>
      <c r="FF840" s="259"/>
      <c r="FG840" s="259"/>
      <c r="FH840" s="259"/>
      <c r="FI840" s="259"/>
      <c r="FJ840" s="259"/>
      <c r="FK840" s="259"/>
      <c r="FL840" s="259"/>
      <c r="FM840" s="259"/>
      <c r="FN840" s="259"/>
      <c r="FO840" s="259"/>
      <c r="FP840" s="259"/>
      <c r="FQ840" s="259"/>
      <c r="FR840" s="259"/>
      <c r="FS840" s="259"/>
      <c r="FT840" s="259"/>
      <c r="FU840" s="259"/>
      <c r="FV840" s="259"/>
      <c r="FW840" s="259"/>
      <c r="FX840" s="259"/>
      <c r="FY840" s="259"/>
      <c r="FZ840" s="259"/>
      <c r="GA840" s="259"/>
      <c r="GB840" s="259"/>
      <c r="GC840" s="259"/>
      <c r="GD840" s="259"/>
      <c r="GE840" s="259"/>
      <c r="GF840" s="259"/>
      <c r="GG840" s="259"/>
      <c r="GH840" s="259"/>
      <c r="GI840" s="259"/>
      <c r="GJ840" s="259"/>
      <c r="GK840" s="259"/>
      <c r="GL840" s="259"/>
      <c r="GM840" s="259"/>
      <c r="GN840" s="259"/>
      <c r="GO840" s="259"/>
      <c r="GP840" s="259"/>
      <c r="GQ840" s="259"/>
      <c r="GR840" s="259"/>
      <c r="GS840" s="259"/>
      <c r="GT840" s="259"/>
      <c r="GU840" s="259"/>
      <c r="GV840" s="259"/>
      <c r="GW840" s="259"/>
      <c r="GX840" s="259"/>
      <c r="GY840" s="259"/>
      <c r="GZ840" s="259"/>
      <c r="HA840" s="259"/>
      <c r="HB840" s="259"/>
      <c r="HC840" s="259"/>
      <c r="HD840" s="259"/>
      <c r="HE840" s="259"/>
      <c r="HF840" s="259"/>
      <c r="HG840" s="259"/>
      <c r="HH840" s="259"/>
      <c r="HI840" s="259"/>
      <c r="HJ840" s="259"/>
      <c r="HK840" s="259"/>
      <c r="HL840" s="259"/>
      <c r="HM840" s="259"/>
      <c r="HN840" s="259"/>
      <c r="HO840" s="259"/>
      <c r="HP840" s="259"/>
      <c r="HQ840" s="259"/>
      <c r="HR840" s="259"/>
      <c r="HS840" s="259"/>
      <c r="HT840" s="259"/>
      <c r="HU840" s="259"/>
      <c r="HV840" s="259"/>
      <c r="HW840" s="259"/>
      <c r="HX840" s="259"/>
      <c r="HY840" s="259"/>
      <c r="HZ840" s="259"/>
      <c r="IA840" s="259"/>
      <c r="IB840" s="259"/>
      <c r="IC840" s="259"/>
      <c r="ID840" s="259"/>
      <c r="IE840" s="259"/>
      <c r="IF840" s="259"/>
      <c r="IG840" s="259"/>
      <c r="IH840" s="259"/>
      <c r="II840" s="259"/>
      <c r="IJ840" s="259"/>
      <c r="IK840" s="259"/>
      <c r="IL840" s="259"/>
      <c r="IM840" s="259"/>
      <c r="IN840" s="259"/>
      <c r="IO840" s="259"/>
      <c r="IP840" s="259"/>
      <c r="IQ840" s="259"/>
      <c r="IR840" s="259"/>
      <c r="IS840" s="259"/>
      <c r="IT840" s="259"/>
      <c r="IU840" s="259"/>
      <c r="IV840" s="259"/>
      <c r="IW840" s="259"/>
      <c r="IX840" s="259"/>
      <c r="IY840" s="259"/>
      <c r="IZ840" s="259"/>
      <c r="JA840" s="259"/>
      <c r="JB840" s="259"/>
      <c r="JC840" s="259"/>
      <c r="JD840" s="259"/>
      <c r="JE840" s="259"/>
      <c r="JF840" s="259"/>
      <c r="JG840" s="259"/>
      <c r="JH840" s="259"/>
      <c r="JI840" s="259"/>
      <c r="JJ840" s="259"/>
      <c r="JK840" s="259"/>
      <c r="JL840" s="259"/>
      <c r="JM840" s="259"/>
      <c r="JN840" s="259"/>
      <c r="JO840" s="259"/>
      <c r="JP840" s="259"/>
      <c r="JQ840" s="259"/>
      <c r="JR840" s="259"/>
      <c r="JS840" s="259"/>
      <c r="JT840" s="259"/>
      <c r="JU840" s="259"/>
      <c r="JV840" s="259"/>
      <c r="JW840" s="259"/>
      <c r="JX840" s="259"/>
      <c r="JY840" s="259"/>
      <c r="JZ840" s="259"/>
      <c r="KA840" s="259"/>
      <c r="KB840" s="259"/>
      <c r="KC840" s="259"/>
      <c r="KD840" s="259"/>
      <c r="KE840" s="259"/>
      <c r="KF840" s="259"/>
      <c r="KG840" s="259"/>
      <c r="KH840" s="259"/>
      <c r="KI840" s="259"/>
      <c r="KJ840" s="259"/>
      <c r="KK840" s="259"/>
      <c r="KL840" s="259"/>
      <c r="KM840" s="259"/>
      <c r="KN840" s="259"/>
      <c r="KO840" s="259"/>
      <c r="KP840" s="259"/>
      <c r="KQ840" s="259"/>
      <c r="KR840" s="259"/>
      <c r="KS840" s="259"/>
      <c r="KT840" s="259"/>
      <c r="KU840" s="259"/>
      <c r="KV840" s="259"/>
      <c r="KW840" s="259"/>
      <c r="KX840" s="259"/>
      <c r="KY840" s="259"/>
      <c r="KZ840" s="259"/>
      <c r="LA840" s="259"/>
      <c r="LB840" s="259"/>
      <c r="LC840" s="259"/>
      <c r="LD840" s="259"/>
      <c r="LE840" s="259"/>
      <c r="LF840" s="259"/>
      <c r="LG840" s="259"/>
      <c r="LH840" s="259"/>
      <c r="LI840" s="259"/>
      <c r="LJ840" s="259"/>
      <c r="LK840" s="259"/>
      <c r="LL840" s="259"/>
      <c r="LM840" s="259"/>
      <c r="LN840" s="259"/>
      <c r="LO840" s="259"/>
      <c r="LP840" s="259"/>
      <c r="LQ840" s="259"/>
      <c r="LR840" s="259"/>
      <c r="LS840" s="259"/>
      <c r="LT840" s="259"/>
      <c r="LU840" s="259"/>
      <c r="LV840" s="259"/>
      <c r="LW840" s="259"/>
      <c r="LX840" s="259"/>
      <c r="LY840" s="259"/>
      <c r="LZ840" s="259"/>
      <c r="MA840" s="259"/>
      <c r="MB840" s="259"/>
      <c r="MC840" s="259"/>
      <c r="MD840" s="259"/>
      <c r="ME840" s="259"/>
      <c r="MF840" s="259"/>
      <c r="MG840" s="259"/>
      <c r="MH840" s="259"/>
      <c r="MI840" s="259"/>
      <c r="MJ840" s="259"/>
      <c r="MK840" s="259"/>
      <c r="ML840" s="259"/>
      <c r="MM840" s="259"/>
      <c r="MN840" s="259"/>
      <c r="MO840" s="259"/>
      <c r="MP840" s="259"/>
      <c r="MQ840" s="259"/>
      <c r="MR840" s="259"/>
      <c r="MS840" s="259"/>
      <c r="MT840" s="259"/>
      <c r="MU840" s="259"/>
      <c r="MV840" s="259"/>
      <c r="MW840" s="259"/>
      <c r="MX840" s="259"/>
      <c r="MY840" s="259"/>
      <c r="MZ840" s="259"/>
      <c r="NA840" s="259"/>
      <c r="NB840" s="259"/>
      <c r="NC840" s="259"/>
      <c r="ND840" s="259"/>
      <c r="NE840" s="259"/>
      <c r="NF840" s="259"/>
      <c r="NG840" s="259"/>
      <c r="NH840" s="259"/>
      <c r="NI840" s="259"/>
      <c r="NJ840" s="259"/>
      <c r="NK840" s="259"/>
      <c r="NL840" s="259"/>
      <c r="NM840" s="259"/>
      <c r="NN840" s="259"/>
      <c r="NO840" s="259"/>
      <c r="NP840" s="259"/>
      <c r="NQ840" s="259"/>
      <c r="NR840" s="259"/>
      <c r="NS840" s="259"/>
      <c r="NT840" s="259"/>
      <c r="NU840" s="259"/>
      <c r="NV840" s="259"/>
      <c r="NW840" s="259"/>
      <c r="NX840" s="259"/>
      <c r="NY840" s="259"/>
      <c r="NZ840" s="259"/>
      <c r="OA840" s="259"/>
      <c r="OB840" s="259"/>
      <c r="OC840" s="259"/>
      <c r="OD840" s="259"/>
      <c r="OE840" s="259"/>
      <c r="OF840" s="259"/>
      <c r="OG840" s="259"/>
      <c r="OH840" s="259"/>
      <c r="OI840" s="259"/>
      <c r="OJ840" s="259"/>
      <c r="OK840" s="259"/>
      <c r="OL840" s="259"/>
      <c r="OM840" s="259"/>
      <c r="ON840" s="259"/>
      <c r="OO840" s="259"/>
      <c r="OP840" s="259"/>
      <c r="OQ840" s="259"/>
      <c r="OR840" s="259"/>
      <c r="OS840" s="259"/>
      <c r="OT840" s="259"/>
      <c r="OU840" s="259"/>
      <c r="OV840" s="259"/>
      <c r="OW840" s="259"/>
      <c r="OX840" s="259"/>
      <c r="OY840" s="259"/>
      <c r="OZ840" s="259"/>
      <c r="PA840" s="259"/>
      <c r="PB840" s="259"/>
      <c r="PC840" s="259"/>
      <c r="PD840" s="259"/>
      <c r="PE840" s="259"/>
      <c r="PF840" s="259"/>
      <c r="PG840" s="259"/>
      <c r="PH840" s="259"/>
      <c r="PI840" s="259"/>
      <c r="PJ840" s="259"/>
      <c r="PK840" s="259"/>
      <c r="PL840" s="259"/>
      <c r="PM840" s="259"/>
      <c r="PN840" s="259"/>
      <c r="PO840" s="259"/>
      <c r="PP840" s="259"/>
      <c r="PQ840" s="259"/>
      <c r="PR840" s="259"/>
      <c r="PS840" s="259"/>
      <c r="PT840" s="259"/>
      <c r="PU840" s="259"/>
      <c r="PV840" s="259"/>
      <c r="PW840" s="259"/>
      <c r="PX840" s="259"/>
      <c r="PY840" s="259"/>
      <c r="PZ840" s="259"/>
      <c r="QA840" s="259"/>
      <c r="QB840" s="259"/>
      <c r="QC840" s="259"/>
      <c r="QD840" s="259"/>
      <c r="QE840" s="259"/>
      <c r="QF840" s="259"/>
      <c r="QG840" s="259"/>
      <c r="QH840" s="259"/>
      <c r="QI840" s="259"/>
      <c r="QJ840" s="259"/>
      <c r="QK840" s="259"/>
      <c r="QL840" s="259"/>
      <c r="QM840" s="259"/>
      <c r="QN840" s="259"/>
      <c r="QO840" s="259"/>
      <c r="QP840" s="259"/>
      <c r="QQ840" s="259"/>
      <c r="QR840" s="259"/>
      <c r="QS840" s="259"/>
      <c r="QT840" s="259"/>
      <c r="QU840" s="259"/>
      <c r="QV840" s="259"/>
      <c r="QW840" s="259"/>
      <c r="QX840" s="259"/>
      <c r="QY840" s="259"/>
      <c r="QZ840" s="259"/>
      <c r="RA840" s="259"/>
      <c r="RB840" s="259"/>
      <c r="RC840" s="259"/>
      <c r="RD840" s="259"/>
      <c r="RE840" s="259"/>
      <c r="RF840" s="259"/>
      <c r="RG840" s="259"/>
      <c r="RH840" s="259"/>
      <c r="RI840" s="259"/>
      <c r="RJ840" s="259"/>
      <c r="RK840" s="259"/>
      <c r="RL840" s="259"/>
      <c r="RM840" s="259"/>
      <c r="RN840" s="259"/>
      <c r="RO840" s="259"/>
      <c r="RP840" s="259"/>
      <c r="RQ840" s="259"/>
      <c r="RR840" s="259"/>
      <c r="RS840" s="259"/>
      <c r="RT840" s="259"/>
      <c r="RU840" s="259"/>
      <c r="RV840" s="259"/>
      <c r="RW840" s="259"/>
      <c r="RX840" s="259"/>
      <c r="RY840" s="259"/>
      <c r="RZ840" s="259"/>
      <c r="SA840" s="259"/>
      <c r="SB840" s="259"/>
      <c r="SC840" s="259"/>
      <c r="SD840" s="259"/>
      <c r="SE840" s="259"/>
      <c r="SF840" s="259"/>
      <c r="SG840" s="259"/>
      <c r="SH840" s="259"/>
      <c r="SI840" s="259"/>
      <c r="SJ840" s="259"/>
      <c r="SK840" s="259"/>
      <c r="SL840" s="259"/>
      <c r="SM840" s="259"/>
      <c r="SN840" s="259"/>
      <c r="SO840" s="259"/>
      <c r="SP840" s="259"/>
      <c r="SQ840" s="259"/>
      <c r="SR840" s="259"/>
      <c r="SS840" s="259"/>
      <c r="ST840" s="259"/>
      <c r="SU840" s="259"/>
      <c r="SV840" s="259"/>
      <c r="SW840" s="259"/>
      <c r="SX840" s="259"/>
      <c r="SY840" s="259"/>
      <c r="SZ840" s="259"/>
      <c r="TA840" s="259"/>
      <c r="TB840" s="259"/>
      <c r="TC840" s="259"/>
      <c r="TD840" s="259"/>
      <c r="TE840" s="259"/>
      <c r="TF840" s="259"/>
      <c r="TG840" s="259"/>
      <c r="TH840" s="259"/>
      <c r="TI840" s="259"/>
      <c r="TJ840" s="259"/>
      <c r="TK840" s="259"/>
      <c r="TL840" s="259"/>
      <c r="TM840" s="259"/>
      <c r="TN840" s="259"/>
      <c r="TO840" s="259"/>
      <c r="TP840" s="259"/>
      <c r="TQ840" s="259"/>
      <c r="TR840" s="259"/>
      <c r="TS840" s="259"/>
      <c r="TT840" s="259"/>
      <c r="TU840" s="259"/>
      <c r="TV840" s="259"/>
      <c r="TW840" s="259"/>
      <c r="TX840" s="259"/>
      <c r="TY840" s="259"/>
      <c r="TZ840" s="259"/>
      <c r="UA840" s="259"/>
      <c r="UB840" s="259"/>
      <c r="UC840" s="259"/>
      <c r="UD840" s="259"/>
      <c r="UE840" s="259"/>
      <c r="UF840" s="259"/>
      <c r="UG840" s="259"/>
      <c r="UH840" s="259"/>
      <c r="UI840" s="259"/>
    </row>
    <row r="841" spans="1:555" ht="54">
      <c r="A841" s="96">
        <v>832</v>
      </c>
      <c r="B841" s="201" t="s">
        <v>6569</v>
      </c>
      <c r="C841" s="419">
        <v>16744266</v>
      </c>
      <c r="D841" s="439" t="s">
        <v>1410</v>
      </c>
      <c r="E841" s="423">
        <v>43326</v>
      </c>
      <c r="F841" s="23">
        <v>43322</v>
      </c>
      <c r="G841" s="22" t="s">
        <v>6570</v>
      </c>
      <c r="H841" s="422" t="s">
        <v>625</v>
      </c>
      <c r="I841" s="422" t="s">
        <v>2395</v>
      </c>
      <c r="J841" s="426"/>
      <c r="K841" s="23"/>
      <c r="L841" s="194"/>
      <c r="M841" s="421"/>
      <c r="N841" s="422"/>
      <c r="O841" s="426"/>
      <c r="P841" s="23"/>
      <c r="Q841" s="194"/>
      <c r="R841" s="421"/>
      <c r="S841" s="422"/>
      <c r="T841" s="426"/>
      <c r="U841" s="23"/>
      <c r="V841" s="194"/>
      <c r="W841" s="421"/>
      <c r="X841" s="422"/>
      <c r="Y841" s="426"/>
      <c r="Z841" s="23"/>
      <c r="AA841" s="194"/>
      <c r="AB841" s="421"/>
      <c r="AC841" s="422"/>
      <c r="AD841" s="426"/>
      <c r="AE841" s="23"/>
      <c r="AF841" s="194"/>
      <c r="AG841" s="421"/>
      <c r="AH841" s="422"/>
      <c r="AI841" s="195"/>
      <c r="AJ841" s="23"/>
      <c r="AK841" s="194"/>
      <c r="AL841" s="421"/>
      <c r="AM841" s="422"/>
      <c r="AN841" s="421"/>
      <c r="AO841" s="478" t="s">
        <v>7948</v>
      </c>
      <c r="AP841" s="189"/>
      <c r="AQ841" s="201" t="s">
        <v>6571</v>
      </c>
      <c r="AR841" s="422" t="s">
        <v>2395</v>
      </c>
      <c r="AS841" s="426">
        <v>37073</v>
      </c>
      <c r="AT841" s="426">
        <v>37631</v>
      </c>
      <c r="AU841" s="126" t="s">
        <v>6572</v>
      </c>
      <c r="AV841" s="126"/>
      <c r="AW841" s="193" t="s">
        <v>6546</v>
      </c>
      <c r="AX841" s="422" t="s">
        <v>6573</v>
      </c>
      <c r="AY841" s="426">
        <v>42580</v>
      </c>
      <c r="AZ841" s="422" t="s">
        <v>2417</v>
      </c>
      <c r="BA841" s="426">
        <v>43293</v>
      </c>
      <c r="BB841" s="681"/>
      <c r="BC841" s="422" t="s">
        <v>95</v>
      </c>
      <c r="BD841" s="141" t="s">
        <v>4604</v>
      </c>
      <c r="BE841" s="421"/>
      <c r="BF841" s="194"/>
      <c r="BG841" s="194"/>
      <c r="BH841" s="194"/>
      <c r="BI841" s="194"/>
      <c r="BJ841" s="209">
        <f>+[348]MATRIZ!$I$33</f>
        <v>2403446.3012266201</v>
      </c>
      <c r="BK841" s="159"/>
      <c r="BL841" s="196"/>
      <c r="BM841" s="426"/>
      <c r="BN841" s="23"/>
      <c r="BO841" s="448"/>
      <c r="BP841" s="406"/>
      <c r="BQ841" s="421"/>
      <c r="BR841" s="197"/>
      <c r="BS841" s="194"/>
      <c r="BT841" s="194"/>
      <c r="BU841" s="194"/>
      <c r="BV841" s="194"/>
      <c r="BW841" s="198"/>
      <c r="BX841" s="199"/>
      <c r="BY841" s="426"/>
      <c r="BZ841" s="200"/>
    </row>
    <row r="842" spans="1:555" s="685" customFormat="1" ht="60">
      <c r="A842" s="96">
        <v>833</v>
      </c>
      <c r="B842" s="201" t="s">
        <v>6574</v>
      </c>
      <c r="C842" s="419">
        <v>91178788</v>
      </c>
      <c r="D842" s="439" t="s">
        <v>382</v>
      </c>
      <c r="E842" s="426">
        <v>43307</v>
      </c>
      <c r="F842" s="23">
        <v>43307</v>
      </c>
      <c r="G842" s="194" t="s">
        <v>6575</v>
      </c>
      <c r="H842" s="422" t="s">
        <v>576</v>
      </c>
      <c r="I842" s="422" t="s">
        <v>6576</v>
      </c>
      <c r="J842" s="423">
        <v>43326</v>
      </c>
      <c r="K842" s="23">
        <v>43326</v>
      </c>
      <c r="L842" s="22" t="s">
        <v>6577</v>
      </c>
      <c r="M842" s="422" t="s">
        <v>576</v>
      </c>
      <c r="N842" s="422" t="s">
        <v>2395</v>
      </c>
      <c r="O842" s="426">
        <v>43413</v>
      </c>
      <c r="P842" s="23">
        <v>43413</v>
      </c>
      <c r="Q842" s="194" t="s">
        <v>7419</v>
      </c>
      <c r="R842" s="421" t="s">
        <v>5</v>
      </c>
      <c r="S842" s="422" t="s">
        <v>79</v>
      </c>
      <c r="T842" s="426">
        <v>43490</v>
      </c>
      <c r="U842" s="23">
        <v>43490</v>
      </c>
      <c r="V842" s="194" t="s">
        <v>8372</v>
      </c>
      <c r="W842" s="421" t="s">
        <v>208</v>
      </c>
      <c r="X842" s="422" t="s">
        <v>8243</v>
      </c>
      <c r="Y842" s="426">
        <v>43518</v>
      </c>
      <c r="Z842" s="23">
        <v>43518</v>
      </c>
      <c r="AA842" s="194" t="s">
        <v>8385</v>
      </c>
      <c r="AB842" s="421" t="s">
        <v>5</v>
      </c>
      <c r="AC842" s="422" t="s">
        <v>85</v>
      </c>
      <c r="AD842" s="426">
        <v>43535</v>
      </c>
      <c r="AE842" s="23">
        <v>43535</v>
      </c>
      <c r="AF842" s="194" t="s">
        <v>8394</v>
      </c>
      <c r="AG842" s="421" t="s">
        <v>5</v>
      </c>
      <c r="AH842" s="422" t="s">
        <v>85</v>
      </c>
      <c r="AI842" s="963">
        <v>44446</v>
      </c>
      <c r="AJ842" s="23">
        <v>44440</v>
      </c>
      <c r="AK842" s="960" t="s">
        <v>10659</v>
      </c>
      <c r="AL842" s="421" t="s">
        <v>10660</v>
      </c>
      <c r="AM842" s="422" t="s">
        <v>8243</v>
      </c>
      <c r="AN842" s="421"/>
      <c r="AO842" s="485">
        <v>43413</v>
      </c>
      <c r="AP842" s="189"/>
      <c r="AQ842" s="201" t="s">
        <v>6578</v>
      </c>
      <c r="AR842" s="422" t="s">
        <v>2395</v>
      </c>
      <c r="AS842" s="426">
        <v>38534</v>
      </c>
      <c r="AT842" s="426">
        <v>40862</v>
      </c>
      <c r="AU842" s="126" t="s">
        <v>7420</v>
      </c>
      <c r="AV842" s="126"/>
      <c r="AW842" s="193" t="s">
        <v>6546</v>
      </c>
      <c r="AX842" s="422" t="s">
        <v>627</v>
      </c>
      <c r="AY842" s="426">
        <v>41449</v>
      </c>
      <c r="AZ842" s="422" t="s">
        <v>6579</v>
      </c>
      <c r="BA842" s="426">
        <v>43272</v>
      </c>
      <c r="BB842" s="681">
        <v>43311</v>
      </c>
      <c r="BC842" s="422" t="s">
        <v>95</v>
      </c>
      <c r="BD842" s="422" t="s">
        <v>6612</v>
      </c>
      <c r="BE842" s="421"/>
      <c r="BF842" s="194"/>
      <c r="BG842" s="194"/>
      <c r="BH842" s="194"/>
      <c r="BI842" s="194"/>
      <c r="BJ842" s="209">
        <f>+[349]MATRIZ!$J$57</f>
        <v>0</v>
      </c>
      <c r="BK842" s="159"/>
      <c r="BL842" s="196"/>
      <c r="BM842" s="426"/>
      <c r="BN842" s="23"/>
      <c r="BO842" s="448"/>
      <c r="BP842" s="406"/>
      <c r="BQ842" s="421"/>
      <c r="BR842" s="197"/>
      <c r="BS842" s="194"/>
      <c r="BT842" s="194"/>
      <c r="BU842" s="194"/>
      <c r="BV842" s="194"/>
      <c r="BW842" s="198"/>
      <c r="BX842" s="199"/>
      <c r="BY842" s="426"/>
      <c r="BZ842" s="200"/>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c r="JW842" s="1"/>
      <c r="JX842" s="1"/>
      <c r="JY842" s="1"/>
      <c r="JZ842" s="1"/>
      <c r="KA842" s="1"/>
      <c r="KB842" s="1"/>
      <c r="KC842" s="1"/>
      <c r="KD842" s="1"/>
      <c r="KE842" s="1"/>
      <c r="KF842" s="1"/>
      <c r="KG842" s="1"/>
      <c r="KH842" s="1"/>
      <c r="KI842" s="1"/>
      <c r="KJ842" s="1"/>
      <c r="KK842" s="1"/>
      <c r="KL842" s="1"/>
      <c r="KM842" s="1"/>
      <c r="KN842" s="1"/>
      <c r="KO842" s="1"/>
      <c r="KP842" s="1"/>
      <c r="KQ842" s="1"/>
      <c r="KR842" s="1"/>
      <c r="KS842" s="1"/>
      <c r="KT842" s="1"/>
      <c r="KU842" s="1"/>
      <c r="KV842" s="1"/>
      <c r="KW842" s="1"/>
      <c r="KX842" s="1"/>
      <c r="KY842" s="1"/>
      <c r="KZ842" s="1"/>
      <c r="LA842" s="1"/>
      <c r="LB842" s="1"/>
      <c r="LC842" s="1"/>
      <c r="LD842" s="1"/>
      <c r="LE842" s="1"/>
      <c r="LF842" s="1"/>
      <c r="LG842" s="1"/>
      <c r="LH842" s="1"/>
      <c r="LI842" s="1"/>
      <c r="LJ842" s="1"/>
      <c r="LK842" s="1"/>
      <c r="LL842" s="1"/>
      <c r="LM842" s="1"/>
      <c r="LN842" s="1"/>
      <c r="LO842" s="1"/>
      <c r="LP842" s="1"/>
      <c r="LQ842" s="1"/>
      <c r="LR842" s="1"/>
      <c r="LS842" s="1"/>
      <c r="LT842" s="1"/>
      <c r="LU842" s="1"/>
      <c r="LV842" s="1"/>
      <c r="LW842" s="1"/>
      <c r="LX842" s="1"/>
      <c r="LY842" s="1"/>
      <c r="LZ842" s="1"/>
      <c r="MA842" s="1"/>
      <c r="MB842" s="1"/>
      <c r="MC842" s="1"/>
      <c r="MD842" s="1"/>
      <c r="ME842" s="1"/>
      <c r="MF842" s="1"/>
      <c r="MG842" s="1"/>
      <c r="MH842" s="1"/>
      <c r="MI842" s="1"/>
      <c r="MJ842" s="1"/>
      <c r="MK842" s="1"/>
      <c r="ML842" s="1"/>
      <c r="MM842" s="1"/>
      <c r="MN842" s="1"/>
      <c r="MO842" s="1"/>
      <c r="MP842" s="1"/>
      <c r="MQ842" s="1"/>
      <c r="MR842" s="1"/>
      <c r="MS842" s="1"/>
      <c r="MT842" s="1"/>
      <c r="MU842" s="1"/>
      <c r="MV842" s="1"/>
      <c r="MW842" s="1"/>
      <c r="MX842" s="1"/>
      <c r="MY842" s="1"/>
      <c r="MZ842" s="1"/>
      <c r="NA842" s="1"/>
      <c r="NB842" s="1"/>
      <c r="NC842" s="1"/>
      <c r="ND842" s="1"/>
      <c r="NE842" s="1"/>
      <c r="NF842" s="1"/>
      <c r="NG842" s="1"/>
      <c r="NH842" s="1"/>
      <c r="NI842" s="1"/>
      <c r="NJ842" s="1"/>
      <c r="NK842" s="1"/>
      <c r="NL842" s="1"/>
      <c r="NM842" s="1"/>
      <c r="NN842" s="1"/>
      <c r="NO842" s="1"/>
      <c r="NP842" s="1"/>
      <c r="NQ842" s="1"/>
      <c r="NR842" s="1"/>
      <c r="NS842" s="1"/>
      <c r="NT842" s="1"/>
      <c r="NU842" s="1"/>
      <c r="NV842" s="1"/>
      <c r="NW842" s="1"/>
      <c r="NX842" s="1"/>
      <c r="NY842" s="1"/>
      <c r="NZ842" s="1"/>
      <c r="OA842" s="1"/>
      <c r="OB842" s="1"/>
      <c r="OC842" s="1"/>
      <c r="OD842" s="1"/>
      <c r="OE842" s="1"/>
      <c r="OF842" s="1"/>
      <c r="OG842" s="1"/>
      <c r="OH842" s="1"/>
      <c r="OI842" s="1"/>
      <c r="OJ842" s="1"/>
      <c r="OK842" s="1"/>
      <c r="OL842" s="1"/>
      <c r="OM842" s="1"/>
      <c r="ON842" s="1"/>
      <c r="OO842" s="1"/>
      <c r="OP842" s="1"/>
      <c r="OQ842" s="1"/>
      <c r="OR842" s="1"/>
      <c r="OS842" s="1"/>
      <c r="OT842" s="1"/>
      <c r="OU842" s="1"/>
      <c r="OV842" s="1"/>
      <c r="OW842" s="1"/>
      <c r="OX842" s="1"/>
      <c r="OY842" s="1"/>
      <c r="OZ842" s="1"/>
      <c r="PA842" s="1"/>
      <c r="PB842" s="1"/>
      <c r="PC842" s="1"/>
      <c r="PD842" s="1"/>
      <c r="PE842" s="1"/>
      <c r="PF842" s="1"/>
      <c r="PG842" s="1"/>
      <c r="PH842" s="1"/>
      <c r="PI842" s="1"/>
      <c r="PJ842" s="1"/>
      <c r="PK842" s="1"/>
      <c r="PL842" s="1"/>
      <c r="PM842" s="1"/>
      <c r="PN842" s="1"/>
      <c r="PO842" s="1"/>
      <c r="PP842" s="1"/>
      <c r="PQ842" s="1"/>
      <c r="PR842" s="1"/>
      <c r="PS842" s="1"/>
      <c r="PT842" s="1"/>
      <c r="PU842" s="1"/>
      <c r="PV842" s="1"/>
      <c r="PW842" s="1"/>
      <c r="PX842" s="1"/>
      <c r="PY842" s="1"/>
      <c r="PZ842" s="1"/>
      <c r="QA842" s="1"/>
      <c r="QB842" s="1"/>
      <c r="QC842" s="1"/>
      <c r="QD842" s="1"/>
      <c r="QE842" s="1"/>
      <c r="QF842" s="1"/>
      <c r="QG842" s="1"/>
      <c r="QH842" s="1"/>
      <c r="QI842" s="1"/>
      <c r="QJ842" s="1"/>
      <c r="QK842" s="1"/>
      <c r="QL842" s="1"/>
      <c r="QM842" s="1"/>
      <c r="QN842" s="1"/>
      <c r="QO842" s="1"/>
      <c r="QP842" s="1"/>
      <c r="QQ842" s="1"/>
      <c r="QR842" s="1"/>
      <c r="QS842" s="1"/>
      <c r="QT842" s="1"/>
      <c r="QU842" s="1"/>
      <c r="QV842" s="1"/>
      <c r="QW842" s="1"/>
      <c r="QX842" s="1"/>
      <c r="QY842" s="1"/>
      <c r="QZ842" s="1"/>
      <c r="RA842" s="1"/>
      <c r="RB842" s="1"/>
      <c r="RC842" s="1"/>
      <c r="RD842" s="1"/>
      <c r="RE842" s="1"/>
      <c r="RF842" s="1"/>
      <c r="RG842" s="1"/>
      <c r="RH842" s="1"/>
      <c r="RI842" s="1"/>
      <c r="RJ842" s="1"/>
      <c r="RK842" s="1"/>
      <c r="RL842" s="1"/>
      <c r="RM842" s="1"/>
      <c r="RN842" s="1"/>
      <c r="RO842" s="1"/>
      <c r="RP842" s="1"/>
      <c r="RQ842" s="1"/>
      <c r="RR842" s="1"/>
      <c r="RS842" s="1"/>
      <c r="RT842" s="1"/>
      <c r="RU842" s="1"/>
      <c r="RV842" s="1"/>
      <c r="RW842" s="1"/>
      <c r="RX842" s="1"/>
      <c r="RY842" s="1"/>
      <c r="RZ842" s="1"/>
      <c r="SA842" s="1"/>
      <c r="SB842" s="1"/>
      <c r="SC842" s="1"/>
      <c r="SD842" s="1"/>
      <c r="SE842" s="1"/>
      <c r="SF842" s="1"/>
      <c r="SG842" s="1"/>
      <c r="SH842" s="1"/>
      <c r="SI842" s="1"/>
      <c r="SJ842" s="1"/>
      <c r="SK842" s="1"/>
      <c r="SL842" s="1"/>
      <c r="SM842" s="1"/>
      <c r="SN842" s="1"/>
      <c r="SO842" s="1"/>
      <c r="SP842" s="1"/>
      <c r="SQ842" s="1"/>
      <c r="SR842" s="1"/>
      <c r="SS842" s="1"/>
      <c r="ST842" s="1"/>
      <c r="SU842" s="1"/>
      <c r="SV842" s="1"/>
      <c r="SW842" s="1"/>
      <c r="SX842" s="1"/>
      <c r="SY842" s="1"/>
      <c r="SZ842" s="1"/>
      <c r="TA842" s="1"/>
      <c r="TB842" s="1"/>
      <c r="TC842" s="1"/>
      <c r="TD842" s="1"/>
      <c r="TE842" s="1"/>
      <c r="TF842" s="1"/>
      <c r="TG842" s="1"/>
      <c r="TH842" s="1"/>
      <c r="TI842" s="1"/>
      <c r="TJ842" s="1"/>
      <c r="TK842" s="1"/>
      <c r="TL842" s="1"/>
      <c r="TM842" s="1"/>
      <c r="TN842" s="1"/>
      <c r="TO842" s="1"/>
      <c r="TP842" s="1"/>
      <c r="TQ842" s="1"/>
      <c r="TR842" s="1"/>
      <c r="TS842" s="1"/>
      <c r="TT842" s="1"/>
      <c r="TU842" s="1"/>
      <c r="TV842" s="1"/>
      <c r="TW842" s="1"/>
      <c r="TX842" s="1"/>
      <c r="TY842" s="1"/>
      <c r="TZ842" s="1"/>
      <c r="UA842" s="1"/>
      <c r="UB842" s="1"/>
      <c r="UC842" s="1"/>
      <c r="UD842" s="1"/>
      <c r="UE842" s="1"/>
      <c r="UF842" s="1"/>
      <c r="UG842" s="1"/>
      <c r="UH842" s="1"/>
      <c r="UI842" s="1"/>
    </row>
    <row r="843" spans="1:555" ht="94.5">
      <c r="A843" s="96">
        <v>834</v>
      </c>
      <c r="B843" s="428" t="s">
        <v>6580</v>
      </c>
      <c r="C843" s="419">
        <v>79701412</v>
      </c>
      <c r="D843" s="439" t="s">
        <v>167</v>
      </c>
      <c r="E843" s="423">
        <v>42697</v>
      </c>
      <c r="F843" s="23">
        <v>42697</v>
      </c>
      <c r="G843" s="22" t="s">
        <v>6581</v>
      </c>
      <c r="H843" s="422" t="s">
        <v>625</v>
      </c>
      <c r="I843" s="422" t="s">
        <v>2395</v>
      </c>
      <c r="J843" s="426">
        <v>43328</v>
      </c>
      <c r="K843" s="23">
        <v>43328</v>
      </c>
      <c r="L843" s="194" t="s">
        <v>6582</v>
      </c>
      <c r="M843" s="422" t="s">
        <v>576</v>
      </c>
      <c r="N843" s="422" t="s">
        <v>2395</v>
      </c>
      <c r="O843" s="426">
        <v>43328</v>
      </c>
      <c r="P843" s="23">
        <v>43328</v>
      </c>
      <c r="Q843" s="194" t="s">
        <v>6582</v>
      </c>
      <c r="R843" s="422" t="s">
        <v>576</v>
      </c>
      <c r="S843" s="422" t="s">
        <v>2395</v>
      </c>
      <c r="T843" s="426">
        <v>43342</v>
      </c>
      <c r="U843" s="23">
        <v>43342</v>
      </c>
      <c r="V843" s="194" t="s">
        <v>6583</v>
      </c>
      <c r="W843" s="422" t="s">
        <v>6584</v>
      </c>
      <c r="X843" s="422" t="s">
        <v>183</v>
      </c>
      <c r="Y843" s="426">
        <v>43381</v>
      </c>
      <c r="Z843" s="23">
        <v>43381</v>
      </c>
      <c r="AA843" s="424" t="s">
        <v>6585</v>
      </c>
      <c r="AB843" s="421" t="s">
        <v>5</v>
      </c>
      <c r="AC843" s="422" t="s">
        <v>79</v>
      </c>
      <c r="AD843" s="426">
        <v>43481</v>
      </c>
      <c r="AE843" s="23">
        <v>43481</v>
      </c>
      <c r="AF843" s="22" t="s">
        <v>8022</v>
      </c>
      <c r="AG843" s="421" t="s">
        <v>625</v>
      </c>
      <c r="AH843" s="422" t="s">
        <v>1495</v>
      </c>
      <c r="AI843" s="195"/>
      <c r="AJ843" s="23"/>
      <c r="AK843" s="194"/>
      <c r="AL843" s="421"/>
      <c r="AM843" s="422"/>
      <c r="AN843" s="421"/>
      <c r="AO843" s="483" t="s">
        <v>7946</v>
      </c>
      <c r="AP843" s="189"/>
      <c r="AQ843" s="201" t="s">
        <v>6586</v>
      </c>
      <c r="AR843" s="422" t="s">
        <v>2395</v>
      </c>
      <c r="AS843" s="426">
        <v>38281</v>
      </c>
      <c r="AT843" s="426">
        <v>40633</v>
      </c>
      <c r="AU843" s="422" t="s">
        <v>6587</v>
      </c>
      <c r="AV843" s="422"/>
      <c r="AW843" s="193" t="s">
        <v>6546</v>
      </c>
      <c r="AX843" s="422" t="s">
        <v>5372</v>
      </c>
      <c r="AY843" s="426">
        <v>42684</v>
      </c>
      <c r="AZ843" s="422" t="s">
        <v>576</v>
      </c>
      <c r="BA843" s="426">
        <v>43300</v>
      </c>
      <c r="BB843" s="681">
        <v>43333</v>
      </c>
      <c r="BC843" s="422" t="s">
        <v>95</v>
      </c>
      <c r="BD843" s="202" t="s">
        <v>6588</v>
      </c>
      <c r="BE843" s="421"/>
      <c r="BF843" s="194"/>
      <c r="BG843" s="194"/>
      <c r="BH843" s="194"/>
      <c r="BI843" s="194"/>
      <c r="BJ843" s="209">
        <f>+[350]MATRIZ!$P$73</f>
        <v>0</v>
      </c>
      <c r="BK843" s="159"/>
      <c r="BL843" s="196"/>
      <c r="BM843" s="426"/>
      <c r="BN843" s="23"/>
      <c r="BO843" s="448"/>
      <c r="BP843" s="406"/>
      <c r="BQ843" s="421"/>
      <c r="BR843" s="197"/>
      <c r="BS843" s="194"/>
      <c r="BT843" s="194"/>
      <c r="BU843" s="194"/>
      <c r="BV843" s="194"/>
      <c r="BW843" s="198"/>
      <c r="BX843" s="199"/>
      <c r="BY843" s="426"/>
      <c r="BZ843" s="200"/>
    </row>
    <row r="844" spans="1:555" ht="42">
      <c r="A844" s="33">
        <v>835</v>
      </c>
      <c r="B844" s="203" t="s">
        <v>6589</v>
      </c>
      <c r="C844" s="35"/>
      <c r="D844" s="440"/>
      <c r="E844" s="37">
        <v>43210</v>
      </c>
      <c r="F844" s="40">
        <v>43210</v>
      </c>
      <c r="G844" s="39" t="s">
        <v>6590</v>
      </c>
      <c r="H844" s="34" t="s">
        <v>625</v>
      </c>
      <c r="I844" s="34" t="s">
        <v>2395</v>
      </c>
      <c r="J844" s="204">
        <v>43235</v>
      </c>
      <c r="K844" s="40">
        <v>43235</v>
      </c>
      <c r="L844" s="205" t="s">
        <v>6591</v>
      </c>
      <c r="M844" s="206" t="s">
        <v>625</v>
      </c>
      <c r="N844" s="34" t="s">
        <v>6592</v>
      </c>
      <c r="O844" s="204">
        <v>43249</v>
      </c>
      <c r="P844" s="40">
        <v>43249</v>
      </c>
      <c r="Q844" s="205" t="s">
        <v>6593</v>
      </c>
      <c r="R844" s="206" t="s">
        <v>625</v>
      </c>
      <c r="S844" s="34" t="s">
        <v>6594</v>
      </c>
      <c r="T844" s="204"/>
      <c r="U844" s="40"/>
      <c r="V844" s="205"/>
      <c r="W844" s="206"/>
      <c r="X844" s="34"/>
      <c r="Y844" s="204"/>
      <c r="Z844" s="40"/>
      <c r="AA844" s="205"/>
      <c r="AB844" s="206"/>
      <c r="AC844" s="34"/>
      <c r="AD844" s="204"/>
      <c r="AE844" s="40"/>
      <c r="AF844" s="205"/>
      <c r="AG844" s="206"/>
      <c r="AH844" s="34"/>
      <c r="AI844" s="207"/>
      <c r="AJ844" s="40"/>
      <c r="AK844" s="205"/>
      <c r="AL844" s="206"/>
      <c r="AM844" s="34"/>
      <c r="AN844" s="206"/>
      <c r="AO844" s="477"/>
      <c r="AP844" s="208"/>
      <c r="AQ844" s="203" t="s">
        <v>6595</v>
      </c>
      <c r="AR844" s="34" t="s">
        <v>2395</v>
      </c>
      <c r="AS844" s="204"/>
      <c r="AT844" s="204"/>
      <c r="AU844" s="34" t="s">
        <v>6596</v>
      </c>
      <c r="AV844" s="34"/>
      <c r="AW844" s="206"/>
      <c r="AX844" s="34" t="s">
        <v>595</v>
      </c>
      <c r="AY844" s="204">
        <v>42272</v>
      </c>
      <c r="AZ844" s="34" t="s">
        <v>6597</v>
      </c>
      <c r="BA844" s="204">
        <v>43208</v>
      </c>
      <c r="BB844" s="681"/>
      <c r="BC844" s="34" t="s">
        <v>912</v>
      </c>
      <c r="BD844" s="34" t="s">
        <v>6598</v>
      </c>
      <c r="BE844" s="206"/>
      <c r="BF844" s="205"/>
      <c r="BG844" s="205"/>
      <c r="BH844" s="205"/>
      <c r="BI844" s="205"/>
      <c r="BJ844" s="209"/>
      <c r="BK844" s="209"/>
      <c r="BL844" s="210"/>
      <c r="BM844" s="204"/>
      <c r="BN844" s="40"/>
      <c r="BO844" s="471"/>
      <c r="BP844" s="407"/>
      <c r="BQ844" s="206"/>
      <c r="BR844" s="211"/>
      <c r="BS844" s="205"/>
      <c r="BT844" s="205"/>
      <c r="BU844" s="205"/>
      <c r="BV844" s="205"/>
      <c r="BW844" s="212"/>
      <c r="BX844" s="213"/>
      <c r="BY844" s="204"/>
      <c r="BZ844" s="214"/>
    </row>
    <row r="845" spans="1:555" ht="54" customHeight="1">
      <c r="A845" s="729">
        <v>836</v>
      </c>
      <c r="B845" s="380" t="s">
        <v>6599</v>
      </c>
      <c r="C845" s="730"/>
      <c r="D845" s="731"/>
      <c r="E845" s="382"/>
      <c r="F845" s="732"/>
      <c r="G845" s="383"/>
      <c r="H845" s="381"/>
      <c r="I845" s="381"/>
      <c r="J845" s="681"/>
      <c r="K845" s="732"/>
      <c r="L845" s="754"/>
      <c r="M845" s="755"/>
      <c r="N845" s="381"/>
      <c r="O845" s="681"/>
      <c r="P845" s="732"/>
      <c r="Q845" s="754"/>
      <c r="R845" s="755"/>
      <c r="S845" s="381"/>
      <c r="T845" s="681"/>
      <c r="U845" s="732"/>
      <c r="V845" s="754"/>
      <c r="W845" s="755"/>
      <c r="X845" s="381"/>
      <c r="Y845" s="681"/>
      <c r="Z845" s="732"/>
      <c r="AA845" s="754"/>
      <c r="AB845" s="755"/>
      <c r="AC845" s="381"/>
      <c r="AD845" s="681"/>
      <c r="AE845" s="732"/>
      <c r="AF845" s="754"/>
      <c r="AG845" s="755"/>
      <c r="AH845" s="381"/>
      <c r="AI845" s="756"/>
      <c r="AJ845" s="732"/>
      <c r="AK845" s="754"/>
      <c r="AL845" s="755"/>
      <c r="AM845" s="381"/>
      <c r="AN845" s="755"/>
      <c r="AO845" s="755"/>
      <c r="AP845" s="757"/>
      <c r="AQ845" s="758"/>
      <c r="AR845" s="381"/>
      <c r="AS845" s="681"/>
      <c r="AT845" s="681"/>
      <c r="AU845" s="381"/>
      <c r="AV845" s="381"/>
      <c r="AW845" s="755"/>
      <c r="AX845" s="381"/>
      <c r="AY845" s="681"/>
      <c r="AZ845" s="381"/>
      <c r="BA845" s="681"/>
      <c r="BB845" s="681"/>
      <c r="BC845" s="381"/>
      <c r="BD845" s="759"/>
      <c r="BE845" s="381"/>
      <c r="BF845" s="754"/>
      <c r="BG845" s="754"/>
      <c r="BH845" s="754"/>
      <c r="BI845" s="754"/>
      <c r="BJ845" s="749"/>
      <c r="BK845" s="749"/>
      <c r="BL845" s="760"/>
      <c r="BM845" s="681"/>
      <c r="BN845" s="732"/>
      <c r="BO845" s="761"/>
      <c r="BP845" s="762"/>
      <c r="BQ845" s="755"/>
      <c r="BR845" s="763"/>
      <c r="BS845" s="754"/>
      <c r="BT845" s="754"/>
      <c r="BU845" s="754"/>
      <c r="BV845" s="754"/>
      <c r="BW845" s="764"/>
      <c r="BX845" s="765"/>
      <c r="BY845" s="681"/>
      <c r="BZ845" s="766"/>
      <c r="CA845" s="685"/>
      <c r="CB845" s="685"/>
      <c r="CC845" s="685"/>
      <c r="CD845" s="685"/>
      <c r="CE845" s="685"/>
      <c r="CF845" s="685"/>
      <c r="CG845" s="685"/>
      <c r="CH845" s="685"/>
      <c r="CI845" s="685"/>
      <c r="CJ845" s="685"/>
      <c r="CK845" s="685"/>
      <c r="CL845" s="685"/>
      <c r="CM845" s="685"/>
      <c r="CN845" s="685"/>
      <c r="CO845" s="685"/>
      <c r="CP845" s="685"/>
      <c r="CQ845" s="685"/>
      <c r="CR845" s="685"/>
      <c r="CS845" s="685"/>
      <c r="CT845" s="685"/>
      <c r="CU845" s="685"/>
      <c r="CV845" s="685"/>
      <c r="CW845" s="685"/>
      <c r="CX845" s="685"/>
      <c r="CY845" s="685"/>
      <c r="CZ845" s="685"/>
      <c r="DA845" s="685"/>
      <c r="DB845" s="685"/>
      <c r="DC845" s="685"/>
      <c r="DD845" s="685"/>
      <c r="DE845" s="685"/>
      <c r="DF845" s="685"/>
      <c r="DG845" s="685"/>
      <c r="DH845" s="685"/>
      <c r="DI845" s="685"/>
      <c r="DJ845" s="685"/>
      <c r="DK845" s="685"/>
      <c r="DL845" s="685"/>
      <c r="DM845" s="685"/>
      <c r="DN845" s="685"/>
      <c r="DO845" s="685"/>
      <c r="DP845" s="685"/>
      <c r="DQ845" s="685"/>
      <c r="DR845" s="685"/>
      <c r="DS845" s="685"/>
      <c r="DT845" s="685"/>
      <c r="DU845" s="685"/>
      <c r="DV845" s="685"/>
      <c r="DW845" s="685"/>
      <c r="DX845" s="685"/>
      <c r="DY845" s="685"/>
      <c r="DZ845" s="685"/>
      <c r="EA845" s="685"/>
      <c r="EB845" s="685"/>
      <c r="EC845" s="685"/>
      <c r="ED845" s="685"/>
      <c r="EE845" s="685"/>
      <c r="EF845" s="685"/>
      <c r="EG845" s="685"/>
      <c r="EH845" s="685"/>
      <c r="EI845" s="685"/>
      <c r="EJ845" s="685"/>
      <c r="EK845" s="685"/>
      <c r="EL845" s="685"/>
      <c r="EM845" s="685"/>
      <c r="EN845" s="685"/>
      <c r="EO845" s="685"/>
      <c r="EP845" s="685"/>
      <c r="EQ845" s="685"/>
      <c r="ER845" s="685"/>
      <c r="ES845" s="685"/>
      <c r="ET845" s="685"/>
      <c r="EU845" s="685"/>
      <c r="EV845" s="685"/>
      <c r="EW845" s="685"/>
      <c r="EX845" s="685"/>
      <c r="EY845" s="685"/>
      <c r="EZ845" s="685"/>
      <c r="FA845" s="685"/>
      <c r="FB845" s="685"/>
      <c r="FC845" s="685"/>
      <c r="FD845" s="685"/>
      <c r="FE845" s="685"/>
      <c r="FF845" s="685"/>
      <c r="FG845" s="685"/>
      <c r="FH845" s="685"/>
      <c r="FI845" s="685"/>
      <c r="FJ845" s="685"/>
      <c r="FK845" s="685"/>
      <c r="FL845" s="685"/>
      <c r="FM845" s="685"/>
      <c r="FN845" s="685"/>
      <c r="FO845" s="685"/>
      <c r="FP845" s="685"/>
      <c r="FQ845" s="685"/>
      <c r="FR845" s="685"/>
      <c r="FS845" s="685"/>
      <c r="FT845" s="685"/>
      <c r="FU845" s="685"/>
      <c r="FV845" s="685"/>
      <c r="FW845" s="685"/>
      <c r="FX845" s="685"/>
      <c r="FY845" s="685"/>
      <c r="FZ845" s="685"/>
      <c r="GA845" s="685"/>
      <c r="GB845" s="685"/>
      <c r="GC845" s="685"/>
      <c r="GD845" s="685"/>
      <c r="GE845" s="685"/>
      <c r="GF845" s="685"/>
      <c r="GG845" s="685"/>
      <c r="GH845" s="685"/>
      <c r="GI845" s="685"/>
      <c r="GJ845" s="685"/>
      <c r="GK845" s="685"/>
      <c r="GL845" s="685"/>
      <c r="GM845" s="685"/>
      <c r="GN845" s="685"/>
      <c r="GO845" s="685"/>
      <c r="GP845" s="685"/>
      <c r="GQ845" s="685"/>
      <c r="GR845" s="685"/>
      <c r="GS845" s="685"/>
      <c r="GT845" s="685"/>
      <c r="GU845" s="685"/>
      <c r="GV845" s="685"/>
      <c r="GW845" s="685"/>
      <c r="GX845" s="685"/>
      <c r="GY845" s="685"/>
      <c r="GZ845" s="685"/>
      <c r="HA845" s="685"/>
      <c r="HB845" s="685"/>
      <c r="HC845" s="685"/>
      <c r="HD845" s="685"/>
      <c r="HE845" s="685"/>
      <c r="HF845" s="685"/>
      <c r="HG845" s="685"/>
      <c r="HH845" s="685"/>
      <c r="HI845" s="685"/>
      <c r="HJ845" s="685"/>
      <c r="HK845" s="685"/>
      <c r="HL845" s="685"/>
      <c r="HM845" s="685"/>
      <c r="HN845" s="685"/>
      <c r="HO845" s="685"/>
      <c r="HP845" s="685"/>
      <c r="HQ845" s="685"/>
      <c r="HR845" s="685"/>
      <c r="HS845" s="685"/>
      <c r="HT845" s="685"/>
      <c r="HU845" s="685"/>
      <c r="HV845" s="685"/>
      <c r="HW845" s="685"/>
      <c r="HX845" s="685"/>
      <c r="HY845" s="685"/>
      <c r="HZ845" s="685"/>
      <c r="IA845" s="685"/>
      <c r="IB845" s="685"/>
      <c r="IC845" s="685"/>
      <c r="ID845" s="685"/>
      <c r="IE845" s="685"/>
      <c r="IF845" s="685"/>
      <c r="IG845" s="685"/>
      <c r="IH845" s="685"/>
      <c r="II845" s="685"/>
      <c r="IJ845" s="685"/>
      <c r="IK845" s="685"/>
      <c r="IL845" s="685"/>
      <c r="IM845" s="685"/>
      <c r="IN845" s="685"/>
      <c r="IO845" s="685"/>
      <c r="IP845" s="685"/>
      <c r="IQ845" s="685"/>
      <c r="IR845" s="685"/>
      <c r="IS845" s="685"/>
      <c r="IT845" s="685"/>
      <c r="IU845" s="685"/>
      <c r="IV845" s="685"/>
      <c r="IW845" s="685"/>
      <c r="IX845" s="685"/>
      <c r="IY845" s="685"/>
      <c r="IZ845" s="685"/>
      <c r="JA845" s="685"/>
      <c r="JB845" s="685"/>
      <c r="JC845" s="685"/>
      <c r="JD845" s="685"/>
      <c r="JE845" s="685"/>
      <c r="JF845" s="685"/>
      <c r="JG845" s="685"/>
      <c r="JH845" s="685"/>
      <c r="JI845" s="685"/>
      <c r="JJ845" s="685"/>
      <c r="JK845" s="685"/>
      <c r="JL845" s="685"/>
      <c r="JM845" s="685"/>
      <c r="JN845" s="685"/>
      <c r="JO845" s="685"/>
      <c r="JP845" s="685"/>
      <c r="JQ845" s="685"/>
      <c r="JR845" s="685"/>
      <c r="JS845" s="685"/>
      <c r="JT845" s="685"/>
      <c r="JU845" s="685"/>
      <c r="JV845" s="685"/>
      <c r="JW845" s="685"/>
      <c r="JX845" s="685"/>
      <c r="JY845" s="685"/>
      <c r="JZ845" s="685"/>
      <c r="KA845" s="685"/>
      <c r="KB845" s="685"/>
      <c r="KC845" s="685"/>
      <c r="KD845" s="685"/>
      <c r="KE845" s="685"/>
      <c r="KF845" s="685"/>
      <c r="KG845" s="685"/>
      <c r="KH845" s="685"/>
      <c r="KI845" s="685"/>
      <c r="KJ845" s="685"/>
      <c r="KK845" s="685"/>
      <c r="KL845" s="685"/>
      <c r="KM845" s="685"/>
      <c r="KN845" s="685"/>
      <c r="KO845" s="685"/>
      <c r="KP845" s="685"/>
      <c r="KQ845" s="685"/>
      <c r="KR845" s="685"/>
      <c r="KS845" s="685"/>
      <c r="KT845" s="685"/>
      <c r="KU845" s="685"/>
      <c r="KV845" s="685"/>
      <c r="KW845" s="685"/>
      <c r="KX845" s="685"/>
      <c r="KY845" s="685"/>
      <c r="KZ845" s="685"/>
      <c r="LA845" s="685"/>
      <c r="LB845" s="685"/>
      <c r="LC845" s="685"/>
      <c r="LD845" s="685"/>
      <c r="LE845" s="685"/>
      <c r="LF845" s="685"/>
      <c r="LG845" s="685"/>
      <c r="LH845" s="685"/>
      <c r="LI845" s="685"/>
      <c r="LJ845" s="685"/>
      <c r="LK845" s="685"/>
      <c r="LL845" s="685"/>
      <c r="LM845" s="685"/>
      <c r="LN845" s="685"/>
      <c r="LO845" s="685"/>
      <c r="LP845" s="685"/>
      <c r="LQ845" s="685"/>
      <c r="LR845" s="685"/>
      <c r="LS845" s="685"/>
      <c r="LT845" s="685"/>
      <c r="LU845" s="685"/>
      <c r="LV845" s="685"/>
      <c r="LW845" s="685"/>
      <c r="LX845" s="685"/>
      <c r="LY845" s="685"/>
      <c r="LZ845" s="685"/>
      <c r="MA845" s="685"/>
      <c r="MB845" s="685"/>
      <c r="MC845" s="685"/>
      <c r="MD845" s="685"/>
      <c r="ME845" s="685"/>
      <c r="MF845" s="685"/>
      <c r="MG845" s="685"/>
      <c r="MH845" s="685"/>
      <c r="MI845" s="685"/>
      <c r="MJ845" s="685"/>
      <c r="MK845" s="685"/>
      <c r="ML845" s="685"/>
      <c r="MM845" s="685"/>
      <c r="MN845" s="685"/>
      <c r="MO845" s="685"/>
      <c r="MP845" s="685"/>
      <c r="MQ845" s="685"/>
      <c r="MR845" s="685"/>
      <c r="MS845" s="685"/>
      <c r="MT845" s="685"/>
      <c r="MU845" s="685"/>
      <c r="MV845" s="685"/>
      <c r="MW845" s="685"/>
      <c r="MX845" s="685"/>
      <c r="MY845" s="685"/>
      <c r="MZ845" s="685"/>
      <c r="NA845" s="685"/>
      <c r="NB845" s="685"/>
      <c r="NC845" s="685"/>
      <c r="ND845" s="685"/>
      <c r="NE845" s="685"/>
      <c r="NF845" s="685"/>
      <c r="NG845" s="685"/>
      <c r="NH845" s="685"/>
      <c r="NI845" s="685"/>
      <c r="NJ845" s="685"/>
      <c r="NK845" s="685"/>
      <c r="NL845" s="685"/>
      <c r="NM845" s="685"/>
      <c r="NN845" s="685"/>
      <c r="NO845" s="685"/>
      <c r="NP845" s="685"/>
      <c r="NQ845" s="685"/>
      <c r="NR845" s="685"/>
      <c r="NS845" s="685"/>
      <c r="NT845" s="685"/>
      <c r="NU845" s="685"/>
      <c r="NV845" s="685"/>
      <c r="NW845" s="685"/>
      <c r="NX845" s="685"/>
      <c r="NY845" s="685"/>
      <c r="NZ845" s="685"/>
      <c r="OA845" s="685"/>
      <c r="OB845" s="685"/>
      <c r="OC845" s="685"/>
      <c r="OD845" s="685"/>
      <c r="OE845" s="685"/>
      <c r="OF845" s="685"/>
      <c r="OG845" s="685"/>
      <c r="OH845" s="685"/>
      <c r="OI845" s="685"/>
      <c r="OJ845" s="685"/>
      <c r="OK845" s="685"/>
      <c r="OL845" s="685"/>
      <c r="OM845" s="685"/>
      <c r="ON845" s="685"/>
      <c r="OO845" s="685"/>
      <c r="OP845" s="685"/>
      <c r="OQ845" s="685"/>
      <c r="OR845" s="685"/>
      <c r="OS845" s="685"/>
      <c r="OT845" s="685"/>
      <c r="OU845" s="685"/>
      <c r="OV845" s="685"/>
      <c r="OW845" s="685"/>
      <c r="OX845" s="685"/>
      <c r="OY845" s="685"/>
      <c r="OZ845" s="685"/>
      <c r="PA845" s="685"/>
      <c r="PB845" s="685"/>
      <c r="PC845" s="685"/>
      <c r="PD845" s="685"/>
      <c r="PE845" s="685"/>
      <c r="PF845" s="685"/>
      <c r="PG845" s="685"/>
      <c r="PH845" s="685"/>
      <c r="PI845" s="685"/>
      <c r="PJ845" s="685"/>
      <c r="PK845" s="685"/>
      <c r="PL845" s="685"/>
      <c r="PM845" s="685"/>
      <c r="PN845" s="685"/>
      <c r="PO845" s="685"/>
      <c r="PP845" s="685"/>
      <c r="PQ845" s="685"/>
      <c r="PR845" s="685"/>
      <c r="PS845" s="685"/>
      <c r="PT845" s="685"/>
      <c r="PU845" s="685"/>
      <c r="PV845" s="685"/>
      <c r="PW845" s="685"/>
      <c r="PX845" s="685"/>
      <c r="PY845" s="685"/>
      <c r="PZ845" s="685"/>
      <c r="QA845" s="685"/>
      <c r="QB845" s="685"/>
      <c r="QC845" s="685"/>
      <c r="QD845" s="685"/>
      <c r="QE845" s="685"/>
      <c r="QF845" s="685"/>
      <c r="QG845" s="685"/>
      <c r="QH845" s="685"/>
      <c r="QI845" s="685"/>
      <c r="QJ845" s="685"/>
      <c r="QK845" s="685"/>
      <c r="QL845" s="685"/>
      <c r="QM845" s="685"/>
      <c r="QN845" s="685"/>
      <c r="QO845" s="685"/>
      <c r="QP845" s="685"/>
      <c r="QQ845" s="685"/>
      <c r="QR845" s="685"/>
      <c r="QS845" s="685"/>
      <c r="QT845" s="685"/>
      <c r="QU845" s="685"/>
      <c r="QV845" s="685"/>
      <c r="QW845" s="685"/>
      <c r="QX845" s="685"/>
      <c r="QY845" s="685"/>
      <c r="QZ845" s="685"/>
      <c r="RA845" s="685"/>
      <c r="RB845" s="685"/>
      <c r="RC845" s="685"/>
      <c r="RD845" s="685"/>
      <c r="RE845" s="685"/>
      <c r="RF845" s="685"/>
      <c r="RG845" s="685"/>
      <c r="RH845" s="685"/>
      <c r="RI845" s="685"/>
      <c r="RJ845" s="685"/>
      <c r="RK845" s="685"/>
      <c r="RL845" s="685"/>
      <c r="RM845" s="685"/>
      <c r="RN845" s="685"/>
      <c r="RO845" s="685"/>
      <c r="RP845" s="685"/>
      <c r="RQ845" s="685"/>
      <c r="RR845" s="685"/>
      <c r="RS845" s="685"/>
      <c r="RT845" s="685"/>
      <c r="RU845" s="685"/>
      <c r="RV845" s="685"/>
      <c r="RW845" s="685"/>
      <c r="RX845" s="685"/>
      <c r="RY845" s="685"/>
      <c r="RZ845" s="685"/>
      <c r="SA845" s="685"/>
      <c r="SB845" s="685"/>
      <c r="SC845" s="685"/>
      <c r="SD845" s="685"/>
      <c r="SE845" s="685"/>
      <c r="SF845" s="685"/>
      <c r="SG845" s="685"/>
      <c r="SH845" s="685"/>
      <c r="SI845" s="685"/>
      <c r="SJ845" s="685"/>
      <c r="SK845" s="685"/>
      <c r="SL845" s="685"/>
      <c r="SM845" s="685"/>
      <c r="SN845" s="685"/>
      <c r="SO845" s="685"/>
      <c r="SP845" s="685"/>
      <c r="SQ845" s="685"/>
      <c r="SR845" s="685"/>
      <c r="SS845" s="685"/>
      <c r="ST845" s="685"/>
      <c r="SU845" s="685"/>
      <c r="SV845" s="685"/>
      <c r="SW845" s="685"/>
      <c r="SX845" s="685"/>
      <c r="SY845" s="685"/>
      <c r="SZ845" s="685"/>
      <c r="TA845" s="685"/>
      <c r="TB845" s="685"/>
      <c r="TC845" s="685"/>
      <c r="TD845" s="685"/>
      <c r="TE845" s="685"/>
      <c r="TF845" s="685"/>
      <c r="TG845" s="685"/>
      <c r="TH845" s="685"/>
      <c r="TI845" s="685"/>
      <c r="TJ845" s="685"/>
      <c r="TK845" s="685"/>
      <c r="TL845" s="685"/>
      <c r="TM845" s="685"/>
      <c r="TN845" s="685"/>
      <c r="TO845" s="685"/>
      <c r="TP845" s="685"/>
      <c r="TQ845" s="685"/>
      <c r="TR845" s="685"/>
      <c r="TS845" s="685"/>
      <c r="TT845" s="685"/>
      <c r="TU845" s="685"/>
      <c r="TV845" s="685"/>
      <c r="TW845" s="685"/>
      <c r="TX845" s="685"/>
      <c r="TY845" s="685"/>
      <c r="TZ845" s="685"/>
      <c r="UA845" s="685"/>
      <c r="UB845" s="685"/>
      <c r="UC845" s="685"/>
      <c r="UD845" s="685"/>
      <c r="UE845" s="685"/>
      <c r="UF845" s="685"/>
      <c r="UG845" s="685"/>
      <c r="UH845" s="685"/>
      <c r="UI845" s="685"/>
    </row>
    <row r="846" spans="1:555" s="685" customFormat="1" ht="83.25" customHeight="1">
      <c r="A846" s="57">
        <v>837</v>
      </c>
      <c r="B846" s="425" t="s">
        <v>6600</v>
      </c>
      <c r="C846" s="59">
        <v>91182470</v>
      </c>
      <c r="D846" s="170" t="s">
        <v>6601</v>
      </c>
      <c r="E846" s="60">
        <v>43305</v>
      </c>
      <c r="F846" s="63">
        <v>43305</v>
      </c>
      <c r="G846" s="62" t="s">
        <v>6602</v>
      </c>
      <c r="H846" s="58" t="s">
        <v>576</v>
      </c>
      <c r="I846" s="58" t="s">
        <v>1495</v>
      </c>
      <c r="J846" s="169">
        <v>43327</v>
      </c>
      <c r="K846" s="63">
        <v>43327</v>
      </c>
      <c r="L846" s="182" t="s">
        <v>6603</v>
      </c>
      <c r="M846" s="58" t="s">
        <v>576</v>
      </c>
      <c r="N846" s="58" t="s">
        <v>1495</v>
      </c>
      <c r="O846" s="169">
        <v>43327</v>
      </c>
      <c r="P846" s="63">
        <v>43327</v>
      </c>
      <c r="Q846" s="182" t="s">
        <v>6603</v>
      </c>
      <c r="R846" s="58" t="s">
        <v>576</v>
      </c>
      <c r="S846" s="58" t="s">
        <v>2411</v>
      </c>
      <c r="T846" s="169"/>
      <c r="U846" s="63"/>
      <c r="V846" s="182"/>
      <c r="W846" s="119"/>
      <c r="X846" s="58"/>
      <c r="Y846" s="169"/>
      <c r="Z846" s="63"/>
      <c r="AA846" s="182"/>
      <c r="AB846" s="119"/>
      <c r="AC846" s="58"/>
      <c r="AD846" s="169"/>
      <c r="AE846" s="63"/>
      <c r="AF846" s="182"/>
      <c r="AG846" s="119"/>
      <c r="AH846" s="58"/>
      <c r="AI846" s="183"/>
      <c r="AJ846" s="63"/>
      <c r="AK846" s="182"/>
      <c r="AL846" s="119"/>
      <c r="AM846" s="58"/>
      <c r="AN846" s="119" t="s">
        <v>6487</v>
      </c>
      <c r="AO846" s="483" t="s">
        <v>7946</v>
      </c>
      <c r="AP846" s="215" t="s">
        <v>2558</v>
      </c>
      <c r="AQ846" s="216" t="s">
        <v>6604</v>
      </c>
      <c r="AR846" s="58" t="s">
        <v>1495</v>
      </c>
      <c r="AS846" s="169">
        <v>37987</v>
      </c>
      <c r="AT846" s="169">
        <v>40862</v>
      </c>
      <c r="AU846" s="119" t="s">
        <v>6605</v>
      </c>
      <c r="AV846" s="119"/>
      <c r="AW846" s="119" t="s">
        <v>69</v>
      </c>
      <c r="AX846" s="58" t="s">
        <v>6606</v>
      </c>
      <c r="AY846" s="169">
        <v>41578</v>
      </c>
      <c r="AZ846" s="58" t="s">
        <v>6607</v>
      </c>
      <c r="BA846" s="169">
        <v>43272</v>
      </c>
      <c r="BB846" s="681">
        <v>43308</v>
      </c>
      <c r="BC846" s="58" t="s">
        <v>95</v>
      </c>
      <c r="BD846" s="58" t="s">
        <v>6612</v>
      </c>
      <c r="BE846" s="119"/>
      <c r="BF846" s="182"/>
      <c r="BG846" s="182"/>
      <c r="BH846" s="182"/>
      <c r="BI846" s="182"/>
      <c r="BJ846" s="209">
        <f>+[351]MATRIZ!$J$61</f>
        <v>0</v>
      </c>
      <c r="BK846" s="140"/>
      <c r="BL846" s="184"/>
      <c r="BM846" s="169"/>
      <c r="BN846" s="63"/>
      <c r="BO846" s="450"/>
      <c r="BP846" s="405"/>
      <c r="BQ846" s="119"/>
      <c r="BR846" s="185"/>
      <c r="BS846" s="182"/>
      <c r="BT846" s="182"/>
      <c r="BU846" s="182"/>
      <c r="BV846" s="182"/>
      <c r="BW846" s="186"/>
      <c r="BX846" s="187"/>
      <c r="BY846" s="169"/>
      <c r="BZ846" s="188"/>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c r="JW846" s="1"/>
      <c r="JX846" s="1"/>
      <c r="JY846" s="1"/>
      <c r="JZ846" s="1"/>
      <c r="KA846" s="1"/>
      <c r="KB846" s="1"/>
      <c r="KC846" s="1"/>
      <c r="KD846" s="1"/>
      <c r="KE846" s="1"/>
      <c r="KF846" s="1"/>
      <c r="KG846" s="1"/>
      <c r="KH846" s="1"/>
      <c r="KI846" s="1"/>
      <c r="KJ846" s="1"/>
      <c r="KK846" s="1"/>
      <c r="KL846" s="1"/>
      <c r="KM846" s="1"/>
      <c r="KN846" s="1"/>
      <c r="KO846" s="1"/>
      <c r="KP846" s="1"/>
      <c r="KQ846" s="1"/>
      <c r="KR846" s="1"/>
      <c r="KS846" s="1"/>
      <c r="KT846" s="1"/>
      <c r="KU846" s="1"/>
      <c r="KV846" s="1"/>
      <c r="KW846" s="1"/>
      <c r="KX846" s="1"/>
      <c r="KY846" s="1"/>
      <c r="KZ846" s="1"/>
      <c r="LA846" s="1"/>
      <c r="LB846" s="1"/>
      <c r="LC846" s="1"/>
      <c r="LD846" s="1"/>
      <c r="LE846" s="1"/>
      <c r="LF846" s="1"/>
      <c r="LG846" s="1"/>
      <c r="LH846" s="1"/>
      <c r="LI846" s="1"/>
      <c r="LJ846" s="1"/>
      <c r="LK846" s="1"/>
      <c r="LL846" s="1"/>
      <c r="LM846" s="1"/>
      <c r="LN846" s="1"/>
      <c r="LO846" s="1"/>
      <c r="LP846" s="1"/>
      <c r="LQ846" s="1"/>
      <c r="LR846" s="1"/>
      <c r="LS846" s="1"/>
      <c r="LT846" s="1"/>
      <c r="LU846" s="1"/>
      <c r="LV846" s="1"/>
      <c r="LW846" s="1"/>
      <c r="LX846" s="1"/>
      <c r="LY846" s="1"/>
      <c r="LZ846" s="1"/>
      <c r="MA846" s="1"/>
      <c r="MB846" s="1"/>
      <c r="MC846" s="1"/>
      <c r="MD846" s="1"/>
      <c r="ME846" s="1"/>
      <c r="MF846" s="1"/>
      <c r="MG846" s="1"/>
      <c r="MH846" s="1"/>
      <c r="MI846" s="1"/>
      <c r="MJ846" s="1"/>
      <c r="MK846" s="1"/>
      <c r="ML846" s="1"/>
      <c r="MM846" s="1"/>
      <c r="MN846" s="1"/>
      <c r="MO846" s="1"/>
      <c r="MP846" s="1"/>
      <c r="MQ846" s="1"/>
      <c r="MR846" s="1"/>
      <c r="MS846" s="1"/>
      <c r="MT846" s="1"/>
      <c r="MU846" s="1"/>
      <c r="MV846" s="1"/>
      <c r="MW846" s="1"/>
      <c r="MX846" s="1"/>
      <c r="MY846" s="1"/>
      <c r="MZ846" s="1"/>
      <c r="NA846" s="1"/>
      <c r="NB846" s="1"/>
      <c r="NC846" s="1"/>
      <c r="ND846" s="1"/>
      <c r="NE846" s="1"/>
      <c r="NF846" s="1"/>
      <c r="NG846" s="1"/>
      <c r="NH846" s="1"/>
      <c r="NI846" s="1"/>
      <c r="NJ846" s="1"/>
      <c r="NK846" s="1"/>
      <c r="NL846" s="1"/>
      <c r="NM846" s="1"/>
      <c r="NN846" s="1"/>
      <c r="NO846" s="1"/>
      <c r="NP846" s="1"/>
      <c r="NQ846" s="1"/>
      <c r="NR846" s="1"/>
      <c r="NS846" s="1"/>
      <c r="NT846" s="1"/>
      <c r="NU846" s="1"/>
      <c r="NV846" s="1"/>
      <c r="NW846" s="1"/>
      <c r="NX846" s="1"/>
      <c r="NY846" s="1"/>
      <c r="NZ846" s="1"/>
      <c r="OA846" s="1"/>
      <c r="OB846" s="1"/>
      <c r="OC846" s="1"/>
      <c r="OD846" s="1"/>
      <c r="OE846" s="1"/>
      <c r="OF846" s="1"/>
      <c r="OG846" s="1"/>
      <c r="OH846" s="1"/>
      <c r="OI846" s="1"/>
      <c r="OJ846" s="1"/>
      <c r="OK846" s="1"/>
      <c r="OL846" s="1"/>
      <c r="OM846" s="1"/>
      <c r="ON846" s="1"/>
      <c r="OO846" s="1"/>
      <c r="OP846" s="1"/>
      <c r="OQ846" s="1"/>
      <c r="OR846" s="1"/>
      <c r="OS846" s="1"/>
      <c r="OT846" s="1"/>
      <c r="OU846" s="1"/>
      <c r="OV846" s="1"/>
      <c r="OW846" s="1"/>
      <c r="OX846" s="1"/>
      <c r="OY846" s="1"/>
      <c r="OZ846" s="1"/>
      <c r="PA846" s="1"/>
      <c r="PB846" s="1"/>
      <c r="PC846" s="1"/>
      <c r="PD846" s="1"/>
      <c r="PE846" s="1"/>
      <c r="PF846" s="1"/>
      <c r="PG846" s="1"/>
      <c r="PH846" s="1"/>
      <c r="PI846" s="1"/>
      <c r="PJ846" s="1"/>
      <c r="PK846" s="1"/>
      <c r="PL846" s="1"/>
      <c r="PM846" s="1"/>
      <c r="PN846" s="1"/>
      <c r="PO846" s="1"/>
      <c r="PP846" s="1"/>
      <c r="PQ846" s="1"/>
      <c r="PR846" s="1"/>
      <c r="PS846" s="1"/>
      <c r="PT846" s="1"/>
      <c r="PU846" s="1"/>
      <c r="PV846" s="1"/>
      <c r="PW846" s="1"/>
      <c r="PX846" s="1"/>
      <c r="PY846" s="1"/>
      <c r="PZ846" s="1"/>
      <c r="QA846" s="1"/>
      <c r="QB846" s="1"/>
      <c r="QC846" s="1"/>
      <c r="QD846" s="1"/>
      <c r="QE846" s="1"/>
      <c r="QF846" s="1"/>
      <c r="QG846" s="1"/>
      <c r="QH846" s="1"/>
      <c r="QI846" s="1"/>
      <c r="QJ846" s="1"/>
      <c r="QK846" s="1"/>
      <c r="QL846" s="1"/>
      <c r="QM846" s="1"/>
      <c r="QN846" s="1"/>
      <c r="QO846" s="1"/>
      <c r="QP846" s="1"/>
      <c r="QQ846" s="1"/>
      <c r="QR846" s="1"/>
      <c r="QS846" s="1"/>
      <c r="QT846" s="1"/>
      <c r="QU846" s="1"/>
      <c r="QV846" s="1"/>
      <c r="QW846" s="1"/>
      <c r="QX846" s="1"/>
      <c r="QY846" s="1"/>
      <c r="QZ846" s="1"/>
      <c r="RA846" s="1"/>
      <c r="RB846" s="1"/>
      <c r="RC846" s="1"/>
      <c r="RD846" s="1"/>
      <c r="RE846" s="1"/>
      <c r="RF846" s="1"/>
      <c r="RG846" s="1"/>
      <c r="RH846" s="1"/>
      <c r="RI846" s="1"/>
      <c r="RJ846" s="1"/>
      <c r="RK846" s="1"/>
      <c r="RL846" s="1"/>
      <c r="RM846" s="1"/>
      <c r="RN846" s="1"/>
      <c r="RO846" s="1"/>
      <c r="RP846" s="1"/>
      <c r="RQ846" s="1"/>
      <c r="RR846" s="1"/>
      <c r="RS846" s="1"/>
      <c r="RT846" s="1"/>
      <c r="RU846" s="1"/>
      <c r="RV846" s="1"/>
      <c r="RW846" s="1"/>
      <c r="RX846" s="1"/>
      <c r="RY846" s="1"/>
      <c r="RZ846" s="1"/>
      <c r="SA846" s="1"/>
      <c r="SB846" s="1"/>
      <c r="SC846" s="1"/>
      <c r="SD846" s="1"/>
      <c r="SE846" s="1"/>
      <c r="SF846" s="1"/>
      <c r="SG846" s="1"/>
      <c r="SH846" s="1"/>
      <c r="SI846" s="1"/>
      <c r="SJ846" s="1"/>
      <c r="SK846" s="1"/>
      <c r="SL846" s="1"/>
      <c r="SM846" s="1"/>
      <c r="SN846" s="1"/>
      <c r="SO846" s="1"/>
      <c r="SP846" s="1"/>
      <c r="SQ846" s="1"/>
      <c r="SR846" s="1"/>
      <c r="SS846" s="1"/>
      <c r="ST846" s="1"/>
      <c r="SU846" s="1"/>
      <c r="SV846" s="1"/>
      <c r="SW846" s="1"/>
      <c r="SX846" s="1"/>
      <c r="SY846" s="1"/>
      <c r="SZ846" s="1"/>
      <c r="TA846" s="1"/>
      <c r="TB846" s="1"/>
      <c r="TC846" s="1"/>
      <c r="TD846" s="1"/>
      <c r="TE846" s="1"/>
      <c r="TF846" s="1"/>
      <c r="TG846" s="1"/>
      <c r="TH846" s="1"/>
      <c r="TI846" s="1"/>
      <c r="TJ846" s="1"/>
      <c r="TK846" s="1"/>
      <c r="TL846" s="1"/>
      <c r="TM846" s="1"/>
      <c r="TN846" s="1"/>
      <c r="TO846" s="1"/>
      <c r="TP846" s="1"/>
      <c r="TQ846" s="1"/>
      <c r="TR846" s="1"/>
      <c r="TS846" s="1"/>
      <c r="TT846" s="1"/>
      <c r="TU846" s="1"/>
      <c r="TV846" s="1"/>
      <c r="TW846" s="1"/>
      <c r="TX846" s="1"/>
      <c r="TY846" s="1"/>
      <c r="TZ846" s="1"/>
      <c r="UA846" s="1"/>
      <c r="UB846" s="1"/>
      <c r="UC846" s="1"/>
      <c r="UD846" s="1"/>
      <c r="UE846" s="1"/>
      <c r="UF846" s="1"/>
      <c r="UG846" s="1"/>
      <c r="UH846" s="1"/>
      <c r="UI846" s="1"/>
    </row>
    <row r="847" spans="1:555" s="259" customFormat="1" ht="54" customHeight="1">
      <c r="A847" s="96">
        <v>838</v>
      </c>
      <c r="B847" s="201" t="s">
        <v>6608</v>
      </c>
      <c r="C847" s="419">
        <v>13874497</v>
      </c>
      <c r="D847" s="439" t="s">
        <v>382</v>
      </c>
      <c r="E847" s="423">
        <v>43300</v>
      </c>
      <c r="F847" s="23">
        <v>43300</v>
      </c>
      <c r="G847" s="22" t="s">
        <v>6609</v>
      </c>
      <c r="H847" s="422" t="s">
        <v>576</v>
      </c>
      <c r="I847" s="422" t="s">
        <v>1495</v>
      </c>
      <c r="J847" s="426">
        <v>43413</v>
      </c>
      <c r="K847" s="23">
        <v>43413</v>
      </c>
      <c r="L847" s="194" t="s">
        <v>7394</v>
      </c>
      <c r="M847" s="421" t="s">
        <v>5</v>
      </c>
      <c r="N847" s="422" t="s">
        <v>79</v>
      </c>
      <c r="O847" s="426">
        <v>43518</v>
      </c>
      <c r="P847" s="23">
        <v>43518</v>
      </c>
      <c r="Q847" s="194" t="s">
        <v>8384</v>
      </c>
      <c r="R847" s="421" t="s">
        <v>5</v>
      </c>
      <c r="S847" s="422" t="s">
        <v>85</v>
      </c>
      <c r="T847" s="420">
        <v>43542</v>
      </c>
      <c r="U847" s="21">
        <v>43542</v>
      </c>
      <c r="V847" s="428" t="s">
        <v>8404</v>
      </c>
      <c r="W847" s="428" t="s">
        <v>5</v>
      </c>
      <c r="X847" s="428" t="s">
        <v>85</v>
      </c>
      <c r="Y847" s="426"/>
      <c r="Z847" s="23"/>
      <c r="AA847" s="194"/>
      <c r="AB847" s="421"/>
      <c r="AC847" s="422"/>
      <c r="AD847" s="426"/>
      <c r="AE847" s="23"/>
      <c r="AF847" s="194"/>
      <c r="AG847" s="421"/>
      <c r="AH847" s="422"/>
      <c r="AI847" s="195"/>
      <c r="AJ847" s="23"/>
      <c r="AK847" s="194"/>
      <c r="AL847" s="421"/>
      <c r="AM847" s="422"/>
      <c r="AN847" s="421"/>
      <c r="AO847" s="483" t="s">
        <v>7946</v>
      </c>
      <c r="AP847" s="189"/>
      <c r="AQ847" s="217" t="s">
        <v>6610</v>
      </c>
      <c r="AR847" s="422" t="s">
        <v>1495</v>
      </c>
      <c r="AS847" s="426">
        <v>38596</v>
      </c>
      <c r="AT847" s="426">
        <v>40862</v>
      </c>
      <c r="AU847" s="422" t="s">
        <v>7395</v>
      </c>
      <c r="AV847" s="422"/>
      <c r="AW847" s="421" t="s">
        <v>69</v>
      </c>
      <c r="AX847" s="422" t="s">
        <v>627</v>
      </c>
      <c r="AY847" s="426">
        <v>41527</v>
      </c>
      <c r="AZ847" s="422" t="s">
        <v>6611</v>
      </c>
      <c r="BA847" s="426">
        <v>43146</v>
      </c>
      <c r="BB847" s="681">
        <v>43284</v>
      </c>
      <c r="BC847" s="422" t="s">
        <v>6498</v>
      </c>
      <c r="BD847" s="422" t="s">
        <v>6612</v>
      </c>
      <c r="BE847" s="421"/>
      <c r="BF847" s="194"/>
      <c r="BG847" s="194"/>
      <c r="BH847" s="194"/>
      <c r="BI847" s="194"/>
      <c r="BJ847" s="209">
        <f>+[352]MATRIZ!$J$76</f>
        <v>0</v>
      </c>
      <c r="BK847" s="159"/>
      <c r="BL847" s="196"/>
      <c r="BM847" s="426"/>
      <c r="BN847" s="23"/>
      <c r="BO847" s="448"/>
      <c r="BP847" s="406"/>
      <c r="BQ847" s="421"/>
      <c r="BR847" s="197"/>
      <c r="BS847" s="194"/>
      <c r="BT847" s="194"/>
      <c r="BU847" s="194"/>
      <c r="BV847" s="194"/>
      <c r="BW847" s="198"/>
      <c r="BX847" s="199"/>
      <c r="BY847" s="426"/>
      <c r="BZ847" s="200"/>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c r="JW847" s="1"/>
      <c r="JX847" s="1"/>
      <c r="JY847" s="1"/>
      <c r="JZ847" s="1"/>
      <c r="KA847" s="1"/>
      <c r="KB847" s="1"/>
      <c r="KC847" s="1"/>
      <c r="KD847" s="1"/>
      <c r="KE847" s="1"/>
      <c r="KF847" s="1"/>
      <c r="KG847" s="1"/>
      <c r="KH847" s="1"/>
      <c r="KI847" s="1"/>
      <c r="KJ847" s="1"/>
      <c r="KK847" s="1"/>
      <c r="KL847" s="1"/>
      <c r="KM847" s="1"/>
      <c r="KN847" s="1"/>
      <c r="KO847" s="1"/>
      <c r="KP847" s="1"/>
      <c r="KQ847" s="1"/>
      <c r="KR847" s="1"/>
      <c r="KS847" s="1"/>
      <c r="KT847" s="1"/>
      <c r="KU847" s="1"/>
      <c r="KV847" s="1"/>
      <c r="KW847" s="1"/>
      <c r="KX847" s="1"/>
      <c r="KY847" s="1"/>
      <c r="KZ847" s="1"/>
      <c r="LA847" s="1"/>
      <c r="LB847" s="1"/>
      <c r="LC847" s="1"/>
      <c r="LD847" s="1"/>
      <c r="LE847" s="1"/>
      <c r="LF847" s="1"/>
      <c r="LG847" s="1"/>
      <c r="LH847" s="1"/>
      <c r="LI847" s="1"/>
      <c r="LJ847" s="1"/>
      <c r="LK847" s="1"/>
      <c r="LL847" s="1"/>
      <c r="LM847" s="1"/>
      <c r="LN847" s="1"/>
      <c r="LO847" s="1"/>
      <c r="LP847" s="1"/>
      <c r="LQ847" s="1"/>
      <c r="LR847" s="1"/>
      <c r="LS847" s="1"/>
      <c r="LT847" s="1"/>
      <c r="LU847" s="1"/>
      <c r="LV847" s="1"/>
      <c r="LW847" s="1"/>
      <c r="LX847" s="1"/>
      <c r="LY847" s="1"/>
      <c r="LZ847" s="1"/>
      <c r="MA847" s="1"/>
      <c r="MB847" s="1"/>
      <c r="MC847" s="1"/>
      <c r="MD847" s="1"/>
      <c r="ME847" s="1"/>
      <c r="MF847" s="1"/>
      <c r="MG847" s="1"/>
      <c r="MH847" s="1"/>
      <c r="MI847" s="1"/>
      <c r="MJ847" s="1"/>
      <c r="MK847" s="1"/>
      <c r="ML847" s="1"/>
      <c r="MM847" s="1"/>
      <c r="MN847" s="1"/>
      <c r="MO847" s="1"/>
      <c r="MP847" s="1"/>
      <c r="MQ847" s="1"/>
      <c r="MR847" s="1"/>
      <c r="MS847" s="1"/>
      <c r="MT847" s="1"/>
      <c r="MU847" s="1"/>
      <c r="MV847" s="1"/>
      <c r="MW847" s="1"/>
      <c r="MX847" s="1"/>
      <c r="MY847" s="1"/>
      <c r="MZ847" s="1"/>
      <c r="NA847" s="1"/>
      <c r="NB847" s="1"/>
      <c r="NC847" s="1"/>
      <c r="ND847" s="1"/>
      <c r="NE847" s="1"/>
      <c r="NF847" s="1"/>
      <c r="NG847" s="1"/>
      <c r="NH847" s="1"/>
      <c r="NI847" s="1"/>
      <c r="NJ847" s="1"/>
      <c r="NK847" s="1"/>
      <c r="NL847" s="1"/>
      <c r="NM847" s="1"/>
      <c r="NN847" s="1"/>
      <c r="NO847" s="1"/>
      <c r="NP847" s="1"/>
      <c r="NQ847" s="1"/>
      <c r="NR847" s="1"/>
      <c r="NS847" s="1"/>
      <c r="NT847" s="1"/>
      <c r="NU847" s="1"/>
      <c r="NV847" s="1"/>
      <c r="NW847" s="1"/>
      <c r="NX847" s="1"/>
      <c r="NY847" s="1"/>
      <c r="NZ847" s="1"/>
      <c r="OA847" s="1"/>
      <c r="OB847" s="1"/>
      <c r="OC847" s="1"/>
      <c r="OD847" s="1"/>
      <c r="OE847" s="1"/>
      <c r="OF847" s="1"/>
      <c r="OG847" s="1"/>
      <c r="OH847" s="1"/>
      <c r="OI847" s="1"/>
      <c r="OJ847" s="1"/>
      <c r="OK847" s="1"/>
      <c r="OL847" s="1"/>
      <c r="OM847" s="1"/>
      <c r="ON847" s="1"/>
      <c r="OO847" s="1"/>
      <c r="OP847" s="1"/>
      <c r="OQ847" s="1"/>
      <c r="OR847" s="1"/>
      <c r="OS847" s="1"/>
      <c r="OT847" s="1"/>
      <c r="OU847" s="1"/>
      <c r="OV847" s="1"/>
      <c r="OW847" s="1"/>
      <c r="OX847" s="1"/>
      <c r="OY847" s="1"/>
      <c r="OZ847" s="1"/>
      <c r="PA847" s="1"/>
      <c r="PB847" s="1"/>
      <c r="PC847" s="1"/>
      <c r="PD847" s="1"/>
      <c r="PE847" s="1"/>
      <c r="PF847" s="1"/>
      <c r="PG847" s="1"/>
      <c r="PH847" s="1"/>
      <c r="PI847" s="1"/>
      <c r="PJ847" s="1"/>
      <c r="PK847" s="1"/>
      <c r="PL847" s="1"/>
      <c r="PM847" s="1"/>
      <c r="PN847" s="1"/>
      <c r="PO847" s="1"/>
      <c r="PP847" s="1"/>
      <c r="PQ847" s="1"/>
      <c r="PR847" s="1"/>
      <c r="PS847" s="1"/>
      <c r="PT847" s="1"/>
      <c r="PU847" s="1"/>
      <c r="PV847" s="1"/>
      <c r="PW847" s="1"/>
      <c r="PX847" s="1"/>
      <c r="PY847" s="1"/>
      <c r="PZ847" s="1"/>
      <c r="QA847" s="1"/>
      <c r="QB847" s="1"/>
      <c r="QC847" s="1"/>
      <c r="QD847" s="1"/>
      <c r="QE847" s="1"/>
      <c r="QF847" s="1"/>
      <c r="QG847" s="1"/>
      <c r="QH847" s="1"/>
      <c r="QI847" s="1"/>
      <c r="QJ847" s="1"/>
      <c r="QK847" s="1"/>
      <c r="QL847" s="1"/>
      <c r="QM847" s="1"/>
      <c r="QN847" s="1"/>
      <c r="QO847" s="1"/>
      <c r="QP847" s="1"/>
      <c r="QQ847" s="1"/>
      <c r="QR847" s="1"/>
      <c r="QS847" s="1"/>
      <c r="QT847" s="1"/>
      <c r="QU847" s="1"/>
      <c r="QV847" s="1"/>
      <c r="QW847" s="1"/>
      <c r="QX847" s="1"/>
      <c r="QY847" s="1"/>
      <c r="QZ847" s="1"/>
      <c r="RA847" s="1"/>
      <c r="RB847" s="1"/>
      <c r="RC847" s="1"/>
      <c r="RD847" s="1"/>
      <c r="RE847" s="1"/>
      <c r="RF847" s="1"/>
      <c r="RG847" s="1"/>
      <c r="RH847" s="1"/>
      <c r="RI847" s="1"/>
      <c r="RJ847" s="1"/>
      <c r="RK847" s="1"/>
      <c r="RL847" s="1"/>
      <c r="RM847" s="1"/>
      <c r="RN847" s="1"/>
      <c r="RO847" s="1"/>
      <c r="RP847" s="1"/>
      <c r="RQ847" s="1"/>
      <c r="RR847" s="1"/>
      <c r="RS847" s="1"/>
      <c r="RT847" s="1"/>
      <c r="RU847" s="1"/>
      <c r="RV847" s="1"/>
      <c r="RW847" s="1"/>
      <c r="RX847" s="1"/>
      <c r="RY847" s="1"/>
      <c r="RZ847" s="1"/>
      <c r="SA847" s="1"/>
      <c r="SB847" s="1"/>
      <c r="SC847" s="1"/>
      <c r="SD847" s="1"/>
      <c r="SE847" s="1"/>
      <c r="SF847" s="1"/>
      <c r="SG847" s="1"/>
      <c r="SH847" s="1"/>
      <c r="SI847" s="1"/>
      <c r="SJ847" s="1"/>
      <c r="SK847" s="1"/>
      <c r="SL847" s="1"/>
      <c r="SM847" s="1"/>
      <c r="SN847" s="1"/>
      <c r="SO847" s="1"/>
      <c r="SP847" s="1"/>
      <c r="SQ847" s="1"/>
      <c r="SR847" s="1"/>
      <c r="SS847" s="1"/>
      <c r="ST847" s="1"/>
      <c r="SU847" s="1"/>
      <c r="SV847" s="1"/>
      <c r="SW847" s="1"/>
      <c r="SX847" s="1"/>
      <c r="SY847" s="1"/>
      <c r="SZ847" s="1"/>
      <c r="TA847" s="1"/>
      <c r="TB847" s="1"/>
      <c r="TC847" s="1"/>
      <c r="TD847" s="1"/>
      <c r="TE847" s="1"/>
      <c r="TF847" s="1"/>
      <c r="TG847" s="1"/>
      <c r="TH847" s="1"/>
      <c r="TI847" s="1"/>
      <c r="TJ847" s="1"/>
      <c r="TK847" s="1"/>
      <c r="TL847" s="1"/>
      <c r="TM847" s="1"/>
      <c r="TN847" s="1"/>
      <c r="TO847" s="1"/>
      <c r="TP847" s="1"/>
      <c r="TQ847" s="1"/>
      <c r="TR847" s="1"/>
      <c r="TS847" s="1"/>
      <c r="TT847" s="1"/>
      <c r="TU847" s="1"/>
      <c r="TV847" s="1"/>
      <c r="TW847" s="1"/>
      <c r="TX847" s="1"/>
      <c r="TY847" s="1"/>
      <c r="TZ847" s="1"/>
      <c r="UA847" s="1"/>
      <c r="UB847" s="1"/>
      <c r="UC847" s="1"/>
      <c r="UD847" s="1"/>
      <c r="UE847" s="1"/>
      <c r="UF847" s="1"/>
      <c r="UG847" s="1"/>
      <c r="UH847" s="1"/>
      <c r="UI847" s="1"/>
    </row>
    <row r="848" spans="1:555" s="685" customFormat="1" ht="35.25" customHeight="1">
      <c r="A848" s="96">
        <v>839</v>
      </c>
      <c r="B848" s="428" t="s">
        <v>6613</v>
      </c>
      <c r="C848" s="419">
        <v>78705971</v>
      </c>
      <c r="D848" s="439" t="s">
        <v>1647</v>
      </c>
      <c r="E848" s="423">
        <v>43334</v>
      </c>
      <c r="F848" s="23">
        <v>43334</v>
      </c>
      <c r="G848" s="22" t="s">
        <v>6614</v>
      </c>
      <c r="H848" s="422" t="s">
        <v>625</v>
      </c>
      <c r="I848" s="422" t="s">
        <v>1495</v>
      </c>
      <c r="J848" s="56"/>
      <c r="K848" s="56"/>
      <c r="L848" s="56"/>
      <c r="M848" s="56"/>
      <c r="N848" s="374"/>
      <c r="O848" s="56"/>
      <c r="P848" s="56"/>
      <c r="Q848" s="56"/>
      <c r="R848" s="56"/>
      <c r="S848" s="374"/>
      <c r="T848" s="56"/>
      <c r="U848" s="56"/>
      <c r="V848" s="56"/>
      <c r="W848" s="56"/>
      <c r="X848" s="374"/>
      <c r="Y848" s="56"/>
      <c r="Z848" s="56"/>
      <c r="AA848" s="56"/>
      <c r="AB848" s="56"/>
      <c r="AC848" s="374"/>
      <c r="AD848" s="56"/>
      <c r="AE848" s="56"/>
      <c r="AF848" s="56"/>
      <c r="AG848" s="56"/>
      <c r="AH848" s="374"/>
      <c r="AI848" s="56"/>
      <c r="AJ848" s="56"/>
      <c r="AK848" s="56"/>
      <c r="AL848" s="56"/>
      <c r="AM848" s="374"/>
      <c r="AN848" s="56"/>
      <c r="AO848" s="488" t="s">
        <v>7946</v>
      </c>
      <c r="AP848" s="56"/>
      <c r="AQ848" s="217" t="s">
        <v>6615</v>
      </c>
      <c r="AR848" s="422" t="s">
        <v>4254</v>
      </c>
      <c r="AS848" s="426">
        <v>38601</v>
      </c>
      <c r="AT848" s="426">
        <v>38776</v>
      </c>
      <c r="AU848" s="422" t="s">
        <v>4499</v>
      </c>
      <c r="AV848" s="422"/>
      <c r="AW848" s="421" t="s">
        <v>69</v>
      </c>
      <c r="AX848" s="422" t="s">
        <v>6616</v>
      </c>
      <c r="AY848" s="426">
        <v>43086</v>
      </c>
      <c r="AZ848" s="422" t="s">
        <v>588</v>
      </c>
      <c r="BA848" s="426">
        <v>43328</v>
      </c>
      <c r="BB848" s="681">
        <v>43340</v>
      </c>
      <c r="BC848" s="422" t="s">
        <v>95</v>
      </c>
      <c r="BD848" s="422" t="s">
        <v>6612</v>
      </c>
      <c r="BE848" s="56"/>
      <c r="BF848" s="56"/>
      <c r="BG848" s="56"/>
      <c r="BH848" s="56"/>
      <c r="BI848" s="56"/>
      <c r="BJ848" s="209">
        <f>+[353]MATRIZ!$J$43</f>
        <v>625249.56537179661</v>
      </c>
      <c r="BK848" s="56"/>
      <c r="BL848" s="56"/>
      <c r="BM848" s="426"/>
      <c r="BN848" s="23"/>
      <c r="BO848" s="448"/>
      <c r="BP848" s="408"/>
      <c r="BQ848" s="409"/>
      <c r="BR848" s="56"/>
      <c r="BS848" s="56"/>
      <c r="BT848" s="56"/>
      <c r="BU848" s="56"/>
      <c r="BV848" s="56"/>
      <c r="BW848" s="56"/>
      <c r="BX848" s="218"/>
      <c r="BY848" s="56"/>
      <c r="BZ848" s="219"/>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c r="JW848" s="1"/>
      <c r="JX848" s="1"/>
      <c r="JY848" s="1"/>
      <c r="JZ848" s="1"/>
      <c r="KA848" s="1"/>
      <c r="KB848" s="1"/>
      <c r="KC848" s="1"/>
      <c r="KD848" s="1"/>
      <c r="KE848" s="1"/>
      <c r="KF848" s="1"/>
      <c r="KG848" s="1"/>
      <c r="KH848" s="1"/>
      <c r="KI848" s="1"/>
      <c r="KJ848" s="1"/>
      <c r="KK848" s="1"/>
      <c r="KL848" s="1"/>
      <c r="KM848" s="1"/>
      <c r="KN848" s="1"/>
      <c r="KO848" s="1"/>
      <c r="KP848" s="1"/>
      <c r="KQ848" s="1"/>
      <c r="KR848" s="1"/>
      <c r="KS848" s="1"/>
      <c r="KT848" s="1"/>
      <c r="KU848" s="1"/>
      <c r="KV848" s="1"/>
      <c r="KW848" s="1"/>
      <c r="KX848" s="1"/>
      <c r="KY848" s="1"/>
      <c r="KZ848" s="1"/>
      <c r="LA848" s="1"/>
      <c r="LB848" s="1"/>
      <c r="LC848" s="1"/>
      <c r="LD848" s="1"/>
      <c r="LE848" s="1"/>
      <c r="LF848" s="1"/>
      <c r="LG848" s="1"/>
      <c r="LH848" s="1"/>
      <c r="LI848" s="1"/>
      <c r="LJ848" s="1"/>
      <c r="LK848" s="1"/>
      <c r="LL848" s="1"/>
      <c r="LM848" s="1"/>
      <c r="LN848" s="1"/>
      <c r="LO848" s="1"/>
      <c r="LP848" s="1"/>
      <c r="LQ848" s="1"/>
      <c r="LR848" s="1"/>
      <c r="LS848" s="1"/>
      <c r="LT848" s="1"/>
      <c r="LU848" s="1"/>
      <c r="LV848" s="1"/>
      <c r="LW848" s="1"/>
      <c r="LX848" s="1"/>
      <c r="LY848" s="1"/>
      <c r="LZ848" s="1"/>
      <c r="MA848" s="1"/>
      <c r="MB848" s="1"/>
      <c r="MC848" s="1"/>
      <c r="MD848" s="1"/>
      <c r="ME848" s="1"/>
      <c r="MF848" s="1"/>
      <c r="MG848" s="1"/>
      <c r="MH848" s="1"/>
      <c r="MI848" s="1"/>
      <c r="MJ848" s="1"/>
      <c r="MK848" s="1"/>
      <c r="ML848" s="1"/>
      <c r="MM848" s="1"/>
      <c r="MN848" s="1"/>
      <c r="MO848" s="1"/>
      <c r="MP848" s="1"/>
      <c r="MQ848" s="1"/>
      <c r="MR848" s="1"/>
      <c r="MS848" s="1"/>
      <c r="MT848" s="1"/>
      <c r="MU848" s="1"/>
      <c r="MV848" s="1"/>
      <c r="MW848" s="1"/>
      <c r="MX848" s="1"/>
      <c r="MY848" s="1"/>
      <c r="MZ848" s="1"/>
      <c r="NA848" s="1"/>
      <c r="NB848" s="1"/>
      <c r="NC848" s="1"/>
      <c r="ND848" s="1"/>
      <c r="NE848" s="1"/>
      <c r="NF848" s="1"/>
      <c r="NG848" s="1"/>
      <c r="NH848" s="1"/>
      <c r="NI848" s="1"/>
      <c r="NJ848" s="1"/>
      <c r="NK848" s="1"/>
      <c r="NL848" s="1"/>
      <c r="NM848" s="1"/>
      <c r="NN848" s="1"/>
      <c r="NO848" s="1"/>
      <c r="NP848" s="1"/>
      <c r="NQ848" s="1"/>
      <c r="NR848" s="1"/>
      <c r="NS848" s="1"/>
      <c r="NT848" s="1"/>
      <c r="NU848" s="1"/>
      <c r="NV848" s="1"/>
      <c r="NW848" s="1"/>
      <c r="NX848" s="1"/>
      <c r="NY848" s="1"/>
      <c r="NZ848" s="1"/>
      <c r="OA848" s="1"/>
      <c r="OB848" s="1"/>
      <c r="OC848" s="1"/>
      <c r="OD848" s="1"/>
      <c r="OE848" s="1"/>
      <c r="OF848" s="1"/>
      <c r="OG848" s="1"/>
      <c r="OH848" s="1"/>
      <c r="OI848" s="1"/>
      <c r="OJ848" s="1"/>
      <c r="OK848" s="1"/>
      <c r="OL848" s="1"/>
      <c r="OM848" s="1"/>
      <c r="ON848" s="1"/>
      <c r="OO848" s="1"/>
      <c r="OP848" s="1"/>
      <c r="OQ848" s="1"/>
      <c r="OR848" s="1"/>
      <c r="OS848" s="1"/>
      <c r="OT848" s="1"/>
      <c r="OU848" s="1"/>
      <c r="OV848" s="1"/>
      <c r="OW848" s="1"/>
      <c r="OX848" s="1"/>
      <c r="OY848" s="1"/>
      <c r="OZ848" s="1"/>
      <c r="PA848" s="1"/>
      <c r="PB848" s="1"/>
      <c r="PC848" s="1"/>
      <c r="PD848" s="1"/>
      <c r="PE848" s="1"/>
      <c r="PF848" s="1"/>
      <c r="PG848" s="1"/>
      <c r="PH848" s="1"/>
      <c r="PI848" s="1"/>
      <c r="PJ848" s="1"/>
      <c r="PK848" s="1"/>
      <c r="PL848" s="1"/>
      <c r="PM848" s="1"/>
      <c r="PN848" s="1"/>
      <c r="PO848" s="1"/>
      <c r="PP848" s="1"/>
      <c r="PQ848" s="1"/>
      <c r="PR848" s="1"/>
      <c r="PS848" s="1"/>
      <c r="PT848" s="1"/>
      <c r="PU848" s="1"/>
      <c r="PV848" s="1"/>
      <c r="PW848" s="1"/>
      <c r="PX848" s="1"/>
      <c r="PY848" s="1"/>
      <c r="PZ848" s="1"/>
      <c r="QA848" s="1"/>
      <c r="QB848" s="1"/>
      <c r="QC848" s="1"/>
      <c r="QD848" s="1"/>
      <c r="QE848" s="1"/>
      <c r="QF848" s="1"/>
      <c r="QG848" s="1"/>
      <c r="QH848" s="1"/>
      <c r="QI848" s="1"/>
      <c r="QJ848" s="1"/>
      <c r="QK848" s="1"/>
      <c r="QL848" s="1"/>
      <c r="QM848" s="1"/>
      <c r="QN848" s="1"/>
      <c r="QO848" s="1"/>
      <c r="QP848" s="1"/>
      <c r="QQ848" s="1"/>
      <c r="QR848" s="1"/>
      <c r="QS848" s="1"/>
      <c r="QT848" s="1"/>
      <c r="QU848" s="1"/>
      <c r="QV848" s="1"/>
      <c r="QW848" s="1"/>
      <c r="QX848" s="1"/>
      <c r="QY848" s="1"/>
      <c r="QZ848" s="1"/>
      <c r="RA848" s="1"/>
      <c r="RB848" s="1"/>
      <c r="RC848" s="1"/>
      <c r="RD848" s="1"/>
      <c r="RE848" s="1"/>
      <c r="RF848" s="1"/>
      <c r="RG848" s="1"/>
      <c r="RH848" s="1"/>
      <c r="RI848" s="1"/>
      <c r="RJ848" s="1"/>
      <c r="RK848" s="1"/>
      <c r="RL848" s="1"/>
      <c r="RM848" s="1"/>
      <c r="RN848" s="1"/>
      <c r="RO848" s="1"/>
      <c r="RP848" s="1"/>
      <c r="RQ848" s="1"/>
      <c r="RR848" s="1"/>
      <c r="RS848" s="1"/>
      <c r="RT848" s="1"/>
      <c r="RU848" s="1"/>
      <c r="RV848" s="1"/>
      <c r="RW848" s="1"/>
      <c r="RX848" s="1"/>
      <c r="RY848" s="1"/>
      <c r="RZ848" s="1"/>
      <c r="SA848" s="1"/>
      <c r="SB848" s="1"/>
      <c r="SC848" s="1"/>
      <c r="SD848" s="1"/>
      <c r="SE848" s="1"/>
      <c r="SF848" s="1"/>
      <c r="SG848" s="1"/>
      <c r="SH848" s="1"/>
      <c r="SI848" s="1"/>
      <c r="SJ848" s="1"/>
      <c r="SK848" s="1"/>
      <c r="SL848" s="1"/>
      <c r="SM848" s="1"/>
      <c r="SN848" s="1"/>
      <c r="SO848" s="1"/>
      <c r="SP848" s="1"/>
      <c r="SQ848" s="1"/>
      <c r="SR848" s="1"/>
      <c r="SS848" s="1"/>
      <c r="ST848" s="1"/>
      <c r="SU848" s="1"/>
      <c r="SV848" s="1"/>
      <c r="SW848" s="1"/>
      <c r="SX848" s="1"/>
      <c r="SY848" s="1"/>
      <c r="SZ848" s="1"/>
      <c r="TA848" s="1"/>
      <c r="TB848" s="1"/>
      <c r="TC848" s="1"/>
      <c r="TD848" s="1"/>
      <c r="TE848" s="1"/>
      <c r="TF848" s="1"/>
      <c r="TG848" s="1"/>
      <c r="TH848" s="1"/>
      <c r="TI848" s="1"/>
      <c r="TJ848" s="1"/>
      <c r="TK848" s="1"/>
      <c r="TL848" s="1"/>
      <c r="TM848" s="1"/>
      <c r="TN848" s="1"/>
      <c r="TO848" s="1"/>
      <c r="TP848" s="1"/>
      <c r="TQ848" s="1"/>
      <c r="TR848" s="1"/>
      <c r="TS848" s="1"/>
      <c r="TT848" s="1"/>
      <c r="TU848" s="1"/>
      <c r="TV848" s="1"/>
      <c r="TW848" s="1"/>
      <c r="TX848" s="1"/>
      <c r="TY848" s="1"/>
      <c r="TZ848" s="1"/>
      <c r="UA848" s="1"/>
      <c r="UB848" s="1"/>
      <c r="UC848" s="1"/>
      <c r="UD848" s="1"/>
      <c r="UE848" s="1"/>
      <c r="UF848" s="1"/>
      <c r="UG848" s="1"/>
      <c r="UH848" s="1"/>
      <c r="UI848" s="1"/>
    </row>
    <row r="849" spans="1:555" ht="55.5" customHeight="1">
      <c r="A849" s="729">
        <v>840</v>
      </c>
      <c r="B849" s="380" t="s">
        <v>6617</v>
      </c>
      <c r="C849" s="730"/>
      <c r="D849" s="731"/>
      <c r="E849" s="382"/>
      <c r="F849" s="732"/>
      <c r="G849" s="383"/>
      <c r="H849" s="381"/>
      <c r="I849" s="381"/>
      <c r="J849" s="682"/>
      <c r="K849" s="682"/>
      <c r="L849" s="682"/>
      <c r="M849" s="682"/>
      <c r="N849" s="767"/>
      <c r="O849" s="682"/>
      <c r="P849" s="682"/>
      <c r="Q849" s="682"/>
      <c r="R849" s="682"/>
      <c r="S849" s="767"/>
      <c r="T849" s="682"/>
      <c r="U849" s="682"/>
      <c r="V849" s="682"/>
      <c r="W849" s="682"/>
      <c r="X849" s="767"/>
      <c r="Y849" s="682"/>
      <c r="Z849" s="682"/>
      <c r="AA849" s="682"/>
      <c r="AB849" s="682"/>
      <c r="AC849" s="767"/>
      <c r="AD849" s="682"/>
      <c r="AE849" s="682"/>
      <c r="AF849" s="682"/>
      <c r="AG849" s="682"/>
      <c r="AH849" s="767"/>
      <c r="AI849" s="682"/>
      <c r="AJ849" s="682"/>
      <c r="AK849" s="682"/>
      <c r="AL849" s="682"/>
      <c r="AM849" s="767"/>
      <c r="AN849" s="682"/>
      <c r="AO849" s="768"/>
      <c r="AP849" s="682"/>
      <c r="AQ849" s="758"/>
      <c r="AR849" s="755"/>
      <c r="AS849" s="682"/>
      <c r="AT849" s="682"/>
      <c r="AU849" s="682"/>
      <c r="AV849" s="682"/>
      <c r="AW849" s="682"/>
      <c r="AX849" s="381"/>
      <c r="AY849" s="681"/>
      <c r="AZ849" s="682"/>
      <c r="BA849" s="682"/>
      <c r="BB849" s="681"/>
      <c r="BC849" s="682"/>
      <c r="BD849" s="682"/>
      <c r="BE849" s="682"/>
      <c r="BF849" s="682"/>
      <c r="BG849" s="682"/>
      <c r="BH849" s="682"/>
      <c r="BI849" s="682"/>
      <c r="BJ849" s="682"/>
      <c r="BK849" s="682"/>
      <c r="BL849" s="682"/>
      <c r="BM849" s="682"/>
      <c r="BN849" s="682"/>
      <c r="BO849" s="761"/>
      <c r="BP849" s="769"/>
      <c r="BQ849" s="770"/>
      <c r="BR849" s="682"/>
      <c r="BS849" s="682"/>
      <c r="BT849" s="682"/>
      <c r="BU849" s="682"/>
      <c r="BV849" s="682"/>
      <c r="BW849" s="682"/>
      <c r="BX849" s="771"/>
      <c r="BY849" s="682"/>
      <c r="BZ849" s="772"/>
      <c r="CA849" s="685"/>
      <c r="CB849" s="685"/>
      <c r="CC849" s="685"/>
      <c r="CD849" s="685"/>
      <c r="CE849" s="685"/>
      <c r="CF849" s="685"/>
      <c r="CG849" s="685"/>
      <c r="CH849" s="685"/>
      <c r="CI849" s="685"/>
      <c r="CJ849" s="685"/>
      <c r="CK849" s="685"/>
      <c r="CL849" s="685"/>
      <c r="CM849" s="685"/>
      <c r="CN849" s="685"/>
      <c r="CO849" s="685"/>
      <c r="CP849" s="685"/>
      <c r="CQ849" s="685"/>
      <c r="CR849" s="685"/>
      <c r="CS849" s="685"/>
      <c r="CT849" s="685"/>
      <c r="CU849" s="685"/>
      <c r="CV849" s="685"/>
      <c r="CW849" s="685"/>
      <c r="CX849" s="685"/>
      <c r="CY849" s="685"/>
      <c r="CZ849" s="685"/>
      <c r="DA849" s="685"/>
      <c r="DB849" s="685"/>
      <c r="DC849" s="685"/>
      <c r="DD849" s="685"/>
      <c r="DE849" s="685"/>
      <c r="DF849" s="685"/>
      <c r="DG849" s="685"/>
      <c r="DH849" s="685"/>
      <c r="DI849" s="685"/>
      <c r="DJ849" s="685"/>
      <c r="DK849" s="685"/>
      <c r="DL849" s="685"/>
      <c r="DM849" s="685"/>
      <c r="DN849" s="685"/>
      <c r="DO849" s="685"/>
      <c r="DP849" s="685"/>
      <c r="DQ849" s="685"/>
      <c r="DR849" s="685"/>
      <c r="DS849" s="685"/>
      <c r="DT849" s="685"/>
      <c r="DU849" s="685"/>
      <c r="DV849" s="685"/>
      <c r="DW849" s="685"/>
      <c r="DX849" s="685"/>
      <c r="DY849" s="685"/>
      <c r="DZ849" s="685"/>
      <c r="EA849" s="685"/>
      <c r="EB849" s="685"/>
      <c r="EC849" s="685"/>
      <c r="ED849" s="685"/>
      <c r="EE849" s="685"/>
      <c r="EF849" s="685"/>
      <c r="EG849" s="685"/>
      <c r="EH849" s="685"/>
      <c r="EI849" s="685"/>
      <c r="EJ849" s="685"/>
      <c r="EK849" s="685"/>
      <c r="EL849" s="685"/>
      <c r="EM849" s="685"/>
      <c r="EN849" s="685"/>
      <c r="EO849" s="685"/>
      <c r="EP849" s="685"/>
      <c r="EQ849" s="685"/>
      <c r="ER849" s="685"/>
      <c r="ES849" s="685"/>
      <c r="ET849" s="685"/>
      <c r="EU849" s="685"/>
      <c r="EV849" s="685"/>
      <c r="EW849" s="685"/>
      <c r="EX849" s="685"/>
      <c r="EY849" s="685"/>
      <c r="EZ849" s="685"/>
      <c r="FA849" s="685"/>
      <c r="FB849" s="685"/>
      <c r="FC849" s="685"/>
      <c r="FD849" s="685"/>
      <c r="FE849" s="685"/>
      <c r="FF849" s="685"/>
      <c r="FG849" s="685"/>
      <c r="FH849" s="685"/>
      <c r="FI849" s="685"/>
      <c r="FJ849" s="685"/>
      <c r="FK849" s="685"/>
      <c r="FL849" s="685"/>
      <c r="FM849" s="685"/>
      <c r="FN849" s="685"/>
      <c r="FO849" s="685"/>
      <c r="FP849" s="685"/>
      <c r="FQ849" s="685"/>
      <c r="FR849" s="685"/>
      <c r="FS849" s="685"/>
      <c r="FT849" s="685"/>
      <c r="FU849" s="685"/>
      <c r="FV849" s="685"/>
      <c r="FW849" s="685"/>
      <c r="FX849" s="685"/>
      <c r="FY849" s="685"/>
      <c r="FZ849" s="685"/>
      <c r="GA849" s="685"/>
      <c r="GB849" s="685"/>
      <c r="GC849" s="685"/>
      <c r="GD849" s="685"/>
      <c r="GE849" s="685"/>
      <c r="GF849" s="685"/>
      <c r="GG849" s="685"/>
      <c r="GH849" s="685"/>
      <c r="GI849" s="685"/>
      <c r="GJ849" s="685"/>
      <c r="GK849" s="685"/>
      <c r="GL849" s="685"/>
      <c r="GM849" s="685"/>
      <c r="GN849" s="685"/>
      <c r="GO849" s="685"/>
      <c r="GP849" s="685"/>
      <c r="GQ849" s="685"/>
      <c r="GR849" s="685"/>
      <c r="GS849" s="685"/>
      <c r="GT849" s="685"/>
      <c r="GU849" s="685"/>
      <c r="GV849" s="685"/>
      <c r="GW849" s="685"/>
      <c r="GX849" s="685"/>
      <c r="GY849" s="685"/>
      <c r="GZ849" s="685"/>
      <c r="HA849" s="685"/>
      <c r="HB849" s="685"/>
      <c r="HC849" s="685"/>
      <c r="HD849" s="685"/>
      <c r="HE849" s="685"/>
      <c r="HF849" s="685"/>
      <c r="HG849" s="685"/>
      <c r="HH849" s="685"/>
      <c r="HI849" s="685"/>
      <c r="HJ849" s="685"/>
      <c r="HK849" s="685"/>
      <c r="HL849" s="685"/>
      <c r="HM849" s="685"/>
      <c r="HN849" s="685"/>
      <c r="HO849" s="685"/>
      <c r="HP849" s="685"/>
      <c r="HQ849" s="685"/>
      <c r="HR849" s="685"/>
      <c r="HS849" s="685"/>
      <c r="HT849" s="685"/>
      <c r="HU849" s="685"/>
      <c r="HV849" s="685"/>
      <c r="HW849" s="685"/>
      <c r="HX849" s="685"/>
      <c r="HY849" s="685"/>
      <c r="HZ849" s="685"/>
      <c r="IA849" s="685"/>
      <c r="IB849" s="685"/>
      <c r="IC849" s="685"/>
      <c r="ID849" s="685"/>
      <c r="IE849" s="685"/>
      <c r="IF849" s="685"/>
      <c r="IG849" s="685"/>
      <c r="IH849" s="685"/>
      <c r="II849" s="685"/>
      <c r="IJ849" s="685"/>
      <c r="IK849" s="685"/>
      <c r="IL849" s="685"/>
      <c r="IM849" s="685"/>
      <c r="IN849" s="685"/>
      <c r="IO849" s="685"/>
      <c r="IP849" s="685"/>
      <c r="IQ849" s="685"/>
      <c r="IR849" s="685"/>
      <c r="IS849" s="685"/>
      <c r="IT849" s="685"/>
      <c r="IU849" s="685"/>
      <c r="IV849" s="685"/>
      <c r="IW849" s="685"/>
      <c r="IX849" s="685"/>
      <c r="IY849" s="685"/>
      <c r="IZ849" s="685"/>
      <c r="JA849" s="685"/>
      <c r="JB849" s="685"/>
      <c r="JC849" s="685"/>
      <c r="JD849" s="685"/>
      <c r="JE849" s="685"/>
      <c r="JF849" s="685"/>
      <c r="JG849" s="685"/>
      <c r="JH849" s="685"/>
      <c r="JI849" s="685"/>
      <c r="JJ849" s="685"/>
      <c r="JK849" s="685"/>
      <c r="JL849" s="685"/>
      <c r="JM849" s="685"/>
      <c r="JN849" s="685"/>
      <c r="JO849" s="685"/>
      <c r="JP849" s="685"/>
      <c r="JQ849" s="685"/>
      <c r="JR849" s="685"/>
      <c r="JS849" s="685"/>
      <c r="JT849" s="685"/>
      <c r="JU849" s="685"/>
      <c r="JV849" s="685"/>
      <c r="JW849" s="685"/>
      <c r="JX849" s="685"/>
      <c r="JY849" s="685"/>
      <c r="JZ849" s="685"/>
      <c r="KA849" s="685"/>
      <c r="KB849" s="685"/>
      <c r="KC849" s="685"/>
      <c r="KD849" s="685"/>
      <c r="KE849" s="685"/>
      <c r="KF849" s="685"/>
      <c r="KG849" s="685"/>
      <c r="KH849" s="685"/>
      <c r="KI849" s="685"/>
      <c r="KJ849" s="685"/>
      <c r="KK849" s="685"/>
      <c r="KL849" s="685"/>
      <c r="KM849" s="685"/>
      <c r="KN849" s="685"/>
      <c r="KO849" s="685"/>
      <c r="KP849" s="685"/>
      <c r="KQ849" s="685"/>
      <c r="KR849" s="685"/>
      <c r="KS849" s="685"/>
      <c r="KT849" s="685"/>
      <c r="KU849" s="685"/>
      <c r="KV849" s="685"/>
      <c r="KW849" s="685"/>
      <c r="KX849" s="685"/>
      <c r="KY849" s="685"/>
      <c r="KZ849" s="685"/>
      <c r="LA849" s="685"/>
      <c r="LB849" s="685"/>
      <c r="LC849" s="685"/>
      <c r="LD849" s="685"/>
      <c r="LE849" s="685"/>
      <c r="LF849" s="685"/>
      <c r="LG849" s="685"/>
      <c r="LH849" s="685"/>
      <c r="LI849" s="685"/>
      <c r="LJ849" s="685"/>
      <c r="LK849" s="685"/>
      <c r="LL849" s="685"/>
      <c r="LM849" s="685"/>
      <c r="LN849" s="685"/>
      <c r="LO849" s="685"/>
      <c r="LP849" s="685"/>
      <c r="LQ849" s="685"/>
      <c r="LR849" s="685"/>
      <c r="LS849" s="685"/>
      <c r="LT849" s="685"/>
      <c r="LU849" s="685"/>
      <c r="LV849" s="685"/>
      <c r="LW849" s="685"/>
      <c r="LX849" s="685"/>
      <c r="LY849" s="685"/>
      <c r="LZ849" s="685"/>
      <c r="MA849" s="685"/>
      <c r="MB849" s="685"/>
      <c r="MC849" s="685"/>
      <c r="MD849" s="685"/>
      <c r="ME849" s="685"/>
      <c r="MF849" s="685"/>
      <c r="MG849" s="685"/>
      <c r="MH849" s="685"/>
      <c r="MI849" s="685"/>
      <c r="MJ849" s="685"/>
      <c r="MK849" s="685"/>
      <c r="ML849" s="685"/>
      <c r="MM849" s="685"/>
      <c r="MN849" s="685"/>
      <c r="MO849" s="685"/>
      <c r="MP849" s="685"/>
      <c r="MQ849" s="685"/>
      <c r="MR849" s="685"/>
      <c r="MS849" s="685"/>
      <c r="MT849" s="685"/>
      <c r="MU849" s="685"/>
      <c r="MV849" s="685"/>
      <c r="MW849" s="685"/>
      <c r="MX849" s="685"/>
      <c r="MY849" s="685"/>
      <c r="MZ849" s="685"/>
      <c r="NA849" s="685"/>
      <c r="NB849" s="685"/>
      <c r="NC849" s="685"/>
      <c r="ND849" s="685"/>
      <c r="NE849" s="685"/>
      <c r="NF849" s="685"/>
      <c r="NG849" s="685"/>
      <c r="NH849" s="685"/>
      <c r="NI849" s="685"/>
      <c r="NJ849" s="685"/>
      <c r="NK849" s="685"/>
      <c r="NL849" s="685"/>
      <c r="NM849" s="685"/>
      <c r="NN849" s="685"/>
      <c r="NO849" s="685"/>
      <c r="NP849" s="685"/>
      <c r="NQ849" s="685"/>
      <c r="NR849" s="685"/>
      <c r="NS849" s="685"/>
      <c r="NT849" s="685"/>
      <c r="NU849" s="685"/>
      <c r="NV849" s="685"/>
      <c r="NW849" s="685"/>
      <c r="NX849" s="685"/>
      <c r="NY849" s="685"/>
      <c r="NZ849" s="685"/>
      <c r="OA849" s="685"/>
      <c r="OB849" s="685"/>
      <c r="OC849" s="685"/>
      <c r="OD849" s="685"/>
      <c r="OE849" s="685"/>
      <c r="OF849" s="685"/>
      <c r="OG849" s="685"/>
      <c r="OH849" s="685"/>
      <c r="OI849" s="685"/>
      <c r="OJ849" s="685"/>
      <c r="OK849" s="685"/>
      <c r="OL849" s="685"/>
      <c r="OM849" s="685"/>
      <c r="ON849" s="685"/>
      <c r="OO849" s="685"/>
      <c r="OP849" s="685"/>
      <c r="OQ849" s="685"/>
      <c r="OR849" s="685"/>
      <c r="OS849" s="685"/>
      <c r="OT849" s="685"/>
      <c r="OU849" s="685"/>
      <c r="OV849" s="685"/>
      <c r="OW849" s="685"/>
      <c r="OX849" s="685"/>
      <c r="OY849" s="685"/>
      <c r="OZ849" s="685"/>
      <c r="PA849" s="685"/>
      <c r="PB849" s="685"/>
      <c r="PC849" s="685"/>
      <c r="PD849" s="685"/>
      <c r="PE849" s="685"/>
      <c r="PF849" s="685"/>
      <c r="PG849" s="685"/>
      <c r="PH849" s="685"/>
      <c r="PI849" s="685"/>
      <c r="PJ849" s="685"/>
      <c r="PK849" s="685"/>
      <c r="PL849" s="685"/>
      <c r="PM849" s="685"/>
      <c r="PN849" s="685"/>
      <c r="PO849" s="685"/>
      <c r="PP849" s="685"/>
      <c r="PQ849" s="685"/>
      <c r="PR849" s="685"/>
      <c r="PS849" s="685"/>
      <c r="PT849" s="685"/>
      <c r="PU849" s="685"/>
      <c r="PV849" s="685"/>
      <c r="PW849" s="685"/>
      <c r="PX849" s="685"/>
      <c r="PY849" s="685"/>
      <c r="PZ849" s="685"/>
      <c r="QA849" s="685"/>
      <c r="QB849" s="685"/>
      <c r="QC849" s="685"/>
      <c r="QD849" s="685"/>
      <c r="QE849" s="685"/>
      <c r="QF849" s="685"/>
      <c r="QG849" s="685"/>
      <c r="QH849" s="685"/>
      <c r="QI849" s="685"/>
      <c r="QJ849" s="685"/>
      <c r="QK849" s="685"/>
      <c r="QL849" s="685"/>
      <c r="QM849" s="685"/>
      <c r="QN849" s="685"/>
      <c r="QO849" s="685"/>
      <c r="QP849" s="685"/>
      <c r="QQ849" s="685"/>
      <c r="QR849" s="685"/>
      <c r="QS849" s="685"/>
      <c r="QT849" s="685"/>
      <c r="QU849" s="685"/>
      <c r="QV849" s="685"/>
      <c r="QW849" s="685"/>
      <c r="QX849" s="685"/>
      <c r="QY849" s="685"/>
      <c r="QZ849" s="685"/>
      <c r="RA849" s="685"/>
      <c r="RB849" s="685"/>
      <c r="RC849" s="685"/>
      <c r="RD849" s="685"/>
      <c r="RE849" s="685"/>
      <c r="RF849" s="685"/>
      <c r="RG849" s="685"/>
      <c r="RH849" s="685"/>
      <c r="RI849" s="685"/>
      <c r="RJ849" s="685"/>
      <c r="RK849" s="685"/>
      <c r="RL849" s="685"/>
      <c r="RM849" s="685"/>
      <c r="RN849" s="685"/>
      <c r="RO849" s="685"/>
      <c r="RP849" s="685"/>
      <c r="RQ849" s="685"/>
      <c r="RR849" s="685"/>
      <c r="RS849" s="685"/>
      <c r="RT849" s="685"/>
      <c r="RU849" s="685"/>
      <c r="RV849" s="685"/>
      <c r="RW849" s="685"/>
      <c r="RX849" s="685"/>
      <c r="RY849" s="685"/>
      <c r="RZ849" s="685"/>
      <c r="SA849" s="685"/>
      <c r="SB849" s="685"/>
      <c r="SC849" s="685"/>
      <c r="SD849" s="685"/>
      <c r="SE849" s="685"/>
      <c r="SF849" s="685"/>
      <c r="SG849" s="685"/>
      <c r="SH849" s="685"/>
      <c r="SI849" s="685"/>
      <c r="SJ849" s="685"/>
      <c r="SK849" s="685"/>
      <c r="SL849" s="685"/>
      <c r="SM849" s="685"/>
      <c r="SN849" s="685"/>
      <c r="SO849" s="685"/>
      <c r="SP849" s="685"/>
      <c r="SQ849" s="685"/>
      <c r="SR849" s="685"/>
      <c r="SS849" s="685"/>
      <c r="ST849" s="685"/>
      <c r="SU849" s="685"/>
      <c r="SV849" s="685"/>
      <c r="SW849" s="685"/>
      <c r="SX849" s="685"/>
      <c r="SY849" s="685"/>
      <c r="SZ849" s="685"/>
      <c r="TA849" s="685"/>
      <c r="TB849" s="685"/>
      <c r="TC849" s="685"/>
      <c r="TD849" s="685"/>
      <c r="TE849" s="685"/>
      <c r="TF849" s="685"/>
      <c r="TG849" s="685"/>
      <c r="TH849" s="685"/>
      <c r="TI849" s="685"/>
      <c r="TJ849" s="685"/>
      <c r="TK849" s="685"/>
      <c r="TL849" s="685"/>
      <c r="TM849" s="685"/>
      <c r="TN849" s="685"/>
      <c r="TO849" s="685"/>
      <c r="TP849" s="685"/>
      <c r="TQ849" s="685"/>
      <c r="TR849" s="685"/>
      <c r="TS849" s="685"/>
      <c r="TT849" s="685"/>
      <c r="TU849" s="685"/>
      <c r="TV849" s="685"/>
      <c r="TW849" s="685"/>
      <c r="TX849" s="685"/>
      <c r="TY849" s="685"/>
      <c r="TZ849" s="685"/>
      <c r="UA849" s="685"/>
      <c r="UB849" s="685"/>
      <c r="UC849" s="685"/>
      <c r="UD849" s="685"/>
      <c r="UE849" s="685"/>
      <c r="UF849" s="685"/>
      <c r="UG849" s="685"/>
      <c r="UH849" s="685"/>
      <c r="UI849" s="685"/>
    </row>
    <row r="850" spans="1:555" ht="50.25" customHeight="1">
      <c r="A850" s="502">
        <v>841</v>
      </c>
      <c r="B850" s="686" t="s">
        <v>4569</v>
      </c>
      <c r="C850" s="687">
        <v>79131062</v>
      </c>
      <c r="D850" s="688" t="s">
        <v>906</v>
      </c>
      <c r="E850" s="27">
        <v>43298</v>
      </c>
      <c r="F850" s="691">
        <v>43298</v>
      </c>
      <c r="G850" s="690" t="s">
        <v>6618</v>
      </c>
      <c r="H850" s="686" t="s">
        <v>625</v>
      </c>
      <c r="I850" s="686" t="s">
        <v>2395</v>
      </c>
      <c r="J850" s="27">
        <v>43311</v>
      </c>
      <c r="K850" s="691">
        <v>43311</v>
      </c>
      <c r="L850" s="690" t="s">
        <v>6619</v>
      </c>
      <c r="M850" s="686" t="s">
        <v>625</v>
      </c>
      <c r="N850" s="686" t="s">
        <v>1495</v>
      </c>
      <c r="O850" s="191">
        <v>43502</v>
      </c>
      <c r="P850" s="691">
        <v>43502</v>
      </c>
      <c r="Q850" s="160" t="s">
        <v>8489</v>
      </c>
      <c r="R850" s="160" t="s">
        <v>5</v>
      </c>
      <c r="S850" s="706" t="s">
        <v>79</v>
      </c>
      <c r="T850" s="224"/>
      <c r="U850" s="224"/>
      <c r="V850" s="224"/>
      <c r="W850" s="224"/>
      <c r="X850" s="773"/>
      <c r="Y850" s="224"/>
      <c r="Z850" s="224"/>
      <c r="AA850" s="224"/>
      <c r="AB850" s="224"/>
      <c r="AC850" s="773"/>
      <c r="AD850" s="224"/>
      <c r="AE850" s="224"/>
      <c r="AF850" s="224"/>
      <c r="AG850" s="224"/>
      <c r="AH850" s="773"/>
      <c r="AI850" s="224"/>
      <c r="AJ850" s="224"/>
      <c r="AK850" s="224"/>
      <c r="AL850" s="224"/>
      <c r="AM850" s="773"/>
      <c r="AN850" s="224"/>
      <c r="AO850" s="811" t="s">
        <v>7946</v>
      </c>
      <c r="AP850" s="224"/>
      <c r="AQ850" s="775" t="s">
        <v>6620</v>
      </c>
      <c r="AR850" s="686" t="s">
        <v>3423</v>
      </c>
      <c r="AS850" s="171">
        <v>34136</v>
      </c>
      <c r="AT850" s="171">
        <v>40908</v>
      </c>
      <c r="AU850" s="686" t="s">
        <v>4499</v>
      </c>
      <c r="AV850" s="686"/>
      <c r="AW850" s="686" t="s">
        <v>69</v>
      </c>
      <c r="AX850" s="686" t="s">
        <v>5894</v>
      </c>
      <c r="AY850" s="171">
        <v>42109</v>
      </c>
      <c r="AZ850" s="686" t="s">
        <v>6621</v>
      </c>
      <c r="BA850" s="171">
        <v>42957</v>
      </c>
      <c r="BB850" s="171">
        <v>43300</v>
      </c>
      <c r="BC850" s="686" t="s">
        <v>912</v>
      </c>
      <c r="BD850" s="686" t="s">
        <v>6612</v>
      </c>
      <c r="BE850" s="224"/>
      <c r="BF850" s="224"/>
      <c r="BG850" s="224"/>
      <c r="BH850" s="224"/>
      <c r="BI850" s="224"/>
      <c r="BJ850" s="708">
        <f>+[354]MATRIZ!$J$70</f>
        <v>0</v>
      </c>
      <c r="BK850" s="224"/>
      <c r="BL850" s="224"/>
      <c r="BM850" s="171"/>
      <c r="BN850" s="691"/>
      <c r="BO850" s="720"/>
      <c r="BP850" s="721"/>
      <c r="BQ850" s="777"/>
      <c r="BR850" s="224"/>
      <c r="BS850" s="224"/>
      <c r="BT850" s="224"/>
      <c r="BU850" s="224"/>
      <c r="BV850" s="224"/>
      <c r="BW850" s="224"/>
      <c r="BX850" s="778"/>
      <c r="BY850" s="224"/>
      <c r="BZ850" s="779"/>
      <c r="CA850" s="259"/>
      <c r="CB850" s="259"/>
      <c r="CC850" s="259"/>
      <c r="CD850" s="259"/>
      <c r="CE850" s="259"/>
      <c r="CF850" s="259"/>
      <c r="CG850" s="259"/>
      <c r="CH850" s="259"/>
      <c r="CI850" s="259"/>
      <c r="CJ850" s="259"/>
      <c r="CK850" s="259"/>
      <c r="CL850" s="259"/>
      <c r="CM850" s="259"/>
      <c r="CN850" s="259"/>
      <c r="CO850" s="259"/>
      <c r="CP850" s="259"/>
      <c r="CQ850" s="259"/>
      <c r="CR850" s="259"/>
      <c r="CS850" s="259"/>
      <c r="CT850" s="259"/>
      <c r="CU850" s="259"/>
      <c r="CV850" s="259"/>
      <c r="CW850" s="259"/>
      <c r="CX850" s="259"/>
      <c r="CY850" s="259"/>
      <c r="CZ850" s="259"/>
      <c r="DA850" s="259"/>
      <c r="DB850" s="259"/>
      <c r="DC850" s="259"/>
      <c r="DD850" s="259"/>
      <c r="DE850" s="259"/>
      <c r="DF850" s="259"/>
      <c r="DG850" s="259"/>
      <c r="DH850" s="259"/>
      <c r="DI850" s="259"/>
      <c r="DJ850" s="259"/>
      <c r="DK850" s="259"/>
      <c r="DL850" s="259"/>
      <c r="DM850" s="259"/>
      <c r="DN850" s="259"/>
      <c r="DO850" s="259"/>
      <c r="DP850" s="259"/>
      <c r="DQ850" s="259"/>
      <c r="DR850" s="259"/>
      <c r="DS850" s="259"/>
      <c r="DT850" s="259"/>
      <c r="DU850" s="259"/>
      <c r="DV850" s="259"/>
      <c r="DW850" s="259"/>
      <c r="DX850" s="259"/>
      <c r="DY850" s="259"/>
      <c r="DZ850" s="259"/>
      <c r="EA850" s="259"/>
      <c r="EB850" s="259"/>
      <c r="EC850" s="259"/>
      <c r="ED850" s="259"/>
      <c r="EE850" s="259"/>
      <c r="EF850" s="259"/>
      <c r="EG850" s="259"/>
      <c r="EH850" s="259"/>
      <c r="EI850" s="259"/>
      <c r="EJ850" s="259"/>
      <c r="EK850" s="259"/>
      <c r="EL850" s="259"/>
      <c r="EM850" s="259"/>
      <c r="EN850" s="259"/>
      <c r="EO850" s="259"/>
      <c r="EP850" s="259"/>
      <c r="EQ850" s="259"/>
      <c r="ER850" s="259"/>
      <c r="ES850" s="259"/>
      <c r="ET850" s="259"/>
      <c r="EU850" s="259"/>
      <c r="EV850" s="259"/>
      <c r="EW850" s="259"/>
      <c r="EX850" s="259"/>
      <c r="EY850" s="259"/>
      <c r="EZ850" s="259"/>
      <c r="FA850" s="259"/>
      <c r="FB850" s="259"/>
      <c r="FC850" s="259"/>
      <c r="FD850" s="259"/>
      <c r="FE850" s="259"/>
      <c r="FF850" s="259"/>
      <c r="FG850" s="259"/>
      <c r="FH850" s="259"/>
      <c r="FI850" s="259"/>
      <c r="FJ850" s="259"/>
      <c r="FK850" s="259"/>
      <c r="FL850" s="259"/>
      <c r="FM850" s="259"/>
      <c r="FN850" s="259"/>
      <c r="FO850" s="259"/>
      <c r="FP850" s="259"/>
      <c r="FQ850" s="259"/>
      <c r="FR850" s="259"/>
      <c r="FS850" s="259"/>
      <c r="FT850" s="259"/>
      <c r="FU850" s="259"/>
      <c r="FV850" s="259"/>
      <c r="FW850" s="259"/>
      <c r="FX850" s="259"/>
      <c r="FY850" s="259"/>
      <c r="FZ850" s="259"/>
      <c r="GA850" s="259"/>
      <c r="GB850" s="259"/>
      <c r="GC850" s="259"/>
      <c r="GD850" s="259"/>
      <c r="GE850" s="259"/>
      <c r="GF850" s="259"/>
      <c r="GG850" s="259"/>
      <c r="GH850" s="259"/>
      <c r="GI850" s="259"/>
      <c r="GJ850" s="259"/>
      <c r="GK850" s="259"/>
      <c r="GL850" s="259"/>
      <c r="GM850" s="259"/>
      <c r="GN850" s="259"/>
      <c r="GO850" s="259"/>
      <c r="GP850" s="259"/>
      <c r="GQ850" s="259"/>
      <c r="GR850" s="259"/>
      <c r="GS850" s="259"/>
      <c r="GT850" s="259"/>
      <c r="GU850" s="259"/>
      <c r="GV850" s="259"/>
      <c r="GW850" s="259"/>
      <c r="GX850" s="259"/>
      <c r="GY850" s="259"/>
      <c r="GZ850" s="259"/>
      <c r="HA850" s="259"/>
      <c r="HB850" s="259"/>
      <c r="HC850" s="259"/>
      <c r="HD850" s="259"/>
      <c r="HE850" s="259"/>
      <c r="HF850" s="259"/>
      <c r="HG850" s="259"/>
      <c r="HH850" s="259"/>
      <c r="HI850" s="259"/>
      <c r="HJ850" s="259"/>
      <c r="HK850" s="259"/>
      <c r="HL850" s="259"/>
      <c r="HM850" s="259"/>
      <c r="HN850" s="259"/>
      <c r="HO850" s="259"/>
      <c r="HP850" s="259"/>
      <c r="HQ850" s="259"/>
      <c r="HR850" s="259"/>
      <c r="HS850" s="259"/>
      <c r="HT850" s="259"/>
      <c r="HU850" s="259"/>
      <c r="HV850" s="259"/>
      <c r="HW850" s="259"/>
      <c r="HX850" s="259"/>
      <c r="HY850" s="259"/>
      <c r="HZ850" s="259"/>
      <c r="IA850" s="259"/>
      <c r="IB850" s="259"/>
      <c r="IC850" s="259"/>
      <c r="ID850" s="259"/>
      <c r="IE850" s="259"/>
      <c r="IF850" s="259"/>
      <c r="IG850" s="259"/>
      <c r="IH850" s="259"/>
      <c r="II850" s="259"/>
      <c r="IJ850" s="259"/>
      <c r="IK850" s="259"/>
      <c r="IL850" s="259"/>
      <c r="IM850" s="259"/>
      <c r="IN850" s="259"/>
      <c r="IO850" s="259"/>
      <c r="IP850" s="259"/>
      <c r="IQ850" s="259"/>
      <c r="IR850" s="259"/>
      <c r="IS850" s="259"/>
      <c r="IT850" s="259"/>
      <c r="IU850" s="259"/>
      <c r="IV850" s="259"/>
      <c r="IW850" s="259"/>
      <c r="IX850" s="259"/>
      <c r="IY850" s="259"/>
      <c r="IZ850" s="259"/>
      <c r="JA850" s="259"/>
      <c r="JB850" s="259"/>
      <c r="JC850" s="259"/>
      <c r="JD850" s="259"/>
      <c r="JE850" s="259"/>
      <c r="JF850" s="259"/>
      <c r="JG850" s="259"/>
      <c r="JH850" s="259"/>
      <c r="JI850" s="259"/>
      <c r="JJ850" s="259"/>
      <c r="JK850" s="259"/>
      <c r="JL850" s="259"/>
      <c r="JM850" s="259"/>
      <c r="JN850" s="259"/>
      <c r="JO850" s="259"/>
      <c r="JP850" s="259"/>
      <c r="JQ850" s="259"/>
      <c r="JR850" s="259"/>
      <c r="JS850" s="259"/>
      <c r="JT850" s="259"/>
      <c r="JU850" s="259"/>
      <c r="JV850" s="259"/>
      <c r="JW850" s="259"/>
      <c r="JX850" s="259"/>
      <c r="JY850" s="259"/>
      <c r="JZ850" s="259"/>
      <c r="KA850" s="259"/>
      <c r="KB850" s="259"/>
      <c r="KC850" s="259"/>
      <c r="KD850" s="259"/>
      <c r="KE850" s="259"/>
      <c r="KF850" s="259"/>
      <c r="KG850" s="259"/>
      <c r="KH850" s="259"/>
      <c r="KI850" s="259"/>
      <c r="KJ850" s="259"/>
      <c r="KK850" s="259"/>
      <c r="KL850" s="259"/>
      <c r="KM850" s="259"/>
      <c r="KN850" s="259"/>
      <c r="KO850" s="259"/>
      <c r="KP850" s="259"/>
      <c r="KQ850" s="259"/>
      <c r="KR850" s="259"/>
      <c r="KS850" s="259"/>
      <c r="KT850" s="259"/>
      <c r="KU850" s="259"/>
      <c r="KV850" s="259"/>
      <c r="KW850" s="259"/>
      <c r="KX850" s="259"/>
      <c r="KY850" s="259"/>
      <c r="KZ850" s="259"/>
      <c r="LA850" s="259"/>
      <c r="LB850" s="259"/>
      <c r="LC850" s="259"/>
      <c r="LD850" s="259"/>
      <c r="LE850" s="259"/>
      <c r="LF850" s="259"/>
      <c r="LG850" s="259"/>
      <c r="LH850" s="259"/>
      <c r="LI850" s="259"/>
      <c r="LJ850" s="259"/>
      <c r="LK850" s="259"/>
      <c r="LL850" s="259"/>
      <c r="LM850" s="259"/>
      <c r="LN850" s="259"/>
      <c r="LO850" s="259"/>
      <c r="LP850" s="259"/>
      <c r="LQ850" s="259"/>
      <c r="LR850" s="259"/>
      <c r="LS850" s="259"/>
      <c r="LT850" s="259"/>
      <c r="LU850" s="259"/>
      <c r="LV850" s="259"/>
      <c r="LW850" s="259"/>
      <c r="LX850" s="259"/>
      <c r="LY850" s="259"/>
      <c r="LZ850" s="259"/>
      <c r="MA850" s="259"/>
      <c r="MB850" s="259"/>
      <c r="MC850" s="259"/>
      <c r="MD850" s="259"/>
      <c r="ME850" s="259"/>
      <c r="MF850" s="259"/>
      <c r="MG850" s="259"/>
      <c r="MH850" s="259"/>
      <c r="MI850" s="259"/>
      <c r="MJ850" s="259"/>
      <c r="MK850" s="259"/>
      <c r="ML850" s="259"/>
      <c r="MM850" s="259"/>
      <c r="MN850" s="259"/>
      <c r="MO850" s="259"/>
      <c r="MP850" s="259"/>
      <c r="MQ850" s="259"/>
      <c r="MR850" s="259"/>
      <c r="MS850" s="259"/>
      <c r="MT850" s="259"/>
      <c r="MU850" s="259"/>
      <c r="MV850" s="259"/>
      <c r="MW850" s="259"/>
      <c r="MX850" s="259"/>
      <c r="MY850" s="259"/>
      <c r="MZ850" s="259"/>
      <c r="NA850" s="259"/>
      <c r="NB850" s="259"/>
      <c r="NC850" s="259"/>
      <c r="ND850" s="259"/>
      <c r="NE850" s="259"/>
      <c r="NF850" s="259"/>
      <c r="NG850" s="259"/>
      <c r="NH850" s="259"/>
      <c r="NI850" s="259"/>
      <c r="NJ850" s="259"/>
      <c r="NK850" s="259"/>
      <c r="NL850" s="259"/>
      <c r="NM850" s="259"/>
      <c r="NN850" s="259"/>
      <c r="NO850" s="259"/>
      <c r="NP850" s="259"/>
      <c r="NQ850" s="259"/>
      <c r="NR850" s="259"/>
      <c r="NS850" s="259"/>
      <c r="NT850" s="259"/>
      <c r="NU850" s="259"/>
      <c r="NV850" s="259"/>
      <c r="NW850" s="259"/>
      <c r="NX850" s="259"/>
      <c r="NY850" s="259"/>
      <c r="NZ850" s="259"/>
      <c r="OA850" s="259"/>
      <c r="OB850" s="259"/>
      <c r="OC850" s="259"/>
      <c r="OD850" s="259"/>
      <c r="OE850" s="259"/>
      <c r="OF850" s="259"/>
      <c r="OG850" s="259"/>
      <c r="OH850" s="259"/>
      <c r="OI850" s="259"/>
      <c r="OJ850" s="259"/>
      <c r="OK850" s="259"/>
      <c r="OL850" s="259"/>
      <c r="OM850" s="259"/>
      <c r="ON850" s="259"/>
      <c r="OO850" s="259"/>
      <c r="OP850" s="259"/>
      <c r="OQ850" s="259"/>
      <c r="OR850" s="259"/>
      <c r="OS850" s="259"/>
      <c r="OT850" s="259"/>
      <c r="OU850" s="259"/>
      <c r="OV850" s="259"/>
      <c r="OW850" s="259"/>
      <c r="OX850" s="259"/>
      <c r="OY850" s="259"/>
      <c r="OZ850" s="259"/>
      <c r="PA850" s="259"/>
      <c r="PB850" s="259"/>
      <c r="PC850" s="259"/>
      <c r="PD850" s="259"/>
      <c r="PE850" s="259"/>
      <c r="PF850" s="259"/>
      <c r="PG850" s="259"/>
      <c r="PH850" s="259"/>
      <c r="PI850" s="259"/>
      <c r="PJ850" s="259"/>
      <c r="PK850" s="259"/>
      <c r="PL850" s="259"/>
      <c r="PM850" s="259"/>
      <c r="PN850" s="259"/>
      <c r="PO850" s="259"/>
      <c r="PP850" s="259"/>
      <c r="PQ850" s="259"/>
      <c r="PR850" s="259"/>
      <c r="PS850" s="259"/>
      <c r="PT850" s="259"/>
      <c r="PU850" s="259"/>
      <c r="PV850" s="259"/>
      <c r="PW850" s="259"/>
      <c r="PX850" s="259"/>
      <c r="PY850" s="259"/>
      <c r="PZ850" s="259"/>
      <c r="QA850" s="259"/>
      <c r="QB850" s="259"/>
      <c r="QC850" s="259"/>
      <c r="QD850" s="259"/>
      <c r="QE850" s="259"/>
      <c r="QF850" s="259"/>
      <c r="QG850" s="259"/>
      <c r="QH850" s="259"/>
      <c r="QI850" s="259"/>
      <c r="QJ850" s="259"/>
      <c r="QK850" s="259"/>
      <c r="QL850" s="259"/>
      <c r="QM850" s="259"/>
      <c r="QN850" s="259"/>
      <c r="QO850" s="259"/>
      <c r="QP850" s="259"/>
      <c r="QQ850" s="259"/>
      <c r="QR850" s="259"/>
      <c r="QS850" s="259"/>
      <c r="QT850" s="259"/>
      <c r="QU850" s="259"/>
      <c r="QV850" s="259"/>
      <c r="QW850" s="259"/>
      <c r="QX850" s="259"/>
      <c r="QY850" s="259"/>
      <c r="QZ850" s="259"/>
      <c r="RA850" s="259"/>
      <c r="RB850" s="259"/>
      <c r="RC850" s="259"/>
      <c r="RD850" s="259"/>
      <c r="RE850" s="259"/>
      <c r="RF850" s="259"/>
      <c r="RG850" s="259"/>
      <c r="RH850" s="259"/>
      <c r="RI850" s="259"/>
      <c r="RJ850" s="259"/>
      <c r="RK850" s="259"/>
      <c r="RL850" s="259"/>
      <c r="RM850" s="259"/>
      <c r="RN850" s="259"/>
      <c r="RO850" s="259"/>
      <c r="RP850" s="259"/>
      <c r="RQ850" s="259"/>
      <c r="RR850" s="259"/>
      <c r="RS850" s="259"/>
      <c r="RT850" s="259"/>
      <c r="RU850" s="259"/>
      <c r="RV850" s="259"/>
      <c r="RW850" s="259"/>
      <c r="RX850" s="259"/>
      <c r="RY850" s="259"/>
      <c r="RZ850" s="259"/>
      <c r="SA850" s="259"/>
      <c r="SB850" s="259"/>
      <c r="SC850" s="259"/>
      <c r="SD850" s="259"/>
      <c r="SE850" s="259"/>
      <c r="SF850" s="259"/>
      <c r="SG850" s="259"/>
      <c r="SH850" s="259"/>
      <c r="SI850" s="259"/>
      <c r="SJ850" s="259"/>
      <c r="SK850" s="259"/>
      <c r="SL850" s="259"/>
      <c r="SM850" s="259"/>
      <c r="SN850" s="259"/>
      <c r="SO850" s="259"/>
      <c r="SP850" s="259"/>
      <c r="SQ850" s="259"/>
      <c r="SR850" s="259"/>
      <c r="SS850" s="259"/>
      <c r="ST850" s="259"/>
      <c r="SU850" s="259"/>
      <c r="SV850" s="259"/>
      <c r="SW850" s="259"/>
      <c r="SX850" s="259"/>
      <c r="SY850" s="259"/>
      <c r="SZ850" s="259"/>
      <c r="TA850" s="259"/>
      <c r="TB850" s="259"/>
      <c r="TC850" s="259"/>
      <c r="TD850" s="259"/>
      <c r="TE850" s="259"/>
      <c r="TF850" s="259"/>
      <c r="TG850" s="259"/>
      <c r="TH850" s="259"/>
      <c r="TI850" s="259"/>
      <c r="TJ850" s="259"/>
      <c r="TK850" s="259"/>
      <c r="TL850" s="259"/>
      <c r="TM850" s="259"/>
      <c r="TN850" s="259"/>
      <c r="TO850" s="259"/>
      <c r="TP850" s="259"/>
      <c r="TQ850" s="259"/>
      <c r="TR850" s="259"/>
      <c r="TS850" s="259"/>
      <c r="TT850" s="259"/>
      <c r="TU850" s="259"/>
      <c r="TV850" s="259"/>
      <c r="TW850" s="259"/>
      <c r="TX850" s="259"/>
      <c r="TY850" s="259"/>
      <c r="TZ850" s="259"/>
      <c r="UA850" s="259"/>
      <c r="UB850" s="259"/>
      <c r="UC850" s="259"/>
      <c r="UD850" s="259"/>
      <c r="UE850" s="259"/>
      <c r="UF850" s="259"/>
      <c r="UG850" s="259"/>
      <c r="UH850" s="259"/>
      <c r="UI850" s="259"/>
    </row>
    <row r="851" spans="1:555" ht="55.5" customHeight="1">
      <c r="A851" s="729">
        <v>842</v>
      </c>
      <c r="B851" s="381" t="s">
        <v>6622</v>
      </c>
      <c r="C851" s="730"/>
      <c r="D851" s="731"/>
      <c r="E851" s="382"/>
      <c r="F851" s="732"/>
      <c r="G851" s="383"/>
      <c r="H851" s="381"/>
      <c r="I851" s="381"/>
      <c r="J851" s="682"/>
      <c r="K851" s="682"/>
      <c r="L851" s="682"/>
      <c r="M851" s="682"/>
      <c r="N851" s="767"/>
      <c r="O851" s="682"/>
      <c r="P851" s="682"/>
      <c r="Q851" s="682"/>
      <c r="R851" s="682"/>
      <c r="S851" s="767"/>
      <c r="T851" s="682"/>
      <c r="U851" s="682"/>
      <c r="V851" s="682"/>
      <c r="W851" s="682"/>
      <c r="X851" s="767"/>
      <c r="Y851" s="682"/>
      <c r="Z851" s="682"/>
      <c r="AA851" s="682"/>
      <c r="AB851" s="682"/>
      <c r="AC851" s="767"/>
      <c r="AD851" s="682"/>
      <c r="AE851" s="682"/>
      <c r="AF851" s="682"/>
      <c r="AG851" s="682"/>
      <c r="AH851" s="767"/>
      <c r="AI851" s="682"/>
      <c r="AJ851" s="682"/>
      <c r="AK851" s="682"/>
      <c r="AL851" s="682"/>
      <c r="AM851" s="767"/>
      <c r="AN851" s="682"/>
      <c r="AO851" s="768"/>
      <c r="AP851" s="682"/>
      <c r="AQ851" s="758"/>
      <c r="AR851" s="682"/>
      <c r="AS851" s="682"/>
      <c r="AT851" s="682"/>
      <c r="AU851" s="682"/>
      <c r="AV851" s="682"/>
      <c r="AW851" s="682"/>
      <c r="AX851" s="682"/>
      <c r="AY851" s="682"/>
      <c r="AZ851" s="682"/>
      <c r="BA851" s="682"/>
      <c r="BB851" s="682"/>
      <c r="BC851" s="381"/>
      <c r="BD851" s="381"/>
      <c r="BE851" s="682"/>
      <c r="BF851" s="682"/>
      <c r="BG851" s="682"/>
      <c r="BH851" s="682"/>
      <c r="BI851" s="682"/>
      <c r="BJ851" s="682"/>
      <c r="BK851" s="682"/>
      <c r="BL851" s="682"/>
      <c r="BM851" s="682"/>
      <c r="BN851" s="682"/>
      <c r="BO851" s="761"/>
      <c r="BP851" s="769"/>
      <c r="BQ851" s="770"/>
      <c r="BR851" s="682"/>
      <c r="BS851" s="682"/>
      <c r="BT851" s="682"/>
      <c r="BU851" s="682"/>
      <c r="BV851" s="682"/>
      <c r="BW851" s="682"/>
      <c r="BX851" s="771"/>
      <c r="BY851" s="682"/>
      <c r="BZ851" s="772"/>
      <c r="CA851" s="685"/>
      <c r="CB851" s="685"/>
      <c r="CC851" s="685"/>
      <c r="CD851" s="685"/>
      <c r="CE851" s="685"/>
      <c r="CF851" s="685"/>
      <c r="CG851" s="685"/>
      <c r="CH851" s="685"/>
      <c r="CI851" s="685"/>
      <c r="CJ851" s="685"/>
      <c r="CK851" s="685"/>
      <c r="CL851" s="685"/>
      <c r="CM851" s="685"/>
      <c r="CN851" s="685"/>
      <c r="CO851" s="685"/>
      <c r="CP851" s="685"/>
      <c r="CQ851" s="685"/>
      <c r="CR851" s="685"/>
      <c r="CS851" s="685"/>
      <c r="CT851" s="685"/>
      <c r="CU851" s="685"/>
      <c r="CV851" s="685"/>
      <c r="CW851" s="685"/>
      <c r="CX851" s="685"/>
      <c r="CY851" s="685"/>
      <c r="CZ851" s="685"/>
      <c r="DA851" s="685"/>
      <c r="DB851" s="685"/>
      <c r="DC851" s="685"/>
      <c r="DD851" s="685"/>
      <c r="DE851" s="685"/>
      <c r="DF851" s="685"/>
      <c r="DG851" s="685"/>
      <c r="DH851" s="685"/>
      <c r="DI851" s="685"/>
      <c r="DJ851" s="685"/>
      <c r="DK851" s="685"/>
      <c r="DL851" s="685"/>
      <c r="DM851" s="685"/>
      <c r="DN851" s="685"/>
      <c r="DO851" s="685"/>
      <c r="DP851" s="685"/>
      <c r="DQ851" s="685"/>
      <c r="DR851" s="685"/>
      <c r="DS851" s="685"/>
      <c r="DT851" s="685"/>
      <c r="DU851" s="685"/>
      <c r="DV851" s="685"/>
      <c r="DW851" s="685"/>
      <c r="DX851" s="685"/>
      <c r="DY851" s="685"/>
      <c r="DZ851" s="685"/>
      <c r="EA851" s="685"/>
      <c r="EB851" s="685"/>
      <c r="EC851" s="685"/>
      <c r="ED851" s="685"/>
      <c r="EE851" s="685"/>
      <c r="EF851" s="685"/>
      <c r="EG851" s="685"/>
      <c r="EH851" s="685"/>
      <c r="EI851" s="685"/>
      <c r="EJ851" s="685"/>
      <c r="EK851" s="685"/>
      <c r="EL851" s="685"/>
      <c r="EM851" s="685"/>
      <c r="EN851" s="685"/>
      <c r="EO851" s="685"/>
      <c r="EP851" s="685"/>
      <c r="EQ851" s="685"/>
      <c r="ER851" s="685"/>
      <c r="ES851" s="685"/>
      <c r="ET851" s="685"/>
      <c r="EU851" s="685"/>
      <c r="EV851" s="685"/>
      <c r="EW851" s="685"/>
      <c r="EX851" s="685"/>
      <c r="EY851" s="685"/>
      <c r="EZ851" s="685"/>
      <c r="FA851" s="685"/>
      <c r="FB851" s="685"/>
      <c r="FC851" s="685"/>
      <c r="FD851" s="685"/>
      <c r="FE851" s="685"/>
      <c r="FF851" s="685"/>
      <c r="FG851" s="685"/>
      <c r="FH851" s="685"/>
      <c r="FI851" s="685"/>
      <c r="FJ851" s="685"/>
      <c r="FK851" s="685"/>
      <c r="FL851" s="685"/>
      <c r="FM851" s="685"/>
      <c r="FN851" s="685"/>
      <c r="FO851" s="685"/>
      <c r="FP851" s="685"/>
      <c r="FQ851" s="685"/>
      <c r="FR851" s="685"/>
      <c r="FS851" s="685"/>
      <c r="FT851" s="685"/>
      <c r="FU851" s="685"/>
      <c r="FV851" s="685"/>
      <c r="FW851" s="685"/>
      <c r="FX851" s="685"/>
      <c r="FY851" s="685"/>
      <c r="FZ851" s="685"/>
      <c r="GA851" s="685"/>
      <c r="GB851" s="685"/>
      <c r="GC851" s="685"/>
      <c r="GD851" s="685"/>
      <c r="GE851" s="685"/>
      <c r="GF851" s="685"/>
      <c r="GG851" s="685"/>
      <c r="GH851" s="685"/>
      <c r="GI851" s="685"/>
      <c r="GJ851" s="685"/>
      <c r="GK851" s="685"/>
      <c r="GL851" s="685"/>
      <c r="GM851" s="685"/>
      <c r="GN851" s="685"/>
      <c r="GO851" s="685"/>
      <c r="GP851" s="685"/>
      <c r="GQ851" s="685"/>
      <c r="GR851" s="685"/>
      <c r="GS851" s="685"/>
      <c r="GT851" s="685"/>
      <c r="GU851" s="685"/>
      <c r="GV851" s="685"/>
      <c r="GW851" s="685"/>
      <c r="GX851" s="685"/>
      <c r="GY851" s="685"/>
      <c r="GZ851" s="685"/>
      <c r="HA851" s="685"/>
      <c r="HB851" s="685"/>
      <c r="HC851" s="685"/>
      <c r="HD851" s="685"/>
      <c r="HE851" s="685"/>
      <c r="HF851" s="685"/>
      <c r="HG851" s="685"/>
      <c r="HH851" s="685"/>
      <c r="HI851" s="685"/>
      <c r="HJ851" s="685"/>
      <c r="HK851" s="685"/>
      <c r="HL851" s="685"/>
      <c r="HM851" s="685"/>
      <c r="HN851" s="685"/>
      <c r="HO851" s="685"/>
      <c r="HP851" s="685"/>
      <c r="HQ851" s="685"/>
      <c r="HR851" s="685"/>
      <c r="HS851" s="685"/>
      <c r="HT851" s="685"/>
      <c r="HU851" s="685"/>
      <c r="HV851" s="685"/>
      <c r="HW851" s="685"/>
      <c r="HX851" s="685"/>
      <c r="HY851" s="685"/>
      <c r="HZ851" s="685"/>
      <c r="IA851" s="685"/>
      <c r="IB851" s="685"/>
      <c r="IC851" s="685"/>
      <c r="ID851" s="685"/>
      <c r="IE851" s="685"/>
      <c r="IF851" s="685"/>
      <c r="IG851" s="685"/>
      <c r="IH851" s="685"/>
      <c r="II851" s="685"/>
      <c r="IJ851" s="685"/>
      <c r="IK851" s="685"/>
      <c r="IL851" s="685"/>
      <c r="IM851" s="685"/>
      <c r="IN851" s="685"/>
      <c r="IO851" s="685"/>
      <c r="IP851" s="685"/>
      <c r="IQ851" s="685"/>
      <c r="IR851" s="685"/>
      <c r="IS851" s="685"/>
      <c r="IT851" s="685"/>
      <c r="IU851" s="685"/>
      <c r="IV851" s="685"/>
      <c r="IW851" s="685"/>
      <c r="IX851" s="685"/>
      <c r="IY851" s="685"/>
      <c r="IZ851" s="685"/>
      <c r="JA851" s="685"/>
      <c r="JB851" s="685"/>
      <c r="JC851" s="685"/>
      <c r="JD851" s="685"/>
      <c r="JE851" s="685"/>
      <c r="JF851" s="685"/>
      <c r="JG851" s="685"/>
      <c r="JH851" s="685"/>
      <c r="JI851" s="685"/>
      <c r="JJ851" s="685"/>
      <c r="JK851" s="685"/>
      <c r="JL851" s="685"/>
      <c r="JM851" s="685"/>
      <c r="JN851" s="685"/>
      <c r="JO851" s="685"/>
      <c r="JP851" s="685"/>
      <c r="JQ851" s="685"/>
      <c r="JR851" s="685"/>
      <c r="JS851" s="685"/>
      <c r="JT851" s="685"/>
      <c r="JU851" s="685"/>
      <c r="JV851" s="685"/>
      <c r="JW851" s="685"/>
      <c r="JX851" s="685"/>
      <c r="JY851" s="685"/>
      <c r="JZ851" s="685"/>
      <c r="KA851" s="685"/>
      <c r="KB851" s="685"/>
      <c r="KC851" s="685"/>
      <c r="KD851" s="685"/>
      <c r="KE851" s="685"/>
      <c r="KF851" s="685"/>
      <c r="KG851" s="685"/>
      <c r="KH851" s="685"/>
      <c r="KI851" s="685"/>
      <c r="KJ851" s="685"/>
      <c r="KK851" s="685"/>
      <c r="KL851" s="685"/>
      <c r="KM851" s="685"/>
      <c r="KN851" s="685"/>
      <c r="KO851" s="685"/>
      <c r="KP851" s="685"/>
      <c r="KQ851" s="685"/>
      <c r="KR851" s="685"/>
      <c r="KS851" s="685"/>
      <c r="KT851" s="685"/>
      <c r="KU851" s="685"/>
      <c r="KV851" s="685"/>
      <c r="KW851" s="685"/>
      <c r="KX851" s="685"/>
      <c r="KY851" s="685"/>
      <c r="KZ851" s="685"/>
      <c r="LA851" s="685"/>
      <c r="LB851" s="685"/>
      <c r="LC851" s="685"/>
      <c r="LD851" s="685"/>
      <c r="LE851" s="685"/>
      <c r="LF851" s="685"/>
      <c r="LG851" s="685"/>
      <c r="LH851" s="685"/>
      <c r="LI851" s="685"/>
      <c r="LJ851" s="685"/>
      <c r="LK851" s="685"/>
      <c r="LL851" s="685"/>
      <c r="LM851" s="685"/>
      <c r="LN851" s="685"/>
      <c r="LO851" s="685"/>
      <c r="LP851" s="685"/>
      <c r="LQ851" s="685"/>
      <c r="LR851" s="685"/>
      <c r="LS851" s="685"/>
      <c r="LT851" s="685"/>
      <c r="LU851" s="685"/>
      <c r="LV851" s="685"/>
      <c r="LW851" s="685"/>
      <c r="LX851" s="685"/>
      <c r="LY851" s="685"/>
      <c r="LZ851" s="685"/>
      <c r="MA851" s="685"/>
      <c r="MB851" s="685"/>
      <c r="MC851" s="685"/>
      <c r="MD851" s="685"/>
      <c r="ME851" s="685"/>
      <c r="MF851" s="685"/>
      <c r="MG851" s="685"/>
      <c r="MH851" s="685"/>
      <c r="MI851" s="685"/>
      <c r="MJ851" s="685"/>
      <c r="MK851" s="685"/>
      <c r="ML851" s="685"/>
      <c r="MM851" s="685"/>
      <c r="MN851" s="685"/>
      <c r="MO851" s="685"/>
      <c r="MP851" s="685"/>
      <c r="MQ851" s="685"/>
      <c r="MR851" s="685"/>
      <c r="MS851" s="685"/>
      <c r="MT851" s="685"/>
      <c r="MU851" s="685"/>
      <c r="MV851" s="685"/>
      <c r="MW851" s="685"/>
      <c r="MX851" s="685"/>
      <c r="MY851" s="685"/>
      <c r="MZ851" s="685"/>
      <c r="NA851" s="685"/>
      <c r="NB851" s="685"/>
      <c r="NC851" s="685"/>
      <c r="ND851" s="685"/>
      <c r="NE851" s="685"/>
      <c r="NF851" s="685"/>
      <c r="NG851" s="685"/>
      <c r="NH851" s="685"/>
      <c r="NI851" s="685"/>
      <c r="NJ851" s="685"/>
      <c r="NK851" s="685"/>
      <c r="NL851" s="685"/>
      <c r="NM851" s="685"/>
      <c r="NN851" s="685"/>
      <c r="NO851" s="685"/>
      <c r="NP851" s="685"/>
      <c r="NQ851" s="685"/>
      <c r="NR851" s="685"/>
      <c r="NS851" s="685"/>
      <c r="NT851" s="685"/>
      <c r="NU851" s="685"/>
      <c r="NV851" s="685"/>
      <c r="NW851" s="685"/>
      <c r="NX851" s="685"/>
      <c r="NY851" s="685"/>
      <c r="NZ851" s="685"/>
      <c r="OA851" s="685"/>
      <c r="OB851" s="685"/>
      <c r="OC851" s="685"/>
      <c r="OD851" s="685"/>
      <c r="OE851" s="685"/>
      <c r="OF851" s="685"/>
      <c r="OG851" s="685"/>
      <c r="OH851" s="685"/>
      <c r="OI851" s="685"/>
      <c r="OJ851" s="685"/>
      <c r="OK851" s="685"/>
      <c r="OL851" s="685"/>
      <c r="OM851" s="685"/>
      <c r="ON851" s="685"/>
      <c r="OO851" s="685"/>
      <c r="OP851" s="685"/>
      <c r="OQ851" s="685"/>
      <c r="OR851" s="685"/>
      <c r="OS851" s="685"/>
      <c r="OT851" s="685"/>
      <c r="OU851" s="685"/>
      <c r="OV851" s="685"/>
      <c r="OW851" s="685"/>
      <c r="OX851" s="685"/>
      <c r="OY851" s="685"/>
      <c r="OZ851" s="685"/>
      <c r="PA851" s="685"/>
      <c r="PB851" s="685"/>
      <c r="PC851" s="685"/>
      <c r="PD851" s="685"/>
      <c r="PE851" s="685"/>
      <c r="PF851" s="685"/>
      <c r="PG851" s="685"/>
      <c r="PH851" s="685"/>
      <c r="PI851" s="685"/>
      <c r="PJ851" s="685"/>
      <c r="PK851" s="685"/>
      <c r="PL851" s="685"/>
      <c r="PM851" s="685"/>
      <c r="PN851" s="685"/>
      <c r="PO851" s="685"/>
      <c r="PP851" s="685"/>
      <c r="PQ851" s="685"/>
      <c r="PR851" s="685"/>
      <c r="PS851" s="685"/>
      <c r="PT851" s="685"/>
      <c r="PU851" s="685"/>
      <c r="PV851" s="685"/>
      <c r="PW851" s="685"/>
      <c r="PX851" s="685"/>
      <c r="PY851" s="685"/>
      <c r="PZ851" s="685"/>
      <c r="QA851" s="685"/>
      <c r="QB851" s="685"/>
      <c r="QC851" s="685"/>
      <c r="QD851" s="685"/>
      <c r="QE851" s="685"/>
      <c r="QF851" s="685"/>
      <c r="QG851" s="685"/>
      <c r="QH851" s="685"/>
      <c r="QI851" s="685"/>
      <c r="QJ851" s="685"/>
      <c r="QK851" s="685"/>
      <c r="QL851" s="685"/>
      <c r="QM851" s="685"/>
      <c r="QN851" s="685"/>
      <c r="QO851" s="685"/>
      <c r="QP851" s="685"/>
      <c r="QQ851" s="685"/>
      <c r="QR851" s="685"/>
      <c r="QS851" s="685"/>
      <c r="QT851" s="685"/>
      <c r="QU851" s="685"/>
      <c r="QV851" s="685"/>
      <c r="QW851" s="685"/>
      <c r="QX851" s="685"/>
      <c r="QY851" s="685"/>
      <c r="QZ851" s="685"/>
      <c r="RA851" s="685"/>
      <c r="RB851" s="685"/>
      <c r="RC851" s="685"/>
      <c r="RD851" s="685"/>
      <c r="RE851" s="685"/>
      <c r="RF851" s="685"/>
      <c r="RG851" s="685"/>
      <c r="RH851" s="685"/>
      <c r="RI851" s="685"/>
      <c r="RJ851" s="685"/>
      <c r="RK851" s="685"/>
      <c r="RL851" s="685"/>
      <c r="RM851" s="685"/>
      <c r="RN851" s="685"/>
      <c r="RO851" s="685"/>
      <c r="RP851" s="685"/>
      <c r="RQ851" s="685"/>
      <c r="RR851" s="685"/>
      <c r="RS851" s="685"/>
      <c r="RT851" s="685"/>
      <c r="RU851" s="685"/>
      <c r="RV851" s="685"/>
      <c r="RW851" s="685"/>
      <c r="RX851" s="685"/>
      <c r="RY851" s="685"/>
      <c r="RZ851" s="685"/>
      <c r="SA851" s="685"/>
      <c r="SB851" s="685"/>
      <c r="SC851" s="685"/>
      <c r="SD851" s="685"/>
      <c r="SE851" s="685"/>
      <c r="SF851" s="685"/>
      <c r="SG851" s="685"/>
      <c r="SH851" s="685"/>
      <c r="SI851" s="685"/>
      <c r="SJ851" s="685"/>
      <c r="SK851" s="685"/>
      <c r="SL851" s="685"/>
      <c r="SM851" s="685"/>
      <c r="SN851" s="685"/>
      <c r="SO851" s="685"/>
      <c r="SP851" s="685"/>
      <c r="SQ851" s="685"/>
      <c r="SR851" s="685"/>
      <c r="SS851" s="685"/>
      <c r="ST851" s="685"/>
      <c r="SU851" s="685"/>
      <c r="SV851" s="685"/>
      <c r="SW851" s="685"/>
      <c r="SX851" s="685"/>
      <c r="SY851" s="685"/>
      <c r="SZ851" s="685"/>
      <c r="TA851" s="685"/>
      <c r="TB851" s="685"/>
      <c r="TC851" s="685"/>
      <c r="TD851" s="685"/>
      <c r="TE851" s="685"/>
      <c r="TF851" s="685"/>
      <c r="TG851" s="685"/>
      <c r="TH851" s="685"/>
      <c r="TI851" s="685"/>
      <c r="TJ851" s="685"/>
      <c r="TK851" s="685"/>
      <c r="TL851" s="685"/>
      <c r="TM851" s="685"/>
      <c r="TN851" s="685"/>
      <c r="TO851" s="685"/>
      <c r="TP851" s="685"/>
      <c r="TQ851" s="685"/>
      <c r="TR851" s="685"/>
      <c r="TS851" s="685"/>
      <c r="TT851" s="685"/>
      <c r="TU851" s="685"/>
      <c r="TV851" s="685"/>
      <c r="TW851" s="685"/>
      <c r="TX851" s="685"/>
      <c r="TY851" s="685"/>
      <c r="TZ851" s="685"/>
      <c r="UA851" s="685"/>
      <c r="UB851" s="685"/>
      <c r="UC851" s="685"/>
      <c r="UD851" s="685"/>
      <c r="UE851" s="685"/>
      <c r="UF851" s="685"/>
      <c r="UG851" s="685"/>
      <c r="UH851" s="685"/>
      <c r="UI851" s="685"/>
    </row>
    <row r="852" spans="1:555" ht="40.5" customHeight="1">
      <c r="A852" s="502">
        <v>844</v>
      </c>
      <c r="B852" s="686" t="s">
        <v>6631</v>
      </c>
      <c r="C852" s="687">
        <v>86050137</v>
      </c>
      <c r="D852" s="688" t="s">
        <v>677</v>
      </c>
      <c r="E852" s="27">
        <v>43293</v>
      </c>
      <c r="F852" s="691">
        <v>43293</v>
      </c>
      <c r="G852" s="690" t="s">
        <v>6632</v>
      </c>
      <c r="H852" s="686" t="s">
        <v>576</v>
      </c>
      <c r="I852" s="686" t="s">
        <v>2411</v>
      </c>
      <c r="J852" s="27">
        <v>43369</v>
      </c>
      <c r="K852" s="691">
        <v>43369</v>
      </c>
      <c r="L852" s="706" t="s">
        <v>6633</v>
      </c>
      <c r="M852" s="686" t="s">
        <v>5</v>
      </c>
      <c r="N852" s="686" t="s">
        <v>79</v>
      </c>
      <c r="O852" s="191">
        <v>43405</v>
      </c>
      <c r="P852" s="691">
        <v>43405</v>
      </c>
      <c r="Q852" s="160" t="s">
        <v>7382</v>
      </c>
      <c r="R852" s="160" t="s">
        <v>5</v>
      </c>
      <c r="S852" s="706" t="s">
        <v>79</v>
      </c>
      <c r="T852" s="16">
        <v>43558</v>
      </c>
      <c r="U852" s="691">
        <v>43558</v>
      </c>
      <c r="V852" s="706" t="s">
        <v>8413</v>
      </c>
      <c r="W852" s="693" t="s">
        <v>5</v>
      </c>
      <c r="X852" s="27" t="s">
        <v>85</v>
      </c>
      <c r="Y852" s="16">
        <v>44018</v>
      </c>
      <c r="Z852" s="691">
        <v>44018</v>
      </c>
      <c r="AA852" s="706" t="s">
        <v>9544</v>
      </c>
      <c r="AB852" s="693" t="s">
        <v>5</v>
      </c>
      <c r="AC852" s="27" t="s">
        <v>9511</v>
      </c>
      <c r="AD852" s="776">
        <v>44378</v>
      </c>
      <c r="AE852" s="776">
        <v>44378</v>
      </c>
      <c r="AF852" s="224" t="s">
        <v>10544</v>
      </c>
      <c r="AG852" s="224" t="s">
        <v>5</v>
      </c>
      <c r="AH852" s="773" t="s">
        <v>10545</v>
      </c>
      <c r="AI852" s="220"/>
      <c r="AJ852" s="220"/>
      <c r="AK852" s="220"/>
      <c r="AL852" s="220"/>
      <c r="AM852" s="377"/>
      <c r="AN852" s="220"/>
      <c r="AO852" s="487">
        <v>43369</v>
      </c>
      <c r="AP852" s="220"/>
      <c r="AQ852" s="221" t="s">
        <v>6634</v>
      </c>
      <c r="AR852" s="141" t="s">
        <v>2395</v>
      </c>
      <c r="AS852" s="173">
        <v>38474</v>
      </c>
      <c r="AT852" s="173">
        <v>39994</v>
      </c>
      <c r="AU852" s="422" t="s">
        <v>7389</v>
      </c>
      <c r="AV852" s="422"/>
      <c r="AW852" s="141" t="s">
        <v>92</v>
      </c>
      <c r="AX852" s="141" t="s">
        <v>2665</v>
      </c>
      <c r="AY852" s="173">
        <v>41865</v>
      </c>
      <c r="AZ852" s="141" t="s">
        <v>6635</v>
      </c>
      <c r="BA852" s="173">
        <v>43146</v>
      </c>
      <c r="BB852" s="681">
        <v>43273</v>
      </c>
      <c r="BC852" s="141" t="s">
        <v>95</v>
      </c>
      <c r="BD852" s="141" t="s">
        <v>4604</v>
      </c>
      <c r="BE852" s="220"/>
      <c r="BF852" s="220"/>
      <c r="BG852" s="220"/>
      <c r="BH852" s="220"/>
      <c r="BI852" s="220"/>
      <c r="BJ852" s="209">
        <f>+[355]MATRIZ!$J$65</f>
        <v>0</v>
      </c>
      <c r="BK852" s="220"/>
      <c r="BL852" s="220"/>
      <c r="BM852" s="426"/>
      <c r="BN852" s="23"/>
      <c r="BO852" s="449"/>
      <c r="BP852" s="410"/>
      <c r="BQ852" s="411"/>
      <c r="BR852" s="220"/>
      <c r="BS852" s="220"/>
      <c r="BT852" s="220"/>
      <c r="BU852" s="220"/>
      <c r="BV852" s="220"/>
      <c r="BW852" s="220"/>
      <c r="BX852" s="222"/>
      <c r="BY852" s="220"/>
      <c r="BZ852" s="223"/>
    </row>
    <row r="853" spans="1:555" ht="54" customHeight="1">
      <c r="A853" s="57">
        <v>845</v>
      </c>
      <c r="B853" s="58" t="s">
        <v>6636</v>
      </c>
      <c r="C853" s="59" t="s">
        <v>6637</v>
      </c>
      <c r="D853" s="170" t="s">
        <v>597</v>
      </c>
      <c r="E853" s="60">
        <v>43312</v>
      </c>
      <c r="F853" s="63">
        <v>43312</v>
      </c>
      <c r="G853" s="62" t="s">
        <v>6638</v>
      </c>
      <c r="H853" s="58" t="s">
        <v>63</v>
      </c>
      <c r="I853" s="58" t="s">
        <v>2411</v>
      </c>
      <c r="J853" s="60">
        <v>43418</v>
      </c>
      <c r="K853" s="61">
        <v>43418</v>
      </c>
      <c r="L853" s="62" t="s">
        <v>7416</v>
      </c>
      <c r="M853" s="58" t="s">
        <v>625</v>
      </c>
      <c r="N853" s="58" t="s">
        <v>7417</v>
      </c>
      <c r="O853" s="550">
        <v>43633</v>
      </c>
      <c r="P853" s="63">
        <v>43633</v>
      </c>
      <c r="Q853" s="549" t="s">
        <v>8843</v>
      </c>
      <c r="R853" s="549" t="s">
        <v>63</v>
      </c>
      <c r="S853" s="425" t="s">
        <v>79</v>
      </c>
      <c r="T853" s="230"/>
      <c r="U853" s="230"/>
      <c r="V853" s="230"/>
      <c r="W853" s="230"/>
      <c r="X853" s="378"/>
      <c r="Y853" s="230"/>
      <c r="Z853" s="230"/>
      <c r="AA853" s="230"/>
      <c r="AB853" s="230"/>
      <c r="AC853" s="378"/>
      <c r="AD853" s="230"/>
      <c r="AE853" s="230"/>
      <c r="AF853" s="230"/>
      <c r="AG853" s="230"/>
      <c r="AH853" s="378"/>
      <c r="AI853" s="230"/>
      <c r="AJ853" s="230"/>
      <c r="AK853" s="230"/>
      <c r="AL853" s="230"/>
      <c r="AM853" s="378"/>
      <c r="AN853" s="58" t="s">
        <v>6487</v>
      </c>
      <c r="AO853" s="483" t="s">
        <v>7946</v>
      </c>
      <c r="AP853" s="119" t="s">
        <v>2558</v>
      </c>
      <c r="AQ853" s="216" t="s">
        <v>6639</v>
      </c>
      <c r="AR853" s="58" t="s">
        <v>2395</v>
      </c>
      <c r="AS853" s="169">
        <v>37803</v>
      </c>
      <c r="AT853" s="169">
        <v>40766</v>
      </c>
      <c r="AU853" s="58" t="s">
        <v>7418</v>
      </c>
      <c r="AV853" s="58"/>
      <c r="AW853" s="58" t="s">
        <v>69</v>
      </c>
      <c r="AX853" s="58" t="s">
        <v>6640</v>
      </c>
      <c r="AY853" s="169">
        <v>42408</v>
      </c>
      <c r="AZ853" s="58" t="s">
        <v>6641</v>
      </c>
      <c r="BA853" s="169">
        <v>43292</v>
      </c>
      <c r="BB853" s="678">
        <v>43399</v>
      </c>
      <c r="BC853" s="58" t="s">
        <v>95</v>
      </c>
      <c r="BD853" s="58" t="s">
        <v>4604</v>
      </c>
      <c r="BE853" s="230"/>
      <c r="BF853" s="230"/>
      <c r="BG853" s="230"/>
      <c r="BH853" s="230"/>
      <c r="BI853" s="230"/>
      <c r="BJ853" s="209">
        <f>+[356]MATRIZ!$J$71</f>
        <v>0</v>
      </c>
      <c r="BK853" s="230"/>
      <c r="BL853" s="230"/>
      <c r="BM853" s="230"/>
      <c r="BN853" s="230"/>
      <c r="BO853" s="450"/>
      <c r="BP853" s="412"/>
      <c r="BQ853" s="413"/>
      <c r="BR853" s="230"/>
      <c r="BS853" s="230"/>
      <c r="BT853" s="230"/>
      <c r="BU853" s="230"/>
      <c r="BV853" s="230"/>
      <c r="BW853" s="230"/>
      <c r="BX853" s="231"/>
      <c r="BY853" s="230"/>
      <c r="BZ853" s="232"/>
    </row>
    <row r="854" spans="1:555" ht="54" customHeight="1">
      <c r="A854" s="96">
        <v>846</v>
      </c>
      <c r="B854" s="422" t="s">
        <v>6642</v>
      </c>
      <c r="C854" s="419">
        <v>16791310</v>
      </c>
      <c r="D854" s="439" t="s">
        <v>6643</v>
      </c>
      <c r="E854" s="143">
        <v>43329</v>
      </c>
      <c r="F854" s="146">
        <v>43329</v>
      </c>
      <c r="G854" s="145" t="s">
        <v>6644</v>
      </c>
      <c r="H854" s="141" t="s">
        <v>625</v>
      </c>
      <c r="I854" s="141" t="s">
        <v>2411</v>
      </c>
      <c r="J854" s="423">
        <v>43864</v>
      </c>
      <c r="K854" s="21">
        <v>43864</v>
      </c>
      <c r="L854" s="22" t="s">
        <v>9393</v>
      </c>
      <c r="M854" s="422" t="s">
        <v>63</v>
      </c>
      <c r="N854" s="422" t="s">
        <v>79</v>
      </c>
      <c r="O854" s="220"/>
      <c r="P854" s="220"/>
      <c r="Q854" s="220"/>
      <c r="R854" s="220"/>
      <c r="S854" s="377"/>
      <c r="T854" s="220"/>
      <c r="U854" s="220"/>
      <c r="V854" s="220"/>
      <c r="W854" s="220"/>
      <c r="X854" s="377"/>
      <c r="Y854" s="220"/>
      <c r="Z854" s="220"/>
      <c r="AA854" s="220"/>
      <c r="AB854" s="220"/>
      <c r="AC854" s="377"/>
      <c r="AD854" s="220"/>
      <c r="AE854" s="220"/>
      <c r="AF854" s="220"/>
      <c r="AG854" s="220"/>
      <c r="AH854" s="377"/>
      <c r="AI854" s="220"/>
      <c r="AJ854" s="220"/>
      <c r="AK854" s="220"/>
      <c r="AL854" s="220"/>
      <c r="AM854" s="377"/>
      <c r="AN854" s="220"/>
      <c r="AO854" s="488" t="s">
        <v>7946</v>
      </c>
      <c r="AP854" s="220"/>
      <c r="AQ854" s="221" t="s">
        <v>6645</v>
      </c>
      <c r="AR854" s="141" t="s">
        <v>2411</v>
      </c>
      <c r="AS854" s="173">
        <v>39810</v>
      </c>
      <c r="AT854" s="173">
        <v>40786</v>
      </c>
      <c r="AU854" s="428" t="s">
        <v>6646</v>
      </c>
      <c r="AV854" s="428"/>
      <c r="AW854" s="141" t="s">
        <v>69</v>
      </c>
      <c r="AX854" s="141" t="s">
        <v>6647</v>
      </c>
      <c r="AY854" s="173">
        <v>42978</v>
      </c>
      <c r="AZ854" s="141" t="s">
        <v>6648</v>
      </c>
      <c r="BA854" s="173">
        <v>43306</v>
      </c>
      <c r="BB854" s="678"/>
      <c r="BC854" s="141" t="s">
        <v>95</v>
      </c>
      <c r="BD854" s="141" t="s">
        <v>4604</v>
      </c>
      <c r="BE854" s="220"/>
      <c r="BF854" s="220"/>
      <c r="BG854" s="220"/>
      <c r="BH854" s="220"/>
      <c r="BI854" s="220"/>
      <c r="BJ854" s="209">
        <f>+[357]MATRIZ!$J$64</f>
        <v>33141719.614260476</v>
      </c>
      <c r="BK854" s="220"/>
      <c r="BL854" s="220"/>
      <c r="BM854" s="426"/>
      <c r="BN854" s="23"/>
      <c r="BO854" s="23"/>
      <c r="BP854" s="410"/>
      <c r="BQ854" s="411"/>
      <c r="BR854" s="220"/>
      <c r="BS854" s="220"/>
      <c r="BT854" s="220"/>
      <c r="BU854" s="220"/>
      <c r="BV854" s="220"/>
      <c r="BW854" s="220"/>
      <c r="BX854" s="222"/>
      <c r="BY854" s="220"/>
      <c r="BZ854" s="223"/>
    </row>
    <row r="855" spans="1:555" s="259" customFormat="1" ht="54" customHeight="1">
      <c r="A855" s="96">
        <v>847</v>
      </c>
      <c r="B855" s="422" t="s">
        <v>6649</v>
      </c>
      <c r="C855" s="419">
        <v>13829162</v>
      </c>
      <c r="D855" s="439" t="s">
        <v>382</v>
      </c>
      <c r="E855" s="423">
        <v>43346</v>
      </c>
      <c r="F855" s="21">
        <v>43346</v>
      </c>
      <c r="G855" s="22" t="s">
        <v>6650</v>
      </c>
      <c r="H855" s="422" t="s">
        <v>625</v>
      </c>
      <c r="I855" s="422" t="s">
        <v>2411</v>
      </c>
      <c r="J855" s="423">
        <v>43346</v>
      </c>
      <c r="K855" s="21">
        <v>43346</v>
      </c>
      <c r="L855" s="22" t="s">
        <v>6650</v>
      </c>
      <c r="M855" s="422" t="s">
        <v>625</v>
      </c>
      <c r="N855" s="422" t="s">
        <v>2411</v>
      </c>
      <c r="O855" s="384">
        <v>43441</v>
      </c>
      <c r="P855" s="23">
        <v>43441</v>
      </c>
      <c r="Q855" s="201" t="s">
        <v>7569</v>
      </c>
      <c r="R855" s="201" t="s">
        <v>171</v>
      </c>
      <c r="S855" s="428" t="s">
        <v>7570</v>
      </c>
      <c r="T855" s="420">
        <v>43614</v>
      </c>
      <c r="U855" s="23">
        <v>43614</v>
      </c>
      <c r="V855" s="428" t="s">
        <v>8904</v>
      </c>
      <c r="W855" s="26" t="s">
        <v>5</v>
      </c>
      <c r="X855" s="423" t="s">
        <v>79</v>
      </c>
      <c r="Y855" s="420">
        <v>44021</v>
      </c>
      <c r="Z855" s="23">
        <v>44021</v>
      </c>
      <c r="AA855" s="428" t="s">
        <v>9547</v>
      </c>
      <c r="AB855" s="26" t="s">
        <v>5</v>
      </c>
      <c r="AC855" s="423" t="s">
        <v>9543</v>
      </c>
      <c r="AD855" s="420">
        <v>44048</v>
      </c>
      <c r="AE855" s="23">
        <v>44048</v>
      </c>
      <c r="AF855" s="428" t="s">
        <v>9579</v>
      </c>
      <c r="AG855" s="26" t="s">
        <v>5</v>
      </c>
      <c r="AH855" s="423" t="s">
        <v>9543</v>
      </c>
      <c r="AI855" s="220"/>
      <c r="AJ855" s="220"/>
      <c r="AK855" s="220"/>
      <c r="AL855" s="220"/>
      <c r="AM855" s="377"/>
      <c r="AN855" s="220"/>
      <c r="AO855" s="488" t="s">
        <v>7946</v>
      </c>
      <c r="AP855" s="220"/>
      <c r="AQ855" s="221" t="s">
        <v>6651</v>
      </c>
      <c r="AR855" s="141" t="s">
        <v>2411</v>
      </c>
      <c r="AS855" s="423">
        <v>35612</v>
      </c>
      <c r="AT855" s="423">
        <v>40908</v>
      </c>
      <c r="AU855" s="424" t="s">
        <v>4499</v>
      </c>
      <c r="AV855" s="424"/>
      <c r="AW855" s="141" t="s">
        <v>69</v>
      </c>
      <c r="AX855" s="422" t="s">
        <v>6652</v>
      </c>
      <c r="AY855" s="423">
        <v>42521</v>
      </c>
      <c r="AZ855" s="422" t="s">
        <v>6653</v>
      </c>
      <c r="BA855" s="423">
        <v>43342</v>
      </c>
      <c r="BB855" s="678">
        <v>43348</v>
      </c>
      <c r="BC855" s="31" t="s">
        <v>912</v>
      </c>
      <c r="BD855" s="141" t="s">
        <v>4604</v>
      </c>
      <c r="BE855" s="220"/>
      <c r="BF855" s="220"/>
      <c r="BG855" s="220"/>
      <c r="BH855" s="220"/>
      <c r="BI855" s="220"/>
      <c r="BJ855" s="209">
        <f>+[358]MATRIZ!$J$44</f>
        <v>0</v>
      </c>
      <c r="BK855" s="220"/>
      <c r="BL855" s="220"/>
      <c r="BM855" s="426"/>
      <c r="BN855" s="23"/>
      <c r="BO855" s="23"/>
      <c r="BP855" s="410"/>
      <c r="BQ855" s="411"/>
      <c r="BR855" s="220"/>
      <c r="BS855" s="220"/>
      <c r="BT855" s="220"/>
      <c r="BU855" s="220"/>
      <c r="BV855" s="220"/>
      <c r="BW855" s="220"/>
      <c r="BX855" s="222"/>
      <c r="BY855" s="220"/>
      <c r="BZ855" s="223"/>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c r="JW855" s="1"/>
      <c r="JX855" s="1"/>
      <c r="JY855" s="1"/>
      <c r="JZ855" s="1"/>
      <c r="KA855" s="1"/>
      <c r="KB855" s="1"/>
      <c r="KC855" s="1"/>
      <c r="KD855" s="1"/>
      <c r="KE855" s="1"/>
      <c r="KF855" s="1"/>
      <c r="KG855" s="1"/>
      <c r="KH855" s="1"/>
      <c r="KI855" s="1"/>
      <c r="KJ855" s="1"/>
      <c r="KK855" s="1"/>
      <c r="KL855" s="1"/>
      <c r="KM855" s="1"/>
      <c r="KN855" s="1"/>
      <c r="KO855" s="1"/>
      <c r="KP855" s="1"/>
      <c r="KQ855" s="1"/>
      <c r="KR855" s="1"/>
      <c r="KS855" s="1"/>
      <c r="KT855" s="1"/>
      <c r="KU855" s="1"/>
      <c r="KV855" s="1"/>
      <c r="KW855" s="1"/>
      <c r="KX855" s="1"/>
      <c r="KY855" s="1"/>
      <c r="KZ855" s="1"/>
      <c r="LA855" s="1"/>
      <c r="LB855" s="1"/>
      <c r="LC855" s="1"/>
      <c r="LD855" s="1"/>
      <c r="LE855" s="1"/>
      <c r="LF855" s="1"/>
      <c r="LG855" s="1"/>
      <c r="LH855" s="1"/>
      <c r="LI855" s="1"/>
      <c r="LJ855" s="1"/>
      <c r="LK855" s="1"/>
      <c r="LL855" s="1"/>
      <c r="LM855" s="1"/>
      <c r="LN855" s="1"/>
      <c r="LO855" s="1"/>
      <c r="LP855" s="1"/>
      <c r="LQ855" s="1"/>
      <c r="LR855" s="1"/>
      <c r="LS855" s="1"/>
      <c r="LT855" s="1"/>
      <c r="LU855" s="1"/>
      <c r="LV855" s="1"/>
      <c r="LW855" s="1"/>
      <c r="LX855" s="1"/>
      <c r="LY855" s="1"/>
      <c r="LZ855" s="1"/>
      <c r="MA855" s="1"/>
      <c r="MB855" s="1"/>
      <c r="MC855" s="1"/>
      <c r="MD855" s="1"/>
      <c r="ME855" s="1"/>
      <c r="MF855" s="1"/>
      <c r="MG855" s="1"/>
      <c r="MH855" s="1"/>
      <c r="MI855" s="1"/>
      <c r="MJ855" s="1"/>
      <c r="MK855" s="1"/>
      <c r="ML855" s="1"/>
      <c r="MM855" s="1"/>
      <c r="MN855" s="1"/>
      <c r="MO855" s="1"/>
      <c r="MP855" s="1"/>
      <c r="MQ855" s="1"/>
      <c r="MR855" s="1"/>
      <c r="MS855" s="1"/>
      <c r="MT855" s="1"/>
      <c r="MU855" s="1"/>
      <c r="MV855" s="1"/>
      <c r="MW855" s="1"/>
      <c r="MX855" s="1"/>
      <c r="MY855" s="1"/>
      <c r="MZ855" s="1"/>
      <c r="NA855" s="1"/>
      <c r="NB855" s="1"/>
      <c r="NC855" s="1"/>
      <c r="ND855" s="1"/>
      <c r="NE855" s="1"/>
      <c r="NF855" s="1"/>
      <c r="NG855" s="1"/>
      <c r="NH855" s="1"/>
      <c r="NI855" s="1"/>
      <c r="NJ855" s="1"/>
      <c r="NK855" s="1"/>
      <c r="NL855" s="1"/>
      <c r="NM855" s="1"/>
      <c r="NN855" s="1"/>
      <c r="NO855" s="1"/>
      <c r="NP855" s="1"/>
      <c r="NQ855" s="1"/>
      <c r="NR855" s="1"/>
      <c r="NS855" s="1"/>
      <c r="NT855" s="1"/>
      <c r="NU855" s="1"/>
      <c r="NV855" s="1"/>
      <c r="NW855" s="1"/>
      <c r="NX855" s="1"/>
      <c r="NY855" s="1"/>
      <c r="NZ855" s="1"/>
      <c r="OA855" s="1"/>
      <c r="OB855" s="1"/>
      <c r="OC855" s="1"/>
      <c r="OD855" s="1"/>
      <c r="OE855" s="1"/>
      <c r="OF855" s="1"/>
      <c r="OG855" s="1"/>
      <c r="OH855" s="1"/>
      <c r="OI855" s="1"/>
      <c r="OJ855" s="1"/>
      <c r="OK855" s="1"/>
      <c r="OL855" s="1"/>
      <c r="OM855" s="1"/>
      <c r="ON855" s="1"/>
      <c r="OO855" s="1"/>
      <c r="OP855" s="1"/>
      <c r="OQ855" s="1"/>
      <c r="OR855" s="1"/>
      <c r="OS855" s="1"/>
      <c r="OT855" s="1"/>
      <c r="OU855" s="1"/>
      <c r="OV855" s="1"/>
      <c r="OW855" s="1"/>
      <c r="OX855" s="1"/>
      <c r="OY855" s="1"/>
      <c r="OZ855" s="1"/>
      <c r="PA855" s="1"/>
      <c r="PB855" s="1"/>
      <c r="PC855" s="1"/>
      <c r="PD855" s="1"/>
      <c r="PE855" s="1"/>
      <c r="PF855" s="1"/>
      <c r="PG855" s="1"/>
      <c r="PH855" s="1"/>
      <c r="PI855" s="1"/>
      <c r="PJ855" s="1"/>
      <c r="PK855" s="1"/>
      <c r="PL855" s="1"/>
      <c r="PM855" s="1"/>
      <c r="PN855" s="1"/>
      <c r="PO855" s="1"/>
      <c r="PP855" s="1"/>
      <c r="PQ855" s="1"/>
      <c r="PR855" s="1"/>
      <c r="PS855" s="1"/>
      <c r="PT855" s="1"/>
      <c r="PU855" s="1"/>
      <c r="PV855" s="1"/>
      <c r="PW855" s="1"/>
      <c r="PX855" s="1"/>
      <c r="PY855" s="1"/>
      <c r="PZ855" s="1"/>
      <c r="QA855" s="1"/>
      <c r="QB855" s="1"/>
      <c r="QC855" s="1"/>
      <c r="QD855" s="1"/>
      <c r="QE855" s="1"/>
      <c r="QF855" s="1"/>
      <c r="QG855" s="1"/>
      <c r="QH855" s="1"/>
      <c r="QI855" s="1"/>
      <c r="QJ855" s="1"/>
      <c r="QK855" s="1"/>
      <c r="QL855" s="1"/>
      <c r="QM855" s="1"/>
      <c r="QN855" s="1"/>
      <c r="QO855" s="1"/>
      <c r="QP855" s="1"/>
      <c r="QQ855" s="1"/>
      <c r="QR855" s="1"/>
      <c r="QS855" s="1"/>
      <c r="QT855" s="1"/>
      <c r="QU855" s="1"/>
      <c r="QV855" s="1"/>
      <c r="QW855" s="1"/>
      <c r="QX855" s="1"/>
      <c r="QY855" s="1"/>
      <c r="QZ855" s="1"/>
      <c r="RA855" s="1"/>
      <c r="RB855" s="1"/>
      <c r="RC855" s="1"/>
      <c r="RD855" s="1"/>
      <c r="RE855" s="1"/>
      <c r="RF855" s="1"/>
      <c r="RG855" s="1"/>
      <c r="RH855" s="1"/>
      <c r="RI855" s="1"/>
      <c r="RJ855" s="1"/>
      <c r="RK855" s="1"/>
      <c r="RL855" s="1"/>
      <c r="RM855" s="1"/>
      <c r="RN855" s="1"/>
      <c r="RO855" s="1"/>
      <c r="RP855" s="1"/>
      <c r="RQ855" s="1"/>
      <c r="RR855" s="1"/>
      <c r="RS855" s="1"/>
      <c r="RT855" s="1"/>
      <c r="RU855" s="1"/>
      <c r="RV855" s="1"/>
      <c r="RW855" s="1"/>
      <c r="RX855" s="1"/>
      <c r="RY855" s="1"/>
      <c r="RZ855" s="1"/>
      <c r="SA855" s="1"/>
      <c r="SB855" s="1"/>
      <c r="SC855" s="1"/>
      <c r="SD855" s="1"/>
      <c r="SE855" s="1"/>
      <c r="SF855" s="1"/>
      <c r="SG855" s="1"/>
      <c r="SH855" s="1"/>
      <c r="SI855" s="1"/>
      <c r="SJ855" s="1"/>
      <c r="SK855" s="1"/>
      <c r="SL855" s="1"/>
      <c r="SM855" s="1"/>
      <c r="SN855" s="1"/>
      <c r="SO855" s="1"/>
      <c r="SP855" s="1"/>
      <c r="SQ855" s="1"/>
      <c r="SR855" s="1"/>
      <c r="SS855" s="1"/>
      <c r="ST855" s="1"/>
      <c r="SU855" s="1"/>
      <c r="SV855" s="1"/>
      <c r="SW855" s="1"/>
      <c r="SX855" s="1"/>
      <c r="SY855" s="1"/>
      <c r="SZ855" s="1"/>
      <c r="TA855" s="1"/>
      <c r="TB855" s="1"/>
      <c r="TC855" s="1"/>
      <c r="TD855" s="1"/>
      <c r="TE855" s="1"/>
      <c r="TF855" s="1"/>
      <c r="TG855" s="1"/>
      <c r="TH855" s="1"/>
      <c r="TI855" s="1"/>
      <c r="TJ855" s="1"/>
      <c r="TK855" s="1"/>
      <c r="TL855" s="1"/>
      <c r="TM855" s="1"/>
      <c r="TN855" s="1"/>
      <c r="TO855" s="1"/>
      <c r="TP855" s="1"/>
      <c r="TQ855" s="1"/>
      <c r="TR855" s="1"/>
      <c r="TS855" s="1"/>
      <c r="TT855" s="1"/>
      <c r="TU855" s="1"/>
      <c r="TV855" s="1"/>
      <c r="TW855" s="1"/>
      <c r="TX855" s="1"/>
      <c r="TY855" s="1"/>
      <c r="TZ855" s="1"/>
      <c r="UA855" s="1"/>
      <c r="UB855" s="1"/>
      <c r="UC855" s="1"/>
      <c r="UD855" s="1"/>
      <c r="UE855" s="1"/>
      <c r="UF855" s="1"/>
      <c r="UG855" s="1"/>
      <c r="UH855" s="1"/>
      <c r="UI855" s="1"/>
    </row>
    <row r="856" spans="1:555" s="259" customFormat="1" ht="56.25" customHeight="1">
      <c r="A856" s="96">
        <v>848</v>
      </c>
      <c r="B856" s="422" t="s">
        <v>6654</v>
      </c>
      <c r="C856" s="419">
        <v>80255855</v>
      </c>
      <c r="D856" s="439" t="s">
        <v>167</v>
      </c>
      <c r="E856" s="423">
        <v>43348</v>
      </c>
      <c r="F856" s="21">
        <v>43348</v>
      </c>
      <c r="G856" s="22" t="s">
        <v>6655</v>
      </c>
      <c r="H856" s="422" t="s">
        <v>625</v>
      </c>
      <c r="I856" s="422" t="s">
        <v>2411</v>
      </c>
      <c r="J856" s="423">
        <v>43367</v>
      </c>
      <c r="K856" s="21">
        <v>43367</v>
      </c>
      <c r="L856" s="22" t="s">
        <v>6656</v>
      </c>
      <c r="M856" s="422" t="s">
        <v>625</v>
      </c>
      <c r="N856" s="422" t="s">
        <v>2411</v>
      </c>
      <c r="O856" s="384">
        <v>43710</v>
      </c>
      <c r="P856" s="23">
        <v>43710</v>
      </c>
      <c r="Q856" s="201" t="s">
        <v>9150</v>
      </c>
      <c r="R856" s="201" t="s">
        <v>625</v>
      </c>
      <c r="S856" s="428" t="s">
        <v>1495</v>
      </c>
      <c r="T856" s="420">
        <v>43805</v>
      </c>
      <c r="U856" s="23">
        <v>43805</v>
      </c>
      <c r="V856" s="428" t="s">
        <v>9237</v>
      </c>
      <c r="W856" s="26" t="s">
        <v>5</v>
      </c>
      <c r="X856" s="423" t="s">
        <v>79</v>
      </c>
      <c r="Y856" s="220"/>
      <c r="Z856" s="220"/>
      <c r="AA856" s="220"/>
      <c r="AB856" s="220"/>
      <c r="AC856" s="377"/>
      <c r="AD856" s="220"/>
      <c r="AE856" s="220"/>
      <c r="AF856" s="220"/>
      <c r="AG856" s="220"/>
      <c r="AH856" s="377"/>
      <c r="AI856" s="220"/>
      <c r="AJ856" s="220"/>
      <c r="AK856" s="220"/>
      <c r="AL856" s="220"/>
      <c r="AM856" s="377"/>
      <c r="AN856" s="220"/>
      <c r="AO856" s="488" t="s">
        <v>7946</v>
      </c>
      <c r="AP856" s="220"/>
      <c r="AQ856" s="221" t="s">
        <v>6657</v>
      </c>
      <c r="AR856" s="141" t="s">
        <v>2411</v>
      </c>
      <c r="AS856" s="420">
        <v>39063</v>
      </c>
      <c r="AT856" s="420">
        <v>40633</v>
      </c>
      <c r="AU856" s="424" t="s">
        <v>9092</v>
      </c>
      <c r="AV856" s="424"/>
      <c r="AW856" s="141" t="s">
        <v>69</v>
      </c>
      <c r="AX856" s="422" t="s">
        <v>6658</v>
      </c>
      <c r="AY856" s="423">
        <v>42564</v>
      </c>
      <c r="AZ856" s="422" t="s">
        <v>6659</v>
      </c>
      <c r="BA856" s="423">
        <v>43686</v>
      </c>
      <c r="BB856" s="678">
        <v>43698</v>
      </c>
      <c r="BC856" s="31" t="s">
        <v>95</v>
      </c>
      <c r="BD856" s="141" t="s">
        <v>4604</v>
      </c>
      <c r="BE856" s="220"/>
      <c r="BF856" s="220"/>
      <c r="BG856" s="220"/>
      <c r="BH856" s="220"/>
      <c r="BI856" s="220"/>
      <c r="BJ856" s="209">
        <f>+[359]MATRIZ!$J$67</f>
        <v>9391966.4348468296</v>
      </c>
      <c r="BK856" s="220"/>
      <c r="BL856" s="220"/>
      <c r="BM856" s="426"/>
      <c r="BN856" s="23"/>
      <c r="BO856" s="449"/>
      <c r="BP856" s="410"/>
      <c r="BQ856" s="411"/>
      <c r="BR856" s="220"/>
      <c r="BS856" s="220"/>
      <c r="BT856" s="220"/>
      <c r="BU856" s="220"/>
      <c r="BV856" s="220"/>
      <c r="BW856" s="220"/>
      <c r="BX856" s="222"/>
      <c r="BY856" s="220"/>
      <c r="BZ856" s="223"/>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c r="JW856" s="1"/>
      <c r="JX856" s="1"/>
      <c r="JY856" s="1"/>
      <c r="JZ856" s="1"/>
      <c r="KA856" s="1"/>
      <c r="KB856" s="1"/>
      <c r="KC856" s="1"/>
      <c r="KD856" s="1"/>
      <c r="KE856" s="1"/>
      <c r="KF856" s="1"/>
      <c r="KG856" s="1"/>
      <c r="KH856" s="1"/>
      <c r="KI856" s="1"/>
      <c r="KJ856" s="1"/>
      <c r="KK856" s="1"/>
      <c r="KL856" s="1"/>
      <c r="KM856" s="1"/>
      <c r="KN856" s="1"/>
      <c r="KO856" s="1"/>
      <c r="KP856" s="1"/>
      <c r="KQ856" s="1"/>
      <c r="KR856" s="1"/>
      <c r="KS856" s="1"/>
      <c r="KT856" s="1"/>
      <c r="KU856" s="1"/>
      <c r="KV856" s="1"/>
      <c r="KW856" s="1"/>
      <c r="KX856" s="1"/>
      <c r="KY856" s="1"/>
      <c r="KZ856" s="1"/>
      <c r="LA856" s="1"/>
      <c r="LB856" s="1"/>
      <c r="LC856" s="1"/>
      <c r="LD856" s="1"/>
      <c r="LE856" s="1"/>
      <c r="LF856" s="1"/>
      <c r="LG856" s="1"/>
      <c r="LH856" s="1"/>
      <c r="LI856" s="1"/>
      <c r="LJ856" s="1"/>
      <c r="LK856" s="1"/>
      <c r="LL856" s="1"/>
      <c r="LM856" s="1"/>
      <c r="LN856" s="1"/>
      <c r="LO856" s="1"/>
      <c r="LP856" s="1"/>
      <c r="LQ856" s="1"/>
      <c r="LR856" s="1"/>
      <c r="LS856" s="1"/>
      <c r="LT856" s="1"/>
      <c r="LU856" s="1"/>
      <c r="LV856" s="1"/>
      <c r="LW856" s="1"/>
      <c r="LX856" s="1"/>
      <c r="LY856" s="1"/>
      <c r="LZ856" s="1"/>
      <c r="MA856" s="1"/>
      <c r="MB856" s="1"/>
      <c r="MC856" s="1"/>
      <c r="MD856" s="1"/>
      <c r="ME856" s="1"/>
      <c r="MF856" s="1"/>
      <c r="MG856" s="1"/>
      <c r="MH856" s="1"/>
      <c r="MI856" s="1"/>
      <c r="MJ856" s="1"/>
      <c r="MK856" s="1"/>
      <c r="ML856" s="1"/>
      <c r="MM856" s="1"/>
      <c r="MN856" s="1"/>
      <c r="MO856" s="1"/>
      <c r="MP856" s="1"/>
      <c r="MQ856" s="1"/>
      <c r="MR856" s="1"/>
      <c r="MS856" s="1"/>
      <c r="MT856" s="1"/>
      <c r="MU856" s="1"/>
      <c r="MV856" s="1"/>
      <c r="MW856" s="1"/>
      <c r="MX856" s="1"/>
      <c r="MY856" s="1"/>
      <c r="MZ856" s="1"/>
      <c r="NA856" s="1"/>
      <c r="NB856" s="1"/>
      <c r="NC856" s="1"/>
      <c r="ND856" s="1"/>
      <c r="NE856" s="1"/>
      <c r="NF856" s="1"/>
      <c r="NG856" s="1"/>
      <c r="NH856" s="1"/>
      <c r="NI856" s="1"/>
      <c r="NJ856" s="1"/>
      <c r="NK856" s="1"/>
      <c r="NL856" s="1"/>
      <c r="NM856" s="1"/>
      <c r="NN856" s="1"/>
      <c r="NO856" s="1"/>
      <c r="NP856" s="1"/>
      <c r="NQ856" s="1"/>
      <c r="NR856" s="1"/>
      <c r="NS856" s="1"/>
      <c r="NT856" s="1"/>
      <c r="NU856" s="1"/>
      <c r="NV856" s="1"/>
      <c r="NW856" s="1"/>
      <c r="NX856" s="1"/>
      <c r="NY856" s="1"/>
      <c r="NZ856" s="1"/>
      <c r="OA856" s="1"/>
      <c r="OB856" s="1"/>
      <c r="OC856" s="1"/>
      <c r="OD856" s="1"/>
      <c r="OE856" s="1"/>
      <c r="OF856" s="1"/>
      <c r="OG856" s="1"/>
      <c r="OH856" s="1"/>
      <c r="OI856" s="1"/>
      <c r="OJ856" s="1"/>
      <c r="OK856" s="1"/>
      <c r="OL856" s="1"/>
      <c r="OM856" s="1"/>
      <c r="ON856" s="1"/>
      <c r="OO856" s="1"/>
      <c r="OP856" s="1"/>
      <c r="OQ856" s="1"/>
      <c r="OR856" s="1"/>
      <c r="OS856" s="1"/>
      <c r="OT856" s="1"/>
      <c r="OU856" s="1"/>
      <c r="OV856" s="1"/>
      <c r="OW856" s="1"/>
      <c r="OX856" s="1"/>
      <c r="OY856" s="1"/>
      <c r="OZ856" s="1"/>
      <c r="PA856" s="1"/>
      <c r="PB856" s="1"/>
      <c r="PC856" s="1"/>
      <c r="PD856" s="1"/>
      <c r="PE856" s="1"/>
      <c r="PF856" s="1"/>
      <c r="PG856" s="1"/>
      <c r="PH856" s="1"/>
      <c r="PI856" s="1"/>
      <c r="PJ856" s="1"/>
      <c r="PK856" s="1"/>
      <c r="PL856" s="1"/>
      <c r="PM856" s="1"/>
      <c r="PN856" s="1"/>
      <c r="PO856" s="1"/>
      <c r="PP856" s="1"/>
      <c r="PQ856" s="1"/>
      <c r="PR856" s="1"/>
      <c r="PS856" s="1"/>
      <c r="PT856" s="1"/>
      <c r="PU856" s="1"/>
      <c r="PV856" s="1"/>
      <c r="PW856" s="1"/>
      <c r="PX856" s="1"/>
      <c r="PY856" s="1"/>
      <c r="PZ856" s="1"/>
      <c r="QA856" s="1"/>
      <c r="QB856" s="1"/>
      <c r="QC856" s="1"/>
      <c r="QD856" s="1"/>
      <c r="QE856" s="1"/>
      <c r="QF856" s="1"/>
      <c r="QG856" s="1"/>
      <c r="QH856" s="1"/>
      <c r="QI856" s="1"/>
      <c r="QJ856" s="1"/>
      <c r="QK856" s="1"/>
      <c r="QL856" s="1"/>
      <c r="QM856" s="1"/>
      <c r="QN856" s="1"/>
      <c r="QO856" s="1"/>
      <c r="QP856" s="1"/>
      <c r="QQ856" s="1"/>
      <c r="QR856" s="1"/>
      <c r="QS856" s="1"/>
      <c r="QT856" s="1"/>
      <c r="QU856" s="1"/>
      <c r="QV856" s="1"/>
      <c r="QW856" s="1"/>
      <c r="QX856" s="1"/>
      <c r="QY856" s="1"/>
      <c r="QZ856" s="1"/>
      <c r="RA856" s="1"/>
      <c r="RB856" s="1"/>
      <c r="RC856" s="1"/>
      <c r="RD856" s="1"/>
      <c r="RE856" s="1"/>
      <c r="RF856" s="1"/>
      <c r="RG856" s="1"/>
      <c r="RH856" s="1"/>
      <c r="RI856" s="1"/>
      <c r="RJ856" s="1"/>
      <c r="RK856" s="1"/>
      <c r="RL856" s="1"/>
      <c r="RM856" s="1"/>
      <c r="RN856" s="1"/>
      <c r="RO856" s="1"/>
      <c r="RP856" s="1"/>
      <c r="RQ856" s="1"/>
      <c r="RR856" s="1"/>
      <c r="RS856" s="1"/>
      <c r="RT856" s="1"/>
      <c r="RU856" s="1"/>
      <c r="RV856" s="1"/>
      <c r="RW856" s="1"/>
      <c r="RX856" s="1"/>
      <c r="RY856" s="1"/>
      <c r="RZ856" s="1"/>
      <c r="SA856" s="1"/>
      <c r="SB856" s="1"/>
      <c r="SC856" s="1"/>
      <c r="SD856" s="1"/>
      <c r="SE856" s="1"/>
      <c r="SF856" s="1"/>
      <c r="SG856" s="1"/>
      <c r="SH856" s="1"/>
      <c r="SI856" s="1"/>
      <c r="SJ856" s="1"/>
      <c r="SK856" s="1"/>
      <c r="SL856" s="1"/>
      <c r="SM856" s="1"/>
      <c r="SN856" s="1"/>
      <c r="SO856" s="1"/>
      <c r="SP856" s="1"/>
      <c r="SQ856" s="1"/>
      <c r="SR856" s="1"/>
      <c r="SS856" s="1"/>
      <c r="ST856" s="1"/>
      <c r="SU856" s="1"/>
      <c r="SV856" s="1"/>
      <c r="SW856" s="1"/>
      <c r="SX856" s="1"/>
      <c r="SY856" s="1"/>
      <c r="SZ856" s="1"/>
      <c r="TA856" s="1"/>
      <c r="TB856" s="1"/>
      <c r="TC856" s="1"/>
      <c r="TD856" s="1"/>
      <c r="TE856" s="1"/>
      <c r="TF856" s="1"/>
      <c r="TG856" s="1"/>
      <c r="TH856" s="1"/>
      <c r="TI856" s="1"/>
      <c r="TJ856" s="1"/>
      <c r="TK856" s="1"/>
      <c r="TL856" s="1"/>
      <c r="TM856" s="1"/>
      <c r="TN856" s="1"/>
      <c r="TO856" s="1"/>
      <c r="TP856" s="1"/>
      <c r="TQ856" s="1"/>
      <c r="TR856" s="1"/>
      <c r="TS856" s="1"/>
      <c r="TT856" s="1"/>
      <c r="TU856" s="1"/>
      <c r="TV856" s="1"/>
      <c r="TW856" s="1"/>
      <c r="TX856" s="1"/>
      <c r="TY856" s="1"/>
      <c r="TZ856" s="1"/>
      <c r="UA856" s="1"/>
      <c r="UB856" s="1"/>
      <c r="UC856" s="1"/>
      <c r="UD856" s="1"/>
      <c r="UE856" s="1"/>
      <c r="UF856" s="1"/>
      <c r="UG856" s="1"/>
      <c r="UH856" s="1"/>
      <c r="UI856" s="1"/>
    </row>
    <row r="857" spans="1:555" ht="54" customHeight="1">
      <c r="A857" s="502">
        <v>849</v>
      </c>
      <c r="B857" s="706" t="s">
        <v>6660</v>
      </c>
      <c r="C857" s="687">
        <v>94306149</v>
      </c>
      <c r="D857" s="688" t="s">
        <v>1153</v>
      </c>
      <c r="E857" s="16">
        <v>43336</v>
      </c>
      <c r="F857" s="689">
        <v>43336</v>
      </c>
      <c r="G857" s="706" t="s">
        <v>6661</v>
      </c>
      <c r="H857" s="706" t="s">
        <v>5</v>
      </c>
      <c r="I857" s="706" t="s">
        <v>79</v>
      </c>
      <c r="J857" s="16">
        <v>43564</v>
      </c>
      <c r="K857" s="689">
        <v>43564</v>
      </c>
      <c r="L857" s="690" t="s">
        <v>8586</v>
      </c>
      <c r="M857" s="686" t="s">
        <v>5</v>
      </c>
      <c r="N857" s="686" t="s">
        <v>85</v>
      </c>
      <c r="O857" s="224"/>
      <c r="P857" s="224"/>
      <c r="Q857" s="224"/>
      <c r="R857" s="224"/>
      <c r="S857" s="773"/>
      <c r="T857" s="224"/>
      <c r="U857" s="224"/>
      <c r="V857" s="224"/>
      <c r="W857" s="224"/>
      <c r="X857" s="773"/>
      <c r="Y857" s="224"/>
      <c r="Z857" s="224"/>
      <c r="AA857" s="224"/>
      <c r="AB857" s="224"/>
      <c r="AC857" s="773"/>
      <c r="AD857" s="224"/>
      <c r="AE857" s="224"/>
      <c r="AF857" s="224"/>
      <c r="AG857" s="224"/>
      <c r="AH857" s="773"/>
      <c r="AI857" s="224"/>
      <c r="AJ857" s="224"/>
      <c r="AK857" s="224"/>
      <c r="AL857" s="224"/>
      <c r="AM857" s="773"/>
      <c r="AN857" s="686" t="s">
        <v>6487</v>
      </c>
      <c r="AO857" s="774"/>
      <c r="AP857" s="692" t="s">
        <v>2558</v>
      </c>
      <c r="AQ857" s="775" t="s">
        <v>6662</v>
      </c>
      <c r="AR857" s="706" t="s">
        <v>79</v>
      </c>
      <c r="AS857" s="16">
        <v>37347</v>
      </c>
      <c r="AT857" s="16">
        <v>40117</v>
      </c>
      <c r="AU857" s="706" t="s">
        <v>6663</v>
      </c>
      <c r="AV857" s="706"/>
      <c r="AW857" s="693" t="s">
        <v>92</v>
      </c>
      <c r="AX857" s="706" t="s">
        <v>6664</v>
      </c>
      <c r="AY857" s="16">
        <v>42290</v>
      </c>
      <c r="AZ857" s="706" t="s">
        <v>8431</v>
      </c>
      <c r="BA857" s="16">
        <v>43230</v>
      </c>
      <c r="BB857" s="16">
        <v>43252</v>
      </c>
      <c r="BC857" s="706" t="s">
        <v>6665</v>
      </c>
      <c r="BD857" s="686" t="s">
        <v>4604</v>
      </c>
      <c r="BE857" s="224"/>
      <c r="BF857" s="224"/>
      <c r="BG857" s="224"/>
      <c r="BH857" s="224"/>
      <c r="BI857" s="224"/>
      <c r="BJ857" s="708">
        <f>+[360]MATRIZ!$J$75</f>
        <v>253125251.67581594</v>
      </c>
      <c r="BK857" s="224"/>
      <c r="BL857" s="224"/>
      <c r="BM857" s="224"/>
      <c r="BN857" s="224"/>
      <c r="BO857" s="720"/>
      <c r="BP857" s="721"/>
      <c r="BQ857" s="777"/>
      <c r="BR857" s="224"/>
      <c r="BS857" s="224"/>
      <c r="BT857" s="224"/>
      <c r="BU857" s="224"/>
      <c r="BV857" s="224"/>
      <c r="BW857" s="224"/>
      <c r="BX857" s="778"/>
      <c r="BY857" s="224"/>
      <c r="BZ857" s="779"/>
      <c r="CA857" s="259"/>
      <c r="CB857" s="259"/>
      <c r="CC857" s="259"/>
      <c r="CD857" s="259"/>
      <c r="CE857" s="259"/>
      <c r="CF857" s="259"/>
      <c r="CG857" s="259"/>
      <c r="CH857" s="259"/>
      <c r="CI857" s="259"/>
      <c r="CJ857" s="259"/>
      <c r="CK857" s="259"/>
      <c r="CL857" s="259"/>
      <c r="CM857" s="259"/>
      <c r="CN857" s="259"/>
      <c r="CO857" s="259"/>
      <c r="CP857" s="259"/>
      <c r="CQ857" s="259"/>
      <c r="CR857" s="259"/>
      <c r="CS857" s="259"/>
      <c r="CT857" s="259"/>
      <c r="CU857" s="259"/>
      <c r="CV857" s="259"/>
      <c r="CW857" s="259"/>
      <c r="CX857" s="259"/>
      <c r="CY857" s="259"/>
      <c r="CZ857" s="259"/>
      <c r="DA857" s="259"/>
      <c r="DB857" s="259"/>
      <c r="DC857" s="259"/>
      <c r="DD857" s="259"/>
      <c r="DE857" s="259"/>
      <c r="DF857" s="259"/>
      <c r="DG857" s="259"/>
      <c r="DH857" s="259"/>
      <c r="DI857" s="259"/>
      <c r="DJ857" s="259"/>
      <c r="DK857" s="259"/>
      <c r="DL857" s="259"/>
      <c r="DM857" s="259"/>
      <c r="DN857" s="259"/>
      <c r="DO857" s="259"/>
      <c r="DP857" s="259"/>
      <c r="DQ857" s="259"/>
      <c r="DR857" s="259"/>
      <c r="DS857" s="259"/>
      <c r="DT857" s="259"/>
      <c r="DU857" s="259"/>
      <c r="DV857" s="259"/>
      <c r="DW857" s="259"/>
      <c r="DX857" s="259"/>
      <c r="DY857" s="259"/>
      <c r="DZ857" s="259"/>
      <c r="EA857" s="259"/>
      <c r="EB857" s="259"/>
      <c r="EC857" s="259"/>
      <c r="ED857" s="259"/>
      <c r="EE857" s="259"/>
      <c r="EF857" s="259"/>
      <c r="EG857" s="259"/>
      <c r="EH857" s="259"/>
      <c r="EI857" s="259"/>
      <c r="EJ857" s="259"/>
      <c r="EK857" s="259"/>
      <c r="EL857" s="259"/>
      <c r="EM857" s="259"/>
      <c r="EN857" s="259"/>
      <c r="EO857" s="259"/>
      <c r="EP857" s="259"/>
      <c r="EQ857" s="259"/>
      <c r="ER857" s="259"/>
      <c r="ES857" s="259"/>
      <c r="ET857" s="259"/>
      <c r="EU857" s="259"/>
      <c r="EV857" s="259"/>
      <c r="EW857" s="259"/>
      <c r="EX857" s="259"/>
      <c r="EY857" s="259"/>
      <c r="EZ857" s="259"/>
      <c r="FA857" s="259"/>
      <c r="FB857" s="259"/>
      <c r="FC857" s="259"/>
      <c r="FD857" s="259"/>
      <c r="FE857" s="259"/>
      <c r="FF857" s="259"/>
      <c r="FG857" s="259"/>
      <c r="FH857" s="259"/>
      <c r="FI857" s="259"/>
      <c r="FJ857" s="259"/>
      <c r="FK857" s="259"/>
      <c r="FL857" s="259"/>
      <c r="FM857" s="259"/>
      <c r="FN857" s="259"/>
      <c r="FO857" s="259"/>
      <c r="FP857" s="259"/>
      <c r="FQ857" s="259"/>
      <c r="FR857" s="259"/>
      <c r="FS857" s="259"/>
      <c r="FT857" s="259"/>
      <c r="FU857" s="259"/>
      <c r="FV857" s="259"/>
      <c r="FW857" s="259"/>
      <c r="FX857" s="259"/>
      <c r="FY857" s="259"/>
      <c r="FZ857" s="259"/>
      <c r="GA857" s="259"/>
      <c r="GB857" s="259"/>
      <c r="GC857" s="259"/>
      <c r="GD857" s="259"/>
      <c r="GE857" s="259"/>
      <c r="GF857" s="259"/>
      <c r="GG857" s="259"/>
      <c r="GH857" s="259"/>
      <c r="GI857" s="259"/>
      <c r="GJ857" s="259"/>
      <c r="GK857" s="259"/>
      <c r="GL857" s="259"/>
      <c r="GM857" s="259"/>
      <c r="GN857" s="259"/>
      <c r="GO857" s="259"/>
      <c r="GP857" s="259"/>
      <c r="GQ857" s="259"/>
      <c r="GR857" s="259"/>
      <c r="GS857" s="259"/>
      <c r="GT857" s="259"/>
      <c r="GU857" s="259"/>
      <c r="GV857" s="259"/>
      <c r="GW857" s="259"/>
      <c r="GX857" s="259"/>
      <c r="GY857" s="259"/>
      <c r="GZ857" s="259"/>
      <c r="HA857" s="259"/>
      <c r="HB857" s="259"/>
      <c r="HC857" s="259"/>
      <c r="HD857" s="259"/>
      <c r="HE857" s="259"/>
      <c r="HF857" s="259"/>
      <c r="HG857" s="259"/>
      <c r="HH857" s="259"/>
      <c r="HI857" s="259"/>
      <c r="HJ857" s="259"/>
      <c r="HK857" s="259"/>
      <c r="HL857" s="259"/>
      <c r="HM857" s="259"/>
      <c r="HN857" s="259"/>
      <c r="HO857" s="259"/>
      <c r="HP857" s="259"/>
      <c r="HQ857" s="259"/>
      <c r="HR857" s="259"/>
      <c r="HS857" s="259"/>
      <c r="HT857" s="259"/>
      <c r="HU857" s="259"/>
      <c r="HV857" s="259"/>
      <c r="HW857" s="259"/>
      <c r="HX857" s="259"/>
      <c r="HY857" s="259"/>
      <c r="HZ857" s="259"/>
      <c r="IA857" s="259"/>
      <c r="IB857" s="259"/>
      <c r="IC857" s="259"/>
      <c r="ID857" s="259"/>
      <c r="IE857" s="259"/>
      <c r="IF857" s="259"/>
      <c r="IG857" s="259"/>
      <c r="IH857" s="259"/>
      <c r="II857" s="259"/>
      <c r="IJ857" s="259"/>
      <c r="IK857" s="259"/>
      <c r="IL857" s="259"/>
      <c r="IM857" s="259"/>
      <c r="IN857" s="259"/>
      <c r="IO857" s="259"/>
      <c r="IP857" s="259"/>
      <c r="IQ857" s="259"/>
      <c r="IR857" s="259"/>
      <c r="IS857" s="259"/>
      <c r="IT857" s="259"/>
      <c r="IU857" s="259"/>
      <c r="IV857" s="259"/>
      <c r="IW857" s="259"/>
      <c r="IX857" s="259"/>
      <c r="IY857" s="259"/>
      <c r="IZ857" s="259"/>
      <c r="JA857" s="259"/>
      <c r="JB857" s="259"/>
      <c r="JC857" s="259"/>
      <c r="JD857" s="259"/>
      <c r="JE857" s="259"/>
      <c r="JF857" s="259"/>
      <c r="JG857" s="259"/>
      <c r="JH857" s="259"/>
      <c r="JI857" s="259"/>
      <c r="JJ857" s="259"/>
      <c r="JK857" s="259"/>
      <c r="JL857" s="259"/>
      <c r="JM857" s="259"/>
      <c r="JN857" s="259"/>
      <c r="JO857" s="259"/>
      <c r="JP857" s="259"/>
      <c r="JQ857" s="259"/>
      <c r="JR857" s="259"/>
      <c r="JS857" s="259"/>
      <c r="JT857" s="259"/>
      <c r="JU857" s="259"/>
      <c r="JV857" s="259"/>
      <c r="JW857" s="259"/>
      <c r="JX857" s="259"/>
      <c r="JY857" s="259"/>
      <c r="JZ857" s="259"/>
      <c r="KA857" s="259"/>
      <c r="KB857" s="259"/>
      <c r="KC857" s="259"/>
      <c r="KD857" s="259"/>
      <c r="KE857" s="259"/>
      <c r="KF857" s="259"/>
      <c r="KG857" s="259"/>
      <c r="KH857" s="259"/>
      <c r="KI857" s="259"/>
      <c r="KJ857" s="259"/>
      <c r="KK857" s="259"/>
      <c r="KL857" s="259"/>
      <c r="KM857" s="259"/>
      <c r="KN857" s="259"/>
      <c r="KO857" s="259"/>
      <c r="KP857" s="259"/>
      <c r="KQ857" s="259"/>
      <c r="KR857" s="259"/>
      <c r="KS857" s="259"/>
      <c r="KT857" s="259"/>
      <c r="KU857" s="259"/>
      <c r="KV857" s="259"/>
      <c r="KW857" s="259"/>
      <c r="KX857" s="259"/>
      <c r="KY857" s="259"/>
      <c r="KZ857" s="259"/>
      <c r="LA857" s="259"/>
      <c r="LB857" s="259"/>
      <c r="LC857" s="259"/>
      <c r="LD857" s="259"/>
      <c r="LE857" s="259"/>
      <c r="LF857" s="259"/>
      <c r="LG857" s="259"/>
      <c r="LH857" s="259"/>
      <c r="LI857" s="259"/>
      <c r="LJ857" s="259"/>
      <c r="LK857" s="259"/>
      <c r="LL857" s="259"/>
      <c r="LM857" s="259"/>
      <c r="LN857" s="259"/>
      <c r="LO857" s="259"/>
      <c r="LP857" s="259"/>
      <c r="LQ857" s="259"/>
      <c r="LR857" s="259"/>
      <c r="LS857" s="259"/>
      <c r="LT857" s="259"/>
      <c r="LU857" s="259"/>
      <c r="LV857" s="259"/>
      <c r="LW857" s="259"/>
      <c r="LX857" s="259"/>
      <c r="LY857" s="259"/>
      <c r="LZ857" s="259"/>
      <c r="MA857" s="259"/>
      <c r="MB857" s="259"/>
      <c r="MC857" s="259"/>
      <c r="MD857" s="259"/>
      <c r="ME857" s="259"/>
      <c r="MF857" s="259"/>
      <c r="MG857" s="259"/>
      <c r="MH857" s="259"/>
      <c r="MI857" s="259"/>
      <c r="MJ857" s="259"/>
      <c r="MK857" s="259"/>
      <c r="ML857" s="259"/>
      <c r="MM857" s="259"/>
      <c r="MN857" s="259"/>
      <c r="MO857" s="259"/>
      <c r="MP857" s="259"/>
      <c r="MQ857" s="259"/>
      <c r="MR857" s="259"/>
      <c r="MS857" s="259"/>
      <c r="MT857" s="259"/>
      <c r="MU857" s="259"/>
      <c r="MV857" s="259"/>
      <c r="MW857" s="259"/>
      <c r="MX857" s="259"/>
      <c r="MY857" s="259"/>
      <c r="MZ857" s="259"/>
      <c r="NA857" s="259"/>
      <c r="NB857" s="259"/>
      <c r="NC857" s="259"/>
      <c r="ND857" s="259"/>
      <c r="NE857" s="259"/>
      <c r="NF857" s="259"/>
      <c r="NG857" s="259"/>
      <c r="NH857" s="259"/>
      <c r="NI857" s="259"/>
      <c r="NJ857" s="259"/>
      <c r="NK857" s="259"/>
      <c r="NL857" s="259"/>
      <c r="NM857" s="259"/>
      <c r="NN857" s="259"/>
      <c r="NO857" s="259"/>
      <c r="NP857" s="259"/>
      <c r="NQ857" s="259"/>
      <c r="NR857" s="259"/>
      <c r="NS857" s="259"/>
      <c r="NT857" s="259"/>
      <c r="NU857" s="259"/>
      <c r="NV857" s="259"/>
      <c r="NW857" s="259"/>
      <c r="NX857" s="259"/>
      <c r="NY857" s="259"/>
      <c r="NZ857" s="259"/>
      <c r="OA857" s="259"/>
      <c r="OB857" s="259"/>
      <c r="OC857" s="259"/>
      <c r="OD857" s="259"/>
      <c r="OE857" s="259"/>
      <c r="OF857" s="259"/>
      <c r="OG857" s="259"/>
      <c r="OH857" s="259"/>
      <c r="OI857" s="259"/>
      <c r="OJ857" s="259"/>
      <c r="OK857" s="259"/>
      <c r="OL857" s="259"/>
      <c r="OM857" s="259"/>
      <c r="ON857" s="259"/>
      <c r="OO857" s="259"/>
      <c r="OP857" s="259"/>
      <c r="OQ857" s="259"/>
      <c r="OR857" s="259"/>
      <c r="OS857" s="259"/>
      <c r="OT857" s="259"/>
      <c r="OU857" s="259"/>
      <c r="OV857" s="259"/>
      <c r="OW857" s="259"/>
      <c r="OX857" s="259"/>
      <c r="OY857" s="259"/>
      <c r="OZ857" s="259"/>
      <c r="PA857" s="259"/>
      <c r="PB857" s="259"/>
      <c r="PC857" s="259"/>
      <c r="PD857" s="259"/>
      <c r="PE857" s="259"/>
      <c r="PF857" s="259"/>
      <c r="PG857" s="259"/>
      <c r="PH857" s="259"/>
      <c r="PI857" s="259"/>
      <c r="PJ857" s="259"/>
      <c r="PK857" s="259"/>
      <c r="PL857" s="259"/>
      <c r="PM857" s="259"/>
      <c r="PN857" s="259"/>
      <c r="PO857" s="259"/>
      <c r="PP857" s="259"/>
      <c r="PQ857" s="259"/>
      <c r="PR857" s="259"/>
      <c r="PS857" s="259"/>
      <c r="PT857" s="259"/>
      <c r="PU857" s="259"/>
      <c r="PV857" s="259"/>
      <c r="PW857" s="259"/>
      <c r="PX857" s="259"/>
      <c r="PY857" s="259"/>
      <c r="PZ857" s="259"/>
      <c r="QA857" s="259"/>
      <c r="QB857" s="259"/>
      <c r="QC857" s="259"/>
      <c r="QD857" s="259"/>
      <c r="QE857" s="259"/>
      <c r="QF857" s="259"/>
      <c r="QG857" s="259"/>
      <c r="QH857" s="259"/>
      <c r="QI857" s="259"/>
      <c r="QJ857" s="259"/>
      <c r="QK857" s="259"/>
      <c r="QL857" s="259"/>
      <c r="QM857" s="259"/>
      <c r="QN857" s="259"/>
      <c r="QO857" s="259"/>
      <c r="QP857" s="259"/>
      <c r="QQ857" s="259"/>
      <c r="QR857" s="259"/>
      <c r="QS857" s="259"/>
      <c r="QT857" s="259"/>
      <c r="QU857" s="259"/>
      <c r="QV857" s="259"/>
      <c r="QW857" s="259"/>
      <c r="QX857" s="259"/>
      <c r="QY857" s="259"/>
      <c r="QZ857" s="259"/>
      <c r="RA857" s="259"/>
      <c r="RB857" s="259"/>
      <c r="RC857" s="259"/>
      <c r="RD857" s="259"/>
      <c r="RE857" s="259"/>
      <c r="RF857" s="259"/>
      <c r="RG857" s="259"/>
      <c r="RH857" s="259"/>
      <c r="RI857" s="259"/>
      <c r="RJ857" s="259"/>
      <c r="RK857" s="259"/>
      <c r="RL857" s="259"/>
      <c r="RM857" s="259"/>
      <c r="RN857" s="259"/>
      <c r="RO857" s="259"/>
      <c r="RP857" s="259"/>
      <c r="RQ857" s="259"/>
      <c r="RR857" s="259"/>
      <c r="RS857" s="259"/>
      <c r="RT857" s="259"/>
      <c r="RU857" s="259"/>
      <c r="RV857" s="259"/>
      <c r="RW857" s="259"/>
      <c r="RX857" s="259"/>
      <c r="RY857" s="259"/>
      <c r="RZ857" s="259"/>
      <c r="SA857" s="259"/>
      <c r="SB857" s="259"/>
      <c r="SC857" s="259"/>
      <c r="SD857" s="259"/>
      <c r="SE857" s="259"/>
      <c r="SF857" s="259"/>
      <c r="SG857" s="259"/>
      <c r="SH857" s="259"/>
      <c r="SI857" s="259"/>
      <c r="SJ857" s="259"/>
      <c r="SK857" s="259"/>
      <c r="SL857" s="259"/>
      <c r="SM857" s="259"/>
      <c r="SN857" s="259"/>
      <c r="SO857" s="259"/>
      <c r="SP857" s="259"/>
      <c r="SQ857" s="259"/>
      <c r="SR857" s="259"/>
      <c r="SS857" s="259"/>
      <c r="ST857" s="259"/>
      <c r="SU857" s="259"/>
      <c r="SV857" s="259"/>
      <c r="SW857" s="259"/>
      <c r="SX857" s="259"/>
      <c r="SY857" s="259"/>
      <c r="SZ857" s="259"/>
      <c r="TA857" s="259"/>
      <c r="TB857" s="259"/>
      <c r="TC857" s="259"/>
      <c r="TD857" s="259"/>
      <c r="TE857" s="259"/>
      <c r="TF857" s="259"/>
      <c r="TG857" s="259"/>
      <c r="TH857" s="259"/>
      <c r="TI857" s="259"/>
      <c r="TJ857" s="259"/>
      <c r="TK857" s="259"/>
      <c r="TL857" s="259"/>
      <c r="TM857" s="259"/>
      <c r="TN857" s="259"/>
      <c r="TO857" s="259"/>
      <c r="TP857" s="259"/>
      <c r="TQ857" s="259"/>
      <c r="TR857" s="259"/>
      <c r="TS857" s="259"/>
      <c r="TT857" s="259"/>
      <c r="TU857" s="259"/>
      <c r="TV857" s="259"/>
      <c r="TW857" s="259"/>
      <c r="TX857" s="259"/>
      <c r="TY857" s="259"/>
      <c r="TZ857" s="259"/>
      <c r="UA857" s="259"/>
      <c r="UB857" s="259"/>
      <c r="UC857" s="259"/>
      <c r="UD857" s="259"/>
      <c r="UE857" s="259"/>
      <c r="UF857" s="259"/>
      <c r="UG857" s="259"/>
      <c r="UH857" s="259"/>
      <c r="UI857" s="259"/>
    </row>
    <row r="858" spans="1:555" ht="70.5" customHeight="1">
      <c r="A858" s="502">
        <v>850</v>
      </c>
      <c r="B858" s="706" t="s">
        <v>6666</v>
      </c>
      <c r="C858" s="687">
        <v>34318664</v>
      </c>
      <c r="D858" s="688" t="s">
        <v>6667</v>
      </c>
      <c r="E858" s="16">
        <v>43341</v>
      </c>
      <c r="F858" s="689">
        <v>43336</v>
      </c>
      <c r="G858" s="706" t="s">
        <v>6668</v>
      </c>
      <c r="H858" s="706" t="s">
        <v>5</v>
      </c>
      <c r="I858" s="706" t="s">
        <v>79</v>
      </c>
      <c r="J858" s="16">
        <v>43402</v>
      </c>
      <c r="K858" s="689">
        <v>43402</v>
      </c>
      <c r="L858" s="690" t="s">
        <v>7372</v>
      </c>
      <c r="M858" s="686" t="s">
        <v>5</v>
      </c>
      <c r="N858" s="686" t="s">
        <v>85</v>
      </c>
      <c r="O858" s="240"/>
      <c r="P858" s="709"/>
      <c r="Q858" s="710"/>
      <c r="R858" s="711"/>
      <c r="S858" s="712"/>
      <c r="T858" s="240"/>
      <c r="U858" s="709"/>
      <c r="V858" s="710"/>
      <c r="W858" s="711"/>
      <c r="X858" s="712"/>
      <c r="Y858" s="240"/>
      <c r="Z858" s="709"/>
      <c r="AA858" s="710"/>
      <c r="AB858" s="711"/>
      <c r="AC858" s="712"/>
      <c r="AD858" s="240"/>
      <c r="AE858" s="709"/>
      <c r="AF858" s="710"/>
      <c r="AG858" s="711"/>
      <c r="AH858" s="712"/>
      <c r="AI858" s="713"/>
      <c r="AJ858" s="709"/>
      <c r="AK858" s="710"/>
      <c r="AL858" s="711"/>
      <c r="AM858" s="712"/>
      <c r="AN858" s="686" t="s">
        <v>6487</v>
      </c>
      <c r="AO858" s="714">
        <v>43341</v>
      </c>
      <c r="AP858" s="692" t="s">
        <v>2558</v>
      </c>
      <c r="AQ858" s="716" t="s">
        <v>6669</v>
      </c>
      <c r="AR858" s="706" t="s">
        <v>79</v>
      </c>
      <c r="AS858" s="16">
        <v>39255</v>
      </c>
      <c r="AT858" s="16">
        <v>39430</v>
      </c>
      <c r="AU858" s="706" t="s">
        <v>7373</v>
      </c>
      <c r="AV858" s="706"/>
      <c r="AW858" s="693" t="s">
        <v>92</v>
      </c>
      <c r="AX858" s="706" t="s">
        <v>6670</v>
      </c>
      <c r="AY858" s="16">
        <v>41333</v>
      </c>
      <c r="AZ858" s="706" t="s">
        <v>2417</v>
      </c>
      <c r="BA858" s="16">
        <v>43215</v>
      </c>
      <c r="BB858" s="16">
        <v>43244</v>
      </c>
      <c r="BC858" s="706" t="s">
        <v>6671</v>
      </c>
      <c r="BD858" s="686" t="s">
        <v>4604</v>
      </c>
      <c r="BE858" s="711"/>
      <c r="BF858" s="710"/>
      <c r="BG858" s="710"/>
      <c r="BH858" s="710"/>
      <c r="BI858" s="710"/>
      <c r="BJ858" s="708">
        <f>+[361]MATRIZ!$J$42</f>
        <v>0</v>
      </c>
      <c r="BK858" s="788"/>
      <c r="BL858" s="789"/>
      <c r="BM858" s="240"/>
      <c r="BN858" s="709"/>
      <c r="BO858" s="720"/>
      <c r="BP858" s="721"/>
      <c r="BQ858" s="722"/>
      <c r="BR858" s="723"/>
      <c r="BS858" s="710"/>
      <c r="BT858" s="710"/>
      <c r="BU858" s="710"/>
      <c r="BV858" s="710"/>
      <c r="BW858" s="724"/>
      <c r="BX858" s="725"/>
      <c r="BY858" s="240"/>
      <c r="BZ858" s="726"/>
      <c r="CA858" s="259"/>
      <c r="CB858" s="259"/>
      <c r="CC858" s="259"/>
      <c r="CD858" s="259"/>
      <c r="CE858" s="259"/>
      <c r="CF858" s="259"/>
      <c r="CG858" s="259"/>
      <c r="CH858" s="259"/>
      <c r="CI858" s="259"/>
      <c r="CJ858" s="259"/>
      <c r="CK858" s="259"/>
      <c r="CL858" s="259"/>
      <c r="CM858" s="259"/>
      <c r="CN858" s="259"/>
      <c r="CO858" s="259"/>
      <c r="CP858" s="259"/>
      <c r="CQ858" s="259"/>
      <c r="CR858" s="259"/>
      <c r="CS858" s="259"/>
      <c r="CT858" s="259"/>
      <c r="CU858" s="259"/>
      <c r="CV858" s="259"/>
      <c r="CW858" s="259"/>
      <c r="CX858" s="259"/>
      <c r="CY858" s="259"/>
      <c r="CZ858" s="259"/>
      <c r="DA858" s="259"/>
      <c r="DB858" s="259"/>
      <c r="DC858" s="259"/>
      <c r="DD858" s="259"/>
      <c r="DE858" s="259"/>
      <c r="DF858" s="259"/>
      <c r="DG858" s="259"/>
      <c r="DH858" s="259"/>
      <c r="DI858" s="259"/>
      <c r="DJ858" s="259"/>
      <c r="DK858" s="259"/>
      <c r="DL858" s="259"/>
      <c r="DM858" s="259"/>
      <c r="DN858" s="259"/>
      <c r="DO858" s="259"/>
      <c r="DP858" s="259"/>
      <c r="DQ858" s="259"/>
      <c r="DR858" s="259"/>
      <c r="DS858" s="259"/>
      <c r="DT858" s="259"/>
      <c r="DU858" s="259"/>
      <c r="DV858" s="259"/>
      <c r="DW858" s="259"/>
      <c r="DX858" s="259"/>
      <c r="DY858" s="259"/>
      <c r="DZ858" s="259"/>
      <c r="EA858" s="259"/>
      <c r="EB858" s="259"/>
      <c r="EC858" s="259"/>
      <c r="ED858" s="259"/>
      <c r="EE858" s="259"/>
      <c r="EF858" s="259"/>
      <c r="EG858" s="259"/>
      <c r="EH858" s="259"/>
      <c r="EI858" s="259"/>
      <c r="EJ858" s="259"/>
      <c r="EK858" s="259"/>
      <c r="EL858" s="259"/>
      <c r="EM858" s="259"/>
      <c r="EN858" s="259"/>
      <c r="EO858" s="259"/>
      <c r="EP858" s="259"/>
      <c r="EQ858" s="259"/>
      <c r="ER858" s="259"/>
      <c r="ES858" s="259"/>
      <c r="ET858" s="259"/>
      <c r="EU858" s="259"/>
      <c r="EV858" s="259"/>
      <c r="EW858" s="259"/>
      <c r="EX858" s="259"/>
      <c r="EY858" s="259"/>
      <c r="EZ858" s="259"/>
      <c r="FA858" s="259"/>
      <c r="FB858" s="259"/>
      <c r="FC858" s="259"/>
      <c r="FD858" s="259"/>
      <c r="FE858" s="259"/>
      <c r="FF858" s="259"/>
      <c r="FG858" s="259"/>
      <c r="FH858" s="259"/>
      <c r="FI858" s="259"/>
      <c r="FJ858" s="259"/>
      <c r="FK858" s="259"/>
      <c r="FL858" s="259"/>
      <c r="FM858" s="259"/>
      <c r="FN858" s="259"/>
      <c r="FO858" s="259"/>
      <c r="FP858" s="259"/>
      <c r="FQ858" s="259"/>
      <c r="FR858" s="259"/>
      <c r="FS858" s="259"/>
      <c r="FT858" s="259"/>
      <c r="FU858" s="259"/>
      <c r="FV858" s="259"/>
      <c r="FW858" s="259"/>
      <c r="FX858" s="259"/>
      <c r="FY858" s="259"/>
      <c r="FZ858" s="259"/>
      <c r="GA858" s="259"/>
      <c r="GB858" s="259"/>
      <c r="GC858" s="259"/>
      <c r="GD858" s="259"/>
      <c r="GE858" s="259"/>
      <c r="GF858" s="259"/>
      <c r="GG858" s="259"/>
      <c r="GH858" s="259"/>
      <c r="GI858" s="259"/>
      <c r="GJ858" s="259"/>
      <c r="GK858" s="259"/>
      <c r="GL858" s="259"/>
      <c r="GM858" s="259"/>
      <c r="GN858" s="259"/>
      <c r="GO858" s="259"/>
      <c r="GP858" s="259"/>
      <c r="GQ858" s="259"/>
      <c r="GR858" s="259"/>
      <c r="GS858" s="259"/>
      <c r="GT858" s="259"/>
      <c r="GU858" s="259"/>
      <c r="GV858" s="259"/>
      <c r="GW858" s="259"/>
      <c r="GX858" s="259"/>
      <c r="GY858" s="259"/>
      <c r="GZ858" s="259"/>
      <c r="HA858" s="259"/>
      <c r="HB858" s="259"/>
      <c r="HC858" s="259"/>
      <c r="HD858" s="259"/>
      <c r="HE858" s="259"/>
      <c r="HF858" s="259"/>
      <c r="HG858" s="259"/>
      <c r="HH858" s="259"/>
      <c r="HI858" s="259"/>
      <c r="HJ858" s="259"/>
      <c r="HK858" s="259"/>
      <c r="HL858" s="259"/>
      <c r="HM858" s="259"/>
      <c r="HN858" s="259"/>
      <c r="HO858" s="259"/>
      <c r="HP858" s="259"/>
      <c r="HQ858" s="259"/>
      <c r="HR858" s="259"/>
      <c r="HS858" s="259"/>
      <c r="HT858" s="259"/>
      <c r="HU858" s="259"/>
      <c r="HV858" s="259"/>
      <c r="HW858" s="259"/>
      <c r="HX858" s="259"/>
      <c r="HY858" s="259"/>
      <c r="HZ858" s="259"/>
      <c r="IA858" s="259"/>
      <c r="IB858" s="259"/>
      <c r="IC858" s="259"/>
      <c r="ID858" s="259"/>
      <c r="IE858" s="259"/>
      <c r="IF858" s="259"/>
      <c r="IG858" s="259"/>
      <c r="IH858" s="259"/>
      <c r="II858" s="259"/>
      <c r="IJ858" s="259"/>
      <c r="IK858" s="259"/>
      <c r="IL858" s="259"/>
      <c r="IM858" s="259"/>
      <c r="IN858" s="259"/>
      <c r="IO858" s="259"/>
      <c r="IP858" s="259"/>
      <c r="IQ858" s="259"/>
      <c r="IR858" s="259"/>
      <c r="IS858" s="259"/>
      <c r="IT858" s="259"/>
      <c r="IU858" s="259"/>
      <c r="IV858" s="259"/>
      <c r="IW858" s="259"/>
      <c r="IX858" s="259"/>
      <c r="IY858" s="259"/>
      <c r="IZ858" s="259"/>
      <c r="JA858" s="259"/>
      <c r="JB858" s="259"/>
      <c r="JC858" s="259"/>
      <c r="JD858" s="259"/>
      <c r="JE858" s="259"/>
      <c r="JF858" s="259"/>
      <c r="JG858" s="259"/>
      <c r="JH858" s="259"/>
      <c r="JI858" s="259"/>
      <c r="JJ858" s="259"/>
      <c r="JK858" s="259"/>
      <c r="JL858" s="259"/>
      <c r="JM858" s="259"/>
      <c r="JN858" s="259"/>
      <c r="JO858" s="259"/>
      <c r="JP858" s="259"/>
      <c r="JQ858" s="259"/>
      <c r="JR858" s="259"/>
      <c r="JS858" s="259"/>
      <c r="JT858" s="259"/>
      <c r="JU858" s="259"/>
      <c r="JV858" s="259"/>
      <c r="JW858" s="259"/>
      <c r="JX858" s="259"/>
      <c r="JY858" s="259"/>
      <c r="JZ858" s="259"/>
      <c r="KA858" s="259"/>
      <c r="KB858" s="259"/>
      <c r="KC858" s="259"/>
      <c r="KD858" s="259"/>
      <c r="KE858" s="259"/>
      <c r="KF858" s="259"/>
      <c r="KG858" s="259"/>
      <c r="KH858" s="259"/>
      <c r="KI858" s="259"/>
      <c r="KJ858" s="259"/>
      <c r="KK858" s="259"/>
      <c r="KL858" s="259"/>
      <c r="KM858" s="259"/>
      <c r="KN858" s="259"/>
      <c r="KO858" s="259"/>
      <c r="KP858" s="259"/>
      <c r="KQ858" s="259"/>
      <c r="KR858" s="259"/>
      <c r="KS858" s="259"/>
      <c r="KT858" s="259"/>
      <c r="KU858" s="259"/>
      <c r="KV858" s="259"/>
      <c r="KW858" s="259"/>
      <c r="KX858" s="259"/>
      <c r="KY858" s="259"/>
      <c r="KZ858" s="259"/>
      <c r="LA858" s="259"/>
      <c r="LB858" s="259"/>
      <c r="LC858" s="259"/>
      <c r="LD858" s="259"/>
      <c r="LE858" s="259"/>
      <c r="LF858" s="259"/>
      <c r="LG858" s="259"/>
      <c r="LH858" s="259"/>
      <c r="LI858" s="259"/>
      <c r="LJ858" s="259"/>
      <c r="LK858" s="259"/>
      <c r="LL858" s="259"/>
      <c r="LM858" s="259"/>
      <c r="LN858" s="259"/>
      <c r="LO858" s="259"/>
      <c r="LP858" s="259"/>
      <c r="LQ858" s="259"/>
      <c r="LR858" s="259"/>
      <c r="LS858" s="259"/>
      <c r="LT858" s="259"/>
      <c r="LU858" s="259"/>
      <c r="LV858" s="259"/>
      <c r="LW858" s="259"/>
      <c r="LX858" s="259"/>
      <c r="LY858" s="259"/>
      <c r="LZ858" s="259"/>
      <c r="MA858" s="259"/>
      <c r="MB858" s="259"/>
      <c r="MC858" s="259"/>
      <c r="MD858" s="259"/>
      <c r="ME858" s="259"/>
      <c r="MF858" s="259"/>
      <c r="MG858" s="259"/>
      <c r="MH858" s="259"/>
      <c r="MI858" s="259"/>
      <c r="MJ858" s="259"/>
      <c r="MK858" s="259"/>
      <c r="ML858" s="259"/>
      <c r="MM858" s="259"/>
      <c r="MN858" s="259"/>
      <c r="MO858" s="259"/>
      <c r="MP858" s="259"/>
      <c r="MQ858" s="259"/>
      <c r="MR858" s="259"/>
      <c r="MS858" s="259"/>
      <c r="MT858" s="259"/>
      <c r="MU858" s="259"/>
      <c r="MV858" s="259"/>
      <c r="MW858" s="259"/>
      <c r="MX858" s="259"/>
      <c r="MY858" s="259"/>
      <c r="MZ858" s="259"/>
      <c r="NA858" s="259"/>
      <c r="NB858" s="259"/>
      <c r="NC858" s="259"/>
      <c r="ND858" s="259"/>
      <c r="NE858" s="259"/>
      <c r="NF858" s="259"/>
      <c r="NG858" s="259"/>
      <c r="NH858" s="259"/>
      <c r="NI858" s="259"/>
      <c r="NJ858" s="259"/>
      <c r="NK858" s="259"/>
      <c r="NL858" s="259"/>
      <c r="NM858" s="259"/>
      <c r="NN858" s="259"/>
      <c r="NO858" s="259"/>
      <c r="NP858" s="259"/>
      <c r="NQ858" s="259"/>
      <c r="NR858" s="259"/>
      <c r="NS858" s="259"/>
      <c r="NT858" s="259"/>
      <c r="NU858" s="259"/>
      <c r="NV858" s="259"/>
      <c r="NW858" s="259"/>
      <c r="NX858" s="259"/>
      <c r="NY858" s="259"/>
      <c r="NZ858" s="259"/>
      <c r="OA858" s="259"/>
      <c r="OB858" s="259"/>
      <c r="OC858" s="259"/>
      <c r="OD858" s="259"/>
      <c r="OE858" s="259"/>
      <c r="OF858" s="259"/>
      <c r="OG858" s="259"/>
      <c r="OH858" s="259"/>
      <c r="OI858" s="259"/>
      <c r="OJ858" s="259"/>
      <c r="OK858" s="259"/>
      <c r="OL858" s="259"/>
      <c r="OM858" s="259"/>
      <c r="ON858" s="259"/>
      <c r="OO858" s="259"/>
      <c r="OP858" s="259"/>
      <c r="OQ858" s="259"/>
      <c r="OR858" s="259"/>
      <c r="OS858" s="259"/>
      <c r="OT858" s="259"/>
      <c r="OU858" s="259"/>
      <c r="OV858" s="259"/>
      <c r="OW858" s="259"/>
      <c r="OX858" s="259"/>
      <c r="OY858" s="259"/>
      <c r="OZ858" s="259"/>
      <c r="PA858" s="259"/>
      <c r="PB858" s="259"/>
      <c r="PC858" s="259"/>
      <c r="PD858" s="259"/>
      <c r="PE858" s="259"/>
      <c r="PF858" s="259"/>
      <c r="PG858" s="259"/>
      <c r="PH858" s="259"/>
      <c r="PI858" s="259"/>
      <c r="PJ858" s="259"/>
      <c r="PK858" s="259"/>
      <c r="PL858" s="259"/>
      <c r="PM858" s="259"/>
      <c r="PN858" s="259"/>
      <c r="PO858" s="259"/>
      <c r="PP858" s="259"/>
      <c r="PQ858" s="259"/>
      <c r="PR858" s="259"/>
      <c r="PS858" s="259"/>
      <c r="PT858" s="259"/>
      <c r="PU858" s="259"/>
      <c r="PV858" s="259"/>
      <c r="PW858" s="259"/>
      <c r="PX858" s="259"/>
      <c r="PY858" s="259"/>
      <c r="PZ858" s="259"/>
      <c r="QA858" s="259"/>
      <c r="QB858" s="259"/>
      <c r="QC858" s="259"/>
      <c r="QD858" s="259"/>
      <c r="QE858" s="259"/>
      <c r="QF858" s="259"/>
      <c r="QG858" s="259"/>
      <c r="QH858" s="259"/>
      <c r="QI858" s="259"/>
      <c r="QJ858" s="259"/>
      <c r="QK858" s="259"/>
      <c r="QL858" s="259"/>
      <c r="QM858" s="259"/>
      <c r="QN858" s="259"/>
      <c r="QO858" s="259"/>
      <c r="QP858" s="259"/>
      <c r="QQ858" s="259"/>
      <c r="QR858" s="259"/>
      <c r="QS858" s="259"/>
      <c r="QT858" s="259"/>
      <c r="QU858" s="259"/>
      <c r="QV858" s="259"/>
      <c r="QW858" s="259"/>
      <c r="QX858" s="259"/>
      <c r="QY858" s="259"/>
      <c r="QZ858" s="259"/>
      <c r="RA858" s="259"/>
      <c r="RB858" s="259"/>
      <c r="RC858" s="259"/>
      <c r="RD858" s="259"/>
      <c r="RE858" s="259"/>
      <c r="RF858" s="259"/>
      <c r="RG858" s="259"/>
      <c r="RH858" s="259"/>
      <c r="RI858" s="259"/>
      <c r="RJ858" s="259"/>
      <c r="RK858" s="259"/>
      <c r="RL858" s="259"/>
      <c r="RM858" s="259"/>
      <c r="RN858" s="259"/>
      <c r="RO858" s="259"/>
      <c r="RP858" s="259"/>
      <c r="RQ858" s="259"/>
      <c r="RR858" s="259"/>
      <c r="RS858" s="259"/>
      <c r="RT858" s="259"/>
      <c r="RU858" s="259"/>
      <c r="RV858" s="259"/>
      <c r="RW858" s="259"/>
      <c r="RX858" s="259"/>
      <c r="RY858" s="259"/>
      <c r="RZ858" s="259"/>
      <c r="SA858" s="259"/>
      <c r="SB858" s="259"/>
      <c r="SC858" s="259"/>
      <c r="SD858" s="259"/>
      <c r="SE858" s="259"/>
      <c r="SF858" s="259"/>
      <c r="SG858" s="259"/>
      <c r="SH858" s="259"/>
      <c r="SI858" s="259"/>
      <c r="SJ858" s="259"/>
      <c r="SK858" s="259"/>
      <c r="SL858" s="259"/>
      <c r="SM858" s="259"/>
      <c r="SN858" s="259"/>
      <c r="SO858" s="259"/>
      <c r="SP858" s="259"/>
      <c r="SQ858" s="259"/>
      <c r="SR858" s="259"/>
      <c r="SS858" s="259"/>
      <c r="ST858" s="259"/>
      <c r="SU858" s="259"/>
      <c r="SV858" s="259"/>
      <c r="SW858" s="259"/>
      <c r="SX858" s="259"/>
      <c r="SY858" s="259"/>
      <c r="SZ858" s="259"/>
      <c r="TA858" s="259"/>
      <c r="TB858" s="259"/>
      <c r="TC858" s="259"/>
      <c r="TD858" s="259"/>
      <c r="TE858" s="259"/>
      <c r="TF858" s="259"/>
      <c r="TG858" s="259"/>
      <c r="TH858" s="259"/>
      <c r="TI858" s="259"/>
      <c r="TJ858" s="259"/>
      <c r="TK858" s="259"/>
      <c r="TL858" s="259"/>
      <c r="TM858" s="259"/>
      <c r="TN858" s="259"/>
      <c r="TO858" s="259"/>
      <c r="TP858" s="259"/>
      <c r="TQ858" s="259"/>
      <c r="TR858" s="259"/>
      <c r="TS858" s="259"/>
      <c r="TT858" s="259"/>
      <c r="TU858" s="259"/>
      <c r="TV858" s="259"/>
      <c r="TW858" s="259"/>
      <c r="TX858" s="259"/>
      <c r="TY858" s="259"/>
      <c r="TZ858" s="259"/>
      <c r="UA858" s="259"/>
      <c r="UB858" s="259"/>
      <c r="UC858" s="259"/>
      <c r="UD858" s="259"/>
      <c r="UE858" s="259"/>
      <c r="UF858" s="259"/>
      <c r="UG858" s="259"/>
      <c r="UH858" s="259"/>
      <c r="UI858" s="259"/>
    </row>
    <row r="859" spans="1:555" ht="68.25" customHeight="1">
      <c r="A859" s="96">
        <v>851</v>
      </c>
      <c r="B859" s="424" t="s">
        <v>6672</v>
      </c>
      <c r="C859" s="419">
        <v>8434123</v>
      </c>
      <c r="D859" s="439" t="s">
        <v>1226</v>
      </c>
      <c r="E859" s="147">
        <v>43354</v>
      </c>
      <c r="F859" s="21">
        <v>43353</v>
      </c>
      <c r="G859" s="424" t="s">
        <v>6673</v>
      </c>
      <c r="H859" s="424" t="s">
        <v>625</v>
      </c>
      <c r="I859" s="424" t="s">
        <v>2395</v>
      </c>
      <c r="J859" s="147">
        <v>43598</v>
      </c>
      <c r="K859" s="21">
        <v>43598</v>
      </c>
      <c r="L859" s="192" t="s">
        <v>8696</v>
      </c>
      <c r="M859" s="424" t="s">
        <v>5</v>
      </c>
      <c r="N859" s="26" t="s">
        <v>79</v>
      </c>
      <c r="O859" s="147">
        <v>43615</v>
      </c>
      <c r="P859" s="21">
        <v>43615</v>
      </c>
      <c r="Q859" s="428" t="s">
        <v>8841</v>
      </c>
      <c r="R859" s="424" t="s">
        <v>5</v>
      </c>
      <c r="S859" s="26" t="s">
        <v>85</v>
      </c>
      <c r="T859" s="384">
        <v>43878</v>
      </c>
      <c r="U859" s="23">
        <v>43878</v>
      </c>
      <c r="V859" s="201" t="s">
        <v>9466</v>
      </c>
      <c r="W859" s="201" t="s">
        <v>5</v>
      </c>
      <c r="X859" s="428" t="s">
        <v>8255</v>
      </c>
      <c r="Y859" s="384">
        <v>44000</v>
      </c>
      <c r="Z859" s="23">
        <v>44000</v>
      </c>
      <c r="AA859" s="201" t="s">
        <v>9514</v>
      </c>
      <c r="AB859" s="201" t="s">
        <v>5</v>
      </c>
      <c r="AC859" s="428" t="s">
        <v>8255</v>
      </c>
      <c r="AD859" s="233"/>
      <c r="AE859" s="234"/>
      <c r="AF859" s="235"/>
      <c r="AG859" s="236"/>
      <c r="AH859" s="249"/>
      <c r="AI859" s="237"/>
      <c r="AJ859" s="234"/>
      <c r="AK859" s="235"/>
      <c r="AL859" s="236"/>
      <c r="AM859" s="249"/>
      <c r="AN859" s="238"/>
      <c r="AO859" s="483" t="s">
        <v>7946</v>
      </c>
      <c r="AP859" s="239"/>
      <c r="AQ859" s="217" t="s">
        <v>6674</v>
      </c>
      <c r="AR859" s="424" t="s">
        <v>2411</v>
      </c>
      <c r="AS859" s="147">
        <v>38111</v>
      </c>
      <c r="AT859" s="147">
        <v>38644</v>
      </c>
      <c r="AU859" s="424" t="s">
        <v>6675</v>
      </c>
      <c r="AV859" s="424"/>
      <c r="AW859" s="141" t="s">
        <v>69</v>
      </c>
      <c r="AX859" s="428" t="s">
        <v>6676</v>
      </c>
      <c r="AY859" s="420">
        <v>42488</v>
      </c>
      <c r="AZ859" s="424" t="s">
        <v>409</v>
      </c>
      <c r="BA859" s="147">
        <v>43349</v>
      </c>
      <c r="BB859" s="678">
        <v>43356</v>
      </c>
      <c r="BC859" s="424" t="s">
        <v>95</v>
      </c>
      <c r="BD859" s="422" t="s">
        <v>6677</v>
      </c>
      <c r="BE859" s="236"/>
      <c r="BF859" s="235"/>
      <c r="BG859" s="235"/>
      <c r="BH859" s="235"/>
      <c r="BI859" s="235"/>
      <c r="BJ859" s="209">
        <f>+[362]MATRIZ!$J$45</f>
        <v>5987957.5992662553</v>
      </c>
      <c r="BK859" s="241"/>
      <c r="BL859" s="242"/>
      <c r="BM859" s="233"/>
      <c r="BN859" s="234"/>
      <c r="BO859" s="449"/>
      <c r="BP859" s="410"/>
      <c r="BQ859" s="414"/>
      <c r="BR859" s="243"/>
      <c r="BS859" s="235"/>
      <c r="BT859" s="235"/>
      <c r="BU859" s="235"/>
      <c r="BV859" s="235"/>
      <c r="BW859" s="244"/>
      <c r="BX859" s="245"/>
      <c r="BY859" s="233"/>
      <c r="BZ859" s="246"/>
    </row>
    <row r="860" spans="1:555" ht="57" customHeight="1">
      <c r="A860" s="96">
        <v>852</v>
      </c>
      <c r="B860" s="424" t="s">
        <v>6678</v>
      </c>
      <c r="C860" s="419">
        <v>7696561</v>
      </c>
      <c r="D860" s="439" t="s">
        <v>6679</v>
      </c>
      <c r="E860" s="147">
        <v>43356</v>
      </c>
      <c r="F860" s="21">
        <v>43356</v>
      </c>
      <c r="G860" s="424" t="s">
        <v>6680</v>
      </c>
      <c r="H860" s="424" t="s">
        <v>2433</v>
      </c>
      <c r="I860" s="424" t="s">
        <v>2411</v>
      </c>
      <c r="J860" s="147">
        <v>43378</v>
      </c>
      <c r="K860" s="21">
        <v>43378</v>
      </c>
      <c r="L860" s="192" t="s">
        <v>6681</v>
      </c>
      <c r="M860" s="424" t="s">
        <v>625</v>
      </c>
      <c r="N860" s="26" t="s">
        <v>4546</v>
      </c>
      <c r="O860" s="233"/>
      <c r="P860" s="234"/>
      <c r="Q860" s="201"/>
      <c r="R860" s="236"/>
      <c r="S860" s="249"/>
      <c r="T860" s="233"/>
      <c r="U860" s="234"/>
      <c r="V860" s="235"/>
      <c r="W860" s="236"/>
      <c r="X860" s="249"/>
      <c r="Y860" s="233"/>
      <c r="Z860" s="234"/>
      <c r="AA860" s="235"/>
      <c r="AB860" s="236"/>
      <c r="AC860" s="249"/>
      <c r="AD860" s="233"/>
      <c r="AE860" s="234"/>
      <c r="AF860" s="235"/>
      <c r="AG860" s="236"/>
      <c r="AH860" s="249"/>
      <c r="AI860" s="237"/>
      <c r="AJ860" s="234"/>
      <c r="AK860" s="235"/>
      <c r="AL860" s="236"/>
      <c r="AM860" s="249"/>
      <c r="AN860" s="238"/>
      <c r="AO860" s="483" t="s">
        <v>7946</v>
      </c>
      <c r="AP860" s="239"/>
      <c r="AQ860" s="217" t="s">
        <v>6682</v>
      </c>
      <c r="AR860" s="424" t="s">
        <v>2411</v>
      </c>
      <c r="AS860" s="147">
        <v>38596</v>
      </c>
      <c r="AT860" s="147">
        <v>39263</v>
      </c>
      <c r="AU860" s="424" t="s">
        <v>6683</v>
      </c>
      <c r="AV860" s="424"/>
      <c r="AW860" s="26" t="s">
        <v>92</v>
      </c>
      <c r="AX860" s="428" t="s">
        <v>6684</v>
      </c>
      <c r="AY860" s="420">
        <v>42643</v>
      </c>
      <c r="AZ860" s="424" t="s">
        <v>6685</v>
      </c>
      <c r="BA860" s="147">
        <v>43272</v>
      </c>
      <c r="BB860" s="678">
        <v>43308</v>
      </c>
      <c r="BC860" s="424" t="s">
        <v>95</v>
      </c>
      <c r="BD860" s="422" t="s">
        <v>4604</v>
      </c>
      <c r="BE860" s="236"/>
      <c r="BF860" s="235"/>
      <c r="BG860" s="235"/>
      <c r="BH860" s="235"/>
      <c r="BI860" s="235"/>
      <c r="BJ860" s="209">
        <f>+[363]MATRIZ!$J$34</f>
        <v>5228763.1031028461</v>
      </c>
      <c r="BK860" s="241"/>
      <c r="BL860" s="242"/>
      <c r="BM860" s="233"/>
      <c r="BN860" s="234"/>
      <c r="BO860" s="449"/>
      <c r="BP860" s="410"/>
      <c r="BQ860" s="414"/>
      <c r="BR860" s="243"/>
      <c r="BS860" s="235"/>
      <c r="BT860" s="235"/>
      <c r="BU860" s="235"/>
      <c r="BV860" s="235"/>
      <c r="BW860" s="244"/>
      <c r="BX860" s="245"/>
      <c r="BY860" s="233"/>
      <c r="BZ860" s="246"/>
    </row>
    <row r="861" spans="1:555" s="259" customFormat="1" ht="68.25" customHeight="1">
      <c r="A861" s="96">
        <v>853</v>
      </c>
      <c r="B861" s="424" t="s">
        <v>6686</v>
      </c>
      <c r="C861" s="419">
        <v>13514991</v>
      </c>
      <c r="D861" s="439" t="s">
        <v>167</v>
      </c>
      <c r="E861" s="147">
        <v>43356</v>
      </c>
      <c r="F861" s="21">
        <v>43356</v>
      </c>
      <c r="G861" s="424" t="s">
        <v>6687</v>
      </c>
      <c r="H861" s="424" t="s">
        <v>2433</v>
      </c>
      <c r="I861" s="424" t="s">
        <v>2411</v>
      </c>
      <c r="J861" s="147">
        <v>43363</v>
      </c>
      <c r="K861" s="21">
        <v>43363</v>
      </c>
      <c r="L861" s="192" t="s">
        <v>6688</v>
      </c>
      <c r="M861" s="424" t="s">
        <v>286</v>
      </c>
      <c r="N861" s="26" t="s">
        <v>79</v>
      </c>
      <c r="O861" s="384">
        <v>44272</v>
      </c>
      <c r="P861" s="23">
        <v>44272</v>
      </c>
      <c r="Q861" s="201" t="s">
        <v>10401</v>
      </c>
      <c r="R861" s="201" t="s">
        <v>208</v>
      </c>
      <c r="S861" s="428" t="s">
        <v>9511</v>
      </c>
      <c r="T861" s="384">
        <v>44280</v>
      </c>
      <c r="U861" s="23">
        <v>44280</v>
      </c>
      <c r="V861" s="201" t="s">
        <v>10402</v>
      </c>
      <c r="W861" s="201" t="s">
        <v>208</v>
      </c>
      <c r="X861" s="428" t="s">
        <v>9511</v>
      </c>
      <c r="Y861" s="384">
        <v>44321</v>
      </c>
      <c r="Z861" s="23">
        <v>44321</v>
      </c>
      <c r="AA861" s="201" t="s">
        <v>10470</v>
      </c>
      <c r="AB861" s="201" t="s">
        <v>208</v>
      </c>
      <c r="AC861" s="428" t="s">
        <v>8255</v>
      </c>
      <c r="AD861" s="233"/>
      <c r="AE861" s="234"/>
      <c r="AF861" s="235"/>
      <c r="AG861" s="236"/>
      <c r="AH861" s="249"/>
      <c r="AI861" s="237"/>
      <c r="AJ861" s="234"/>
      <c r="AK861" s="235"/>
      <c r="AL861" s="236"/>
      <c r="AM861" s="249"/>
      <c r="AN861" s="238"/>
      <c r="AO861" s="483" t="s">
        <v>7949</v>
      </c>
      <c r="AP861" s="239"/>
      <c r="AQ861" s="217" t="s">
        <v>6689</v>
      </c>
      <c r="AR861" s="424" t="s">
        <v>2411</v>
      </c>
      <c r="AS861" s="147">
        <v>39264</v>
      </c>
      <c r="AT861" s="147">
        <v>40464</v>
      </c>
      <c r="AU861" s="424" t="s">
        <v>6690</v>
      </c>
      <c r="AV861" s="424"/>
      <c r="AW861" s="141" t="s">
        <v>69</v>
      </c>
      <c r="AX861" s="428" t="s">
        <v>627</v>
      </c>
      <c r="AY861" s="420">
        <v>41669</v>
      </c>
      <c r="AZ861" s="424" t="s">
        <v>2433</v>
      </c>
      <c r="BA861" s="147">
        <v>43286</v>
      </c>
      <c r="BB861" s="678">
        <v>43327</v>
      </c>
      <c r="BC861" s="424" t="s">
        <v>95</v>
      </c>
      <c r="BD861" s="422" t="s">
        <v>4604</v>
      </c>
      <c r="BE861" s="236"/>
      <c r="BF861" s="235"/>
      <c r="BG861" s="235"/>
      <c r="BH861" s="235"/>
      <c r="BI861" s="235"/>
      <c r="BJ861" s="209">
        <f>+[364]MATRIZ!$J$67</f>
        <v>147712330.22102886</v>
      </c>
      <c r="BK861" s="241"/>
      <c r="BL861" s="242"/>
      <c r="BM861" s="233"/>
      <c r="BN861" s="234"/>
      <c r="BO861" s="869"/>
      <c r="BP861" s="874"/>
      <c r="BQ861" s="877"/>
      <c r="BR861" s="879"/>
      <c r="BS861" s="885"/>
      <c r="BT861" s="235"/>
      <c r="BU861" s="235"/>
      <c r="BV861" s="235"/>
      <c r="BW861" s="244"/>
      <c r="BX861" s="245"/>
      <c r="BY861" s="233"/>
      <c r="BZ861" s="246"/>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c r="JW861" s="1"/>
      <c r="JX861" s="1"/>
      <c r="JY861" s="1"/>
      <c r="JZ861" s="1"/>
      <c r="KA861" s="1"/>
      <c r="KB861" s="1"/>
      <c r="KC861" s="1"/>
      <c r="KD861" s="1"/>
      <c r="KE861" s="1"/>
      <c r="KF861" s="1"/>
      <c r="KG861" s="1"/>
      <c r="KH861" s="1"/>
      <c r="KI861" s="1"/>
      <c r="KJ861" s="1"/>
      <c r="KK861" s="1"/>
      <c r="KL861" s="1"/>
      <c r="KM861" s="1"/>
      <c r="KN861" s="1"/>
      <c r="KO861" s="1"/>
      <c r="KP861" s="1"/>
      <c r="KQ861" s="1"/>
      <c r="KR861" s="1"/>
      <c r="KS861" s="1"/>
      <c r="KT861" s="1"/>
      <c r="KU861" s="1"/>
      <c r="KV861" s="1"/>
      <c r="KW861" s="1"/>
      <c r="KX861" s="1"/>
      <c r="KY861" s="1"/>
      <c r="KZ861" s="1"/>
      <c r="LA861" s="1"/>
      <c r="LB861" s="1"/>
      <c r="LC861" s="1"/>
      <c r="LD861" s="1"/>
      <c r="LE861" s="1"/>
      <c r="LF861" s="1"/>
      <c r="LG861" s="1"/>
      <c r="LH861" s="1"/>
      <c r="LI861" s="1"/>
      <c r="LJ861" s="1"/>
      <c r="LK861" s="1"/>
      <c r="LL861" s="1"/>
      <c r="LM861" s="1"/>
      <c r="LN861" s="1"/>
      <c r="LO861" s="1"/>
      <c r="LP861" s="1"/>
      <c r="LQ861" s="1"/>
      <c r="LR861" s="1"/>
      <c r="LS861" s="1"/>
      <c r="LT861" s="1"/>
      <c r="LU861" s="1"/>
      <c r="LV861" s="1"/>
      <c r="LW861" s="1"/>
      <c r="LX861" s="1"/>
      <c r="LY861" s="1"/>
      <c r="LZ861" s="1"/>
      <c r="MA861" s="1"/>
      <c r="MB861" s="1"/>
      <c r="MC861" s="1"/>
      <c r="MD861" s="1"/>
      <c r="ME861" s="1"/>
      <c r="MF861" s="1"/>
      <c r="MG861" s="1"/>
      <c r="MH861" s="1"/>
      <c r="MI861" s="1"/>
      <c r="MJ861" s="1"/>
      <c r="MK861" s="1"/>
      <c r="ML861" s="1"/>
      <c r="MM861" s="1"/>
      <c r="MN861" s="1"/>
      <c r="MO861" s="1"/>
      <c r="MP861" s="1"/>
      <c r="MQ861" s="1"/>
      <c r="MR861" s="1"/>
      <c r="MS861" s="1"/>
      <c r="MT861" s="1"/>
      <c r="MU861" s="1"/>
      <c r="MV861" s="1"/>
      <c r="MW861" s="1"/>
      <c r="MX861" s="1"/>
      <c r="MY861" s="1"/>
      <c r="MZ861" s="1"/>
      <c r="NA861" s="1"/>
      <c r="NB861" s="1"/>
      <c r="NC861" s="1"/>
      <c r="ND861" s="1"/>
      <c r="NE861" s="1"/>
      <c r="NF861" s="1"/>
      <c r="NG861" s="1"/>
      <c r="NH861" s="1"/>
      <c r="NI861" s="1"/>
      <c r="NJ861" s="1"/>
      <c r="NK861" s="1"/>
      <c r="NL861" s="1"/>
      <c r="NM861" s="1"/>
      <c r="NN861" s="1"/>
      <c r="NO861" s="1"/>
      <c r="NP861" s="1"/>
      <c r="NQ861" s="1"/>
      <c r="NR861" s="1"/>
      <c r="NS861" s="1"/>
      <c r="NT861" s="1"/>
      <c r="NU861" s="1"/>
      <c r="NV861" s="1"/>
      <c r="NW861" s="1"/>
      <c r="NX861" s="1"/>
      <c r="NY861" s="1"/>
      <c r="NZ861" s="1"/>
      <c r="OA861" s="1"/>
      <c r="OB861" s="1"/>
      <c r="OC861" s="1"/>
      <c r="OD861" s="1"/>
      <c r="OE861" s="1"/>
      <c r="OF861" s="1"/>
      <c r="OG861" s="1"/>
      <c r="OH861" s="1"/>
      <c r="OI861" s="1"/>
      <c r="OJ861" s="1"/>
      <c r="OK861" s="1"/>
      <c r="OL861" s="1"/>
      <c r="OM861" s="1"/>
      <c r="ON861" s="1"/>
      <c r="OO861" s="1"/>
      <c r="OP861" s="1"/>
      <c r="OQ861" s="1"/>
      <c r="OR861" s="1"/>
      <c r="OS861" s="1"/>
      <c r="OT861" s="1"/>
      <c r="OU861" s="1"/>
      <c r="OV861" s="1"/>
      <c r="OW861" s="1"/>
      <c r="OX861" s="1"/>
      <c r="OY861" s="1"/>
      <c r="OZ861" s="1"/>
      <c r="PA861" s="1"/>
      <c r="PB861" s="1"/>
      <c r="PC861" s="1"/>
      <c r="PD861" s="1"/>
      <c r="PE861" s="1"/>
      <c r="PF861" s="1"/>
      <c r="PG861" s="1"/>
      <c r="PH861" s="1"/>
      <c r="PI861" s="1"/>
      <c r="PJ861" s="1"/>
      <c r="PK861" s="1"/>
      <c r="PL861" s="1"/>
      <c r="PM861" s="1"/>
      <c r="PN861" s="1"/>
      <c r="PO861" s="1"/>
      <c r="PP861" s="1"/>
      <c r="PQ861" s="1"/>
      <c r="PR861" s="1"/>
      <c r="PS861" s="1"/>
      <c r="PT861" s="1"/>
      <c r="PU861" s="1"/>
      <c r="PV861" s="1"/>
      <c r="PW861" s="1"/>
      <c r="PX861" s="1"/>
      <c r="PY861" s="1"/>
      <c r="PZ861" s="1"/>
      <c r="QA861" s="1"/>
      <c r="QB861" s="1"/>
      <c r="QC861" s="1"/>
      <c r="QD861" s="1"/>
      <c r="QE861" s="1"/>
      <c r="QF861" s="1"/>
      <c r="QG861" s="1"/>
      <c r="QH861" s="1"/>
      <c r="QI861" s="1"/>
      <c r="QJ861" s="1"/>
      <c r="QK861" s="1"/>
      <c r="QL861" s="1"/>
      <c r="QM861" s="1"/>
      <c r="QN861" s="1"/>
      <c r="QO861" s="1"/>
      <c r="QP861" s="1"/>
      <c r="QQ861" s="1"/>
      <c r="QR861" s="1"/>
      <c r="QS861" s="1"/>
      <c r="QT861" s="1"/>
      <c r="QU861" s="1"/>
      <c r="QV861" s="1"/>
      <c r="QW861" s="1"/>
      <c r="QX861" s="1"/>
      <c r="QY861" s="1"/>
      <c r="QZ861" s="1"/>
      <c r="RA861" s="1"/>
      <c r="RB861" s="1"/>
      <c r="RC861" s="1"/>
      <c r="RD861" s="1"/>
      <c r="RE861" s="1"/>
      <c r="RF861" s="1"/>
      <c r="RG861" s="1"/>
      <c r="RH861" s="1"/>
      <c r="RI861" s="1"/>
      <c r="RJ861" s="1"/>
      <c r="RK861" s="1"/>
      <c r="RL861" s="1"/>
      <c r="RM861" s="1"/>
      <c r="RN861" s="1"/>
      <c r="RO861" s="1"/>
      <c r="RP861" s="1"/>
      <c r="RQ861" s="1"/>
      <c r="RR861" s="1"/>
      <c r="RS861" s="1"/>
      <c r="RT861" s="1"/>
      <c r="RU861" s="1"/>
      <c r="RV861" s="1"/>
      <c r="RW861" s="1"/>
      <c r="RX861" s="1"/>
      <c r="RY861" s="1"/>
      <c r="RZ861" s="1"/>
      <c r="SA861" s="1"/>
      <c r="SB861" s="1"/>
      <c r="SC861" s="1"/>
      <c r="SD861" s="1"/>
      <c r="SE861" s="1"/>
      <c r="SF861" s="1"/>
      <c r="SG861" s="1"/>
      <c r="SH861" s="1"/>
      <c r="SI861" s="1"/>
      <c r="SJ861" s="1"/>
      <c r="SK861" s="1"/>
      <c r="SL861" s="1"/>
      <c r="SM861" s="1"/>
      <c r="SN861" s="1"/>
      <c r="SO861" s="1"/>
      <c r="SP861" s="1"/>
      <c r="SQ861" s="1"/>
      <c r="SR861" s="1"/>
      <c r="SS861" s="1"/>
      <c r="ST861" s="1"/>
      <c r="SU861" s="1"/>
      <c r="SV861" s="1"/>
      <c r="SW861" s="1"/>
      <c r="SX861" s="1"/>
      <c r="SY861" s="1"/>
      <c r="SZ861" s="1"/>
      <c r="TA861" s="1"/>
      <c r="TB861" s="1"/>
      <c r="TC861" s="1"/>
      <c r="TD861" s="1"/>
      <c r="TE861" s="1"/>
      <c r="TF861" s="1"/>
      <c r="TG861" s="1"/>
      <c r="TH861" s="1"/>
      <c r="TI861" s="1"/>
      <c r="TJ861" s="1"/>
      <c r="TK861" s="1"/>
      <c r="TL861" s="1"/>
      <c r="TM861" s="1"/>
      <c r="TN861" s="1"/>
      <c r="TO861" s="1"/>
      <c r="TP861" s="1"/>
      <c r="TQ861" s="1"/>
      <c r="TR861" s="1"/>
      <c r="TS861" s="1"/>
      <c r="TT861" s="1"/>
      <c r="TU861" s="1"/>
      <c r="TV861" s="1"/>
      <c r="TW861" s="1"/>
      <c r="TX861" s="1"/>
      <c r="TY861" s="1"/>
      <c r="TZ861" s="1"/>
      <c r="UA861" s="1"/>
      <c r="UB861" s="1"/>
      <c r="UC861" s="1"/>
      <c r="UD861" s="1"/>
      <c r="UE861" s="1"/>
      <c r="UF861" s="1"/>
      <c r="UG861" s="1"/>
      <c r="UH861" s="1"/>
      <c r="UI861" s="1"/>
    </row>
    <row r="862" spans="1:555" s="259" customFormat="1" ht="67.5">
      <c r="A862" s="96">
        <v>854</v>
      </c>
      <c r="B862" s="424" t="s">
        <v>6691</v>
      </c>
      <c r="C862" s="419">
        <v>94380423</v>
      </c>
      <c r="D862" s="439" t="s">
        <v>2392</v>
      </c>
      <c r="E862" s="147">
        <v>43356</v>
      </c>
      <c r="F862" s="21">
        <v>43356</v>
      </c>
      <c r="G862" s="424" t="s">
        <v>6692</v>
      </c>
      <c r="H862" s="26" t="s">
        <v>2433</v>
      </c>
      <c r="I862" s="424" t="s">
        <v>2411</v>
      </c>
      <c r="J862" s="147">
        <v>43867</v>
      </c>
      <c r="K862" s="21">
        <v>43867</v>
      </c>
      <c r="L862" s="192" t="s">
        <v>9396</v>
      </c>
      <c r="M862" s="424" t="s">
        <v>5</v>
      </c>
      <c r="N862" s="26" t="s">
        <v>85</v>
      </c>
      <c r="O862" s="233"/>
      <c r="P862" s="234"/>
      <c r="Q862" s="235"/>
      <c r="R862" s="236"/>
      <c r="S862" s="249"/>
      <c r="T862" s="233"/>
      <c r="U862" s="234"/>
      <c r="V862" s="235"/>
      <c r="W862" s="236"/>
      <c r="X862" s="249"/>
      <c r="Y862" s="233"/>
      <c r="Z862" s="234"/>
      <c r="AA862" s="235"/>
      <c r="AB862" s="236"/>
      <c r="AC862" s="249"/>
      <c r="AD862" s="233"/>
      <c r="AE862" s="234"/>
      <c r="AF862" s="235"/>
      <c r="AG862" s="236"/>
      <c r="AH862" s="249"/>
      <c r="AI862" s="237"/>
      <c r="AJ862" s="234"/>
      <c r="AK862" s="235"/>
      <c r="AL862" s="236"/>
      <c r="AM862" s="249"/>
      <c r="AN862" s="238"/>
      <c r="AO862" s="483" t="s">
        <v>7946</v>
      </c>
      <c r="AP862" s="239"/>
      <c r="AQ862" s="217" t="s">
        <v>6693</v>
      </c>
      <c r="AR862" s="424" t="s">
        <v>2411</v>
      </c>
      <c r="AS862" s="147">
        <v>38412</v>
      </c>
      <c r="AT862" s="147">
        <v>40633</v>
      </c>
      <c r="AU862" s="424" t="s">
        <v>6694</v>
      </c>
      <c r="AV862" s="424"/>
      <c r="AW862" s="26" t="s">
        <v>92</v>
      </c>
      <c r="AX862" s="428" t="s">
        <v>4007</v>
      </c>
      <c r="AY862" s="420">
        <v>42290</v>
      </c>
      <c r="AZ862" s="424" t="s">
        <v>2433</v>
      </c>
      <c r="BA862" s="147">
        <v>43272</v>
      </c>
      <c r="BB862" s="678">
        <v>43315</v>
      </c>
      <c r="BC862" s="424" t="s">
        <v>95</v>
      </c>
      <c r="BD862" s="422" t="s">
        <v>4604</v>
      </c>
      <c r="BE862" s="236"/>
      <c r="BF862" s="235"/>
      <c r="BG862" s="235"/>
      <c r="BH862" s="235"/>
      <c r="BI862" s="235"/>
      <c r="BJ862" s="209">
        <f>+[365]MATRIZ!$J$64</f>
        <v>0</v>
      </c>
      <c r="BK862" s="241"/>
      <c r="BL862" s="242"/>
      <c r="BM862" s="233"/>
      <c r="BN862" s="234"/>
      <c r="BO862" s="449"/>
      <c r="BP862" s="410"/>
      <c r="BQ862" s="414"/>
      <c r="BR862" s="243"/>
      <c r="BS862" s="235"/>
      <c r="BT862" s="235"/>
      <c r="BU862" s="235"/>
      <c r="BV862" s="235"/>
      <c r="BW862" s="244"/>
      <c r="BX862" s="245"/>
      <c r="BY862" s="233"/>
      <c r="BZ862" s="246"/>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c r="JW862" s="1"/>
      <c r="JX862" s="1"/>
      <c r="JY862" s="1"/>
      <c r="JZ862" s="1"/>
      <c r="KA862" s="1"/>
      <c r="KB862" s="1"/>
      <c r="KC862" s="1"/>
      <c r="KD862" s="1"/>
      <c r="KE862" s="1"/>
      <c r="KF862" s="1"/>
      <c r="KG862" s="1"/>
      <c r="KH862" s="1"/>
      <c r="KI862" s="1"/>
      <c r="KJ862" s="1"/>
      <c r="KK862" s="1"/>
      <c r="KL862" s="1"/>
      <c r="KM862" s="1"/>
      <c r="KN862" s="1"/>
      <c r="KO862" s="1"/>
      <c r="KP862" s="1"/>
      <c r="KQ862" s="1"/>
      <c r="KR862" s="1"/>
      <c r="KS862" s="1"/>
      <c r="KT862" s="1"/>
      <c r="KU862" s="1"/>
      <c r="KV862" s="1"/>
      <c r="KW862" s="1"/>
      <c r="KX862" s="1"/>
      <c r="KY862" s="1"/>
      <c r="KZ862" s="1"/>
      <c r="LA862" s="1"/>
      <c r="LB862" s="1"/>
      <c r="LC862" s="1"/>
      <c r="LD862" s="1"/>
      <c r="LE862" s="1"/>
      <c r="LF862" s="1"/>
      <c r="LG862" s="1"/>
      <c r="LH862" s="1"/>
      <c r="LI862" s="1"/>
      <c r="LJ862" s="1"/>
      <c r="LK862" s="1"/>
      <c r="LL862" s="1"/>
      <c r="LM862" s="1"/>
      <c r="LN862" s="1"/>
      <c r="LO862" s="1"/>
      <c r="LP862" s="1"/>
      <c r="LQ862" s="1"/>
      <c r="LR862" s="1"/>
      <c r="LS862" s="1"/>
      <c r="LT862" s="1"/>
      <c r="LU862" s="1"/>
      <c r="LV862" s="1"/>
      <c r="LW862" s="1"/>
      <c r="LX862" s="1"/>
      <c r="LY862" s="1"/>
      <c r="LZ862" s="1"/>
      <c r="MA862" s="1"/>
      <c r="MB862" s="1"/>
      <c r="MC862" s="1"/>
      <c r="MD862" s="1"/>
      <c r="ME862" s="1"/>
      <c r="MF862" s="1"/>
      <c r="MG862" s="1"/>
      <c r="MH862" s="1"/>
      <c r="MI862" s="1"/>
      <c r="MJ862" s="1"/>
      <c r="MK862" s="1"/>
      <c r="ML862" s="1"/>
      <c r="MM862" s="1"/>
      <c r="MN862" s="1"/>
      <c r="MO862" s="1"/>
      <c r="MP862" s="1"/>
      <c r="MQ862" s="1"/>
      <c r="MR862" s="1"/>
      <c r="MS862" s="1"/>
      <c r="MT862" s="1"/>
      <c r="MU862" s="1"/>
      <c r="MV862" s="1"/>
      <c r="MW862" s="1"/>
      <c r="MX862" s="1"/>
      <c r="MY862" s="1"/>
      <c r="MZ862" s="1"/>
      <c r="NA862" s="1"/>
      <c r="NB862" s="1"/>
      <c r="NC862" s="1"/>
      <c r="ND862" s="1"/>
      <c r="NE862" s="1"/>
      <c r="NF862" s="1"/>
      <c r="NG862" s="1"/>
      <c r="NH862" s="1"/>
      <c r="NI862" s="1"/>
      <c r="NJ862" s="1"/>
      <c r="NK862" s="1"/>
      <c r="NL862" s="1"/>
      <c r="NM862" s="1"/>
      <c r="NN862" s="1"/>
      <c r="NO862" s="1"/>
      <c r="NP862" s="1"/>
      <c r="NQ862" s="1"/>
      <c r="NR862" s="1"/>
      <c r="NS862" s="1"/>
      <c r="NT862" s="1"/>
      <c r="NU862" s="1"/>
      <c r="NV862" s="1"/>
      <c r="NW862" s="1"/>
      <c r="NX862" s="1"/>
      <c r="NY862" s="1"/>
      <c r="NZ862" s="1"/>
      <c r="OA862" s="1"/>
      <c r="OB862" s="1"/>
      <c r="OC862" s="1"/>
      <c r="OD862" s="1"/>
      <c r="OE862" s="1"/>
      <c r="OF862" s="1"/>
      <c r="OG862" s="1"/>
      <c r="OH862" s="1"/>
      <c r="OI862" s="1"/>
      <c r="OJ862" s="1"/>
      <c r="OK862" s="1"/>
      <c r="OL862" s="1"/>
      <c r="OM862" s="1"/>
      <c r="ON862" s="1"/>
      <c r="OO862" s="1"/>
      <c r="OP862" s="1"/>
      <c r="OQ862" s="1"/>
      <c r="OR862" s="1"/>
      <c r="OS862" s="1"/>
      <c r="OT862" s="1"/>
      <c r="OU862" s="1"/>
      <c r="OV862" s="1"/>
      <c r="OW862" s="1"/>
      <c r="OX862" s="1"/>
      <c r="OY862" s="1"/>
      <c r="OZ862" s="1"/>
      <c r="PA862" s="1"/>
      <c r="PB862" s="1"/>
      <c r="PC862" s="1"/>
      <c r="PD862" s="1"/>
      <c r="PE862" s="1"/>
      <c r="PF862" s="1"/>
      <c r="PG862" s="1"/>
      <c r="PH862" s="1"/>
      <c r="PI862" s="1"/>
      <c r="PJ862" s="1"/>
      <c r="PK862" s="1"/>
      <c r="PL862" s="1"/>
      <c r="PM862" s="1"/>
      <c r="PN862" s="1"/>
      <c r="PO862" s="1"/>
      <c r="PP862" s="1"/>
      <c r="PQ862" s="1"/>
      <c r="PR862" s="1"/>
      <c r="PS862" s="1"/>
      <c r="PT862" s="1"/>
      <c r="PU862" s="1"/>
      <c r="PV862" s="1"/>
      <c r="PW862" s="1"/>
      <c r="PX862" s="1"/>
      <c r="PY862" s="1"/>
      <c r="PZ862" s="1"/>
      <c r="QA862" s="1"/>
      <c r="QB862" s="1"/>
      <c r="QC862" s="1"/>
      <c r="QD862" s="1"/>
      <c r="QE862" s="1"/>
      <c r="QF862" s="1"/>
      <c r="QG862" s="1"/>
      <c r="QH862" s="1"/>
      <c r="QI862" s="1"/>
      <c r="QJ862" s="1"/>
      <c r="QK862" s="1"/>
      <c r="QL862" s="1"/>
      <c r="QM862" s="1"/>
      <c r="QN862" s="1"/>
      <c r="QO862" s="1"/>
      <c r="QP862" s="1"/>
      <c r="QQ862" s="1"/>
      <c r="QR862" s="1"/>
      <c r="QS862" s="1"/>
      <c r="QT862" s="1"/>
      <c r="QU862" s="1"/>
      <c r="QV862" s="1"/>
      <c r="QW862" s="1"/>
      <c r="QX862" s="1"/>
      <c r="QY862" s="1"/>
      <c r="QZ862" s="1"/>
      <c r="RA862" s="1"/>
      <c r="RB862" s="1"/>
      <c r="RC862" s="1"/>
      <c r="RD862" s="1"/>
      <c r="RE862" s="1"/>
      <c r="RF862" s="1"/>
      <c r="RG862" s="1"/>
      <c r="RH862" s="1"/>
      <c r="RI862" s="1"/>
      <c r="RJ862" s="1"/>
      <c r="RK862" s="1"/>
      <c r="RL862" s="1"/>
      <c r="RM862" s="1"/>
      <c r="RN862" s="1"/>
      <c r="RO862" s="1"/>
      <c r="RP862" s="1"/>
      <c r="RQ862" s="1"/>
      <c r="RR862" s="1"/>
      <c r="RS862" s="1"/>
      <c r="RT862" s="1"/>
      <c r="RU862" s="1"/>
      <c r="RV862" s="1"/>
      <c r="RW862" s="1"/>
      <c r="RX862" s="1"/>
      <c r="RY862" s="1"/>
      <c r="RZ862" s="1"/>
      <c r="SA862" s="1"/>
      <c r="SB862" s="1"/>
      <c r="SC862" s="1"/>
      <c r="SD862" s="1"/>
      <c r="SE862" s="1"/>
      <c r="SF862" s="1"/>
      <c r="SG862" s="1"/>
      <c r="SH862" s="1"/>
      <c r="SI862" s="1"/>
      <c r="SJ862" s="1"/>
      <c r="SK862" s="1"/>
      <c r="SL862" s="1"/>
      <c r="SM862" s="1"/>
      <c r="SN862" s="1"/>
      <c r="SO862" s="1"/>
      <c r="SP862" s="1"/>
      <c r="SQ862" s="1"/>
      <c r="SR862" s="1"/>
      <c r="SS862" s="1"/>
      <c r="ST862" s="1"/>
      <c r="SU862" s="1"/>
      <c r="SV862" s="1"/>
      <c r="SW862" s="1"/>
      <c r="SX862" s="1"/>
      <c r="SY862" s="1"/>
      <c r="SZ862" s="1"/>
      <c r="TA862" s="1"/>
      <c r="TB862" s="1"/>
      <c r="TC862" s="1"/>
      <c r="TD862" s="1"/>
      <c r="TE862" s="1"/>
      <c r="TF862" s="1"/>
      <c r="TG862" s="1"/>
      <c r="TH862" s="1"/>
      <c r="TI862" s="1"/>
      <c r="TJ862" s="1"/>
      <c r="TK862" s="1"/>
      <c r="TL862" s="1"/>
      <c r="TM862" s="1"/>
      <c r="TN862" s="1"/>
      <c r="TO862" s="1"/>
      <c r="TP862" s="1"/>
      <c r="TQ862" s="1"/>
      <c r="TR862" s="1"/>
      <c r="TS862" s="1"/>
      <c r="TT862" s="1"/>
      <c r="TU862" s="1"/>
      <c r="TV862" s="1"/>
      <c r="TW862" s="1"/>
      <c r="TX862" s="1"/>
      <c r="TY862" s="1"/>
      <c r="TZ862" s="1"/>
      <c r="UA862" s="1"/>
      <c r="UB862" s="1"/>
      <c r="UC862" s="1"/>
      <c r="UD862" s="1"/>
      <c r="UE862" s="1"/>
      <c r="UF862" s="1"/>
      <c r="UG862" s="1"/>
      <c r="UH862" s="1"/>
      <c r="UI862" s="1"/>
    </row>
    <row r="863" spans="1:555" s="509" customFormat="1" ht="67.5">
      <c r="A863" s="502">
        <v>855</v>
      </c>
      <c r="B863" s="706" t="s">
        <v>6695</v>
      </c>
      <c r="C863" s="687">
        <v>4611811</v>
      </c>
      <c r="D863" s="688" t="s">
        <v>6696</v>
      </c>
      <c r="E863" s="16">
        <v>43356</v>
      </c>
      <c r="F863" s="689">
        <v>43356</v>
      </c>
      <c r="G863" s="706" t="s">
        <v>6697</v>
      </c>
      <c r="H863" s="693" t="s">
        <v>2433</v>
      </c>
      <c r="I863" s="706" t="s">
        <v>2395</v>
      </c>
      <c r="J863" s="16">
        <v>43461</v>
      </c>
      <c r="K863" s="689">
        <v>43461</v>
      </c>
      <c r="L863" s="787" t="s">
        <v>9458</v>
      </c>
      <c r="M863" s="706" t="s">
        <v>5</v>
      </c>
      <c r="N863" s="693" t="s">
        <v>79</v>
      </c>
      <c r="O863" s="240"/>
      <c r="P863" s="709"/>
      <c r="Q863" s="710"/>
      <c r="R863" s="711"/>
      <c r="S863" s="712"/>
      <c r="T863" s="240"/>
      <c r="U863" s="709"/>
      <c r="V863" s="710"/>
      <c r="W863" s="711"/>
      <c r="X863" s="712"/>
      <c r="Y863" s="240"/>
      <c r="Z863" s="709"/>
      <c r="AA863" s="710"/>
      <c r="AB863" s="711"/>
      <c r="AC863" s="712"/>
      <c r="AD863" s="240"/>
      <c r="AE863" s="709"/>
      <c r="AF863" s="710"/>
      <c r="AG863" s="711"/>
      <c r="AH863" s="712"/>
      <c r="AI863" s="713"/>
      <c r="AJ863" s="709"/>
      <c r="AK863" s="710"/>
      <c r="AL863" s="711"/>
      <c r="AM863" s="712"/>
      <c r="AN863" s="711"/>
      <c r="AO863" s="774" t="s">
        <v>7946</v>
      </c>
      <c r="AP863" s="715"/>
      <c r="AQ863" s="775" t="s">
        <v>6698</v>
      </c>
      <c r="AR863" s="706" t="s">
        <v>2411</v>
      </c>
      <c r="AS863" s="16">
        <v>38412</v>
      </c>
      <c r="AT863" s="16">
        <v>39860</v>
      </c>
      <c r="AU863" s="706" t="s">
        <v>6699</v>
      </c>
      <c r="AV863" s="706"/>
      <c r="AW863" s="693" t="s">
        <v>92</v>
      </c>
      <c r="AX863" s="706" t="s">
        <v>4007</v>
      </c>
      <c r="AY863" s="16">
        <v>41837</v>
      </c>
      <c r="AZ863" s="706" t="s">
        <v>2433</v>
      </c>
      <c r="BA863" s="16">
        <v>43279</v>
      </c>
      <c r="BB863" s="16">
        <v>43308</v>
      </c>
      <c r="BC863" s="706" t="s">
        <v>95</v>
      </c>
      <c r="BD863" s="686" t="s">
        <v>4604</v>
      </c>
      <c r="BE863" s="711"/>
      <c r="BF863" s="710"/>
      <c r="BG863" s="710"/>
      <c r="BH863" s="710"/>
      <c r="BI863" s="710"/>
      <c r="BJ863" s="708">
        <f>+[366]MATRIZ!$J$61</f>
        <v>0</v>
      </c>
      <c r="BK863" s="788"/>
      <c r="BL863" s="789"/>
      <c r="BM863" s="240"/>
      <c r="BN863" s="709"/>
      <c r="BO863" s="720"/>
      <c r="BP863" s="721"/>
      <c r="BQ863" s="722"/>
      <c r="BR863" s="723"/>
      <c r="BS863" s="710"/>
      <c r="BT863" s="710"/>
      <c r="BU863" s="710"/>
      <c r="BV863" s="710"/>
      <c r="BW863" s="724"/>
      <c r="BX863" s="725"/>
      <c r="BY863" s="240"/>
      <c r="BZ863" s="726"/>
      <c r="CA863" s="259"/>
      <c r="CB863" s="259"/>
      <c r="CC863" s="259"/>
      <c r="CD863" s="259"/>
      <c r="CE863" s="259"/>
      <c r="CF863" s="259"/>
      <c r="CG863" s="259"/>
      <c r="CH863" s="259"/>
      <c r="CI863" s="259"/>
      <c r="CJ863" s="259"/>
      <c r="CK863" s="259"/>
      <c r="CL863" s="259"/>
      <c r="CM863" s="259"/>
      <c r="CN863" s="259"/>
      <c r="CO863" s="259"/>
      <c r="CP863" s="259"/>
      <c r="CQ863" s="259"/>
      <c r="CR863" s="259"/>
      <c r="CS863" s="259"/>
      <c r="CT863" s="259"/>
      <c r="CU863" s="259"/>
      <c r="CV863" s="259"/>
      <c r="CW863" s="259"/>
      <c r="CX863" s="259"/>
      <c r="CY863" s="259"/>
      <c r="CZ863" s="259"/>
      <c r="DA863" s="259"/>
      <c r="DB863" s="259"/>
      <c r="DC863" s="259"/>
      <c r="DD863" s="259"/>
      <c r="DE863" s="259"/>
      <c r="DF863" s="259"/>
      <c r="DG863" s="259"/>
      <c r="DH863" s="259"/>
      <c r="DI863" s="259"/>
      <c r="DJ863" s="259"/>
      <c r="DK863" s="259"/>
      <c r="DL863" s="259"/>
      <c r="DM863" s="259"/>
      <c r="DN863" s="259"/>
      <c r="DO863" s="259"/>
      <c r="DP863" s="259"/>
      <c r="DQ863" s="259"/>
      <c r="DR863" s="259"/>
      <c r="DS863" s="259"/>
      <c r="DT863" s="259"/>
      <c r="DU863" s="259"/>
      <c r="DV863" s="259"/>
      <c r="DW863" s="259"/>
      <c r="DX863" s="259"/>
      <c r="DY863" s="259"/>
      <c r="DZ863" s="259"/>
      <c r="EA863" s="259"/>
      <c r="EB863" s="259"/>
      <c r="EC863" s="259"/>
      <c r="ED863" s="259"/>
      <c r="EE863" s="259"/>
      <c r="EF863" s="259"/>
      <c r="EG863" s="259"/>
      <c r="EH863" s="259"/>
      <c r="EI863" s="259"/>
      <c r="EJ863" s="259"/>
      <c r="EK863" s="259"/>
      <c r="EL863" s="259"/>
      <c r="EM863" s="259"/>
      <c r="EN863" s="259"/>
      <c r="EO863" s="259"/>
      <c r="EP863" s="259"/>
      <c r="EQ863" s="259"/>
      <c r="ER863" s="259"/>
      <c r="ES863" s="259"/>
      <c r="ET863" s="259"/>
      <c r="EU863" s="259"/>
      <c r="EV863" s="259"/>
      <c r="EW863" s="259"/>
      <c r="EX863" s="259"/>
      <c r="EY863" s="259"/>
      <c r="EZ863" s="259"/>
      <c r="FA863" s="259"/>
      <c r="FB863" s="259"/>
      <c r="FC863" s="259"/>
      <c r="FD863" s="259"/>
      <c r="FE863" s="259"/>
      <c r="FF863" s="259"/>
      <c r="FG863" s="259"/>
      <c r="FH863" s="259"/>
      <c r="FI863" s="259"/>
      <c r="FJ863" s="259"/>
      <c r="FK863" s="259"/>
      <c r="FL863" s="259"/>
      <c r="FM863" s="259"/>
      <c r="FN863" s="259"/>
      <c r="FO863" s="259"/>
      <c r="FP863" s="259"/>
      <c r="FQ863" s="259"/>
      <c r="FR863" s="259"/>
      <c r="FS863" s="259"/>
      <c r="FT863" s="259"/>
      <c r="FU863" s="259"/>
      <c r="FV863" s="259"/>
      <c r="FW863" s="259"/>
      <c r="FX863" s="259"/>
      <c r="FY863" s="259"/>
      <c r="FZ863" s="259"/>
      <c r="GA863" s="259"/>
      <c r="GB863" s="259"/>
      <c r="GC863" s="259"/>
      <c r="GD863" s="259"/>
      <c r="GE863" s="259"/>
      <c r="GF863" s="259"/>
      <c r="GG863" s="259"/>
      <c r="GH863" s="259"/>
      <c r="GI863" s="259"/>
      <c r="GJ863" s="259"/>
      <c r="GK863" s="259"/>
      <c r="GL863" s="259"/>
      <c r="GM863" s="259"/>
      <c r="GN863" s="259"/>
      <c r="GO863" s="259"/>
      <c r="GP863" s="259"/>
      <c r="GQ863" s="259"/>
      <c r="GR863" s="259"/>
      <c r="GS863" s="259"/>
      <c r="GT863" s="259"/>
      <c r="GU863" s="259"/>
      <c r="GV863" s="259"/>
      <c r="GW863" s="259"/>
      <c r="GX863" s="259"/>
      <c r="GY863" s="259"/>
      <c r="GZ863" s="259"/>
      <c r="HA863" s="259"/>
      <c r="HB863" s="259"/>
      <c r="HC863" s="259"/>
      <c r="HD863" s="259"/>
      <c r="HE863" s="259"/>
      <c r="HF863" s="259"/>
      <c r="HG863" s="259"/>
      <c r="HH863" s="259"/>
      <c r="HI863" s="259"/>
      <c r="HJ863" s="259"/>
      <c r="HK863" s="259"/>
      <c r="HL863" s="259"/>
      <c r="HM863" s="259"/>
      <c r="HN863" s="259"/>
      <c r="HO863" s="259"/>
      <c r="HP863" s="259"/>
      <c r="HQ863" s="259"/>
      <c r="HR863" s="259"/>
      <c r="HS863" s="259"/>
      <c r="HT863" s="259"/>
      <c r="HU863" s="259"/>
      <c r="HV863" s="259"/>
      <c r="HW863" s="259"/>
      <c r="HX863" s="259"/>
      <c r="HY863" s="259"/>
      <c r="HZ863" s="259"/>
      <c r="IA863" s="259"/>
      <c r="IB863" s="259"/>
      <c r="IC863" s="259"/>
      <c r="ID863" s="259"/>
      <c r="IE863" s="259"/>
      <c r="IF863" s="259"/>
      <c r="IG863" s="259"/>
      <c r="IH863" s="259"/>
      <c r="II863" s="259"/>
      <c r="IJ863" s="259"/>
      <c r="IK863" s="259"/>
      <c r="IL863" s="259"/>
      <c r="IM863" s="259"/>
      <c r="IN863" s="259"/>
      <c r="IO863" s="259"/>
      <c r="IP863" s="259"/>
      <c r="IQ863" s="259"/>
      <c r="IR863" s="259"/>
      <c r="IS863" s="259"/>
      <c r="IT863" s="259"/>
      <c r="IU863" s="259"/>
      <c r="IV863" s="259"/>
      <c r="IW863" s="259"/>
      <c r="IX863" s="259"/>
      <c r="IY863" s="259"/>
      <c r="IZ863" s="259"/>
      <c r="JA863" s="259"/>
      <c r="JB863" s="259"/>
      <c r="JC863" s="259"/>
      <c r="JD863" s="259"/>
      <c r="JE863" s="259"/>
      <c r="JF863" s="259"/>
      <c r="JG863" s="259"/>
      <c r="JH863" s="259"/>
      <c r="JI863" s="259"/>
      <c r="JJ863" s="259"/>
      <c r="JK863" s="259"/>
      <c r="JL863" s="259"/>
      <c r="JM863" s="259"/>
      <c r="JN863" s="259"/>
      <c r="JO863" s="259"/>
      <c r="JP863" s="259"/>
      <c r="JQ863" s="259"/>
      <c r="JR863" s="259"/>
      <c r="JS863" s="259"/>
      <c r="JT863" s="259"/>
      <c r="JU863" s="259"/>
      <c r="JV863" s="259"/>
      <c r="JW863" s="259"/>
      <c r="JX863" s="259"/>
      <c r="JY863" s="259"/>
      <c r="JZ863" s="259"/>
      <c r="KA863" s="259"/>
      <c r="KB863" s="259"/>
      <c r="KC863" s="259"/>
      <c r="KD863" s="259"/>
      <c r="KE863" s="259"/>
      <c r="KF863" s="259"/>
      <c r="KG863" s="259"/>
      <c r="KH863" s="259"/>
      <c r="KI863" s="259"/>
      <c r="KJ863" s="259"/>
      <c r="KK863" s="259"/>
      <c r="KL863" s="259"/>
      <c r="KM863" s="259"/>
      <c r="KN863" s="259"/>
      <c r="KO863" s="259"/>
      <c r="KP863" s="259"/>
      <c r="KQ863" s="259"/>
      <c r="KR863" s="259"/>
      <c r="KS863" s="259"/>
      <c r="KT863" s="259"/>
      <c r="KU863" s="259"/>
      <c r="KV863" s="259"/>
      <c r="KW863" s="259"/>
      <c r="KX863" s="259"/>
      <c r="KY863" s="259"/>
      <c r="KZ863" s="259"/>
      <c r="LA863" s="259"/>
      <c r="LB863" s="259"/>
      <c r="LC863" s="259"/>
      <c r="LD863" s="259"/>
      <c r="LE863" s="259"/>
      <c r="LF863" s="259"/>
      <c r="LG863" s="259"/>
      <c r="LH863" s="259"/>
      <c r="LI863" s="259"/>
      <c r="LJ863" s="259"/>
      <c r="LK863" s="259"/>
      <c r="LL863" s="259"/>
      <c r="LM863" s="259"/>
      <c r="LN863" s="259"/>
      <c r="LO863" s="259"/>
      <c r="LP863" s="259"/>
      <c r="LQ863" s="259"/>
      <c r="LR863" s="259"/>
      <c r="LS863" s="259"/>
      <c r="LT863" s="259"/>
      <c r="LU863" s="259"/>
      <c r="LV863" s="259"/>
      <c r="LW863" s="259"/>
      <c r="LX863" s="259"/>
      <c r="LY863" s="259"/>
      <c r="LZ863" s="259"/>
      <c r="MA863" s="259"/>
      <c r="MB863" s="259"/>
      <c r="MC863" s="259"/>
      <c r="MD863" s="259"/>
      <c r="ME863" s="259"/>
      <c r="MF863" s="259"/>
      <c r="MG863" s="259"/>
      <c r="MH863" s="259"/>
      <c r="MI863" s="259"/>
      <c r="MJ863" s="259"/>
      <c r="MK863" s="259"/>
      <c r="ML863" s="259"/>
      <c r="MM863" s="259"/>
      <c r="MN863" s="259"/>
      <c r="MO863" s="259"/>
      <c r="MP863" s="259"/>
      <c r="MQ863" s="259"/>
      <c r="MR863" s="259"/>
      <c r="MS863" s="259"/>
      <c r="MT863" s="259"/>
      <c r="MU863" s="259"/>
      <c r="MV863" s="259"/>
      <c r="MW863" s="259"/>
      <c r="MX863" s="259"/>
      <c r="MY863" s="259"/>
      <c r="MZ863" s="259"/>
      <c r="NA863" s="259"/>
      <c r="NB863" s="259"/>
      <c r="NC863" s="259"/>
      <c r="ND863" s="259"/>
      <c r="NE863" s="259"/>
      <c r="NF863" s="259"/>
      <c r="NG863" s="259"/>
      <c r="NH863" s="259"/>
      <c r="NI863" s="259"/>
      <c r="NJ863" s="259"/>
      <c r="NK863" s="259"/>
      <c r="NL863" s="259"/>
      <c r="NM863" s="259"/>
      <c r="NN863" s="259"/>
      <c r="NO863" s="259"/>
      <c r="NP863" s="259"/>
      <c r="NQ863" s="259"/>
      <c r="NR863" s="259"/>
      <c r="NS863" s="259"/>
      <c r="NT863" s="259"/>
      <c r="NU863" s="259"/>
      <c r="NV863" s="259"/>
      <c r="NW863" s="259"/>
      <c r="NX863" s="259"/>
      <c r="NY863" s="259"/>
      <c r="NZ863" s="259"/>
      <c r="OA863" s="259"/>
      <c r="OB863" s="259"/>
      <c r="OC863" s="259"/>
      <c r="OD863" s="259"/>
      <c r="OE863" s="259"/>
      <c r="OF863" s="259"/>
      <c r="OG863" s="259"/>
      <c r="OH863" s="259"/>
      <c r="OI863" s="259"/>
      <c r="OJ863" s="259"/>
      <c r="OK863" s="259"/>
      <c r="OL863" s="259"/>
      <c r="OM863" s="259"/>
      <c r="ON863" s="259"/>
      <c r="OO863" s="259"/>
      <c r="OP863" s="259"/>
      <c r="OQ863" s="259"/>
      <c r="OR863" s="259"/>
      <c r="OS863" s="259"/>
      <c r="OT863" s="259"/>
      <c r="OU863" s="259"/>
      <c r="OV863" s="259"/>
      <c r="OW863" s="259"/>
      <c r="OX863" s="259"/>
      <c r="OY863" s="259"/>
      <c r="OZ863" s="259"/>
      <c r="PA863" s="259"/>
      <c r="PB863" s="259"/>
      <c r="PC863" s="259"/>
      <c r="PD863" s="259"/>
      <c r="PE863" s="259"/>
      <c r="PF863" s="259"/>
      <c r="PG863" s="259"/>
      <c r="PH863" s="259"/>
      <c r="PI863" s="259"/>
      <c r="PJ863" s="259"/>
      <c r="PK863" s="259"/>
      <c r="PL863" s="259"/>
      <c r="PM863" s="259"/>
      <c r="PN863" s="259"/>
      <c r="PO863" s="259"/>
      <c r="PP863" s="259"/>
      <c r="PQ863" s="259"/>
      <c r="PR863" s="259"/>
      <c r="PS863" s="259"/>
      <c r="PT863" s="259"/>
      <c r="PU863" s="259"/>
      <c r="PV863" s="259"/>
      <c r="PW863" s="259"/>
      <c r="PX863" s="259"/>
      <c r="PY863" s="259"/>
      <c r="PZ863" s="259"/>
      <c r="QA863" s="259"/>
      <c r="QB863" s="259"/>
      <c r="QC863" s="259"/>
      <c r="QD863" s="259"/>
      <c r="QE863" s="259"/>
      <c r="QF863" s="259"/>
      <c r="QG863" s="259"/>
      <c r="QH863" s="259"/>
      <c r="QI863" s="259"/>
      <c r="QJ863" s="259"/>
      <c r="QK863" s="259"/>
      <c r="QL863" s="259"/>
      <c r="QM863" s="259"/>
      <c r="QN863" s="259"/>
      <c r="QO863" s="259"/>
      <c r="QP863" s="259"/>
      <c r="QQ863" s="259"/>
      <c r="QR863" s="259"/>
      <c r="QS863" s="259"/>
      <c r="QT863" s="259"/>
      <c r="QU863" s="259"/>
      <c r="QV863" s="259"/>
      <c r="QW863" s="259"/>
      <c r="QX863" s="259"/>
      <c r="QY863" s="259"/>
      <c r="QZ863" s="259"/>
      <c r="RA863" s="259"/>
      <c r="RB863" s="259"/>
      <c r="RC863" s="259"/>
      <c r="RD863" s="259"/>
      <c r="RE863" s="259"/>
      <c r="RF863" s="259"/>
      <c r="RG863" s="259"/>
      <c r="RH863" s="259"/>
      <c r="RI863" s="259"/>
      <c r="RJ863" s="259"/>
      <c r="RK863" s="259"/>
      <c r="RL863" s="259"/>
      <c r="RM863" s="259"/>
      <c r="RN863" s="259"/>
      <c r="RO863" s="259"/>
      <c r="RP863" s="259"/>
      <c r="RQ863" s="259"/>
      <c r="RR863" s="259"/>
      <c r="RS863" s="259"/>
      <c r="RT863" s="259"/>
      <c r="RU863" s="259"/>
      <c r="RV863" s="259"/>
      <c r="RW863" s="259"/>
      <c r="RX863" s="259"/>
      <c r="RY863" s="259"/>
      <c r="RZ863" s="259"/>
      <c r="SA863" s="259"/>
      <c r="SB863" s="259"/>
      <c r="SC863" s="259"/>
      <c r="SD863" s="259"/>
      <c r="SE863" s="259"/>
      <c r="SF863" s="259"/>
      <c r="SG863" s="259"/>
      <c r="SH863" s="259"/>
      <c r="SI863" s="259"/>
      <c r="SJ863" s="259"/>
      <c r="SK863" s="259"/>
      <c r="SL863" s="259"/>
      <c r="SM863" s="259"/>
      <c r="SN863" s="259"/>
      <c r="SO863" s="259"/>
      <c r="SP863" s="259"/>
      <c r="SQ863" s="259"/>
      <c r="SR863" s="259"/>
      <c r="SS863" s="259"/>
      <c r="ST863" s="259"/>
      <c r="SU863" s="259"/>
      <c r="SV863" s="259"/>
      <c r="SW863" s="259"/>
      <c r="SX863" s="259"/>
      <c r="SY863" s="259"/>
      <c r="SZ863" s="259"/>
      <c r="TA863" s="259"/>
      <c r="TB863" s="259"/>
      <c r="TC863" s="259"/>
      <c r="TD863" s="259"/>
      <c r="TE863" s="259"/>
      <c r="TF863" s="259"/>
      <c r="TG863" s="259"/>
      <c r="TH863" s="259"/>
      <c r="TI863" s="259"/>
      <c r="TJ863" s="259"/>
      <c r="TK863" s="259"/>
      <c r="TL863" s="259"/>
      <c r="TM863" s="259"/>
      <c r="TN863" s="259"/>
      <c r="TO863" s="259"/>
      <c r="TP863" s="259"/>
      <c r="TQ863" s="259"/>
      <c r="TR863" s="259"/>
      <c r="TS863" s="259"/>
      <c r="TT863" s="259"/>
      <c r="TU863" s="259"/>
      <c r="TV863" s="259"/>
      <c r="TW863" s="259"/>
      <c r="TX863" s="259"/>
      <c r="TY863" s="259"/>
      <c r="TZ863" s="259"/>
      <c r="UA863" s="259"/>
      <c r="UB863" s="259"/>
      <c r="UC863" s="259"/>
      <c r="UD863" s="259"/>
      <c r="UE863" s="259"/>
      <c r="UF863" s="259"/>
      <c r="UG863" s="259"/>
      <c r="UH863" s="259"/>
      <c r="UI863" s="259"/>
    </row>
    <row r="864" spans="1:555" ht="67.5">
      <c r="A864" s="502">
        <v>856</v>
      </c>
      <c r="B864" s="706" t="s">
        <v>6700</v>
      </c>
      <c r="C864" s="687">
        <v>94369108</v>
      </c>
      <c r="D864" s="688" t="s">
        <v>6700</v>
      </c>
      <c r="E864" s="16">
        <v>43420</v>
      </c>
      <c r="F864" s="689">
        <v>43420</v>
      </c>
      <c r="G864" s="706" t="s">
        <v>7403</v>
      </c>
      <c r="H864" s="693" t="s">
        <v>625</v>
      </c>
      <c r="I864" s="706" t="s">
        <v>7577</v>
      </c>
      <c r="J864" s="16">
        <v>43858</v>
      </c>
      <c r="K864" s="689">
        <v>43858</v>
      </c>
      <c r="L864" s="787" t="s">
        <v>9449</v>
      </c>
      <c r="M864" s="706" t="s">
        <v>5</v>
      </c>
      <c r="N864" s="693" t="s">
        <v>79</v>
      </c>
      <c r="O864" s="240"/>
      <c r="P864" s="709"/>
      <c r="Q864" s="710"/>
      <c r="R864" s="711"/>
      <c r="S864" s="712"/>
      <c r="T864" s="240"/>
      <c r="U864" s="709"/>
      <c r="V864" s="710"/>
      <c r="W864" s="711"/>
      <c r="X864" s="712"/>
      <c r="Y864" s="240"/>
      <c r="Z864" s="709"/>
      <c r="AA864" s="710"/>
      <c r="AB864" s="711"/>
      <c r="AC864" s="712"/>
      <c r="AD864" s="240"/>
      <c r="AE864" s="709"/>
      <c r="AF864" s="710"/>
      <c r="AG864" s="711"/>
      <c r="AH864" s="712"/>
      <c r="AI864" s="713"/>
      <c r="AJ864" s="709"/>
      <c r="AK864" s="710"/>
      <c r="AL864" s="711"/>
      <c r="AM864" s="712"/>
      <c r="AN864" s="711"/>
      <c r="AO864" s="774" t="s">
        <v>7946</v>
      </c>
      <c r="AP864" s="715"/>
      <c r="AQ864" s="775" t="s">
        <v>6701</v>
      </c>
      <c r="AR864" s="706" t="s">
        <v>2411</v>
      </c>
      <c r="AS864" s="16">
        <v>39722</v>
      </c>
      <c r="AT864" s="16">
        <v>40633</v>
      </c>
      <c r="AU864" s="706" t="s">
        <v>6702</v>
      </c>
      <c r="AV864" s="706"/>
      <c r="AW864" s="686" t="s">
        <v>69</v>
      </c>
      <c r="AX864" s="706" t="s">
        <v>4665</v>
      </c>
      <c r="AY864" s="16">
        <v>41754</v>
      </c>
      <c r="AZ864" s="706" t="s">
        <v>2433</v>
      </c>
      <c r="BA864" s="16">
        <v>43307</v>
      </c>
      <c r="BB864" s="16">
        <v>43340</v>
      </c>
      <c r="BC864" s="706" t="s">
        <v>95</v>
      </c>
      <c r="BD864" s="686" t="s">
        <v>4604</v>
      </c>
      <c r="BE864" s="711"/>
      <c r="BF864" s="710"/>
      <c r="BG864" s="710"/>
      <c r="BH864" s="710"/>
      <c r="BI864" s="710"/>
      <c r="BJ864" s="708">
        <f>+[367]MATRIZ!$J$69</f>
        <v>51733762.181981184</v>
      </c>
      <c r="BK864" s="788"/>
      <c r="BL864" s="789"/>
      <c r="BM864" s="240"/>
      <c r="BN864" s="709"/>
      <c r="BO864" s="720"/>
      <c r="BP864" s="721"/>
      <c r="BQ864" s="722"/>
      <c r="BR864" s="723"/>
      <c r="BS864" s="710"/>
      <c r="BT864" s="710"/>
      <c r="BU864" s="710"/>
      <c r="BV864" s="710"/>
      <c r="BW864" s="724"/>
      <c r="BX864" s="725"/>
      <c r="BY864" s="240"/>
      <c r="BZ864" s="726"/>
      <c r="CA864" s="259"/>
      <c r="CB864" s="259"/>
      <c r="CC864" s="259"/>
      <c r="CD864" s="259"/>
      <c r="CE864" s="259"/>
      <c r="CF864" s="259"/>
      <c r="CG864" s="259"/>
      <c r="CH864" s="259"/>
      <c r="CI864" s="259"/>
      <c r="CJ864" s="259"/>
      <c r="CK864" s="259"/>
      <c r="CL864" s="259"/>
      <c r="CM864" s="259"/>
      <c r="CN864" s="259"/>
      <c r="CO864" s="259"/>
      <c r="CP864" s="259"/>
      <c r="CQ864" s="259"/>
      <c r="CR864" s="259"/>
      <c r="CS864" s="259"/>
      <c r="CT864" s="259"/>
      <c r="CU864" s="259"/>
      <c r="CV864" s="259"/>
      <c r="CW864" s="259"/>
      <c r="CX864" s="259"/>
      <c r="CY864" s="259"/>
      <c r="CZ864" s="259"/>
      <c r="DA864" s="259"/>
      <c r="DB864" s="259"/>
      <c r="DC864" s="259"/>
      <c r="DD864" s="259"/>
      <c r="DE864" s="259"/>
      <c r="DF864" s="259"/>
      <c r="DG864" s="259"/>
      <c r="DH864" s="259"/>
      <c r="DI864" s="259"/>
      <c r="DJ864" s="259"/>
      <c r="DK864" s="259"/>
      <c r="DL864" s="259"/>
      <c r="DM864" s="259"/>
      <c r="DN864" s="259"/>
      <c r="DO864" s="259"/>
      <c r="DP864" s="259"/>
      <c r="DQ864" s="259"/>
      <c r="DR864" s="259"/>
      <c r="DS864" s="259"/>
      <c r="DT864" s="259"/>
      <c r="DU864" s="259"/>
      <c r="DV864" s="259"/>
      <c r="DW864" s="259"/>
      <c r="DX864" s="259"/>
      <c r="DY864" s="259"/>
      <c r="DZ864" s="259"/>
      <c r="EA864" s="259"/>
      <c r="EB864" s="259"/>
      <c r="EC864" s="259"/>
      <c r="ED864" s="259"/>
      <c r="EE864" s="259"/>
      <c r="EF864" s="259"/>
      <c r="EG864" s="259"/>
      <c r="EH864" s="259"/>
      <c r="EI864" s="259"/>
      <c r="EJ864" s="259"/>
      <c r="EK864" s="259"/>
      <c r="EL864" s="259"/>
      <c r="EM864" s="259"/>
      <c r="EN864" s="259"/>
      <c r="EO864" s="259"/>
      <c r="EP864" s="259"/>
      <c r="EQ864" s="259"/>
      <c r="ER864" s="259"/>
      <c r="ES864" s="259"/>
      <c r="ET864" s="259"/>
      <c r="EU864" s="259"/>
      <c r="EV864" s="259"/>
      <c r="EW864" s="259"/>
      <c r="EX864" s="259"/>
      <c r="EY864" s="259"/>
      <c r="EZ864" s="259"/>
      <c r="FA864" s="259"/>
      <c r="FB864" s="259"/>
      <c r="FC864" s="259"/>
      <c r="FD864" s="259"/>
      <c r="FE864" s="259"/>
      <c r="FF864" s="259"/>
      <c r="FG864" s="259"/>
      <c r="FH864" s="259"/>
      <c r="FI864" s="259"/>
      <c r="FJ864" s="259"/>
      <c r="FK864" s="259"/>
      <c r="FL864" s="259"/>
      <c r="FM864" s="259"/>
      <c r="FN864" s="259"/>
      <c r="FO864" s="259"/>
      <c r="FP864" s="259"/>
      <c r="FQ864" s="259"/>
      <c r="FR864" s="259"/>
      <c r="FS864" s="259"/>
      <c r="FT864" s="259"/>
      <c r="FU864" s="259"/>
      <c r="FV864" s="259"/>
      <c r="FW864" s="259"/>
      <c r="FX864" s="259"/>
      <c r="FY864" s="259"/>
      <c r="FZ864" s="259"/>
      <c r="GA864" s="259"/>
      <c r="GB864" s="259"/>
      <c r="GC864" s="259"/>
      <c r="GD864" s="259"/>
      <c r="GE864" s="259"/>
      <c r="GF864" s="259"/>
      <c r="GG864" s="259"/>
      <c r="GH864" s="259"/>
      <c r="GI864" s="259"/>
      <c r="GJ864" s="259"/>
      <c r="GK864" s="259"/>
      <c r="GL864" s="259"/>
      <c r="GM864" s="259"/>
      <c r="GN864" s="259"/>
      <c r="GO864" s="259"/>
      <c r="GP864" s="259"/>
      <c r="GQ864" s="259"/>
      <c r="GR864" s="259"/>
      <c r="GS864" s="259"/>
      <c r="GT864" s="259"/>
      <c r="GU864" s="259"/>
      <c r="GV864" s="259"/>
      <c r="GW864" s="259"/>
      <c r="GX864" s="259"/>
      <c r="GY864" s="259"/>
      <c r="GZ864" s="259"/>
      <c r="HA864" s="259"/>
      <c r="HB864" s="259"/>
      <c r="HC864" s="259"/>
      <c r="HD864" s="259"/>
      <c r="HE864" s="259"/>
      <c r="HF864" s="259"/>
      <c r="HG864" s="259"/>
      <c r="HH864" s="259"/>
      <c r="HI864" s="259"/>
      <c r="HJ864" s="259"/>
      <c r="HK864" s="259"/>
      <c r="HL864" s="259"/>
      <c r="HM864" s="259"/>
      <c r="HN864" s="259"/>
      <c r="HO864" s="259"/>
      <c r="HP864" s="259"/>
      <c r="HQ864" s="259"/>
      <c r="HR864" s="259"/>
      <c r="HS864" s="259"/>
      <c r="HT864" s="259"/>
      <c r="HU864" s="259"/>
      <c r="HV864" s="259"/>
      <c r="HW864" s="259"/>
      <c r="HX864" s="259"/>
      <c r="HY864" s="259"/>
      <c r="HZ864" s="259"/>
      <c r="IA864" s="259"/>
      <c r="IB864" s="259"/>
      <c r="IC864" s="259"/>
      <c r="ID864" s="259"/>
      <c r="IE864" s="259"/>
      <c r="IF864" s="259"/>
      <c r="IG864" s="259"/>
      <c r="IH864" s="259"/>
      <c r="II864" s="259"/>
      <c r="IJ864" s="259"/>
      <c r="IK864" s="259"/>
      <c r="IL864" s="259"/>
      <c r="IM864" s="259"/>
      <c r="IN864" s="259"/>
      <c r="IO864" s="259"/>
      <c r="IP864" s="259"/>
      <c r="IQ864" s="259"/>
      <c r="IR864" s="259"/>
      <c r="IS864" s="259"/>
      <c r="IT864" s="259"/>
      <c r="IU864" s="259"/>
      <c r="IV864" s="259"/>
      <c r="IW864" s="259"/>
      <c r="IX864" s="259"/>
      <c r="IY864" s="259"/>
      <c r="IZ864" s="259"/>
      <c r="JA864" s="259"/>
      <c r="JB864" s="259"/>
      <c r="JC864" s="259"/>
      <c r="JD864" s="259"/>
      <c r="JE864" s="259"/>
      <c r="JF864" s="259"/>
      <c r="JG864" s="259"/>
      <c r="JH864" s="259"/>
      <c r="JI864" s="259"/>
      <c r="JJ864" s="259"/>
      <c r="JK864" s="259"/>
      <c r="JL864" s="259"/>
      <c r="JM864" s="259"/>
      <c r="JN864" s="259"/>
      <c r="JO864" s="259"/>
      <c r="JP864" s="259"/>
      <c r="JQ864" s="259"/>
      <c r="JR864" s="259"/>
      <c r="JS864" s="259"/>
      <c r="JT864" s="259"/>
      <c r="JU864" s="259"/>
      <c r="JV864" s="259"/>
      <c r="JW864" s="259"/>
      <c r="JX864" s="259"/>
      <c r="JY864" s="259"/>
      <c r="JZ864" s="259"/>
      <c r="KA864" s="259"/>
      <c r="KB864" s="259"/>
      <c r="KC864" s="259"/>
      <c r="KD864" s="259"/>
      <c r="KE864" s="259"/>
      <c r="KF864" s="259"/>
      <c r="KG864" s="259"/>
      <c r="KH864" s="259"/>
      <c r="KI864" s="259"/>
      <c r="KJ864" s="259"/>
      <c r="KK864" s="259"/>
      <c r="KL864" s="259"/>
      <c r="KM864" s="259"/>
      <c r="KN864" s="259"/>
      <c r="KO864" s="259"/>
      <c r="KP864" s="259"/>
      <c r="KQ864" s="259"/>
      <c r="KR864" s="259"/>
      <c r="KS864" s="259"/>
      <c r="KT864" s="259"/>
      <c r="KU864" s="259"/>
      <c r="KV864" s="259"/>
      <c r="KW864" s="259"/>
      <c r="KX864" s="259"/>
      <c r="KY864" s="259"/>
      <c r="KZ864" s="259"/>
      <c r="LA864" s="259"/>
      <c r="LB864" s="259"/>
      <c r="LC864" s="259"/>
      <c r="LD864" s="259"/>
      <c r="LE864" s="259"/>
      <c r="LF864" s="259"/>
      <c r="LG864" s="259"/>
      <c r="LH864" s="259"/>
      <c r="LI864" s="259"/>
      <c r="LJ864" s="259"/>
      <c r="LK864" s="259"/>
      <c r="LL864" s="259"/>
      <c r="LM864" s="259"/>
      <c r="LN864" s="259"/>
      <c r="LO864" s="259"/>
      <c r="LP864" s="259"/>
      <c r="LQ864" s="259"/>
      <c r="LR864" s="259"/>
      <c r="LS864" s="259"/>
      <c r="LT864" s="259"/>
      <c r="LU864" s="259"/>
      <c r="LV864" s="259"/>
      <c r="LW864" s="259"/>
      <c r="LX864" s="259"/>
      <c r="LY864" s="259"/>
      <c r="LZ864" s="259"/>
      <c r="MA864" s="259"/>
      <c r="MB864" s="259"/>
      <c r="MC864" s="259"/>
      <c r="MD864" s="259"/>
      <c r="ME864" s="259"/>
      <c r="MF864" s="259"/>
      <c r="MG864" s="259"/>
      <c r="MH864" s="259"/>
      <c r="MI864" s="259"/>
      <c r="MJ864" s="259"/>
      <c r="MK864" s="259"/>
      <c r="ML864" s="259"/>
      <c r="MM864" s="259"/>
      <c r="MN864" s="259"/>
      <c r="MO864" s="259"/>
      <c r="MP864" s="259"/>
      <c r="MQ864" s="259"/>
      <c r="MR864" s="259"/>
      <c r="MS864" s="259"/>
      <c r="MT864" s="259"/>
      <c r="MU864" s="259"/>
      <c r="MV864" s="259"/>
      <c r="MW864" s="259"/>
      <c r="MX864" s="259"/>
      <c r="MY864" s="259"/>
      <c r="MZ864" s="259"/>
      <c r="NA864" s="259"/>
      <c r="NB864" s="259"/>
      <c r="NC864" s="259"/>
      <c r="ND864" s="259"/>
      <c r="NE864" s="259"/>
      <c r="NF864" s="259"/>
      <c r="NG864" s="259"/>
      <c r="NH864" s="259"/>
      <c r="NI864" s="259"/>
      <c r="NJ864" s="259"/>
      <c r="NK864" s="259"/>
      <c r="NL864" s="259"/>
      <c r="NM864" s="259"/>
      <c r="NN864" s="259"/>
      <c r="NO864" s="259"/>
      <c r="NP864" s="259"/>
      <c r="NQ864" s="259"/>
      <c r="NR864" s="259"/>
      <c r="NS864" s="259"/>
      <c r="NT864" s="259"/>
      <c r="NU864" s="259"/>
      <c r="NV864" s="259"/>
      <c r="NW864" s="259"/>
      <c r="NX864" s="259"/>
      <c r="NY864" s="259"/>
      <c r="NZ864" s="259"/>
      <c r="OA864" s="259"/>
      <c r="OB864" s="259"/>
      <c r="OC864" s="259"/>
      <c r="OD864" s="259"/>
      <c r="OE864" s="259"/>
      <c r="OF864" s="259"/>
      <c r="OG864" s="259"/>
      <c r="OH864" s="259"/>
      <c r="OI864" s="259"/>
      <c r="OJ864" s="259"/>
      <c r="OK864" s="259"/>
      <c r="OL864" s="259"/>
      <c r="OM864" s="259"/>
      <c r="ON864" s="259"/>
      <c r="OO864" s="259"/>
      <c r="OP864" s="259"/>
      <c r="OQ864" s="259"/>
      <c r="OR864" s="259"/>
      <c r="OS864" s="259"/>
      <c r="OT864" s="259"/>
      <c r="OU864" s="259"/>
      <c r="OV864" s="259"/>
      <c r="OW864" s="259"/>
      <c r="OX864" s="259"/>
      <c r="OY864" s="259"/>
      <c r="OZ864" s="259"/>
      <c r="PA864" s="259"/>
      <c r="PB864" s="259"/>
      <c r="PC864" s="259"/>
      <c r="PD864" s="259"/>
      <c r="PE864" s="259"/>
      <c r="PF864" s="259"/>
      <c r="PG864" s="259"/>
      <c r="PH864" s="259"/>
      <c r="PI864" s="259"/>
      <c r="PJ864" s="259"/>
      <c r="PK864" s="259"/>
      <c r="PL864" s="259"/>
      <c r="PM864" s="259"/>
      <c r="PN864" s="259"/>
      <c r="PO864" s="259"/>
      <c r="PP864" s="259"/>
      <c r="PQ864" s="259"/>
      <c r="PR864" s="259"/>
      <c r="PS864" s="259"/>
      <c r="PT864" s="259"/>
      <c r="PU864" s="259"/>
      <c r="PV864" s="259"/>
      <c r="PW864" s="259"/>
      <c r="PX864" s="259"/>
      <c r="PY864" s="259"/>
      <c r="PZ864" s="259"/>
      <c r="QA864" s="259"/>
      <c r="QB864" s="259"/>
      <c r="QC864" s="259"/>
      <c r="QD864" s="259"/>
      <c r="QE864" s="259"/>
      <c r="QF864" s="259"/>
      <c r="QG864" s="259"/>
      <c r="QH864" s="259"/>
      <c r="QI864" s="259"/>
      <c r="QJ864" s="259"/>
      <c r="QK864" s="259"/>
      <c r="QL864" s="259"/>
      <c r="QM864" s="259"/>
      <c r="QN864" s="259"/>
      <c r="QO864" s="259"/>
      <c r="QP864" s="259"/>
      <c r="QQ864" s="259"/>
      <c r="QR864" s="259"/>
      <c r="QS864" s="259"/>
      <c r="QT864" s="259"/>
      <c r="QU864" s="259"/>
      <c r="QV864" s="259"/>
      <c r="QW864" s="259"/>
      <c r="QX864" s="259"/>
      <c r="QY864" s="259"/>
      <c r="QZ864" s="259"/>
      <c r="RA864" s="259"/>
      <c r="RB864" s="259"/>
      <c r="RC864" s="259"/>
      <c r="RD864" s="259"/>
      <c r="RE864" s="259"/>
      <c r="RF864" s="259"/>
      <c r="RG864" s="259"/>
      <c r="RH864" s="259"/>
      <c r="RI864" s="259"/>
      <c r="RJ864" s="259"/>
      <c r="RK864" s="259"/>
      <c r="RL864" s="259"/>
      <c r="RM864" s="259"/>
      <c r="RN864" s="259"/>
      <c r="RO864" s="259"/>
      <c r="RP864" s="259"/>
      <c r="RQ864" s="259"/>
      <c r="RR864" s="259"/>
      <c r="RS864" s="259"/>
      <c r="RT864" s="259"/>
      <c r="RU864" s="259"/>
      <c r="RV864" s="259"/>
      <c r="RW864" s="259"/>
      <c r="RX864" s="259"/>
      <c r="RY864" s="259"/>
      <c r="RZ864" s="259"/>
      <c r="SA864" s="259"/>
      <c r="SB864" s="259"/>
      <c r="SC864" s="259"/>
      <c r="SD864" s="259"/>
      <c r="SE864" s="259"/>
      <c r="SF864" s="259"/>
      <c r="SG864" s="259"/>
      <c r="SH864" s="259"/>
      <c r="SI864" s="259"/>
      <c r="SJ864" s="259"/>
      <c r="SK864" s="259"/>
      <c r="SL864" s="259"/>
      <c r="SM864" s="259"/>
      <c r="SN864" s="259"/>
      <c r="SO864" s="259"/>
      <c r="SP864" s="259"/>
      <c r="SQ864" s="259"/>
      <c r="SR864" s="259"/>
      <c r="SS864" s="259"/>
      <c r="ST864" s="259"/>
      <c r="SU864" s="259"/>
      <c r="SV864" s="259"/>
      <c r="SW864" s="259"/>
      <c r="SX864" s="259"/>
      <c r="SY864" s="259"/>
      <c r="SZ864" s="259"/>
      <c r="TA864" s="259"/>
      <c r="TB864" s="259"/>
      <c r="TC864" s="259"/>
      <c r="TD864" s="259"/>
      <c r="TE864" s="259"/>
      <c r="TF864" s="259"/>
      <c r="TG864" s="259"/>
      <c r="TH864" s="259"/>
      <c r="TI864" s="259"/>
      <c r="TJ864" s="259"/>
      <c r="TK864" s="259"/>
      <c r="TL864" s="259"/>
      <c r="TM864" s="259"/>
      <c r="TN864" s="259"/>
      <c r="TO864" s="259"/>
      <c r="TP864" s="259"/>
      <c r="TQ864" s="259"/>
      <c r="TR864" s="259"/>
      <c r="TS864" s="259"/>
      <c r="TT864" s="259"/>
      <c r="TU864" s="259"/>
      <c r="TV864" s="259"/>
      <c r="TW864" s="259"/>
      <c r="TX864" s="259"/>
      <c r="TY864" s="259"/>
      <c r="TZ864" s="259"/>
      <c r="UA864" s="259"/>
      <c r="UB864" s="259"/>
      <c r="UC864" s="259"/>
      <c r="UD864" s="259"/>
      <c r="UE864" s="259"/>
      <c r="UF864" s="259"/>
      <c r="UG864" s="259"/>
      <c r="UH864" s="259"/>
      <c r="UI864" s="259"/>
    </row>
    <row r="865" spans="1:555" ht="67.5">
      <c r="A865" s="96">
        <v>858</v>
      </c>
      <c r="B865" s="424" t="s">
        <v>6709</v>
      </c>
      <c r="C865" s="419">
        <v>75098352</v>
      </c>
      <c r="D865" s="439" t="s">
        <v>3252</v>
      </c>
      <c r="E865" s="147">
        <v>43370</v>
      </c>
      <c r="F865" s="21">
        <v>43370</v>
      </c>
      <c r="G865" s="424" t="s">
        <v>6710</v>
      </c>
      <c r="H865" s="26" t="s">
        <v>576</v>
      </c>
      <c r="I865" s="424" t="s">
        <v>2411</v>
      </c>
      <c r="J865" s="147">
        <v>43682</v>
      </c>
      <c r="K865" s="21">
        <v>43682</v>
      </c>
      <c r="L865" s="424" t="s">
        <v>9041</v>
      </c>
      <c r="M865" s="26" t="s">
        <v>5</v>
      </c>
      <c r="N865" s="26" t="s">
        <v>79</v>
      </c>
      <c r="O865" s="233">
        <v>43923</v>
      </c>
      <c r="P865" s="234">
        <v>43923</v>
      </c>
      <c r="Q865" s="235" t="s">
        <v>9461</v>
      </c>
      <c r="R865" s="236" t="s">
        <v>5</v>
      </c>
      <c r="S865" s="249" t="s">
        <v>85</v>
      </c>
      <c r="T865" s="147">
        <v>44067</v>
      </c>
      <c r="U865" s="21">
        <v>44067</v>
      </c>
      <c r="V865" s="424" t="s">
        <v>9605</v>
      </c>
      <c r="W865" s="201" t="s">
        <v>286</v>
      </c>
      <c r="X865" s="428" t="s">
        <v>5749</v>
      </c>
      <c r="Y865" s="147">
        <v>44153</v>
      </c>
      <c r="Z865" s="21">
        <v>44153</v>
      </c>
      <c r="AA865" s="424" t="s">
        <v>9775</v>
      </c>
      <c r="AB865" s="26" t="s">
        <v>5</v>
      </c>
      <c r="AC865" s="26" t="s">
        <v>9546</v>
      </c>
      <c r="AD865" s="233"/>
      <c r="AE865" s="234"/>
      <c r="AF865" s="235"/>
      <c r="AG865" s="236"/>
      <c r="AH865" s="249"/>
      <c r="AI865" s="237"/>
      <c r="AJ865" s="234"/>
      <c r="AK865" s="235"/>
      <c r="AL865" s="236"/>
      <c r="AM865" s="249"/>
      <c r="AN865" s="238"/>
      <c r="AO865" s="485">
        <v>43923</v>
      </c>
      <c r="AP865" s="239"/>
      <c r="AQ865" s="217" t="s">
        <v>6711</v>
      </c>
      <c r="AR865" s="424" t="s">
        <v>2411</v>
      </c>
      <c r="AS865" s="147">
        <v>38108</v>
      </c>
      <c r="AT865" s="147">
        <v>40543</v>
      </c>
      <c r="AU865" s="424" t="s">
        <v>4499</v>
      </c>
      <c r="AV865" s="424"/>
      <c r="AW865" s="141" t="s">
        <v>69</v>
      </c>
      <c r="AX865" s="428" t="s">
        <v>5798</v>
      </c>
      <c r="AY865" s="420">
        <v>42506</v>
      </c>
      <c r="AZ865" s="424" t="s">
        <v>2433</v>
      </c>
      <c r="BA865" s="147">
        <v>43272</v>
      </c>
      <c r="BB865" s="678">
        <v>43328</v>
      </c>
      <c r="BC865" s="424" t="s">
        <v>95</v>
      </c>
      <c r="BD865" s="422" t="s">
        <v>4604</v>
      </c>
      <c r="BE865" s="236"/>
      <c r="BF865" s="235"/>
      <c r="BG865" s="235"/>
      <c r="BH865" s="235"/>
      <c r="BI865" s="235"/>
      <c r="BJ865" s="209">
        <f>+[368]MATRIZ!$K$44</f>
        <v>0</v>
      </c>
      <c r="BK865" s="241"/>
      <c r="BL865" s="242"/>
      <c r="BM865" s="384"/>
      <c r="BN865" s="384"/>
      <c r="BO865" s="541"/>
      <c r="BP865" s="410"/>
      <c r="BQ865" s="414"/>
      <c r="BR865" s="243"/>
      <c r="BS865" s="235"/>
      <c r="BT865" s="235"/>
      <c r="BU865" s="235"/>
      <c r="BV865" s="235"/>
      <c r="BW865" s="244"/>
      <c r="BX865" s="245"/>
      <c r="BY865" s="233"/>
      <c r="BZ865" s="246"/>
    </row>
    <row r="866" spans="1:555" s="259" customFormat="1" ht="78.75" customHeight="1">
      <c r="A866" s="96">
        <v>859</v>
      </c>
      <c r="B866" s="424" t="s">
        <v>6712</v>
      </c>
      <c r="C866" s="419">
        <v>88235167</v>
      </c>
      <c r="D866" s="439" t="s">
        <v>667</v>
      </c>
      <c r="E866" s="147">
        <v>43230</v>
      </c>
      <c r="F866" s="21">
        <v>43230</v>
      </c>
      <c r="G866" s="424" t="s">
        <v>6713</v>
      </c>
      <c r="H866" s="26" t="s">
        <v>625</v>
      </c>
      <c r="I866" s="424" t="s">
        <v>2411</v>
      </c>
      <c r="J866" s="147">
        <v>43371</v>
      </c>
      <c r="K866" s="21">
        <v>43371</v>
      </c>
      <c r="L866" s="424" t="s">
        <v>4392</v>
      </c>
      <c r="M866" s="26" t="s">
        <v>63</v>
      </c>
      <c r="N866" s="26" t="s">
        <v>79</v>
      </c>
      <c r="O866" s="147">
        <v>43371</v>
      </c>
      <c r="P866" s="21">
        <v>43371</v>
      </c>
      <c r="Q866" s="424" t="s">
        <v>4392</v>
      </c>
      <c r="R866" s="201" t="s">
        <v>5</v>
      </c>
      <c r="S866" s="428" t="s">
        <v>79</v>
      </c>
      <c r="T866" s="420">
        <v>43455</v>
      </c>
      <c r="U866" s="21">
        <v>43455</v>
      </c>
      <c r="V866" s="428" t="s">
        <v>7999</v>
      </c>
      <c r="W866" s="428" t="s">
        <v>63</v>
      </c>
      <c r="X866" s="428" t="s">
        <v>85</v>
      </c>
      <c r="Y866" s="147">
        <v>43879</v>
      </c>
      <c r="Z866" s="21">
        <v>43879</v>
      </c>
      <c r="AA866" s="424" t="s">
        <v>9471</v>
      </c>
      <c r="AB866" s="201" t="s">
        <v>63</v>
      </c>
      <c r="AC866" s="428" t="s">
        <v>8243</v>
      </c>
      <c r="AD866" s="147">
        <v>44027</v>
      </c>
      <c r="AE866" s="21">
        <v>44027</v>
      </c>
      <c r="AF866" s="424" t="s">
        <v>9751</v>
      </c>
      <c r="AG866" s="201" t="s">
        <v>63</v>
      </c>
      <c r="AH866" s="428" t="s">
        <v>9511</v>
      </c>
      <c r="AI866" s="237"/>
      <c r="AJ866" s="234"/>
      <c r="AK866" s="235"/>
      <c r="AL866" s="236"/>
      <c r="AM866" s="249"/>
      <c r="AN866" s="238"/>
      <c r="AO866" s="485">
        <v>43461</v>
      </c>
      <c r="AP866" s="239"/>
      <c r="AQ866" s="217" t="s">
        <v>6714</v>
      </c>
      <c r="AR866" s="424" t="s">
        <v>79</v>
      </c>
      <c r="AS866" s="147">
        <v>38777</v>
      </c>
      <c r="AT866" s="147">
        <v>40724</v>
      </c>
      <c r="AU866" s="424" t="s">
        <v>6715</v>
      </c>
      <c r="AV866" s="424"/>
      <c r="AW866" s="141" t="s">
        <v>69</v>
      </c>
      <c r="AX866" s="428" t="s">
        <v>6716</v>
      </c>
      <c r="AY866" s="420">
        <v>42402</v>
      </c>
      <c r="AZ866" s="424" t="s">
        <v>2075</v>
      </c>
      <c r="BA866" s="147">
        <v>43134</v>
      </c>
      <c r="BB866" s="678">
        <v>43236</v>
      </c>
      <c r="BC866" s="424" t="s">
        <v>95</v>
      </c>
      <c r="BD866" s="422" t="s">
        <v>4604</v>
      </c>
      <c r="BE866" s="236"/>
      <c r="BF866" s="235"/>
      <c r="BG866" s="235"/>
      <c r="BH866" s="235"/>
      <c r="BI866" s="235"/>
      <c r="BJ866" s="209">
        <f>+[369]MATRIZ!$J$73</f>
        <v>0</v>
      </c>
      <c r="BK866" s="241"/>
      <c r="BL866" s="242"/>
      <c r="BM866" s="384"/>
      <c r="BN866" s="541"/>
      <c r="BO866" s="449"/>
      <c r="BP866" s="410"/>
      <c r="BQ866" s="414"/>
      <c r="BR866" s="243"/>
      <c r="BS866" s="235"/>
      <c r="BT866" s="235"/>
      <c r="BU866" s="235"/>
      <c r="BV866" s="235"/>
      <c r="BW866" s="244"/>
      <c r="BX866" s="245"/>
      <c r="BY866" s="233"/>
      <c r="BZ866" s="246"/>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c r="JW866" s="1"/>
      <c r="JX866" s="1"/>
      <c r="JY866" s="1"/>
      <c r="JZ866" s="1"/>
      <c r="KA866" s="1"/>
      <c r="KB866" s="1"/>
      <c r="KC866" s="1"/>
      <c r="KD866" s="1"/>
      <c r="KE866" s="1"/>
      <c r="KF866" s="1"/>
      <c r="KG866" s="1"/>
      <c r="KH866" s="1"/>
      <c r="KI866" s="1"/>
      <c r="KJ866" s="1"/>
      <c r="KK866" s="1"/>
      <c r="KL866" s="1"/>
      <c r="KM866" s="1"/>
      <c r="KN866" s="1"/>
      <c r="KO866" s="1"/>
      <c r="KP866" s="1"/>
      <c r="KQ866" s="1"/>
      <c r="KR866" s="1"/>
      <c r="KS866" s="1"/>
      <c r="KT866" s="1"/>
      <c r="KU866" s="1"/>
      <c r="KV866" s="1"/>
      <c r="KW866" s="1"/>
      <c r="KX866" s="1"/>
      <c r="KY866" s="1"/>
      <c r="KZ866" s="1"/>
      <c r="LA866" s="1"/>
      <c r="LB866" s="1"/>
      <c r="LC866" s="1"/>
      <c r="LD866" s="1"/>
      <c r="LE866" s="1"/>
      <c r="LF866" s="1"/>
      <c r="LG866" s="1"/>
      <c r="LH866" s="1"/>
      <c r="LI866" s="1"/>
      <c r="LJ866" s="1"/>
      <c r="LK866" s="1"/>
      <c r="LL866" s="1"/>
      <c r="LM866" s="1"/>
      <c r="LN866" s="1"/>
      <c r="LO866" s="1"/>
      <c r="LP866" s="1"/>
      <c r="LQ866" s="1"/>
      <c r="LR866" s="1"/>
      <c r="LS866" s="1"/>
      <c r="LT866" s="1"/>
      <c r="LU866" s="1"/>
      <c r="LV866" s="1"/>
      <c r="LW866" s="1"/>
      <c r="LX866" s="1"/>
      <c r="LY866" s="1"/>
      <c r="LZ866" s="1"/>
      <c r="MA866" s="1"/>
      <c r="MB866" s="1"/>
      <c r="MC866" s="1"/>
      <c r="MD866" s="1"/>
      <c r="ME866" s="1"/>
      <c r="MF866" s="1"/>
      <c r="MG866" s="1"/>
      <c r="MH866" s="1"/>
      <c r="MI866" s="1"/>
      <c r="MJ866" s="1"/>
      <c r="MK866" s="1"/>
      <c r="ML866" s="1"/>
      <c r="MM866" s="1"/>
      <c r="MN866" s="1"/>
      <c r="MO866" s="1"/>
      <c r="MP866" s="1"/>
      <c r="MQ866" s="1"/>
      <c r="MR866" s="1"/>
      <c r="MS866" s="1"/>
      <c r="MT866" s="1"/>
      <c r="MU866" s="1"/>
      <c r="MV866" s="1"/>
      <c r="MW866" s="1"/>
      <c r="MX866" s="1"/>
      <c r="MY866" s="1"/>
      <c r="MZ866" s="1"/>
      <c r="NA866" s="1"/>
      <c r="NB866" s="1"/>
      <c r="NC866" s="1"/>
      <c r="ND866" s="1"/>
      <c r="NE866" s="1"/>
      <c r="NF866" s="1"/>
      <c r="NG866" s="1"/>
      <c r="NH866" s="1"/>
      <c r="NI866" s="1"/>
      <c r="NJ866" s="1"/>
      <c r="NK866" s="1"/>
      <c r="NL866" s="1"/>
      <c r="NM866" s="1"/>
      <c r="NN866" s="1"/>
      <c r="NO866" s="1"/>
      <c r="NP866" s="1"/>
      <c r="NQ866" s="1"/>
      <c r="NR866" s="1"/>
      <c r="NS866" s="1"/>
      <c r="NT866" s="1"/>
      <c r="NU866" s="1"/>
      <c r="NV866" s="1"/>
      <c r="NW866" s="1"/>
      <c r="NX866" s="1"/>
      <c r="NY866" s="1"/>
      <c r="NZ866" s="1"/>
      <c r="OA866" s="1"/>
      <c r="OB866" s="1"/>
      <c r="OC866" s="1"/>
      <c r="OD866" s="1"/>
      <c r="OE866" s="1"/>
      <c r="OF866" s="1"/>
      <c r="OG866" s="1"/>
      <c r="OH866" s="1"/>
      <c r="OI866" s="1"/>
      <c r="OJ866" s="1"/>
      <c r="OK866" s="1"/>
      <c r="OL866" s="1"/>
      <c r="OM866" s="1"/>
      <c r="ON866" s="1"/>
      <c r="OO866" s="1"/>
      <c r="OP866" s="1"/>
      <c r="OQ866" s="1"/>
      <c r="OR866" s="1"/>
      <c r="OS866" s="1"/>
      <c r="OT866" s="1"/>
      <c r="OU866" s="1"/>
      <c r="OV866" s="1"/>
      <c r="OW866" s="1"/>
      <c r="OX866" s="1"/>
      <c r="OY866" s="1"/>
      <c r="OZ866" s="1"/>
      <c r="PA866" s="1"/>
      <c r="PB866" s="1"/>
      <c r="PC866" s="1"/>
      <c r="PD866" s="1"/>
      <c r="PE866" s="1"/>
      <c r="PF866" s="1"/>
      <c r="PG866" s="1"/>
      <c r="PH866" s="1"/>
      <c r="PI866" s="1"/>
      <c r="PJ866" s="1"/>
      <c r="PK866" s="1"/>
      <c r="PL866" s="1"/>
      <c r="PM866" s="1"/>
      <c r="PN866" s="1"/>
      <c r="PO866" s="1"/>
      <c r="PP866" s="1"/>
      <c r="PQ866" s="1"/>
      <c r="PR866" s="1"/>
      <c r="PS866" s="1"/>
      <c r="PT866" s="1"/>
      <c r="PU866" s="1"/>
      <c r="PV866" s="1"/>
      <c r="PW866" s="1"/>
      <c r="PX866" s="1"/>
      <c r="PY866" s="1"/>
      <c r="PZ866" s="1"/>
      <c r="QA866" s="1"/>
      <c r="QB866" s="1"/>
      <c r="QC866" s="1"/>
      <c r="QD866" s="1"/>
      <c r="QE866" s="1"/>
      <c r="QF866" s="1"/>
      <c r="QG866" s="1"/>
      <c r="QH866" s="1"/>
      <c r="QI866" s="1"/>
      <c r="QJ866" s="1"/>
      <c r="QK866" s="1"/>
      <c r="QL866" s="1"/>
      <c r="QM866" s="1"/>
      <c r="QN866" s="1"/>
      <c r="QO866" s="1"/>
      <c r="QP866" s="1"/>
      <c r="QQ866" s="1"/>
      <c r="QR866" s="1"/>
      <c r="QS866" s="1"/>
      <c r="QT866" s="1"/>
      <c r="QU866" s="1"/>
      <c r="QV866" s="1"/>
      <c r="QW866" s="1"/>
      <c r="QX866" s="1"/>
      <c r="QY866" s="1"/>
      <c r="QZ866" s="1"/>
      <c r="RA866" s="1"/>
      <c r="RB866" s="1"/>
      <c r="RC866" s="1"/>
      <c r="RD866" s="1"/>
      <c r="RE866" s="1"/>
      <c r="RF866" s="1"/>
      <c r="RG866" s="1"/>
      <c r="RH866" s="1"/>
      <c r="RI866" s="1"/>
      <c r="RJ866" s="1"/>
      <c r="RK866" s="1"/>
      <c r="RL866" s="1"/>
      <c r="RM866" s="1"/>
      <c r="RN866" s="1"/>
      <c r="RO866" s="1"/>
      <c r="RP866" s="1"/>
      <c r="RQ866" s="1"/>
      <c r="RR866" s="1"/>
      <c r="RS866" s="1"/>
      <c r="RT866" s="1"/>
      <c r="RU866" s="1"/>
      <c r="RV866" s="1"/>
      <c r="RW866" s="1"/>
      <c r="RX866" s="1"/>
      <c r="RY866" s="1"/>
      <c r="RZ866" s="1"/>
      <c r="SA866" s="1"/>
      <c r="SB866" s="1"/>
      <c r="SC866" s="1"/>
      <c r="SD866" s="1"/>
      <c r="SE866" s="1"/>
      <c r="SF866" s="1"/>
      <c r="SG866" s="1"/>
      <c r="SH866" s="1"/>
      <c r="SI866" s="1"/>
      <c r="SJ866" s="1"/>
      <c r="SK866" s="1"/>
      <c r="SL866" s="1"/>
      <c r="SM866" s="1"/>
      <c r="SN866" s="1"/>
      <c r="SO866" s="1"/>
      <c r="SP866" s="1"/>
      <c r="SQ866" s="1"/>
      <c r="SR866" s="1"/>
      <c r="SS866" s="1"/>
      <c r="ST866" s="1"/>
      <c r="SU866" s="1"/>
      <c r="SV866" s="1"/>
      <c r="SW866" s="1"/>
      <c r="SX866" s="1"/>
      <c r="SY866" s="1"/>
      <c r="SZ866" s="1"/>
      <c r="TA866" s="1"/>
      <c r="TB866" s="1"/>
      <c r="TC866" s="1"/>
      <c r="TD866" s="1"/>
      <c r="TE866" s="1"/>
      <c r="TF866" s="1"/>
      <c r="TG866" s="1"/>
      <c r="TH866" s="1"/>
      <c r="TI866" s="1"/>
      <c r="TJ866" s="1"/>
      <c r="TK866" s="1"/>
      <c r="TL866" s="1"/>
      <c r="TM866" s="1"/>
      <c r="TN866" s="1"/>
      <c r="TO866" s="1"/>
      <c r="TP866" s="1"/>
      <c r="TQ866" s="1"/>
      <c r="TR866" s="1"/>
      <c r="TS866" s="1"/>
      <c r="TT866" s="1"/>
      <c r="TU866" s="1"/>
      <c r="TV866" s="1"/>
      <c r="TW866" s="1"/>
      <c r="TX866" s="1"/>
      <c r="TY866" s="1"/>
      <c r="TZ866" s="1"/>
      <c r="UA866" s="1"/>
      <c r="UB866" s="1"/>
      <c r="UC866" s="1"/>
      <c r="UD866" s="1"/>
      <c r="UE866" s="1"/>
      <c r="UF866" s="1"/>
      <c r="UG866" s="1"/>
      <c r="UH866" s="1"/>
      <c r="UI866" s="1"/>
    </row>
    <row r="867" spans="1:555" s="509" customFormat="1" ht="68.25" customHeight="1">
      <c r="A867" s="502">
        <v>860</v>
      </c>
      <c r="B867" s="706" t="s">
        <v>6717</v>
      </c>
      <c r="C867" s="687">
        <v>91292274</v>
      </c>
      <c r="D867" s="688" t="s">
        <v>906</v>
      </c>
      <c r="E867" s="16">
        <v>43343</v>
      </c>
      <c r="F867" s="689">
        <v>43343</v>
      </c>
      <c r="G867" s="706" t="s">
        <v>6718</v>
      </c>
      <c r="H867" s="693" t="s">
        <v>5</v>
      </c>
      <c r="I867" s="693" t="s">
        <v>2413</v>
      </c>
      <c r="J867" s="16">
        <v>43360</v>
      </c>
      <c r="K867" s="689">
        <v>43360</v>
      </c>
      <c r="L867" s="706" t="s">
        <v>6719</v>
      </c>
      <c r="M867" s="693" t="s">
        <v>5</v>
      </c>
      <c r="N867" s="693" t="s">
        <v>6720</v>
      </c>
      <c r="O867" s="16">
        <v>43363</v>
      </c>
      <c r="P867" s="689">
        <v>43363</v>
      </c>
      <c r="Q867" s="706" t="s">
        <v>6721</v>
      </c>
      <c r="R867" s="160" t="s">
        <v>5</v>
      </c>
      <c r="S867" s="706" t="s">
        <v>6720</v>
      </c>
      <c r="T867" s="16">
        <v>43369</v>
      </c>
      <c r="U867" s="689">
        <v>43369</v>
      </c>
      <c r="V867" s="706" t="s">
        <v>6722</v>
      </c>
      <c r="W867" s="160" t="s">
        <v>5</v>
      </c>
      <c r="X867" s="706" t="s">
        <v>6720</v>
      </c>
      <c r="Y867" s="16">
        <v>44057</v>
      </c>
      <c r="Z867" s="689">
        <v>44057</v>
      </c>
      <c r="AA867" s="706" t="s">
        <v>9597</v>
      </c>
      <c r="AB867" s="160" t="s">
        <v>208</v>
      </c>
      <c r="AC867" s="706" t="s">
        <v>8243</v>
      </c>
      <c r="AD867" s="16">
        <v>44068</v>
      </c>
      <c r="AE867" s="689">
        <v>44068</v>
      </c>
      <c r="AF867" s="706" t="s">
        <v>9604</v>
      </c>
      <c r="AG867" s="160" t="s">
        <v>1480</v>
      </c>
      <c r="AH867" s="706" t="s">
        <v>9601</v>
      </c>
      <c r="AI867" s="16" t="s">
        <v>10397</v>
      </c>
      <c r="AJ867" s="689" t="s">
        <v>10398</v>
      </c>
      <c r="AK867" s="706" t="s">
        <v>10396</v>
      </c>
      <c r="AL867" s="706" t="s">
        <v>10399</v>
      </c>
      <c r="AM867" s="706" t="s">
        <v>10400</v>
      </c>
      <c r="AN867" s="711"/>
      <c r="AO867" s="714">
        <v>43343</v>
      </c>
      <c r="AP867" s="715"/>
      <c r="AQ867" s="775" t="s">
        <v>6723</v>
      </c>
      <c r="AR867" s="706" t="s">
        <v>79</v>
      </c>
      <c r="AS867" s="16">
        <v>36580</v>
      </c>
      <c r="AT867" s="16">
        <v>40908</v>
      </c>
      <c r="AU867" s="706" t="s">
        <v>6724</v>
      </c>
      <c r="AV867" s="706"/>
      <c r="AW867" s="686" t="s">
        <v>69</v>
      </c>
      <c r="AX867" s="706" t="s">
        <v>6725</v>
      </c>
      <c r="AY867" s="16">
        <v>42529</v>
      </c>
      <c r="AZ867" s="706" t="s">
        <v>6726</v>
      </c>
      <c r="BA867" s="16">
        <v>43042</v>
      </c>
      <c r="BB867" s="16">
        <v>43073</v>
      </c>
      <c r="BC867" s="706" t="s">
        <v>912</v>
      </c>
      <c r="BD867" s="686" t="s">
        <v>4604</v>
      </c>
      <c r="BE867" s="711"/>
      <c r="BF867" s="710"/>
      <c r="BG867" s="710"/>
      <c r="BH867" s="710"/>
      <c r="BI867" s="710"/>
      <c r="BJ867" s="708">
        <f>+[370]MATRIZ!$J$54</f>
        <v>0</v>
      </c>
      <c r="BK867" s="788"/>
      <c r="BL867" s="789"/>
      <c r="BM867" s="191"/>
      <c r="BN867" s="719"/>
      <c r="BO867" s="720"/>
      <c r="BP867" s="721"/>
      <c r="BQ867" s="722"/>
      <c r="BR867" s="723"/>
      <c r="BS867" s="710"/>
      <c r="BT867" s="710"/>
      <c r="BU867" s="710"/>
      <c r="BV867" s="710"/>
      <c r="BW867" s="724"/>
      <c r="BX867" s="725"/>
      <c r="BY867" s="240"/>
      <c r="BZ867" s="726"/>
      <c r="CA867" s="259"/>
      <c r="CB867" s="259"/>
      <c r="CC867" s="259"/>
      <c r="CD867" s="259"/>
      <c r="CE867" s="259"/>
      <c r="CF867" s="259"/>
      <c r="CG867" s="259"/>
      <c r="CH867" s="259"/>
      <c r="CI867" s="259"/>
      <c r="CJ867" s="259"/>
      <c r="CK867" s="259"/>
      <c r="CL867" s="259"/>
      <c r="CM867" s="259"/>
      <c r="CN867" s="259"/>
      <c r="CO867" s="259"/>
      <c r="CP867" s="259"/>
      <c r="CQ867" s="259"/>
      <c r="CR867" s="259"/>
      <c r="CS867" s="259"/>
      <c r="CT867" s="259"/>
      <c r="CU867" s="259"/>
      <c r="CV867" s="259"/>
      <c r="CW867" s="259"/>
      <c r="CX867" s="259"/>
      <c r="CY867" s="259"/>
      <c r="CZ867" s="259"/>
      <c r="DA867" s="259"/>
      <c r="DB867" s="259"/>
      <c r="DC867" s="259"/>
      <c r="DD867" s="259"/>
      <c r="DE867" s="259"/>
      <c r="DF867" s="259"/>
      <c r="DG867" s="259"/>
      <c r="DH867" s="259"/>
      <c r="DI867" s="259"/>
      <c r="DJ867" s="259"/>
      <c r="DK867" s="259"/>
      <c r="DL867" s="259"/>
      <c r="DM867" s="259"/>
      <c r="DN867" s="259"/>
      <c r="DO867" s="259"/>
      <c r="DP867" s="259"/>
      <c r="DQ867" s="259"/>
      <c r="DR867" s="259"/>
      <c r="DS867" s="259"/>
      <c r="DT867" s="259"/>
      <c r="DU867" s="259"/>
      <c r="DV867" s="259"/>
      <c r="DW867" s="259"/>
      <c r="DX867" s="259"/>
      <c r="DY867" s="259"/>
      <c r="DZ867" s="259"/>
      <c r="EA867" s="259"/>
      <c r="EB867" s="259"/>
      <c r="EC867" s="259"/>
      <c r="ED867" s="259"/>
      <c r="EE867" s="259"/>
      <c r="EF867" s="259"/>
      <c r="EG867" s="259"/>
      <c r="EH867" s="259"/>
      <c r="EI867" s="259"/>
      <c r="EJ867" s="259"/>
      <c r="EK867" s="259"/>
      <c r="EL867" s="259"/>
      <c r="EM867" s="259"/>
      <c r="EN867" s="259"/>
      <c r="EO867" s="259"/>
      <c r="EP867" s="259"/>
      <c r="EQ867" s="259"/>
      <c r="ER867" s="259"/>
      <c r="ES867" s="259"/>
      <c r="ET867" s="259"/>
      <c r="EU867" s="259"/>
      <c r="EV867" s="259"/>
      <c r="EW867" s="259"/>
      <c r="EX867" s="259"/>
      <c r="EY867" s="259"/>
      <c r="EZ867" s="259"/>
      <c r="FA867" s="259"/>
      <c r="FB867" s="259"/>
      <c r="FC867" s="259"/>
      <c r="FD867" s="259"/>
      <c r="FE867" s="259"/>
      <c r="FF867" s="259"/>
      <c r="FG867" s="259"/>
      <c r="FH867" s="259"/>
      <c r="FI867" s="259"/>
      <c r="FJ867" s="259"/>
      <c r="FK867" s="259"/>
      <c r="FL867" s="259"/>
      <c r="FM867" s="259"/>
      <c r="FN867" s="259"/>
      <c r="FO867" s="259"/>
      <c r="FP867" s="259"/>
      <c r="FQ867" s="259"/>
      <c r="FR867" s="259"/>
      <c r="FS867" s="259"/>
      <c r="FT867" s="259"/>
      <c r="FU867" s="259"/>
      <c r="FV867" s="259"/>
      <c r="FW867" s="259"/>
      <c r="FX867" s="259"/>
      <c r="FY867" s="259"/>
      <c r="FZ867" s="259"/>
      <c r="GA867" s="259"/>
      <c r="GB867" s="259"/>
      <c r="GC867" s="259"/>
      <c r="GD867" s="259"/>
      <c r="GE867" s="259"/>
      <c r="GF867" s="259"/>
      <c r="GG867" s="259"/>
      <c r="GH867" s="259"/>
      <c r="GI867" s="259"/>
      <c r="GJ867" s="259"/>
      <c r="GK867" s="259"/>
      <c r="GL867" s="259"/>
      <c r="GM867" s="259"/>
      <c r="GN867" s="259"/>
      <c r="GO867" s="259"/>
      <c r="GP867" s="259"/>
      <c r="GQ867" s="259"/>
      <c r="GR867" s="259"/>
      <c r="GS867" s="259"/>
      <c r="GT867" s="259"/>
      <c r="GU867" s="259"/>
      <c r="GV867" s="259"/>
      <c r="GW867" s="259"/>
      <c r="GX867" s="259"/>
      <c r="GY867" s="259"/>
      <c r="GZ867" s="259"/>
      <c r="HA867" s="259"/>
      <c r="HB867" s="259"/>
      <c r="HC867" s="259"/>
      <c r="HD867" s="259"/>
      <c r="HE867" s="259"/>
      <c r="HF867" s="259"/>
      <c r="HG867" s="259"/>
      <c r="HH867" s="259"/>
      <c r="HI867" s="259"/>
      <c r="HJ867" s="259"/>
      <c r="HK867" s="259"/>
      <c r="HL867" s="259"/>
      <c r="HM867" s="259"/>
      <c r="HN867" s="259"/>
      <c r="HO867" s="259"/>
      <c r="HP867" s="259"/>
      <c r="HQ867" s="259"/>
      <c r="HR867" s="259"/>
      <c r="HS867" s="259"/>
      <c r="HT867" s="259"/>
      <c r="HU867" s="259"/>
      <c r="HV867" s="259"/>
      <c r="HW867" s="259"/>
      <c r="HX867" s="259"/>
      <c r="HY867" s="259"/>
      <c r="HZ867" s="259"/>
      <c r="IA867" s="259"/>
      <c r="IB867" s="259"/>
      <c r="IC867" s="259"/>
      <c r="ID867" s="259"/>
      <c r="IE867" s="259"/>
      <c r="IF867" s="259"/>
      <c r="IG867" s="259"/>
      <c r="IH867" s="259"/>
      <c r="II867" s="259"/>
      <c r="IJ867" s="259"/>
      <c r="IK867" s="259"/>
      <c r="IL867" s="259"/>
      <c r="IM867" s="259"/>
      <c r="IN867" s="259"/>
      <c r="IO867" s="259"/>
      <c r="IP867" s="259"/>
      <c r="IQ867" s="259"/>
      <c r="IR867" s="259"/>
      <c r="IS867" s="259"/>
      <c r="IT867" s="259"/>
      <c r="IU867" s="259"/>
      <c r="IV867" s="259"/>
      <c r="IW867" s="259"/>
      <c r="IX867" s="259"/>
      <c r="IY867" s="259"/>
      <c r="IZ867" s="259"/>
      <c r="JA867" s="259"/>
      <c r="JB867" s="259"/>
      <c r="JC867" s="259"/>
      <c r="JD867" s="259"/>
      <c r="JE867" s="259"/>
      <c r="JF867" s="259"/>
      <c r="JG867" s="259"/>
      <c r="JH867" s="259"/>
      <c r="JI867" s="259"/>
      <c r="JJ867" s="259"/>
      <c r="JK867" s="259"/>
      <c r="JL867" s="259"/>
      <c r="JM867" s="259"/>
      <c r="JN867" s="259"/>
      <c r="JO867" s="259"/>
      <c r="JP867" s="259"/>
      <c r="JQ867" s="259"/>
      <c r="JR867" s="259"/>
      <c r="JS867" s="259"/>
      <c r="JT867" s="259"/>
      <c r="JU867" s="259"/>
      <c r="JV867" s="259"/>
      <c r="JW867" s="259"/>
      <c r="JX867" s="259"/>
      <c r="JY867" s="259"/>
      <c r="JZ867" s="259"/>
      <c r="KA867" s="259"/>
      <c r="KB867" s="259"/>
      <c r="KC867" s="259"/>
      <c r="KD867" s="259"/>
      <c r="KE867" s="259"/>
      <c r="KF867" s="259"/>
      <c r="KG867" s="259"/>
      <c r="KH867" s="259"/>
      <c r="KI867" s="259"/>
      <c r="KJ867" s="259"/>
      <c r="KK867" s="259"/>
      <c r="KL867" s="259"/>
      <c r="KM867" s="259"/>
      <c r="KN867" s="259"/>
      <c r="KO867" s="259"/>
      <c r="KP867" s="259"/>
      <c r="KQ867" s="259"/>
      <c r="KR867" s="259"/>
      <c r="KS867" s="259"/>
      <c r="KT867" s="259"/>
      <c r="KU867" s="259"/>
      <c r="KV867" s="259"/>
      <c r="KW867" s="259"/>
      <c r="KX867" s="259"/>
      <c r="KY867" s="259"/>
      <c r="KZ867" s="259"/>
      <c r="LA867" s="259"/>
      <c r="LB867" s="259"/>
      <c r="LC867" s="259"/>
      <c r="LD867" s="259"/>
      <c r="LE867" s="259"/>
      <c r="LF867" s="259"/>
      <c r="LG867" s="259"/>
      <c r="LH867" s="259"/>
      <c r="LI867" s="259"/>
      <c r="LJ867" s="259"/>
      <c r="LK867" s="259"/>
      <c r="LL867" s="259"/>
      <c r="LM867" s="259"/>
      <c r="LN867" s="259"/>
      <c r="LO867" s="259"/>
      <c r="LP867" s="259"/>
      <c r="LQ867" s="259"/>
      <c r="LR867" s="259"/>
      <c r="LS867" s="259"/>
      <c r="LT867" s="259"/>
      <c r="LU867" s="259"/>
      <c r="LV867" s="259"/>
      <c r="LW867" s="259"/>
      <c r="LX867" s="259"/>
      <c r="LY867" s="259"/>
      <c r="LZ867" s="259"/>
      <c r="MA867" s="259"/>
      <c r="MB867" s="259"/>
      <c r="MC867" s="259"/>
      <c r="MD867" s="259"/>
      <c r="ME867" s="259"/>
      <c r="MF867" s="259"/>
      <c r="MG867" s="259"/>
      <c r="MH867" s="259"/>
      <c r="MI867" s="259"/>
      <c r="MJ867" s="259"/>
      <c r="MK867" s="259"/>
      <c r="ML867" s="259"/>
      <c r="MM867" s="259"/>
      <c r="MN867" s="259"/>
      <c r="MO867" s="259"/>
      <c r="MP867" s="259"/>
      <c r="MQ867" s="259"/>
      <c r="MR867" s="259"/>
      <c r="MS867" s="259"/>
      <c r="MT867" s="259"/>
      <c r="MU867" s="259"/>
      <c r="MV867" s="259"/>
      <c r="MW867" s="259"/>
      <c r="MX867" s="259"/>
      <c r="MY867" s="259"/>
      <c r="MZ867" s="259"/>
      <c r="NA867" s="259"/>
      <c r="NB867" s="259"/>
      <c r="NC867" s="259"/>
      <c r="ND867" s="259"/>
      <c r="NE867" s="259"/>
      <c r="NF867" s="259"/>
      <c r="NG867" s="259"/>
      <c r="NH867" s="259"/>
      <c r="NI867" s="259"/>
      <c r="NJ867" s="259"/>
      <c r="NK867" s="259"/>
      <c r="NL867" s="259"/>
      <c r="NM867" s="259"/>
      <c r="NN867" s="259"/>
      <c r="NO867" s="259"/>
      <c r="NP867" s="259"/>
      <c r="NQ867" s="259"/>
      <c r="NR867" s="259"/>
      <c r="NS867" s="259"/>
      <c r="NT867" s="259"/>
      <c r="NU867" s="259"/>
      <c r="NV867" s="259"/>
      <c r="NW867" s="259"/>
      <c r="NX867" s="259"/>
      <c r="NY867" s="259"/>
      <c r="NZ867" s="259"/>
      <c r="OA867" s="259"/>
      <c r="OB867" s="259"/>
      <c r="OC867" s="259"/>
      <c r="OD867" s="259"/>
      <c r="OE867" s="259"/>
      <c r="OF867" s="259"/>
      <c r="OG867" s="259"/>
      <c r="OH867" s="259"/>
      <c r="OI867" s="259"/>
      <c r="OJ867" s="259"/>
      <c r="OK867" s="259"/>
      <c r="OL867" s="259"/>
      <c r="OM867" s="259"/>
      <c r="ON867" s="259"/>
      <c r="OO867" s="259"/>
      <c r="OP867" s="259"/>
      <c r="OQ867" s="259"/>
      <c r="OR867" s="259"/>
      <c r="OS867" s="259"/>
      <c r="OT867" s="259"/>
      <c r="OU867" s="259"/>
      <c r="OV867" s="259"/>
      <c r="OW867" s="259"/>
      <c r="OX867" s="259"/>
      <c r="OY867" s="259"/>
      <c r="OZ867" s="259"/>
      <c r="PA867" s="259"/>
      <c r="PB867" s="259"/>
      <c r="PC867" s="259"/>
      <c r="PD867" s="259"/>
      <c r="PE867" s="259"/>
      <c r="PF867" s="259"/>
      <c r="PG867" s="259"/>
      <c r="PH867" s="259"/>
      <c r="PI867" s="259"/>
      <c r="PJ867" s="259"/>
      <c r="PK867" s="259"/>
      <c r="PL867" s="259"/>
      <c r="PM867" s="259"/>
      <c r="PN867" s="259"/>
      <c r="PO867" s="259"/>
      <c r="PP867" s="259"/>
      <c r="PQ867" s="259"/>
      <c r="PR867" s="259"/>
      <c r="PS867" s="259"/>
      <c r="PT867" s="259"/>
      <c r="PU867" s="259"/>
      <c r="PV867" s="259"/>
      <c r="PW867" s="259"/>
      <c r="PX867" s="259"/>
      <c r="PY867" s="259"/>
      <c r="PZ867" s="259"/>
      <c r="QA867" s="259"/>
      <c r="QB867" s="259"/>
      <c r="QC867" s="259"/>
      <c r="QD867" s="259"/>
      <c r="QE867" s="259"/>
      <c r="QF867" s="259"/>
      <c r="QG867" s="259"/>
      <c r="QH867" s="259"/>
      <c r="QI867" s="259"/>
      <c r="QJ867" s="259"/>
      <c r="QK867" s="259"/>
      <c r="QL867" s="259"/>
      <c r="QM867" s="259"/>
      <c r="QN867" s="259"/>
      <c r="QO867" s="259"/>
      <c r="QP867" s="259"/>
      <c r="QQ867" s="259"/>
      <c r="QR867" s="259"/>
      <c r="QS867" s="259"/>
      <c r="QT867" s="259"/>
      <c r="QU867" s="259"/>
      <c r="QV867" s="259"/>
      <c r="QW867" s="259"/>
      <c r="QX867" s="259"/>
      <c r="QY867" s="259"/>
      <c r="QZ867" s="259"/>
      <c r="RA867" s="259"/>
      <c r="RB867" s="259"/>
      <c r="RC867" s="259"/>
      <c r="RD867" s="259"/>
      <c r="RE867" s="259"/>
      <c r="RF867" s="259"/>
      <c r="RG867" s="259"/>
      <c r="RH867" s="259"/>
      <c r="RI867" s="259"/>
      <c r="RJ867" s="259"/>
      <c r="RK867" s="259"/>
      <c r="RL867" s="259"/>
      <c r="RM867" s="259"/>
      <c r="RN867" s="259"/>
      <c r="RO867" s="259"/>
      <c r="RP867" s="259"/>
      <c r="RQ867" s="259"/>
      <c r="RR867" s="259"/>
      <c r="RS867" s="259"/>
      <c r="RT867" s="259"/>
      <c r="RU867" s="259"/>
      <c r="RV867" s="259"/>
      <c r="RW867" s="259"/>
      <c r="RX867" s="259"/>
      <c r="RY867" s="259"/>
      <c r="RZ867" s="259"/>
      <c r="SA867" s="259"/>
      <c r="SB867" s="259"/>
      <c r="SC867" s="259"/>
      <c r="SD867" s="259"/>
      <c r="SE867" s="259"/>
      <c r="SF867" s="259"/>
      <c r="SG867" s="259"/>
      <c r="SH867" s="259"/>
      <c r="SI867" s="259"/>
      <c r="SJ867" s="259"/>
      <c r="SK867" s="259"/>
      <c r="SL867" s="259"/>
      <c r="SM867" s="259"/>
      <c r="SN867" s="259"/>
      <c r="SO867" s="259"/>
      <c r="SP867" s="259"/>
      <c r="SQ867" s="259"/>
      <c r="SR867" s="259"/>
      <c r="SS867" s="259"/>
      <c r="ST867" s="259"/>
      <c r="SU867" s="259"/>
      <c r="SV867" s="259"/>
      <c r="SW867" s="259"/>
      <c r="SX867" s="259"/>
      <c r="SY867" s="259"/>
      <c r="SZ867" s="259"/>
      <c r="TA867" s="259"/>
      <c r="TB867" s="259"/>
      <c r="TC867" s="259"/>
      <c r="TD867" s="259"/>
      <c r="TE867" s="259"/>
      <c r="TF867" s="259"/>
      <c r="TG867" s="259"/>
      <c r="TH867" s="259"/>
      <c r="TI867" s="259"/>
      <c r="TJ867" s="259"/>
      <c r="TK867" s="259"/>
      <c r="TL867" s="259"/>
      <c r="TM867" s="259"/>
      <c r="TN867" s="259"/>
      <c r="TO867" s="259"/>
      <c r="TP867" s="259"/>
      <c r="TQ867" s="259"/>
      <c r="TR867" s="259"/>
      <c r="TS867" s="259"/>
      <c r="TT867" s="259"/>
      <c r="TU867" s="259"/>
      <c r="TV867" s="259"/>
      <c r="TW867" s="259"/>
      <c r="TX867" s="259"/>
      <c r="TY867" s="259"/>
      <c r="TZ867" s="259"/>
      <c r="UA867" s="259"/>
      <c r="UB867" s="259"/>
      <c r="UC867" s="259"/>
      <c r="UD867" s="259"/>
      <c r="UE867" s="259"/>
      <c r="UF867" s="259"/>
      <c r="UG867" s="259"/>
      <c r="UH867" s="259"/>
      <c r="UI867" s="259"/>
    </row>
    <row r="868" spans="1:555" ht="40.5">
      <c r="A868" s="96">
        <v>862</v>
      </c>
      <c r="B868" s="424" t="s">
        <v>7352</v>
      </c>
      <c r="C868" s="419">
        <v>94229001</v>
      </c>
      <c r="D868" s="439" t="s">
        <v>1153</v>
      </c>
      <c r="E868" s="147">
        <v>43369</v>
      </c>
      <c r="F868" s="21">
        <v>43369</v>
      </c>
      <c r="G868" s="26" t="s">
        <v>6735</v>
      </c>
      <c r="H868" s="26" t="s">
        <v>576</v>
      </c>
      <c r="I868" s="26" t="s">
        <v>6736</v>
      </c>
      <c r="J868" s="147">
        <v>43404</v>
      </c>
      <c r="K868" s="21">
        <v>43404</v>
      </c>
      <c r="L868" s="428" t="s">
        <v>7319</v>
      </c>
      <c r="M868" s="26" t="s">
        <v>576</v>
      </c>
      <c r="N868" s="26" t="s">
        <v>3043</v>
      </c>
      <c r="O868" s="147">
        <v>43564</v>
      </c>
      <c r="P868" s="21">
        <v>43564</v>
      </c>
      <c r="Q868" s="424" t="s">
        <v>8585</v>
      </c>
      <c r="R868" s="236" t="s">
        <v>5</v>
      </c>
      <c r="S868" s="428" t="s">
        <v>79</v>
      </c>
      <c r="T868" s="147"/>
      <c r="U868" s="21"/>
      <c r="V868" s="424"/>
      <c r="W868" s="236"/>
      <c r="X868" s="249"/>
      <c r="Y868" s="233"/>
      <c r="Z868" s="234"/>
      <c r="AA868" s="235"/>
      <c r="AB868" s="236"/>
      <c r="AC868" s="249"/>
      <c r="AD868" s="233"/>
      <c r="AE868" s="234"/>
      <c r="AF868" s="235"/>
      <c r="AG868" s="236"/>
      <c r="AH868" s="249"/>
      <c r="AI868" s="237"/>
      <c r="AJ868" s="234"/>
      <c r="AK868" s="235"/>
      <c r="AL868" s="236"/>
      <c r="AM868" s="249"/>
      <c r="AN868" s="238"/>
      <c r="AO868" s="483" t="s">
        <v>7946</v>
      </c>
      <c r="AP868" s="239"/>
      <c r="AQ868" s="217" t="s">
        <v>6737</v>
      </c>
      <c r="AR868" s="424" t="s">
        <v>2411</v>
      </c>
      <c r="AS868" s="147">
        <v>38602</v>
      </c>
      <c r="AT868" s="147">
        <v>40847</v>
      </c>
      <c r="AU868" s="424" t="s">
        <v>6738</v>
      </c>
      <c r="AV868" s="424"/>
      <c r="AW868" s="141" t="s">
        <v>69</v>
      </c>
      <c r="AX868" s="428" t="s">
        <v>6733</v>
      </c>
      <c r="AY868" s="420">
        <v>41415</v>
      </c>
      <c r="AZ868" s="424" t="s">
        <v>6739</v>
      </c>
      <c r="BA868" s="147">
        <v>43328</v>
      </c>
      <c r="BB868" s="678">
        <v>43371</v>
      </c>
      <c r="BC868" s="424" t="s">
        <v>95</v>
      </c>
      <c r="BD868" s="422" t="s">
        <v>4604</v>
      </c>
      <c r="BE868" s="236"/>
      <c r="BF868" s="22"/>
      <c r="BG868" s="235"/>
      <c r="BH868" s="194"/>
      <c r="BI868" s="235"/>
      <c r="BJ868" s="209">
        <f>+[371]MATRIZ!$J$74</f>
        <v>84580407.606386036</v>
      </c>
      <c r="BK868" s="159"/>
      <c r="BL868" s="196"/>
      <c r="BM868" s="384"/>
      <c r="BN868" s="541"/>
      <c r="BO868" s="541"/>
      <c r="BP868" s="410"/>
      <c r="BQ868" s="414"/>
      <c r="BR868" s="243"/>
      <c r="BS868" s="248"/>
      <c r="BT868" s="235"/>
      <c r="BU868" s="235"/>
      <c r="BV868" s="235"/>
      <c r="BW868" s="244"/>
      <c r="BX868" s="245"/>
      <c r="BY868" s="233"/>
      <c r="BZ868" s="246"/>
    </row>
    <row r="869" spans="1:555" s="259" customFormat="1" ht="54">
      <c r="A869" s="502">
        <v>863</v>
      </c>
      <c r="B869" s="706" t="s">
        <v>6740</v>
      </c>
      <c r="C869" s="687">
        <v>11523401</v>
      </c>
      <c r="D869" s="688" t="s">
        <v>597</v>
      </c>
      <c r="E869" s="16">
        <v>43384</v>
      </c>
      <c r="F869" s="689">
        <v>43383</v>
      </c>
      <c r="G869" s="693" t="s">
        <v>6741</v>
      </c>
      <c r="H869" s="693" t="s">
        <v>576</v>
      </c>
      <c r="I869" s="693" t="s">
        <v>6476</v>
      </c>
      <c r="J869" s="16">
        <v>43395</v>
      </c>
      <c r="K869" s="689">
        <v>43395</v>
      </c>
      <c r="L869" s="706" t="s">
        <v>6742</v>
      </c>
      <c r="M869" s="693" t="s">
        <v>195</v>
      </c>
      <c r="N869" s="693" t="s">
        <v>196</v>
      </c>
      <c r="O869" s="16">
        <v>43452</v>
      </c>
      <c r="P869" s="689">
        <v>43452</v>
      </c>
      <c r="Q869" s="706" t="s">
        <v>7962</v>
      </c>
      <c r="R869" s="160" t="s">
        <v>576</v>
      </c>
      <c r="S869" s="706" t="s">
        <v>7963</v>
      </c>
      <c r="T869" s="16">
        <v>43502</v>
      </c>
      <c r="U869" s="689">
        <v>43502</v>
      </c>
      <c r="V869" s="706" t="s">
        <v>8487</v>
      </c>
      <c r="W869" s="706" t="s">
        <v>63</v>
      </c>
      <c r="X869" s="706" t="s">
        <v>79</v>
      </c>
      <c r="Y869" s="240"/>
      <c r="Z869" s="709"/>
      <c r="AA869" s="710"/>
      <c r="AB869" s="711"/>
      <c r="AC869" s="712"/>
      <c r="AD869" s="240"/>
      <c r="AE869" s="709"/>
      <c r="AF869" s="710"/>
      <c r="AG869" s="711"/>
      <c r="AH869" s="712"/>
      <c r="AI869" s="713"/>
      <c r="AJ869" s="709"/>
      <c r="AK869" s="710"/>
      <c r="AL869" s="711"/>
      <c r="AM869" s="712"/>
      <c r="AN869" s="692" t="s">
        <v>6743</v>
      </c>
      <c r="AO869" s="774" t="s">
        <v>7946</v>
      </c>
      <c r="AP869" s="715"/>
      <c r="AQ869" s="775" t="s">
        <v>6744</v>
      </c>
      <c r="AR869" s="706" t="s">
        <v>6736</v>
      </c>
      <c r="AS869" s="16">
        <v>38351</v>
      </c>
      <c r="AT869" s="16">
        <v>39994</v>
      </c>
      <c r="AU869" s="706" t="s">
        <v>6745</v>
      </c>
      <c r="AV869" s="706"/>
      <c r="AW869" s="686" t="s">
        <v>69</v>
      </c>
      <c r="AX869" s="706" t="s">
        <v>94</v>
      </c>
      <c r="AY869" s="16">
        <v>41774</v>
      </c>
      <c r="AZ869" s="706" t="s">
        <v>6739</v>
      </c>
      <c r="BA869" s="16">
        <v>43349</v>
      </c>
      <c r="BB869" s="16">
        <v>43385</v>
      </c>
      <c r="BC869" s="706" t="s">
        <v>95</v>
      </c>
      <c r="BD869" s="686" t="s">
        <v>4604</v>
      </c>
      <c r="BE869" s="711"/>
      <c r="BF869" s="690"/>
      <c r="BG869" s="710"/>
      <c r="BH869" s="717"/>
      <c r="BI869" s="710"/>
      <c r="BJ869" s="708">
        <f>+[372]MATRIZ!$J$66</f>
        <v>0</v>
      </c>
      <c r="BK869" s="708"/>
      <c r="BL869" s="718"/>
      <c r="BM869" s="191"/>
      <c r="BN869" s="719"/>
      <c r="BO869" s="719"/>
      <c r="BP869" s="721"/>
      <c r="BQ869" s="722"/>
      <c r="BR869" s="723"/>
      <c r="BS869" s="795"/>
      <c r="BT869" s="710"/>
      <c r="BU869" s="710"/>
      <c r="BV869" s="710"/>
      <c r="BW869" s="724"/>
      <c r="BX869" s="725"/>
      <c r="BY869" s="240"/>
      <c r="BZ869" s="726"/>
    </row>
    <row r="870" spans="1:555" ht="72.75" customHeight="1">
      <c r="A870" s="96">
        <v>865</v>
      </c>
      <c r="B870" s="424" t="s">
        <v>6746</v>
      </c>
      <c r="C870" s="419">
        <v>7601835</v>
      </c>
      <c r="D870" s="439" t="s">
        <v>193</v>
      </c>
      <c r="E870" s="147">
        <v>43368</v>
      </c>
      <c r="F870" s="21">
        <v>43368</v>
      </c>
      <c r="G870" s="424" t="s">
        <v>6747</v>
      </c>
      <c r="H870" s="26" t="s">
        <v>63</v>
      </c>
      <c r="I870" s="26" t="s">
        <v>79</v>
      </c>
      <c r="J870" s="420">
        <v>43452</v>
      </c>
      <c r="K870" s="21">
        <v>43452</v>
      </c>
      <c r="L870" s="424" t="s">
        <v>7991</v>
      </c>
      <c r="M870" s="428" t="s">
        <v>63</v>
      </c>
      <c r="N870" s="428" t="s">
        <v>85</v>
      </c>
      <c r="O870" s="60">
        <v>44000</v>
      </c>
      <c r="P870" s="63">
        <v>44000</v>
      </c>
      <c r="Q870" s="62" t="s">
        <v>9515</v>
      </c>
      <c r="R870" s="58" t="s">
        <v>63</v>
      </c>
      <c r="S870" s="58" t="s">
        <v>9516</v>
      </c>
      <c r="T870" s="147"/>
      <c r="U870" s="21"/>
      <c r="V870" s="424"/>
      <c r="W870" s="236"/>
      <c r="X870" s="249"/>
      <c r="Y870" s="233"/>
      <c r="Z870" s="234"/>
      <c r="AA870" s="235"/>
      <c r="AB870" s="236"/>
      <c r="AC870" s="249"/>
      <c r="AD870" s="233"/>
      <c r="AE870" s="234"/>
      <c r="AF870" s="235"/>
      <c r="AG870" s="236"/>
      <c r="AH870" s="249"/>
      <c r="AI870" s="237"/>
      <c r="AJ870" s="234"/>
      <c r="AK870" s="235"/>
      <c r="AL870" s="236"/>
      <c r="AM870" s="249"/>
      <c r="AN870" s="421" t="s">
        <v>6743</v>
      </c>
      <c r="AO870" s="483"/>
      <c r="AP870" s="239"/>
      <c r="AQ870" s="217" t="s">
        <v>6748</v>
      </c>
      <c r="AR870" s="424" t="s">
        <v>79</v>
      </c>
      <c r="AS870" s="147">
        <v>38412</v>
      </c>
      <c r="AT870" s="147">
        <v>39994</v>
      </c>
      <c r="AU870" s="424" t="s">
        <v>6749</v>
      </c>
      <c r="AV870" s="424"/>
      <c r="AW870" s="424" t="s">
        <v>92</v>
      </c>
      <c r="AX870" s="424" t="s">
        <v>6750</v>
      </c>
      <c r="AY870" s="420">
        <v>43113</v>
      </c>
      <c r="AZ870" s="424" t="s">
        <v>2075</v>
      </c>
      <c r="BA870" s="147">
        <v>43069</v>
      </c>
      <c r="BB870" s="678">
        <v>43173</v>
      </c>
      <c r="BC870" s="424" t="s">
        <v>6498</v>
      </c>
      <c r="BD870" s="422" t="s">
        <v>4604</v>
      </c>
      <c r="BE870" s="236"/>
      <c r="BF870" s="22"/>
      <c r="BG870" s="235"/>
      <c r="BH870" s="194"/>
      <c r="BI870" s="235"/>
      <c r="BJ870" s="209">
        <f>+[373]MATRIZ!$J$64</f>
        <v>0</v>
      </c>
      <c r="BK870" s="159"/>
      <c r="BL870" s="196"/>
      <c r="BM870" s="384"/>
      <c r="BN870" s="541"/>
      <c r="BO870" s="449"/>
      <c r="BP870" s="410"/>
      <c r="BQ870" s="414"/>
      <c r="BR870" s="243"/>
      <c r="BS870" s="248"/>
      <c r="BT870" s="235"/>
      <c r="BU870" s="235"/>
      <c r="BV870" s="235"/>
      <c r="BW870" s="244"/>
      <c r="BX870" s="245"/>
      <c r="BY870" s="233"/>
      <c r="BZ870" s="246"/>
    </row>
    <row r="871" spans="1:555" ht="67.5">
      <c r="A871" s="96">
        <v>866</v>
      </c>
      <c r="B871" s="424" t="s">
        <v>6751</v>
      </c>
      <c r="C871" s="419">
        <v>79613313</v>
      </c>
      <c r="D871" s="439" t="s">
        <v>167</v>
      </c>
      <c r="E871" s="147">
        <v>43357</v>
      </c>
      <c r="F871" s="21">
        <v>43357</v>
      </c>
      <c r="G871" s="26" t="s">
        <v>6752</v>
      </c>
      <c r="H871" s="26" t="s">
        <v>5</v>
      </c>
      <c r="I871" s="26" t="s">
        <v>2413</v>
      </c>
      <c r="J871" s="147"/>
      <c r="K871" s="21"/>
      <c r="L871" s="424"/>
      <c r="M871" s="236"/>
      <c r="N871" s="249"/>
      <c r="O871" s="147"/>
      <c r="P871" s="21"/>
      <c r="Q871" s="424"/>
      <c r="R871" s="236"/>
      <c r="S871" s="249"/>
      <c r="T871" s="147"/>
      <c r="U871" s="21"/>
      <c r="V871" s="424"/>
      <c r="W871" s="236"/>
      <c r="X871" s="249"/>
      <c r="Y871" s="233"/>
      <c r="Z871" s="234"/>
      <c r="AA871" s="235"/>
      <c r="AB871" s="236"/>
      <c r="AC871" s="249"/>
      <c r="AD871" s="233"/>
      <c r="AE871" s="234"/>
      <c r="AF871" s="235"/>
      <c r="AG871" s="236"/>
      <c r="AH871" s="249"/>
      <c r="AI871" s="237"/>
      <c r="AJ871" s="234"/>
      <c r="AK871" s="235"/>
      <c r="AL871" s="236"/>
      <c r="AM871" s="249"/>
      <c r="AN871" s="421" t="s">
        <v>6743</v>
      </c>
      <c r="AO871" s="483"/>
      <c r="AP871" s="239"/>
      <c r="AQ871" s="217" t="s">
        <v>6753</v>
      </c>
      <c r="AR871" s="424" t="s">
        <v>79</v>
      </c>
      <c r="AS871" s="147">
        <v>37666</v>
      </c>
      <c r="AT871" s="147">
        <v>40588</v>
      </c>
      <c r="AU871" s="424" t="s">
        <v>6754</v>
      </c>
      <c r="AV871" s="424"/>
      <c r="AW871" s="141" t="s">
        <v>69</v>
      </c>
      <c r="AX871" s="424" t="s">
        <v>6755</v>
      </c>
      <c r="AY871" s="147">
        <v>42899</v>
      </c>
      <c r="AZ871" s="424" t="s">
        <v>6733</v>
      </c>
      <c r="BA871" s="147">
        <v>43181</v>
      </c>
      <c r="BB871" s="678">
        <v>43208</v>
      </c>
      <c r="BC871" s="424" t="s">
        <v>6498</v>
      </c>
      <c r="BD871" s="422" t="s">
        <v>4604</v>
      </c>
      <c r="BE871" s="236"/>
      <c r="BF871" s="22"/>
      <c r="BG871" s="235"/>
      <c r="BH871" s="194"/>
      <c r="BI871" s="235"/>
      <c r="BJ871" s="209">
        <f>+[374]MATRIZ!$J$85</f>
        <v>0</v>
      </c>
      <c r="BK871" s="159"/>
      <c r="BL871" s="196"/>
      <c r="BM871" s="384"/>
      <c r="BN871" s="541"/>
      <c r="BO871" s="449"/>
      <c r="BP871" s="410"/>
      <c r="BQ871" s="414"/>
      <c r="BR871" s="243"/>
      <c r="BS871" s="248"/>
      <c r="BT871" s="235"/>
      <c r="BU871" s="235"/>
      <c r="BV871" s="235"/>
      <c r="BW871" s="244"/>
      <c r="BX871" s="245"/>
      <c r="BY871" s="233"/>
      <c r="BZ871" s="246"/>
    </row>
    <row r="872" spans="1:555" ht="44.25" customHeight="1">
      <c r="A872" s="96">
        <v>867</v>
      </c>
      <c r="B872" s="424" t="s">
        <v>6756</v>
      </c>
      <c r="C872" s="419">
        <v>7690129</v>
      </c>
      <c r="D872" s="439" t="s">
        <v>3645</v>
      </c>
      <c r="E872" s="147">
        <v>43276</v>
      </c>
      <c r="F872" s="21">
        <v>43276</v>
      </c>
      <c r="G872" s="26" t="s">
        <v>6757</v>
      </c>
      <c r="H872" s="26" t="s">
        <v>576</v>
      </c>
      <c r="I872" s="26" t="s">
        <v>2411</v>
      </c>
      <c r="J872" s="147">
        <v>43371</v>
      </c>
      <c r="K872" s="21">
        <v>43371</v>
      </c>
      <c r="L872" s="26" t="s">
        <v>6758</v>
      </c>
      <c r="M872" s="26" t="s">
        <v>6759</v>
      </c>
      <c r="N872" s="26" t="s">
        <v>1082</v>
      </c>
      <c r="O872" s="147">
        <v>43276</v>
      </c>
      <c r="P872" s="21">
        <v>43276</v>
      </c>
      <c r="Q872" s="424" t="s">
        <v>6757</v>
      </c>
      <c r="R872" s="26" t="s">
        <v>625</v>
      </c>
      <c r="S872" s="428" t="s">
        <v>6005</v>
      </c>
      <c r="T872" s="420">
        <v>43532</v>
      </c>
      <c r="U872" s="21">
        <v>43532</v>
      </c>
      <c r="V872" s="428" t="s">
        <v>8387</v>
      </c>
      <c r="W872" s="428" t="s">
        <v>63</v>
      </c>
      <c r="X872" s="141" t="s">
        <v>85</v>
      </c>
      <c r="Y872" s="173">
        <v>43507</v>
      </c>
      <c r="Z872" s="146">
        <v>43507</v>
      </c>
      <c r="AA872" s="428" t="s">
        <v>8490</v>
      </c>
      <c r="AB872" s="141" t="s">
        <v>63</v>
      </c>
      <c r="AC872" s="141" t="s">
        <v>79</v>
      </c>
      <c r="AD872" s="173">
        <v>43896</v>
      </c>
      <c r="AE872" s="146">
        <v>43896</v>
      </c>
      <c r="AF872" s="428" t="s">
        <v>9493</v>
      </c>
      <c r="AG872" s="141" t="s">
        <v>63</v>
      </c>
      <c r="AH872" s="141" t="s">
        <v>8255</v>
      </c>
      <c r="AI872" s="237"/>
      <c r="AJ872" s="234"/>
      <c r="AK872" s="235"/>
      <c r="AL872" s="236"/>
      <c r="AM872" s="249"/>
      <c r="AN872" s="421" t="s">
        <v>6743</v>
      </c>
      <c r="AO872" s="483"/>
      <c r="AP872" s="239"/>
      <c r="AQ872" s="217" t="s">
        <v>6760</v>
      </c>
      <c r="AR872" s="424" t="s">
        <v>6476</v>
      </c>
      <c r="AS872" s="147">
        <v>37987</v>
      </c>
      <c r="AT872" s="147">
        <v>40862</v>
      </c>
      <c r="AU872" s="424" t="s">
        <v>7371</v>
      </c>
      <c r="AV872" s="424"/>
      <c r="AW872" s="141" t="s">
        <v>69</v>
      </c>
      <c r="AX872" s="428" t="s">
        <v>3688</v>
      </c>
      <c r="AY872" s="420">
        <v>42033</v>
      </c>
      <c r="AZ872" s="424" t="s">
        <v>2433</v>
      </c>
      <c r="BA872" s="147">
        <v>43201</v>
      </c>
      <c r="BB872" s="678">
        <v>43300</v>
      </c>
      <c r="BC872" s="424" t="s">
        <v>6498</v>
      </c>
      <c r="BD872" s="422" t="s">
        <v>4604</v>
      </c>
      <c r="BE872" s="236"/>
      <c r="BF872" s="22"/>
      <c r="BG872" s="235"/>
      <c r="BH872" s="194"/>
      <c r="BI872" s="235"/>
      <c r="BJ872" s="209">
        <f>+[375]MATRIZ!$J$86</f>
        <v>0</v>
      </c>
      <c r="BK872" s="159"/>
      <c r="BL872" s="196"/>
      <c r="BM872" s="384"/>
      <c r="BN872" s="541"/>
      <c r="BO872" s="449"/>
      <c r="BP872" s="410"/>
      <c r="BQ872" s="414"/>
      <c r="BR872" s="243"/>
      <c r="BS872" s="248"/>
      <c r="BT872" s="235"/>
      <c r="BU872" s="235"/>
      <c r="BV872" s="235"/>
      <c r="BW872" s="244"/>
      <c r="BX872" s="245"/>
      <c r="BY872" s="233"/>
      <c r="BZ872" s="246"/>
    </row>
    <row r="873" spans="1:555" ht="54">
      <c r="A873" s="96">
        <v>868</v>
      </c>
      <c r="B873" s="424" t="s">
        <v>6761</v>
      </c>
      <c r="C873" s="419">
        <v>79580656</v>
      </c>
      <c r="D873" s="439" t="s">
        <v>167</v>
      </c>
      <c r="E873" s="147">
        <v>43390</v>
      </c>
      <c r="F873" s="21">
        <v>43390</v>
      </c>
      <c r="G873" s="26" t="s">
        <v>6762</v>
      </c>
      <c r="H873" s="26" t="s">
        <v>625</v>
      </c>
      <c r="I873" s="26" t="s">
        <v>2411</v>
      </c>
      <c r="J873" s="147">
        <v>43376</v>
      </c>
      <c r="K873" s="21">
        <v>43376</v>
      </c>
      <c r="L873" s="424" t="s">
        <v>6763</v>
      </c>
      <c r="M873" s="26" t="s">
        <v>625</v>
      </c>
      <c r="N873" s="26" t="s">
        <v>2395</v>
      </c>
      <c r="O873" s="147">
        <v>43389</v>
      </c>
      <c r="P873" s="21">
        <v>43389</v>
      </c>
      <c r="Q873" s="424" t="s">
        <v>6764</v>
      </c>
      <c r="R873" s="26" t="s">
        <v>625</v>
      </c>
      <c r="S873" s="428" t="s">
        <v>2411</v>
      </c>
      <c r="T873" s="147"/>
      <c r="U873" s="21"/>
      <c r="V873" s="424"/>
      <c r="W873" s="236"/>
      <c r="X873" s="249"/>
      <c r="Y873" s="233"/>
      <c r="Z873" s="234"/>
      <c r="AA873" s="235"/>
      <c r="AB873" s="236"/>
      <c r="AC873" s="249"/>
      <c r="AD873" s="233"/>
      <c r="AE873" s="234"/>
      <c r="AF873" s="235"/>
      <c r="AG873" s="236"/>
      <c r="AH873" s="249"/>
      <c r="AI873" s="237"/>
      <c r="AJ873" s="234"/>
      <c r="AK873" s="235"/>
      <c r="AL873" s="236"/>
      <c r="AM873" s="249"/>
      <c r="AN873" s="421" t="s">
        <v>4690</v>
      </c>
      <c r="AO873" s="483"/>
      <c r="AP873" s="239"/>
      <c r="AQ873" s="217" t="s">
        <v>6765</v>
      </c>
      <c r="AR873" s="424" t="s">
        <v>2411</v>
      </c>
      <c r="AS873" s="147">
        <v>37773</v>
      </c>
      <c r="AT873" s="147">
        <v>39856</v>
      </c>
      <c r="AU873" s="424" t="s">
        <v>6766</v>
      </c>
      <c r="AV873" s="424"/>
      <c r="AW873" s="141" t="s">
        <v>69</v>
      </c>
      <c r="AX873" s="428" t="s">
        <v>6767</v>
      </c>
      <c r="AY873" s="420">
        <v>42055</v>
      </c>
      <c r="AZ873" s="424" t="s">
        <v>6733</v>
      </c>
      <c r="BA873" s="147">
        <v>43314</v>
      </c>
      <c r="BB873" s="678">
        <v>42860</v>
      </c>
      <c r="BC873" s="424" t="s">
        <v>6498</v>
      </c>
      <c r="BD873" s="422" t="s">
        <v>4604</v>
      </c>
      <c r="BE873" s="236"/>
      <c r="BF873" s="22"/>
      <c r="BG873" s="235"/>
      <c r="BH873" s="194"/>
      <c r="BI873" s="235"/>
      <c r="BJ873" s="209">
        <f>+'[376]MATRIZ '!$J$67</f>
        <v>0</v>
      </c>
      <c r="BK873" s="159"/>
      <c r="BL873" s="196"/>
      <c r="BM873" s="384"/>
      <c r="BN873" s="541"/>
      <c r="BO873" s="449"/>
      <c r="BP873" s="410"/>
      <c r="BQ873" s="414"/>
      <c r="BR873" s="243"/>
      <c r="BS873" s="248"/>
      <c r="BT873" s="235"/>
      <c r="BU873" s="235"/>
      <c r="BV873" s="235"/>
      <c r="BW873" s="244"/>
      <c r="BX873" s="245"/>
      <c r="BY873" s="233"/>
      <c r="BZ873" s="246"/>
    </row>
    <row r="874" spans="1:555" ht="51.75" customHeight="1">
      <c r="A874" s="502">
        <v>869</v>
      </c>
      <c r="B874" s="706" t="s">
        <v>6768</v>
      </c>
      <c r="C874" s="687">
        <v>71380570</v>
      </c>
      <c r="D874" s="688" t="s">
        <v>333</v>
      </c>
      <c r="E874" s="16">
        <v>43399</v>
      </c>
      <c r="F874" s="689">
        <v>43399</v>
      </c>
      <c r="G874" s="693" t="s">
        <v>6769</v>
      </c>
      <c r="H874" s="693" t="s">
        <v>625</v>
      </c>
      <c r="I874" s="693" t="s">
        <v>3043</v>
      </c>
      <c r="J874" s="16">
        <v>43564</v>
      </c>
      <c r="K874" s="689">
        <v>43564</v>
      </c>
      <c r="L874" s="706" t="s">
        <v>8422</v>
      </c>
      <c r="M874" s="711" t="s">
        <v>171</v>
      </c>
      <c r="N874" s="27" t="s">
        <v>6174</v>
      </c>
      <c r="O874" s="16">
        <v>44351</v>
      </c>
      <c r="P874" s="689">
        <v>44351</v>
      </c>
      <c r="Q874" s="706" t="s">
        <v>10508</v>
      </c>
      <c r="R874" s="693" t="s">
        <v>5</v>
      </c>
      <c r="S874" s="706" t="s">
        <v>79</v>
      </c>
      <c r="T874" s="250"/>
      <c r="U874" s="251"/>
      <c r="V874" s="252"/>
      <c r="W874" s="238"/>
      <c r="X874" s="375"/>
      <c r="Y874" s="250"/>
      <c r="Z874" s="251"/>
      <c r="AA874" s="252"/>
      <c r="AB874" s="238"/>
      <c r="AC874" s="375"/>
      <c r="AD874" s="250"/>
      <c r="AE874" s="251"/>
      <c r="AF874" s="252"/>
      <c r="AG874" s="238"/>
      <c r="AH874" s="375"/>
      <c r="AI874" s="253"/>
      <c r="AJ874" s="251"/>
      <c r="AK874" s="252"/>
      <c r="AL874" s="238"/>
      <c r="AM874" s="375"/>
      <c r="AN874" s="238"/>
      <c r="AO874" s="483" t="s">
        <v>7946</v>
      </c>
      <c r="AP874" s="239"/>
      <c r="AQ874" s="217" t="s">
        <v>6770</v>
      </c>
      <c r="AR874" s="424" t="s">
        <v>6476</v>
      </c>
      <c r="AS874" s="420">
        <v>37956</v>
      </c>
      <c r="AT874" s="420">
        <v>39825</v>
      </c>
      <c r="AU874" s="424" t="s">
        <v>6771</v>
      </c>
      <c r="AV874" s="424"/>
      <c r="AW874" s="141" t="s">
        <v>69</v>
      </c>
      <c r="AX874" s="428" t="s">
        <v>6772</v>
      </c>
      <c r="AY874" s="420">
        <v>42404</v>
      </c>
      <c r="AZ874" s="428" t="s">
        <v>409</v>
      </c>
      <c r="BA874" s="420">
        <v>43399</v>
      </c>
      <c r="BB874" s="678">
        <v>43405</v>
      </c>
      <c r="BC874" s="424" t="s">
        <v>6498</v>
      </c>
      <c r="BD874" s="422" t="s">
        <v>4604</v>
      </c>
      <c r="BE874" s="238"/>
      <c r="BF874" s="22"/>
      <c r="BG874" s="252"/>
      <c r="BH874" s="194"/>
      <c r="BI874" s="252"/>
      <c r="BJ874" s="209">
        <f>+[377]MATRIZ!$J$51</f>
        <v>12411429.156991171</v>
      </c>
      <c r="BK874" s="159"/>
      <c r="BL874" s="196"/>
      <c r="BM874" s="384"/>
      <c r="BN874" s="541"/>
      <c r="BO874" s="448"/>
      <c r="BP874" s="408"/>
      <c r="BQ874" s="415"/>
      <c r="BR874" s="254"/>
      <c r="BS874" s="248"/>
      <c r="BT874" s="252"/>
      <c r="BU874" s="252"/>
      <c r="BV874" s="252"/>
      <c r="BW874" s="255"/>
      <c r="BX874" s="256"/>
      <c r="BY874" s="250"/>
      <c r="BZ874" s="257"/>
    </row>
    <row r="875" spans="1:555" ht="40.5">
      <c r="A875" s="96">
        <v>870</v>
      </c>
      <c r="B875" s="424" t="s">
        <v>7242</v>
      </c>
      <c r="C875" s="419">
        <v>94450412</v>
      </c>
      <c r="D875" s="439" t="s">
        <v>1153</v>
      </c>
      <c r="E875" s="420">
        <v>43405</v>
      </c>
      <c r="F875" s="21">
        <v>43405</v>
      </c>
      <c r="G875" s="428" t="s">
        <v>7240</v>
      </c>
      <c r="H875" s="26" t="s">
        <v>576</v>
      </c>
      <c r="I875" s="423" t="s">
        <v>6174</v>
      </c>
      <c r="J875" s="147">
        <v>43460</v>
      </c>
      <c r="K875" s="21">
        <v>43460</v>
      </c>
      <c r="L875" s="424" t="s">
        <v>7996</v>
      </c>
      <c r="M875" s="26" t="s">
        <v>576</v>
      </c>
      <c r="N875" s="423" t="s">
        <v>6174</v>
      </c>
      <c r="O875" s="147">
        <v>43564</v>
      </c>
      <c r="P875" s="21">
        <v>43564</v>
      </c>
      <c r="Q875" s="424" t="s">
        <v>8657</v>
      </c>
      <c r="R875" s="26" t="s">
        <v>5</v>
      </c>
      <c r="S875" s="428" t="s">
        <v>79</v>
      </c>
      <c r="T875" s="233"/>
      <c r="U875" s="234"/>
      <c r="V875" s="235"/>
      <c r="W875" s="236"/>
      <c r="X875" s="249"/>
      <c r="Y875" s="233"/>
      <c r="Z875" s="234"/>
      <c r="AA875" s="235"/>
      <c r="AB875" s="236"/>
      <c r="AC875" s="249"/>
      <c r="AD875" s="233"/>
      <c r="AE875" s="234"/>
      <c r="AF875" s="235"/>
      <c r="AG875" s="236"/>
      <c r="AH875" s="249"/>
      <c r="AI875" s="237"/>
      <c r="AJ875" s="234"/>
      <c r="AK875" s="235"/>
      <c r="AL875" s="236"/>
      <c r="AM875" s="249"/>
      <c r="AN875" s="238"/>
      <c r="AO875" s="485"/>
      <c r="AP875" s="239"/>
      <c r="AQ875" s="217" t="s">
        <v>7244</v>
      </c>
      <c r="AR875" s="424" t="s">
        <v>6476</v>
      </c>
      <c r="AS875" s="147">
        <v>37073</v>
      </c>
      <c r="AT875" s="147">
        <v>40847</v>
      </c>
      <c r="AU875" s="424" t="s">
        <v>7245</v>
      </c>
      <c r="AV875" s="424"/>
      <c r="AW875" s="141" t="s">
        <v>69</v>
      </c>
      <c r="AX875" s="428" t="s">
        <v>6733</v>
      </c>
      <c r="AY875" s="420">
        <v>41879</v>
      </c>
      <c r="AZ875" s="424" t="s">
        <v>6739</v>
      </c>
      <c r="BA875" s="147">
        <v>43350</v>
      </c>
      <c r="BB875" s="678">
        <v>43406</v>
      </c>
      <c r="BC875" s="424" t="s">
        <v>6498</v>
      </c>
      <c r="BD875" s="422" t="s">
        <v>7243</v>
      </c>
      <c r="BE875" s="236"/>
      <c r="BF875" s="22"/>
      <c r="BG875" s="235"/>
      <c r="BH875" s="194"/>
      <c r="BI875" s="235"/>
      <c r="BJ875" s="209">
        <f>+[378]MATRIZ!$J$91</f>
        <v>0</v>
      </c>
      <c r="BK875" s="159"/>
      <c r="BL875" s="196"/>
      <c r="BM875" s="384"/>
      <c r="BN875" s="541"/>
      <c r="BO875" s="449"/>
      <c r="BP875" s="410"/>
      <c r="BQ875" s="414"/>
      <c r="BR875" s="243"/>
      <c r="BS875" s="248"/>
      <c r="BT875" s="235"/>
      <c r="BU875" s="235"/>
      <c r="BV875" s="235"/>
      <c r="BW875" s="244"/>
      <c r="BX875" s="245"/>
      <c r="BY875" s="233"/>
      <c r="BZ875" s="246"/>
    </row>
    <row r="876" spans="1:555" ht="56.25" customHeight="1">
      <c r="A876" s="296">
        <v>871</v>
      </c>
      <c r="B876" s="315" t="s">
        <v>7279</v>
      </c>
      <c r="C876" s="298">
        <v>7709786</v>
      </c>
      <c r="D876" s="354" t="s">
        <v>3645</v>
      </c>
      <c r="E876" s="305">
        <v>43382</v>
      </c>
      <c r="F876" s="300">
        <v>43382</v>
      </c>
      <c r="G876" s="315" t="s">
        <v>7280</v>
      </c>
      <c r="H876" s="304" t="s">
        <v>63</v>
      </c>
      <c r="I876" s="299" t="s">
        <v>2413</v>
      </c>
      <c r="J876" s="344">
        <v>43896</v>
      </c>
      <c r="K876" s="302">
        <v>43896</v>
      </c>
      <c r="L876" s="330" t="s">
        <v>9493</v>
      </c>
      <c r="M876" s="326" t="s">
        <v>63</v>
      </c>
      <c r="N876" s="297" t="s">
        <v>8243</v>
      </c>
      <c r="O876" s="305"/>
      <c r="P876" s="300"/>
      <c r="Q876" s="512"/>
      <c r="R876" s="513"/>
      <c r="S876" s="514"/>
      <c r="T876" s="511"/>
      <c r="U876" s="368"/>
      <c r="V876" s="512"/>
      <c r="W876" s="513"/>
      <c r="X876" s="514"/>
      <c r="Y876" s="511"/>
      <c r="Z876" s="368"/>
      <c r="AA876" s="512"/>
      <c r="AB876" s="513"/>
      <c r="AC876" s="514"/>
      <c r="AD876" s="511"/>
      <c r="AE876" s="368"/>
      <c r="AF876" s="512"/>
      <c r="AG876" s="513"/>
      <c r="AH876" s="514"/>
      <c r="AI876" s="515"/>
      <c r="AJ876" s="368"/>
      <c r="AK876" s="512"/>
      <c r="AL876" s="513"/>
      <c r="AM876" s="514"/>
      <c r="AN876" s="513"/>
      <c r="AO876" s="970">
        <v>43382</v>
      </c>
      <c r="AP876" s="516"/>
      <c r="AQ876" s="517" t="s">
        <v>7314</v>
      </c>
      <c r="AR876" s="315" t="s">
        <v>161</v>
      </c>
      <c r="AS876" s="305">
        <v>39052</v>
      </c>
      <c r="AT876" s="305">
        <v>39804</v>
      </c>
      <c r="AU876" s="315" t="s">
        <v>7281</v>
      </c>
      <c r="AV876" s="315"/>
      <c r="AW876" s="315" t="s">
        <v>92</v>
      </c>
      <c r="AX876" s="315" t="s">
        <v>6121</v>
      </c>
      <c r="AY876" s="305">
        <v>42062</v>
      </c>
      <c r="AZ876" s="315" t="s">
        <v>3688</v>
      </c>
      <c r="BA876" s="305">
        <v>42536</v>
      </c>
      <c r="BB876" s="305">
        <v>42557</v>
      </c>
      <c r="BC876" s="315" t="s">
        <v>8919</v>
      </c>
      <c r="BD876" s="297" t="s">
        <v>7243</v>
      </c>
      <c r="BE876" s="513"/>
      <c r="BF876" s="301"/>
      <c r="BG876" s="512"/>
      <c r="BH876" s="330"/>
      <c r="BI876" s="512"/>
      <c r="BJ876" s="350">
        <f>+[379]MATRIZ!$J$44</f>
        <v>0</v>
      </c>
      <c r="BK876" s="350"/>
      <c r="BL876" s="351"/>
      <c r="BM876" s="358"/>
      <c r="BN876" s="359"/>
      <c r="BO876" s="518"/>
      <c r="BP876" s="528"/>
      <c r="BQ876" s="529"/>
      <c r="BR876" s="530"/>
      <c r="BS876" s="512"/>
      <c r="BT876" s="512"/>
      <c r="BU876" s="512"/>
      <c r="BV876" s="512"/>
      <c r="BW876" s="522"/>
      <c r="BX876" s="523"/>
      <c r="BY876" s="511"/>
      <c r="BZ876" s="524"/>
    </row>
    <row r="877" spans="1:555" ht="48.75" customHeight="1">
      <c r="A877" s="96">
        <v>872</v>
      </c>
      <c r="B877" s="424" t="s">
        <v>7353</v>
      </c>
      <c r="C877" s="419">
        <v>78707895</v>
      </c>
      <c r="D877" s="439" t="s">
        <v>1567</v>
      </c>
      <c r="E877" s="147">
        <v>43399</v>
      </c>
      <c r="F877" s="21">
        <v>43399</v>
      </c>
      <c r="G877" s="428" t="s">
        <v>7354</v>
      </c>
      <c r="H877" s="26" t="s">
        <v>63</v>
      </c>
      <c r="I877" s="423" t="s">
        <v>79</v>
      </c>
      <c r="J877" s="147">
        <v>43420</v>
      </c>
      <c r="K877" s="21">
        <v>43420</v>
      </c>
      <c r="L877" s="428" t="s">
        <v>7424</v>
      </c>
      <c r="M877" s="26" t="s">
        <v>5</v>
      </c>
      <c r="N877" s="26" t="s">
        <v>7425</v>
      </c>
      <c r="O877" s="147">
        <v>43441</v>
      </c>
      <c r="P877" s="21">
        <v>43441</v>
      </c>
      <c r="Q877" s="499" t="s">
        <v>7969</v>
      </c>
      <c r="R877" s="423" t="s">
        <v>5</v>
      </c>
      <c r="S877" s="423" t="s">
        <v>107</v>
      </c>
      <c r="T877" s="233">
        <v>44001</v>
      </c>
      <c r="U877" s="234">
        <v>44001</v>
      </c>
      <c r="V877" s="235" t="s">
        <v>9519</v>
      </c>
      <c r="W877" s="236" t="s">
        <v>5</v>
      </c>
      <c r="X877" s="249" t="s">
        <v>85</v>
      </c>
      <c r="Y877" s="233">
        <v>44018</v>
      </c>
      <c r="Z877" s="234">
        <v>44018</v>
      </c>
      <c r="AA877" s="235" t="s">
        <v>9520</v>
      </c>
      <c r="AB877" s="236" t="s">
        <v>5</v>
      </c>
      <c r="AC877" s="249" t="s">
        <v>85</v>
      </c>
      <c r="AD877" s="233"/>
      <c r="AE877" s="234"/>
      <c r="AF877" s="235"/>
      <c r="AG877" s="236"/>
      <c r="AH877" s="249"/>
      <c r="AI877" s="237"/>
      <c r="AJ877" s="234"/>
      <c r="AK877" s="235"/>
      <c r="AL877" s="236"/>
      <c r="AM877" s="249"/>
      <c r="AN877" s="238"/>
      <c r="AO877" s="485">
        <v>43398</v>
      </c>
      <c r="AP877" s="239"/>
      <c r="AQ877" s="217" t="s">
        <v>7357</v>
      </c>
      <c r="AR877" s="424" t="s">
        <v>161</v>
      </c>
      <c r="AS877" s="147">
        <v>38285</v>
      </c>
      <c r="AT877" s="147">
        <v>40694</v>
      </c>
      <c r="AU877" s="424" t="s">
        <v>7982</v>
      </c>
      <c r="AV877" s="424"/>
      <c r="AW877" s="424" t="s">
        <v>92</v>
      </c>
      <c r="AX877" s="428" t="s">
        <v>7356</v>
      </c>
      <c r="AY877" s="420">
        <v>43276</v>
      </c>
      <c r="AZ877" s="236" t="s">
        <v>67</v>
      </c>
      <c r="BA877" s="236" t="s">
        <v>67</v>
      </c>
      <c r="BB877" s="678">
        <v>43299</v>
      </c>
      <c r="BC877" s="424" t="s">
        <v>95</v>
      </c>
      <c r="BD877" s="422" t="s">
        <v>7355</v>
      </c>
      <c r="BE877" s="236"/>
      <c r="BF877" s="22"/>
      <c r="BG877" s="235"/>
      <c r="BH877" s="194"/>
      <c r="BI877" s="235"/>
      <c r="BJ877" s="209">
        <f>+[380]MATRIZ!$J$74</f>
        <v>0</v>
      </c>
      <c r="BK877" s="159"/>
      <c r="BL877" s="196"/>
      <c r="BM877" s="384"/>
      <c r="BN877" s="541"/>
      <c r="BO877" s="449"/>
      <c r="BP877" s="410"/>
      <c r="BQ877" s="414"/>
      <c r="BR877" s="243"/>
      <c r="BS877" s="235"/>
      <c r="BT877" s="235"/>
      <c r="BU877" s="235"/>
      <c r="BV877" s="235"/>
      <c r="BW877" s="244"/>
      <c r="BX877" s="245"/>
      <c r="BY877" s="233"/>
      <c r="BZ877" s="246"/>
    </row>
    <row r="878" spans="1:555" s="259" customFormat="1" ht="54">
      <c r="A878" s="502">
        <v>873</v>
      </c>
      <c r="B878" s="706" t="s">
        <v>7498</v>
      </c>
      <c r="C878" s="687">
        <v>79443065</v>
      </c>
      <c r="D878" s="688" t="s">
        <v>597</v>
      </c>
      <c r="E878" s="16">
        <v>43413</v>
      </c>
      <c r="F878" s="689">
        <v>43413</v>
      </c>
      <c r="G878" s="706" t="s">
        <v>7500</v>
      </c>
      <c r="H878" s="693" t="s">
        <v>625</v>
      </c>
      <c r="I878" s="27" t="s">
        <v>6174</v>
      </c>
      <c r="J878" s="16">
        <v>43445</v>
      </c>
      <c r="K878" s="689">
        <v>43445</v>
      </c>
      <c r="L878" s="706" t="s">
        <v>7750</v>
      </c>
      <c r="M878" s="693" t="s">
        <v>625</v>
      </c>
      <c r="N878" s="27" t="s">
        <v>6443</v>
      </c>
      <c r="O878" s="16">
        <v>43445</v>
      </c>
      <c r="P878" s="689">
        <v>43445</v>
      </c>
      <c r="Q878" s="706" t="s">
        <v>7750</v>
      </c>
      <c r="R878" s="706" t="s">
        <v>171</v>
      </c>
      <c r="S878" s="27" t="s">
        <v>7993</v>
      </c>
      <c r="T878" s="16">
        <v>43633</v>
      </c>
      <c r="U878" s="689">
        <v>43633</v>
      </c>
      <c r="V878" s="706" t="s">
        <v>8812</v>
      </c>
      <c r="W878" s="693" t="s">
        <v>63</v>
      </c>
      <c r="X878" s="693" t="s">
        <v>79</v>
      </c>
      <c r="Y878" s="240"/>
      <c r="Z878" s="709"/>
      <c r="AA878" s="710"/>
      <c r="AB878" s="711"/>
      <c r="AC878" s="712"/>
      <c r="AD878" s="240"/>
      <c r="AE878" s="709"/>
      <c r="AF878" s="710"/>
      <c r="AG878" s="711"/>
      <c r="AH878" s="712"/>
      <c r="AI878" s="713"/>
      <c r="AJ878" s="709"/>
      <c r="AK878" s="710"/>
      <c r="AL878" s="711"/>
      <c r="AM878" s="712"/>
      <c r="AN878" s="711"/>
      <c r="AO878" s="774" t="s">
        <v>7946</v>
      </c>
      <c r="AP878" s="715"/>
      <c r="AQ878" s="775" t="s">
        <v>7499</v>
      </c>
      <c r="AR878" s="706" t="s">
        <v>2395</v>
      </c>
      <c r="AS878" s="16">
        <v>37834</v>
      </c>
      <c r="AT878" s="16">
        <v>40862</v>
      </c>
      <c r="AU878" s="706" t="s">
        <v>7502</v>
      </c>
      <c r="AV878" s="706"/>
      <c r="AW878" s="686" t="s">
        <v>69</v>
      </c>
      <c r="AX878" s="706" t="s">
        <v>7501</v>
      </c>
      <c r="AY878" s="16">
        <v>42811</v>
      </c>
      <c r="AZ878" s="706" t="s">
        <v>6733</v>
      </c>
      <c r="BA878" s="16">
        <v>43398</v>
      </c>
      <c r="BB878" s="16">
        <v>43417</v>
      </c>
      <c r="BC878" s="706" t="s">
        <v>95</v>
      </c>
      <c r="BD878" s="686" t="s">
        <v>7355</v>
      </c>
      <c r="BE878" s="711"/>
      <c r="BF878" s="690"/>
      <c r="BG878" s="710"/>
      <c r="BH878" s="717"/>
      <c r="BI878" s="710"/>
      <c r="BJ878" s="708">
        <f>+[381]MATRIZ!$J$88</f>
        <v>0</v>
      </c>
      <c r="BK878" s="708"/>
      <c r="BL878" s="718"/>
      <c r="BM878" s="191"/>
      <c r="BN878" s="719"/>
      <c r="BO878" s="720"/>
      <c r="BP878" s="721"/>
      <c r="BQ878" s="722"/>
      <c r="BR878" s="723"/>
      <c r="BS878" s="710"/>
      <c r="BT878" s="710"/>
      <c r="BU878" s="710"/>
      <c r="BV878" s="710"/>
      <c r="BW878" s="724"/>
      <c r="BX878" s="725"/>
      <c r="BY878" s="240"/>
      <c r="BZ878" s="726"/>
    </row>
    <row r="879" spans="1:555" ht="54">
      <c r="A879" s="96">
        <v>874</v>
      </c>
      <c r="B879" s="424" t="s">
        <v>7505</v>
      </c>
      <c r="C879" s="419">
        <v>78695473</v>
      </c>
      <c r="D879" s="439"/>
      <c r="E879" s="420">
        <v>43417</v>
      </c>
      <c r="F879" s="21">
        <v>43417</v>
      </c>
      <c r="G879" s="428" t="s">
        <v>7506</v>
      </c>
      <c r="H879" s="26" t="s">
        <v>625</v>
      </c>
      <c r="I879" s="423" t="s">
        <v>6174</v>
      </c>
      <c r="J879" s="420">
        <v>43418</v>
      </c>
      <c r="K879" s="21">
        <v>43418</v>
      </c>
      <c r="L879" s="428" t="s">
        <v>7507</v>
      </c>
      <c r="M879" s="26" t="s">
        <v>625</v>
      </c>
      <c r="N879" s="423" t="s">
        <v>6174</v>
      </c>
      <c r="O879" s="233"/>
      <c r="P879" s="234"/>
      <c r="Q879" s="235"/>
      <c r="R879" s="236"/>
      <c r="S879" s="249"/>
      <c r="T879" s="233"/>
      <c r="U879" s="234"/>
      <c r="V879" s="235"/>
      <c r="W879" s="236"/>
      <c r="X879" s="249"/>
      <c r="Y879" s="233"/>
      <c r="Z879" s="234"/>
      <c r="AA879" s="235"/>
      <c r="AB879" s="236"/>
      <c r="AC879" s="249"/>
      <c r="AD879" s="233"/>
      <c r="AE879" s="234"/>
      <c r="AF879" s="235"/>
      <c r="AG879" s="236"/>
      <c r="AH879" s="249"/>
      <c r="AI879" s="237"/>
      <c r="AJ879" s="234"/>
      <c r="AK879" s="235"/>
      <c r="AL879" s="236"/>
      <c r="AM879" s="249"/>
      <c r="AN879" s="238"/>
      <c r="AO879" s="483" t="s">
        <v>7946</v>
      </c>
      <c r="AP879" s="239"/>
      <c r="AQ879" s="217" t="s">
        <v>7504</v>
      </c>
      <c r="AR879" s="428" t="s">
        <v>2395</v>
      </c>
      <c r="AS879" s="147">
        <v>37742</v>
      </c>
      <c r="AT879" s="147">
        <v>40847</v>
      </c>
      <c r="AU879" s="424" t="s">
        <v>4499</v>
      </c>
      <c r="AV879" s="424"/>
      <c r="AW879" s="141" t="s">
        <v>69</v>
      </c>
      <c r="AX879" s="428" t="s">
        <v>7503</v>
      </c>
      <c r="AY879" s="420">
        <v>42683</v>
      </c>
      <c r="AZ879" s="424" t="s">
        <v>1630</v>
      </c>
      <c r="BA879" s="147">
        <v>43405</v>
      </c>
      <c r="BB879" s="678">
        <v>43423</v>
      </c>
      <c r="BC879" s="424" t="s">
        <v>912</v>
      </c>
      <c r="BD879" s="422" t="s">
        <v>7355</v>
      </c>
      <c r="BE879" s="236"/>
      <c r="BF879" s="22"/>
      <c r="BG879" s="235"/>
      <c r="BH879" s="194"/>
      <c r="BI879" s="235"/>
      <c r="BJ879" s="209">
        <f>+[382]MATRIZ!$J$54</f>
        <v>0</v>
      </c>
      <c r="BK879" s="159"/>
      <c r="BL879" s="196"/>
      <c r="BM879" s="384"/>
      <c r="BN879" s="541"/>
      <c r="BO879" s="541"/>
      <c r="BP879" s="410"/>
      <c r="BQ879" s="414"/>
      <c r="BR879" s="243"/>
      <c r="BS879" s="235"/>
      <c r="BT879" s="235"/>
      <c r="BU879" s="235"/>
      <c r="BV879" s="235"/>
      <c r="BW879" s="244"/>
      <c r="BX879" s="245"/>
      <c r="BY879" s="233"/>
      <c r="BZ879" s="246"/>
    </row>
    <row r="880" spans="1:555" ht="54">
      <c r="A880" s="96">
        <v>875</v>
      </c>
      <c r="B880" s="424" t="s">
        <v>7524</v>
      </c>
      <c r="C880" s="419">
        <v>71730474</v>
      </c>
      <c r="D880" s="439" t="s">
        <v>8072</v>
      </c>
      <c r="E880" s="147">
        <v>42824</v>
      </c>
      <c r="F880" s="21">
        <v>42824</v>
      </c>
      <c r="G880" s="428" t="s">
        <v>7535</v>
      </c>
      <c r="H880" s="26" t="s">
        <v>171</v>
      </c>
      <c r="I880" s="423" t="s">
        <v>7536</v>
      </c>
      <c r="J880" s="147">
        <v>43431</v>
      </c>
      <c r="K880" s="21">
        <v>43431</v>
      </c>
      <c r="L880" s="424" t="s">
        <v>7540</v>
      </c>
      <c r="M880" s="26" t="s">
        <v>625</v>
      </c>
      <c r="N880" s="26" t="s">
        <v>7541</v>
      </c>
      <c r="O880" s="147"/>
      <c r="P880" s="21"/>
      <c r="Q880" s="424"/>
      <c r="R880" s="26"/>
      <c r="S880" s="26"/>
      <c r="T880" s="233"/>
      <c r="U880" s="234"/>
      <c r="V880" s="235"/>
      <c r="W880" s="236"/>
      <c r="X880" s="249"/>
      <c r="Y880" s="233"/>
      <c r="Z880" s="234"/>
      <c r="AA880" s="235"/>
      <c r="AB880" s="236"/>
      <c r="AC880" s="249"/>
      <c r="AD880" s="233"/>
      <c r="AE880" s="234"/>
      <c r="AF880" s="235"/>
      <c r="AG880" s="236"/>
      <c r="AH880" s="249"/>
      <c r="AI880" s="237"/>
      <c r="AJ880" s="234"/>
      <c r="AK880" s="235"/>
      <c r="AL880" s="236"/>
      <c r="AM880" s="249"/>
      <c r="AN880" s="238"/>
      <c r="AO880" s="483" t="s">
        <v>7946</v>
      </c>
      <c r="AP880" s="239"/>
      <c r="AQ880" s="217" t="s">
        <v>7555</v>
      </c>
      <c r="AR880" s="428" t="s">
        <v>2395</v>
      </c>
      <c r="AS880" s="147">
        <v>34348</v>
      </c>
      <c r="AT880" s="147">
        <v>40908</v>
      </c>
      <c r="AU880" s="424" t="s">
        <v>7538</v>
      </c>
      <c r="AV880" s="424"/>
      <c r="AW880" s="141" t="s">
        <v>69</v>
      </c>
      <c r="AX880" s="428" t="s">
        <v>7537</v>
      </c>
      <c r="AY880" s="420">
        <v>42822</v>
      </c>
      <c r="AZ880" s="424" t="s">
        <v>6597</v>
      </c>
      <c r="BA880" s="147">
        <v>43427</v>
      </c>
      <c r="BB880" s="678" t="s">
        <v>7542</v>
      </c>
      <c r="BC880" s="424" t="s">
        <v>7539</v>
      </c>
      <c r="BD880" s="422" t="s">
        <v>7355</v>
      </c>
      <c r="BE880" s="236"/>
      <c r="BF880" s="22"/>
      <c r="BG880" s="235"/>
      <c r="BH880" s="194"/>
      <c r="BI880" s="235"/>
      <c r="BJ880" s="209">
        <f>+[383]MATRIZ!$J$59</f>
        <v>5366373.0104015749</v>
      </c>
      <c r="BK880" s="159"/>
      <c r="BL880" s="196"/>
      <c r="BM880" s="384"/>
      <c r="BN880" s="541"/>
      <c r="BO880" s="449"/>
      <c r="BP880" s="410"/>
      <c r="BQ880" s="414"/>
      <c r="BR880" s="243"/>
      <c r="BS880" s="235"/>
      <c r="BT880" s="235"/>
      <c r="BU880" s="235"/>
      <c r="BV880" s="235"/>
      <c r="BW880" s="244"/>
      <c r="BX880" s="245"/>
      <c r="BY880" s="233"/>
      <c r="BZ880" s="246"/>
    </row>
    <row r="881" spans="1:78" ht="54">
      <c r="A881" s="96">
        <v>876</v>
      </c>
      <c r="B881" s="424" t="s">
        <v>7543</v>
      </c>
      <c r="C881" s="419">
        <v>72349028</v>
      </c>
      <c r="D881" s="439" t="s">
        <v>6265</v>
      </c>
      <c r="E881" s="147">
        <v>43424</v>
      </c>
      <c r="F881" s="21">
        <v>43424</v>
      </c>
      <c r="G881" s="428" t="s">
        <v>7544</v>
      </c>
      <c r="H881" s="26" t="s">
        <v>328</v>
      </c>
      <c r="I881" s="423" t="s">
        <v>7541</v>
      </c>
      <c r="J881" s="147">
        <v>43622</v>
      </c>
      <c r="K881" s="21">
        <v>43622</v>
      </c>
      <c r="L881" s="424" t="s">
        <v>8741</v>
      </c>
      <c r="M881" s="26" t="s">
        <v>5</v>
      </c>
      <c r="N881" s="26" t="s">
        <v>79</v>
      </c>
      <c r="O881" s="147">
        <v>43734</v>
      </c>
      <c r="P881" s="21">
        <v>43734</v>
      </c>
      <c r="Q881" s="424" t="s">
        <v>9166</v>
      </c>
      <c r="R881" s="236" t="s">
        <v>5</v>
      </c>
      <c r="S881" s="249" t="s">
        <v>8243</v>
      </c>
      <c r="T881" s="147">
        <v>43846</v>
      </c>
      <c r="U881" s="21">
        <v>43846</v>
      </c>
      <c r="V881" s="424" t="s">
        <v>9385</v>
      </c>
      <c r="W881" s="26" t="s">
        <v>5</v>
      </c>
      <c r="X881" s="26" t="s">
        <v>85</v>
      </c>
      <c r="Y881" s="233"/>
      <c r="Z881" s="234"/>
      <c r="AA881" s="235"/>
      <c r="AB881" s="236"/>
      <c r="AC881" s="249"/>
      <c r="AD881" s="233"/>
      <c r="AE881" s="234"/>
      <c r="AF881" s="235"/>
      <c r="AG881" s="236"/>
      <c r="AH881" s="249"/>
      <c r="AI881" s="237"/>
      <c r="AJ881" s="234"/>
      <c r="AK881" s="235"/>
      <c r="AL881" s="236"/>
      <c r="AM881" s="249"/>
      <c r="AN881" s="238"/>
      <c r="AO881" s="483" t="s">
        <v>7946</v>
      </c>
      <c r="AP881" s="239"/>
      <c r="AQ881" s="217" t="s">
        <v>7545</v>
      </c>
      <c r="AR881" s="428" t="s">
        <v>2395</v>
      </c>
      <c r="AS881" s="147">
        <v>40600</v>
      </c>
      <c r="AT881" s="147">
        <v>40621</v>
      </c>
      <c r="AU881" s="424" t="s">
        <v>7546</v>
      </c>
      <c r="AV881" s="424"/>
      <c r="AW881" s="141" t="s">
        <v>69</v>
      </c>
      <c r="AX881" s="428" t="s">
        <v>7547</v>
      </c>
      <c r="AY881" s="420">
        <v>42348</v>
      </c>
      <c r="AZ881" s="424" t="s">
        <v>328</v>
      </c>
      <c r="BA881" s="147">
        <v>43266</v>
      </c>
      <c r="BB881" s="678">
        <v>43579</v>
      </c>
      <c r="BC881" s="424" t="s">
        <v>95</v>
      </c>
      <c r="BD881" s="422" t="s">
        <v>7355</v>
      </c>
      <c r="BE881" s="236"/>
      <c r="BF881" s="22"/>
      <c r="BG881" s="235"/>
      <c r="BH881" s="194"/>
      <c r="BI881" s="235"/>
      <c r="BJ881" s="209">
        <f>+[384]MATRIZ!$J$43</f>
        <v>0</v>
      </c>
      <c r="BK881" s="159"/>
      <c r="BL881" s="196"/>
      <c r="BM881" s="384"/>
      <c r="BN881" s="541"/>
      <c r="BO881" s="449"/>
      <c r="BP881" s="410"/>
      <c r="BQ881" s="414"/>
      <c r="BR881" s="243"/>
      <c r="BS881" s="235"/>
      <c r="BT881" s="235"/>
      <c r="BU881" s="235"/>
      <c r="BV881" s="235"/>
      <c r="BW881" s="244"/>
      <c r="BX881" s="245"/>
      <c r="BY881" s="233"/>
      <c r="BZ881" s="246"/>
    </row>
    <row r="882" spans="1:78" ht="67.5">
      <c r="A882" s="96">
        <v>877</v>
      </c>
      <c r="B882" s="424" t="s">
        <v>7549</v>
      </c>
      <c r="C882" s="419">
        <v>5978992</v>
      </c>
      <c r="D882" s="439" t="s">
        <v>2446</v>
      </c>
      <c r="E882" s="147">
        <v>43440</v>
      </c>
      <c r="F882" s="21">
        <v>43440</v>
      </c>
      <c r="G882" s="428" t="s">
        <v>7568</v>
      </c>
      <c r="H882" s="26" t="s">
        <v>625</v>
      </c>
      <c r="I882" s="423" t="s">
        <v>7541</v>
      </c>
      <c r="J882" s="147">
        <v>43487</v>
      </c>
      <c r="K882" s="21">
        <v>43487</v>
      </c>
      <c r="L882" s="424" t="s">
        <v>8029</v>
      </c>
      <c r="M882" s="26" t="s">
        <v>625</v>
      </c>
      <c r="N882" s="26" t="s">
        <v>7541</v>
      </c>
      <c r="O882" s="147">
        <v>43493</v>
      </c>
      <c r="P882" s="21">
        <v>43493</v>
      </c>
      <c r="Q882" s="424" t="s">
        <v>8038</v>
      </c>
      <c r="R882" s="26" t="s">
        <v>195</v>
      </c>
      <c r="S882" s="26" t="s">
        <v>1491</v>
      </c>
      <c r="T882" s="147">
        <v>43494</v>
      </c>
      <c r="U882" s="21">
        <v>43494</v>
      </c>
      <c r="V882" s="424" t="s">
        <v>8046</v>
      </c>
      <c r="W882" s="26" t="s">
        <v>152</v>
      </c>
      <c r="X882" s="26" t="s">
        <v>551</v>
      </c>
      <c r="Y882" s="147">
        <v>43707</v>
      </c>
      <c r="Z882" s="21">
        <v>43707</v>
      </c>
      <c r="AA882" s="424" t="s">
        <v>9151</v>
      </c>
      <c r="AB882" s="26" t="s">
        <v>625</v>
      </c>
      <c r="AC882" s="26" t="s">
        <v>1495</v>
      </c>
      <c r="AD882" s="147">
        <v>43867</v>
      </c>
      <c r="AE882" s="21">
        <v>43867</v>
      </c>
      <c r="AF882" s="424" t="s">
        <v>9456</v>
      </c>
      <c r="AG882" s="26" t="s">
        <v>5</v>
      </c>
      <c r="AH882" s="26" t="s">
        <v>79</v>
      </c>
      <c r="AI882" s="237"/>
      <c r="AJ882" s="234"/>
      <c r="AK882" s="235"/>
      <c r="AL882" s="236"/>
      <c r="AM882" s="249"/>
      <c r="AN882" s="444"/>
      <c r="AO882" s="478" t="s">
        <v>7946</v>
      </c>
      <c r="AP882" s="421"/>
      <c r="AQ882" s="427" t="s">
        <v>7551</v>
      </c>
      <c r="AR882" s="428" t="s">
        <v>2395</v>
      </c>
      <c r="AS882" s="426">
        <v>38534</v>
      </c>
      <c r="AT882" s="426">
        <v>40862</v>
      </c>
      <c r="AU882" s="422" t="s">
        <v>9091</v>
      </c>
      <c r="AV882" s="422"/>
      <c r="AW882" s="421" t="s">
        <v>69</v>
      </c>
      <c r="AX882" s="428" t="s">
        <v>7550</v>
      </c>
      <c r="AY882" s="420">
        <v>42697</v>
      </c>
      <c r="AZ882" s="424" t="s">
        <v>6733</v>
      </c>
      <c r="BA882" s="147">
        <v>43679</v>
      </c>
      <c r="BB882" s="678">
        <v>43692</v>
      </c>
      <c r="BC882" s="424" t="s">
        <v>95</v>
      </c>
      <c r="BD882" s="422" t="s">
        <v>4478</v>
      </c>
      <c r="BE882" s="236"/>
      <c r="BF882" s="22"/>
      <c r="BG882" s="235"/>
      <c r="BH882" s="194"/>
      <c r="BI882" s="235"/>
      <c r="BJ882" s="209">
        <f>+[385]MATRIZ!$J$61</f>
        <v>0</v>
      </c>
      <c r="BK882" s="159"/>
      <c r="BL882" s="196"/>
      <c r="BM882" s="384"/>
      <c r="BN882" s="541"/>
      <c r="BO882" s="449"/>
      <c r="BP882" s="410"/>
      <c r="BQ882" s="414"/>
      <c r="BR882" s="243"/>
      <c r="BS882" s="235"/>
      <c r="BT882" s="235"/>
      <c r="BU882" s="235"/>
      <c r="BV882" s="235"/>
      <c r="BW882" s="244"/>
      <c r="BX882" s="245"/>
      <c r="BY882" s="233"/>
      <c r="BZ882" s="246"/>
    </row>
    <row r="883" spans="1:78" s="259" customFormat="1" ht="54">
      <c r="A883" s="502">
        <v>878</v>
      </c>
      <c r="B883" s="706" t="s">
        <v>7583</v>
      </c>
      <c r="C883" s="687">
        <v>9735165</v>
      </c>
      <c r="D883" s="688" t="s">
        <v>2446</v>
      </c>
      <c r="E883" s="16">
        <v>43437</v>
      </c>
      <c r="F883" s="689">
        <v>43437</v>
      </c>
      <c r="G883" s="706" t="s">
        <v>7584</v>
      </c>
      <c r="H883" s="693" t="s">
        <v>1493</v>
      </c>
      <c r="I883" s="27" t="s">
        <v>7541</v>
      </c>
      <c r="J883" s="16">
        <v>43539</v>
      </c>
      <c r="K883" s="689">
        <v>43539</v>
      </c>
      <c r="L883" s="706" t="s">
        <v>8369</v>
      </c>
      <c r="M883" s="693" t="s">
        <v>5</v>
      </c>
      <c r="N883" s="693" t="s">
        <v>79</v>
      </c>
      <c r="O883" s="240"/>
      <c r="P883" s="709"/>
      <c r="Q883" s="710"/>
      <c r="R883" s="711"/>
      <c r="S883" s="712"/>
      <c r="T883" s="240"/>
      <c r="U883" s="709"/>
      <c r="V883" s="710"/>
      <c r="W883" s="711"/>
      <c r="X883" s="712"/>
      <c r="Y883" s="240"/>
      <c r="Z883" s="709"/>
      <c r="AA883" s="710"/>
      <c r="AB883" s="711"/>
      <c r="AC883" s="712"/>
      <c r="AD883" s="240"/>
      <c r="AE883" s="709"/>
      <c r="AF883" s="710"/>
      <c r="AG883" s="711"/>
      <c r="AH883" s="712"/>
      <c r="AI883" s="713"/>
      <c r="AJ883" s="709"/>
      <c r="AK883" s="710"/>
      <c r="AL883" s="711"/>
      <c r="AM883" s="712"/>
      <c r="AN883" s="711"/>
      <c r="AO883" s="714">
        <v>43539</v>
      </c>
      <c r="AP883" s="715"/>
      <c r="AQ883" s="716" t="s">
        <v>7585</v>
      </c>
      <c r="AR883" s="706" t="s">
        <v>2395</v>
      </c>
      <c r="AS883" s="171">
        <v>38863</v>
      </c>
      <c r="AT883" s="171">
        <v>40862</v>
      </c>
      <c r="AU883" s="692" t="s">
        <v>7587</v>
      </c>
      <c r="AV883" s="692"/>
      <c r="AW883" s="692" t="s">
        <v>69</v>
      </c>
      <c r="AX883" s="706" t="s">
        <v>7586</v>
      </c>
      <c r="AY883" s="16">
        <v>42513</v>
      </c>
      <c r="AZ883" s="706" t="s">
        <v>2250</v>
      </c>
      <c r="BA883" s="16">
        <v>43425</v>
      </c>
      <c r="BB883" s="16">
        <v>43440</v>
      </c>
      <c r="BC883" s="706" t="s">
        <v>95</v>
      </c>
      <c r="BD883" s="686" t="s">
        <v>7355</v>
      </c>
      <c r="BE883" s="711"/>
      <c r="BF883" s="690"/>
      <c r="BG883" s="710"/>
      <c r="BH883" s="717"/>
      <c r="BI883" s="710"/>
      <c r="BJ883" s="708">
        <f>+[386]MATRIZ!$J$69</f>
        <v>0</v>
      </c>
      <c r="BK883" s="708"/>
      <c r="BL883" s="718"/>
      <c r="BM883" s="191"/>
      <c r="BN883" s="719"/>
      <c r="BO883" s="720"/>
      <c r="BP883" s="721"/>
      <c r="BQ883" s="722"/>
      <c r="BR883" s="723"/>
      <c r="BS883" s="710"/>
      <c r="BT883" s="710"/>
      <c r="BU883" s="710"/>
      <c r="BV883" s="710"/>
      <c r="BW883" s="724"/>
      <c r="BX883" s="725"/>
      <c r="BY883" s="240"/>
      <c r="BZ883" s="726"/>
    </row>
    <row r="884" spans="1:78" ht="54">
      <c r="A884" s="96">
        <v>879</v>
      </c>
      <c r="B884" s="428" t="s">
        <v>7952</v>
      </c>
      <c r="C884" s="419">
        <v>75082872</v>
      </c>
      <c r="D884" s="439" t="s">
        <v>3252</v>
      </c>
      <c r="E884" s="420">
        <v>43455</v>
      </c>
      <c r="F884" s="21">
        <v>43455</v>
      </c>
      <c r="G884" s="428" t="s">
        <v>7961</v>
      </c>
      <c r="H884" s="428" t="s">
        <v>6739</v>
      </c>
      <c r="I884" s="423" t="s">
        <v>7541</v>
      </c>
      <c r="J884" s="147">
        <v>43682</v>
      </c>
      <c r="K884" s="21">
        <v>43682</v>
      </c>
      <c r="L884" s="424" t="s">
        <v>9038</v>
      </c>
      <c r="M884" s="26" t="s">
        <v>5</v>
      </c>
      <c r="N884" s="26" t="s">
        <v>79</v>
      </c>
      <c r="O884" s="233"/>
      <c r="P884" s="234"/>
      <c r="Q884" s="235" t="s">
        <v>10641</v>
      </c>
      <c r="R884" s="236"/>
      <c r="S884" s="249"/>
      <c r="T884" s="233"/>
      <c r="U884" s="234"/>
      <c r="V884" s="235"/>
      <c r="W884" s="236"/>
      <c r="X884" s="249"/>
      <c r="Y884" s="233"/>
      <c r="Z884" s="234"/>
      <c r="AA884" s="235"/>
      <c r="AB884" s="236"/>
      <c r="AC884" s="249"/>
      <c r="AD884" s="233"/>
      <c r="AE884" s="234"/>
      <c r="AF884" s="235"/>
      <c r="AG884" s="236"/>
      <c r="AH884" s="249"/>
      <c r="AI884" s="237"/>
      <c r="AJ884" s="234"/>
      <c r="AK884" s="235"/>
      <c r="AL884" s="236"/>
      <c r="AM884" s="249"/>
      <c r="AN884" s="238"/>
      <c r="AO884" s="478" t="s">
        <v>7946</v>
      </c>
      <c r="AP884" s="239"/>
      <c r="AQ884" s="427" t="s">
        <v>7953</v>
      </c>
      <c r="AR884" s="428" t="s">
        <v>2395</v>
      </c>
      <c r="AS884" s="426">
        <v>38777</v>
      </c>
      <c r="AT884" s="426">
        <v>40631</v>
      </c>
      <c r="AU884" s="421" t="s">
        <v>7970</v>
      </c>
      <c r="AV884" s="421"/>
      <c r="AW884" s="421" t="s">
        <v>69</v>
      </c>
      <c r="AX884" s="428" t="s">
        <v>328</v>
      </c>
      <c r="AY884" s="420">
        <v>41870</v>
      </c>
      <c r="AZ884" s="428" t="s">
        <v>6739</v>
      </c>
      <c r="BA884" s="420">
        <v>43350</v>
      </c>
      <c r="BB884" s="678">
        <v>43399</v>
      </c>
      <c r="BC884" s="428" t="s">
        <v>95</v>
      </c>
      <c r="BD884" s="422" t="s">
        <v>7355</v>
      </c>
      <c r="BE884" s="236"/>
      <c r="BF884" s="22"/>
      <c r="BG884" s="235"/>
      <c r="BH884" s="194"/>
      <c r="BI884" s="235"/>
      <c r="BJ884" s="209">
        <f>+[387]MATRIZ!$J$63</f>
        <v>61981964.047384664</v>
      </c>
      <c r="BK884" s="159"/>
      <c r="BL884" s="196"/>
      <c r="BM884" s="384"/>
      <c r="BN884" s="541"/>
      <c r="BO884" s="449"/>
      <c r="BP884" s="410"/>
      <c r="BQ884" s="414"/>
      <c r="BR884" s="243"/>
      <c r="BS884" s="235"/>
      <c r="BT884" s="235"/>
      <c r="BU884" s="235"/>
      <c r="BV884" s="235"/>
      <c r="BW884" s="244"/>
      <c r="BX884" s="245"/>
      <c r="BY884" s="233"/>
      <c r="BZ884" s="246"/>
    </row>
    <row r="885" spans="1:78" ht="54">
      <c r="A885" s="96">
        <v>880</v>
      </c>
      <c r="B885" s="428" t="s">
        <v>8047</v>
      </c>
      <c r="C885" s="419">
        <v>8720646</v>
      </c>
      <c r="D885" s="439" t="s">
        <v>772</v>
      </c>
      <c r="E885" s="420">
        <v>43481</v>
      </c>
      <c r="F885" s="21">
        <v>43481</v>
      </c>
      <c r="G885" s="428" t="s">
        <v>8048</v>
      </c>
      <c r="H885" s="26" t="s">
        <v>286</v>
      </c>
      <c r="I885" s="423" t="s">
        <v>79</v>
      </c>
      <c r="J885" s="963">
        <v>44460</v>
      </c>
      <c r="K885" s="21">
        <v>44440</v>
      </c>
      <c r="L885" s="959" t="s">
        <v>10661</v>
      </c>
      <c r="M885" s="26" t="s">
        <v>208</v>
      </c>
      <c r="N885" s="26" t="s">
        <v>131</v>
      </c>
      <c r="O885" s="233"/>
      <c r="P885" s="234"/>
      <c r="Q885" s="235"/>
      <c r="R885" s="236"/>
      <c r="S885" s="249"/>
      <c r="T885" s="233"/>
      <c r="U885" s="234"/>
      <c r="V885" s="235"/>
      <c r="W885" s="236"/>
      <c r="X885" s="249"/>
      <c r="Y885" s="233"/>
      <c r="Z885" s="234"/>
      <c r="AA885" s="235"/>
      <c r="AB885" s="236"/>
      <c r="AC885" s="249"/>
      <c r="AD885" s="233"/>
      <c r="AE885" s="234"/>
      <c r="AF885" s="235"/>
      <c r="AG885" s="236"/>
      <c r="AH885" s="249"/>
      <c r="AI885" s="237"/>
      <c r="AJ885" s="234"/>
      <c r="AK885" s="235"/>
      <c r="AL885" s="236"/>
      <c r="AM885" s="249"/>
      <c r="AN885" s="238"/>
      <c r="AO885" s="478" t="s">
        <v>8052</v>
      </c>
      <c r="AP885" s="239"/>
      <c r="AQ885" s="427" t="s">
        <v>8051</v>
      </c>
      <c r="AR885" s="428" t="s">
        <v>79</v>
      </c>
      <c r="AS885" s="426">
        <v>37773</v>
      </c>
      <c r="AT885" s="426">
        <v>40581</v>
      </c>
      <c r="AU885" s="422" t="s">
        <v>8053</v>
      </c>
      <c r="AV885" s="422"/>
      <c r="AW885" s="422" t="s">
        <v>92</v>
      </c>
      <c r="AX885" s="428" t="s">
        <v>8049</v>
      </c>
      <c r="AY885" s="420">
        <v>41689</v>
      </c>
      <c r="AZ885" s="428" t="s">
        <v>8050</v>
      </c>
      <c r="BA885" s="420">
        <v>43257</v>
      </c>
      <c r="BB885" s="678">
        <v>43305</v>
      </c>
      <c r="BC885" s="428" t="s">
        <v>95</v>
      </c>
      <c r="BD885" s="422" t="s">
        <v>7355</v>
      </c>
      <c r="BE885" s="236"/>
      <c r="BF885" s="22"/>
      <c r="BG885" s="235"/>
      <c r="BH885" s="194"/>
      <c r="BI885" s="235"/>
      <c r="BJ885" s="209">
        <f>'[388]MATRIZ '!$J$80</f>
        <v>0</v>
      </c>
      <c r="BK885" s="159"/>
      <c r="BL885" s="196"/>
      <c r="BM885" s="384"/>
      <c r="BN885" s="541"/>
      <c r="BO885" s="449"/>
      <c r="BP885" s="410"/>
      <c r="BQ885" s="414"/>
      <c r="BR885" s="243"/>
      <c r="BS885" s="235"/>
      <c r="BT885" s="235"/>
      <c r="BU885" s="235"/>
      <c r="BV885" s="235"/>
      <c r="BW885" s="244"/>
      <c r="BX885" s="245"/>
      <c r="BY885" s="233"/>
      <c r="BZ885" s="246"/>
    </row>
    <row r="886" spans="1:78" ht="27">
      <c r="A886" s="96">
        <v>881</v>
      </c>
      <c r="B886" s="428" t="s">
        <v>8057</v>
      </c>
      <c r="C886" s="419">
        <v>85465519</v>
      </c>
      <c r="D886" s="439" t="s">
        <v>6265</v>
      </c>
      <c r="E886" s="420">
        <v>43496</v>
      </c>
      <c r="F886" s="21">
        <v>43496</v>
      </c>
      <c r="G886" s="428" t="s">
        <v>8056</v>
      </c>
      <c r="H886" s="26" t="s">
        <v>625</v>
      </c>
      <c r="I886" s="423" t="s">
        <v>2411</v>
      </c>
      <c r="J886" s="147">
        <v>43497</v>
      </c>
      <c r="K886" s="21">
        <v>43497</v>
      </c>
      <c r="L886" s="424" t="s">
        <v>8062</v>
      </c>
      <c r="M886" s="26" t="s">
        <v>625</v>
      </c>
      <c r="N886" s="423" t="s">
        <v>2411</v>
      </c>
      <c r="O886" s="147">
        <v>43622</v>
      </c>
      <c r="P886" s="21">
        <v>43622</v>
      </c>
      <c r="Q886" s="424" t="s">
        <v>8780</v>
      </c>
      <c r="R886" s="26" t="s">
        <v>5</v>
      </c>
      <c r="S886" s="423" t="s">
        <v>79</v>
      </c>
      <c r="T886" s="233"/>
      <c r="U886" s="234"/>
      <c r="V886" s="235"/>
      <c r="W886" s="236"/>
      <c r="X886" s="249"/>
      <c r="Y886" s="233"/>
      <c r="Z886" s="234"/>
      <c r="AA886" s="235"/>
      <c r="AB886" s="236"/>
      <c r="AC886" s="249"/>
      <c r="AD886" s="233"/>
      <c r="AE886" s="234"/>
      <c r="AF886" s="235"/>
      <c r="AG886" s="236"/>
      <c r="AH886" s="249"/>
      <c r="AI886" s="237"/>
      <c r="AJ886" s="234"/>
      <c r="AK886" s="235"/>
      <c r="AL886" s="236"/>
      <c r="AM886" s="249"/>
      <c r="AN886" s="238"/>
      <c r="AO886" s="477"/>
      <c r="AP886" s="239"/>
      <c r="AQ886" s="427" t="s">
        <v>8059</v>
      </c>
      <c r="AR886" s="428" t="s">
        <v>2395</v>
      </c>
      <c r="AS886" s="426">
        <v>39262</v>
      </c>
      <c r="AT886" s="426">
        <v>40543</v>
      </c>
      <c r="AU886" s="421" t="s">
        <v>8058</v>
      </c>
      <c r="AV886" s="421"/>
      <c r="AW886" s="421" t="s">
        <v>69</v>
      </c>
      <c r="AX886" s="428" t="s">
        <v>8060</v>
      </c>
      <c r="AY886" s="420">
        <v>43413</v>
      </c>
      <c r="AZ886" s="428"/>
      <c r="BA886" s="420"/>
      <c r="BB886" s="678">
        <v>43510</v>
      </c>
      <c r="BC886" s="428" t="s">
        <v>95</v>
      </c>
      <c r="BD886" s="422" t="s">
        <v>8950</v>
      </c>
      <c r="BE886" s="236"/>
      <c r="BF886" s="22"/>
      <c r="BG886" s="235"/>
      <c r="BH886" s="194"/>
      <c r="BI886" s="235"/>
      <c r="BJ886" s="209">
        <f>[389]MATRIZ!$J$52</f>
        <v>0</v>
      </c>
      <c r="BK886" s="159"/>
      <c r="BL886" s="196"/>
      <c r="BM886" s="384"/>
      <c r="BN886" s="541"/>
      <c r="BO886" s="449"/>
      <c r="BP886" s="410"/>
      <c r="BQ886" s="414"/>
      <c r="BR886" s="243"/>
      <c r="BS886" s="235"/>
      <c r="BT886" s="235"/>
      <c r="BU886" s="235"/>
      <c r="BV886" s="235"/>
      <c r="BW886" s="244"/>
      <c r="BX886" s="245"/>
      <c r="BY886" s="233"/>
      <c r="BZ886" s="246"/>
    </row>
    <row r="887" spans="1:78" ht="54">
      <c r="A887" s="96">
        <v>882</v>
      </c>
      <c r="B887" s="428" t="s">
        <v>8118</v>
      </c>
      <c r="C887" s="419">
        <v>79221146</v>
      </c>
      <c r="D887" s="439" t="s">
        <v>597</v>
      </c>
      <c r="E887" s="420">
        <v>42303</v>
      </c>
      <c r="F887" s="21">
        <v>42303</v>
      </c>
      <c r="G887" s="428" t="s">
        <v>8121</v>
      </c>
      <c r="H887" s="26" t="s">
        <v>171</v>
      </c>
      <c r="I887" s="423" t="s">
        <v>2395</v>
      </c>
      <c r="J887" s="147">
        <v>43510</v>
      </c>
      <c r="K887" s="21">
        <v>43510</v>
      </c>
      <c r="L887" s="424" t="s">
        <v>8183</v>
      </c>
      <c r="M887" s="26" t="s">
        <v>1493</v>
      </c>
      <c r="N887" s="423" t="s">
        <v>2395</v>
      </c>
      <c r="O887" s="147">
        <v>43570</v>
      </c>
      <c r="P887" s="21">
        <v>43570</v>
      </c>
      <c r="Q887" s="424" t="s">
        <v>8589</v>
      </c>
      <c r="R887" s="26" t="s">
        <v>5</v>
      </c>
      <c r="S887" s="423" t="s">
        <v>79</v>
      </c>
      <c r="T887" s="423">
        <v>43635</v>
      </c>
      <c r="U887" s="21">
        <v>43635</v>
      </c>
      <c r="V887" s="22" t="s">
        <v>8896</v>
      </c>
      <c r="W887" s="422" t="s">
        <v>63</v>
      </c>
      <c r="X887" s="26" t="s">
        <v>79</v>
      </c>
      <c r="Y887" s="233"/>
      <c r="Z887" s="234"/>
      <c r="AA887" s="235"/>
      <c r="AB887" s="236"/>
      <c r="AC887" s="249"/>
      <c r="AD887" s="233"/>
      <c r="AE887" s="234"/>
      <c r="AF887" s="235"/>
      <c r="AG887" s="236"/>
      <c r="AH887" s="249"/>
      <c r="AI887" s="237"/>
      <c r="AJ887" s="234"/>
      <c r="AK887" s="235"/>
      <c r="AL887" s="236"/>
      <c r="AM887" s="249"/>
      <c r="AN887" s="238"/>
      <c r="AO887" s="477"/>
      <c r="AP887" s="239"/>
      <c r="AQ887" s="427" t="s">
        <v>8119</v>
      </c>
      <c r="AR887" s="428" t="s">
        <v>2395</v>
      </c>
      <c r="AS887" s="426">
        <v>38621</v>
      </c>
      <c r="AT887" s="426">
        <v>40816</v>
      </c>
      <c r="AU887" s="422" t="s">
        <v>8182</v>
      </c>
      <c r="AV887" s="422"/>
      <c r="AW887" s="421" t="s">
        <v>69</v>
      </c>
      <c r="AX887" s="428" t="s">
        <v>8120</v>
      </c>
      <c r="AY887" s="420">
        <v>42296</v>
      </c>
      <c r="AZ887" s="428" t="s">
        <v>94</v>
      </c>
      <c r="BA887" s="420">
        <v>43489</v>
      </c>
      <c r="BB887" s="678">
        <v>43514</v>
      </c>
      <c r="BC887" s="428" t="s">
        <v>95</v>
      </c>
      <c r="BD887" s="422" t="s">
        <v>7355</v>
      </c>
      <c r="BE887" s="236"/>
      <c r="BF887" s="22"/>
      <c r="BG887" s="235"/>
      <c r="BH887" s="194"/>
      <c r="BI887" s="235"/>
      <c r="BJ887" s="209"/>
      <c r="BK887" s="159"/>
      <c r="BL887" s="196"/>
      <c r="BM887" s="384"/>
      <c r="BN887" s="541"/>
      <c r="BO887" s="449"/>
      <c r="BP887" s="410"/>
      <c r="BQ887" s="414"/>
      <c r="BR887" s="243"/>
      <c r="BS887" s="235"/>
      <c r="BT887" s="235"/>
      <c r="BU887" s="235"/>
      <c r="BV887" s="235"/>
      <c r="BW887" s="244"/>
      <c r="BX887" s="245"/>
      <c r="BY887" s="233"/>
      <c r="BZ887" s="246"/>
    </row>
    <row r="888" spans="1:78" ht="54">
      <c r="A888" s="96">
        <v>883</v>
      </c>
      <c r="B888" s="428" t="s">
        <v>9631</v>
      </c>
      <c r="C888" s="419">
        <v>5821655</v>
      </c>
      <c r="D888" s="439" t="s">
        <v>6470</v>
      </c>
      <c r="E888" s="420">
        <v>43503</v>
      </c>
      <c r="F888" s="21">
        <v>43503</v>
      </c>
      <c r="G888" s="428" t="s">
        <v>8188</v>
      </c>
      <c r="H888" s="26" t="s">
        <v>171</v>
      </c>
      <c r="I888" s="423" t="s">
        <v>8189</v>
      </c>
      <c r="J888" s="147">
        <v>43531</v>
      </c>
      <c r="K888" s="21">
        <v>43531</v>
      </c>
      <c r="L888" s="424" t="s">
        <v>8239</v>
      </c>
      <c r="M888" s="26" t="s">
        <v>5</v>
      </c>
      <c r="N888" s="26" t="s">
        <v>79</v>
      </c>
      <c r="O888" s="147"/>
      <c r="P888" s="21"/>
      <c r="Q888" s="424"/>
      <c r="R888" s="26"/>
      <c r="S888" s="423"/>
      <c r="T888" s="233"/>
      <c r="U888" s="234"/>
      <c r="V888" s="235"/>
      <c r="W888" s="236"/>
      <c r="X888" s="249"/>
      <c r="Y888" s="233"/>
      <c r="Z888" s="234"/>
      <c r="AA888" s="235"/>
      <c r="AB888" s="236"/>
      <c r="AC888" s="249"/>
      <c r="AD888" s="233"/>
      <c r="AE888" s="234"/>
      <c r="AF888" s="235"/>
      <c r="AG888" s="236"/>
      <c r="AH888" s="249"/>
      <c r="AI888" s="237"/>
      <c r="AJ888" s="234"/>
      <c r="AK888" s="235"/>
      <c r="AL888" s="236"/>
      <c r="AM888" s="249"/>
      <c r="AN888" s="238"/>
      <c r="AO888" s="508">
        <v>43544</v>
      </c>
      <c r="AP888" s="239"/>
      <c r="AQ888" s="427" t="s">
        <v>8237</v>
      </c>
      <c r="AR888" s="428" t="s">
        <v>2395</v>
      </c>
      <c r="AS888" s="426">
        <v>39814</v>
      </c>
      <c r="AT888" s="426">
        <v>40543</v>
      </c>
      <c r="AU888" s="422" t="s">
        <v>8201</v>
      </c>
      <c r="AV888" s="422"/>
      <c r="AW888" s="421" t="s">
        <v>69</v>
      </c>
      <c r="AX888" s="428" t="s">
        <v>8238</v>
      </c>
      <c r="AY888" s="420">
        <v>43426</v>
      </c>
      <c r="AZ888" s="428" t="s">
        <v>67</v>
      </c>
      <c r="BA888" s="420" t="s">
        <v>67</v>
      </c>
      <c r="BB888" s="678">
        <v>43444</v>
      </c>
      <c r="BC888" s="428" t="s">
        <v>95</v>
      </c>
      <c r="BD888" s="422" t="s">
        <v>7355</v>
      </c>
      <c r="BE888" s="236"/>
      <c r="BF888" s="22"/>
      <c r="BG888" s="235"/>
      <c r="BH888" s="194"/>
      <c r="BI888" s="235"/>
      <c r="BJ888" s="209">
        <f>'[390]MATRIZ '!$J$61</f>
        <v>0</v>
      </c>
      <c r="BK888" s="159"/>
      <c r="BL888" s="196"/>
      <c r="BM888" s="384"/>
      <c r="BN888" s="541"/>
      <c r="BO888" s="449"/>
      <c r="BP888" s="410"/>
      <c r="BQ888" s="414"/>
      <c r="BR888" s="243"/>
      <c r="BS888" s="235"/>
      <c r="BT888" s="235"/>
      <c r="BU888" s="235"/>
      <c r="BV888" s="235"/>
      <c r="BW888" s="244"/>
      <c r="BX888" s="245"/>
      <c r="BY888" s="233"/>
      <c r="BZ888" s="246"/>
    </row>
    <row r="889" spans="1:78" ht="54">
      <c r="A889" s="96">
        <v>884</v>
      </c>
      <c r="B889" s="428" t="s">
        <v>6448</v>
      </c>
      <c r="C889" s="419">
        <v>88208075</v>
      </c>
      <c r="D889" s="439" t="s">
        <v>5328</v>
      </c>
      <c r="E889" s="420">
        <v>43524</v>
      </c>
      <c r="F889" s="21">
        <v>43524</v>
      </c>
      <c r="G889" s="428" t="s">
        <v>8207</v>
      </c>
      <c r="H889" s="26" t="s">
        <v>625</v>
      </c>
      <c r="I889" s="423" t="s">
        <v>2395</v>
      </c>
      <c r="J889" s="147">
        <v>43525</v>
      </c>
      <c r="K889" s="21">
        <v>43525</v>
      </c>
      <c r="L889" s="424" t="s">
        <v>8241</v>
      </c>
      <c r="M889" s="26" t="s">
        <v>625</v>
      </c>
      <c r="N889" s="423" t="s">
        <v>2395</v>
      </c>
      <c r="O889" s="147">
        <v>44070</v>
      </c>
      <c r="P889" s="21">
        <v>44070</v>
      </c>
      <c r="Q889" s="424" t="s">
        <v>9616</v>
      </c>
      <c r="R889" s="26" t="s">
        <v>9612</v>
      </c>
      <c r="S889" s="423" t="s">
        <v>3406</v>
      </c>
      <c r="T889" s="233"/>
      <c r="U889" s="234"/>
      <c r="V889" s="235"/>
      <c r="W889" s="236"/>
      <c r="X889" s="249"/>
      <c r="Y889" s="233"/>
      <c r="Z889" s="234"/>
      <c r="AA889" s="235"/>
      <c r="AB889" s="236"/>
      <c r="AC889" s="249"/>
      <c r="AD889" s="233"/>
      <c r="AE889" s="234"/>
      <c r="AF889" s="235"/>
      <c r="AG889" s="236"/>
      <c r="AH889" s="249"/>
      <c r="AI889" s="237"/>
      <c r="AJ889" s="234"/>
      <c r="AK889" s="235"/>
      <c r="AL889" s="236"/>
      <c r="AM889" s="249"/>
      <c r="AN889" s="238"/>
      <c r="AO889" s="477"/>
      <c r="AP889" s="239"/>
      <c r="AQ889" s="427" t="s">
        <v>8208</v>
      </c>
      <c r="AR889" s="428" t="s">
        <v>2395</v>
      </c>
      <c r="AS889" s="426">
        <v>37095</v>
      </c>
      <c r="AT889" s="426">
        <v>40908</v>
      </c>
      <c r="AU889" s="421" t="s">
        <v>8058</v>
      </c>
      <c r="AV889" s="421"/>
      <c r="AW889" s="421" t="s">
        <v>69</v>
      </c>
      <c r="AX889" s="428" t="s">
        <v>8209</v>
      </c>
      <c r="AY889" s="420">
        <v>43069</v>
      </c>
      <c r="AZ889" s="428" t="s">
        <v>94</v>
      </c>
      <c r="BA889" s="420">
        <v>43510</v>
      </c>
      <c r="BB889" s="678">
        <v>43529</v>
      </c>
      <c r="BC889" s="428" t="s">
        <v>912</v>
      </c>
      <c r="BD889" s="422" t="s">
        <v>566</v>
      </c>
      <c r="BE889" s="236"/>
      <c r="BF889" s="22"/>
      <c r="BG889" s="235"/>
      <c r="BH889" s="194"/>
      <c r="BI889" s="235"/>
      <c r="BJ889" s="532"/>
      <c r="BK889" s="159"/>
      <c r="BL889" s="196"/>
      <c r="BM889" s="384"/>
      <c r="BN889" s="541"/>
      <c r="BO889" s="449"/>
      <c r="BP889" s="410"/>
      <c r="BQ889" s="414"/>
      <c r="BR889" s="243"/>
      <c r="BS889" s="235"/>
      <c r="BT889" s="235"/>
      <c r="BU889" s="235"/>
      <c r="BV889" s="235"/>
      <c r="BW889" s="244"/>
      <c r="BX889" s="245"/>
      <c r="BY889" s="233"/>
      <c r="BZ889" s="246"/>
    </row>
    <row r="890" spans="1:78" ht="54" customHeight="1">
      <c r="A890" s="96">
        <v>885</v>
      </c>
      <c r="B890" s="428" t="s">
        <v>8211</v>
      </c>
      <c r="C890" s="419">
        <v>79347243</v>
      </c>
      <c r="D890" s="439" t="s">
        <v>167</v>
      </c>
      <c r="E890" s="420" t="s">
        <v>8216</v>
      </c>
      <c r="F890" s="21">
        <v>42339</v>
      </c>
      <c r="G890" s="428" t="s">
        <v>8215</v>
      </c>
      <c r="H890" s="26" t="s">
        <v>171</v>
      </c>
      <c r="I890" s="423" t="s">
        <v>2395</v>
      </c>
      <c r="J890" s="420">
        <v>43525</v>
      </c>
      <c r="K890" s="21">
        <v>43525</v>
      </c>
      <c r="L890" s="428" t="s">
        <v>8212</v>
      </c>
      <c r="M890" s="26" t="s">
        <v>625</v>
      </c>
      <c r="N890" s="423" t="s">
        <v>2395</v>
      </c>
      <c r="O890" s="420">
        <v>43635</v>
      </c>
      <c r="P890" s="21">
        <v>43635</v>
      </c>
      <c r="Q890" s="428" t="s">
        <v>8212</v>
      </c>
      <c r="R890" s="26" t="s">
        <v>5</v>
      </c>
      <c r="S890" s="423" t="s">
        <v>1114</v>
      </c>
      <c r="T890" s="423">
        <v>43635</v>
      </c>
      <c r="U890" s="21">
        <v>43635</v>
      </c>
      <c r="V890" s="22" t="s">
        <v>8895</v>
      </c>
      <c r="W890" s="422" t="s">
        <v>5</v>
      </c>
      <c r="X890" s="26" t="s">
        <v>79</v>
      </c>
      <c r="Y890" s="233"/>
      <c r="Z890" s="234"/>
      <c r="AA890" s="235"/>
      <c r="AB890" s="236"/>
      <c r="AC890" s="249"/>
      <c r="AD890" s="233"/>
      <c r="AE890" s="234"/>
      <c r="AF890" s="235"/>
      <c r="AG890" s="236"/>
      <c r="AH890" s="249"/>
      <c r="AI890" s="237"/>
      <c r="AJ890" s="234"/>
      <c r="AK890" s="235"/>
      <c r="AL890" s="236"/>
      <c r="AM890" s="249"/>
      <c r="AN890" s="238"/>
      <c r="AO890" s="477"/>
      <c r="AP890" s="239"/>
      <c r="AQ890" s="427" t="s">
        <v>8213</v>
      </c>
      <c r="AR890" s="428" t="s">
        <v>2395</v>
      </c>
      <c r="AS890" s="426">
        <v>38595</v>
      </c>
      <c r="AT890" s="426">
        <v>40663</v>
      </c>
      <c r="AU890" s="422" t="s">
        <v>8214</v>
      </c>
      <c r="AV890" s="422"/>
      <c r="AW890" s="421" t="s">
        <v>69</v>
      </c>
      <c r="AX890" s="428" t="s">
        <v>3808</v>
      </c>
      <c r="AY890" s="420">
        <v>42332</v>
      </c>
      <c r="AZ890" s="428" t="s">
        <v>94</v>
      </c>
      <c r="BA890" s="420">
        <v>43146</v>
      </c>
      <c r="BB890" s="678">
        <v>43165</v>
      </c>
      <c r="BC890" s="428" t="s">
        <v>95</v>
      </c>
      <c r="BD890" s="422" t="s">
        <v>7355</v>
      </c>
      <c r="BE890" s="236"/>
      <c r="BF890" s="22"/>
      <c r="BG890" s="235"/>
      <c r="BH890" s="194"/>
      <c r="BI890" s="235"/>
      <c r="BJ890" s="209">
        <f>'[391]MATRIZ '!$J$73</f>
        <v>0</v>
      </c>
      <c r="BK890" s="159"/>
      <c r="BL890" s="196"/>
      <c r="BM890" s="384"/>
      <c r="BN890" s="541"/>
      <c r="BO890" s="449"/>
      <c r="BP890" s="410"/>
      <c r="BQ890" s="414"/>
      <c r="BR890" s="243"/>
      <c r="BS890" s="235"/>
      <c r="BT890" s="235"/>
      <c r="BU890" s="235"/>
      <c r="BV890" s="235"/>
      <c r="BW890" s="244"/>
      <c r="BX890" s="245"/>
      <c r="BY890" s="233"/>
      <c r="BZ890" s="246"/>
    </row>
    <row r="891" spans="1:78" ht="54" customHeight="1">
      <c r="A891" s="96">
        <v>886</v>
      </c>
      <c r="B891" s="428" t="s">
        <v>8223</v>
      </c>
      <c r="C891" s="419">
        <v>83041044</v>
      </c>
      <c r="D891" s="439"/>
      <c r="E891" s="420">
        <v>43531</v>
      </c>
      <c r="F891" s="21">
        <v>43531</v>
      </c>
      <c r="G891" s="428" t="s">
        <v>8224</v>
      </c>
      <c r="H891" s="26" t="s">
        <v>625</v>
      </c>
      <c r="I891" s="423" t="s">
        <v>2395</v>
      </c>
      <c r="J891" s="147">
        <v>43655</v>
      </c>
      <c r="K891" s="21">
        <v>43655</v>
      </c>
      <c r="L891" s="424" t="s">
        <v>8934</v>
      </c>
      <c r="M891" s="26" t="s">
        <v>171</v>
      </c>
      <c r="N891" s="26" t="s">
        <v>8935</v>
      </c>
      <c r="O891" s="233"/>
      <c r="P891" s="234"/>
      <c r="Q891" s="235"/>
      <c r="R891" s="236"/>
      <c r="S891" s="249"/>
      <c r="T891" s="233"/>
      <c r="U891" s="234"/>
      <c r="V891" s="235"/>
      <c r="W891" s="236"/>
      <c r="X891" s="249"/>
      <c r="Y891" s="233"/>
      <c r="Z891" s="234"/>
      <c r="AA891" s="235"/>
      <c r="AB891" s="236"/>
      <c r="AC891" s="249"/>
      <c r="AD891" s="233"/>
      <c r="AE891" s="234"/>
      <c r="AF891" s="235"/>
      <c r="AG891" s="236"/>
      <c r="AH891" s="249"/>
      <c r="AI891" s="237"/>
      <c r="AJ891" s="234"/>
      <c r="AK891" s="235"/>
      <c r="AL891" s="236"/>
      <c r="AM891" s="249"/>
      <c r="AN891" s="238"/>
      <c r="AO891" s="477"/>
      <c r="AP891" s="239"/>
      <c r="AQ891" s="427" t="s">
        <v>8225</v>
      </c>
      <c r="AR891" s="428" t="s">
        <v>2395</v>
      </c>
      <c r="AS891" s="426">
        <v>38355</v>
      </c>
      <c r="AT891" s="426">
        <v>38912</v>
      </c>
      <c r="AU891" s="421" t="s">
        <v>8058</v>
      </c>
      <c r="AV891" s="421"/>
      <c r="AW891" s="421" t="s">
        <v>69</v>
      </c>
      <c r="AX891" s="428" t="s">
        <v>8226</v>
      </c>
      <c r="AY891" s="420">
        <v>42975</v>
      </c>
      <c r="AZ891" s="428" t="s">
        <v>94</v>
      </c>
      <c r="BA891" s="420">
        <v>43482</v>
      </c>
      <c r="BB891" s="678"/>
      <c r="BC891" s="428" t="s">
        <v>95</v>
      </c>
      <c r="BD891" s="422" t="s">
        <v>566</v>
      </c>
      <c r="BE891" s="236"/>
      <c r="BF891" s="22"/>
      <c r="BG891" s="235"/>
      <c r="BH891" s="194"/>
      <c r="BI891" s="235"/>
      <c r="BJ891" s="209">
        <f>[392]MATRIZ!$J$51</f>
        <v>7862561.5227647033</v>
      </c>
      <c r="BK891" s="159"/>
      <c r="BL891" s="196"/>
      <c r="BM891" s="384"/>
      <c r="BN891" s="541"/>
      <c r="BO891" s="449"/>
      <c r="BP891" s="410"/>
      <c r="BQ891" s="414"/>
      <c r="BR891" s="243"/>
      <c r="BS891" s="235"/>
      <c r="BT891" s="235"/>
      <c r="BU891" s="235"/>
      <c r="BV891" s="235"/>
      <c r="BW891" s="244"/>
      <c r="BX891" s="245"/>
      <c r="BY891" s="233"/>
      <c r="BZ891" s="246"/>
    </row>
    <row r="892" spans="1:78" s="259" customFormat="1" ht="67.5">
      <c r="A892" s="502">
        <v>887</v>
      </c>
      <c r="B892" s="706" t="s">
        <v>5893</v>
      </c>
      <c r="C892" s="687">
        <v>79963249</v>
      </c>
      <c r="D892" s="688" t="s">
        <v>906</v>
      </c>
      <c r="E892" s="16">
        <v>43530</v>
      </c>
      <c r="F892" s="689">
        <v>43530</v>
      </c>
      <c r="G892" s="706" t="s">
        <v>8233</v>
      </c>
      <c r="H892" s="693" t="s">
        <v>5</v>
      </c>
      <c r="I892" s="27" t="s">
        <v>79</v>
      </c>
      <c r="J892" s="16"/>
      <c r="K892" s="689"/>
      <c r="L892" s="706"/>
      <c r="M892" s="693"/>
      <c r="N892" s="693"/>
      <c r="O892" s="240"/>
      <c r="P892" s="709"/>
      <c r="Q892" s="710"/>
      <c r="R892" s="711"/>
      <c r="S892" s="712"/>
      <c r="T892" s="240"/>
      <c r="U892" s="709"/>
      <c r="V892" s="710"/>
      <c r="W892" s="711"/>
      <c r="X892" s="712"/>
      <c r="Y892" s="240"/>
      <c r="Z892" s="709"/>
      <c r="AA892" s="710"/>
      <c r="AB892" s="711"/>
      <c r="AC892" s="712"/>
      <c r="AD892" s="240"/>
      <c r="AE892" s="709"/>
      <c r="AF892" s="710"/>
      <c r="AG892" s="711"/>
      <c r="AH892" s="712"/>
      <c r="AI892" s="713"/>
      <c r="AJ892" s="709"/>
      <c r="AK892" s="710"/>
      <c r="AL892" s="711"/>
      <c r="AM892" s="712"/>
      <c r="AN892" s="711"/>
      <c r="AO892" s="692"/>
      <c r="AP892" s="715"/>
      <c r="AQ892" s="716" t="s">
        <v>8234</v>
      </c>
      <c r="AR892" s="706" t="s">
        <v>79</v>
      </c>
      <c r="AS892" s="171">
        <v>36244</v>
      </c>
      <c r="AT892" s="171">
        <v>40908</v>
      </c>
      <c r="AU892" s="692" t="s">
        <v>8058</v>
      </c>
      <c r="AV892" s="692"/>
      <c r="AW892" s="692" t="s">
        <v>69</v>
      </c>
      <c r="AX892" s="706" t="s">
        <v>8235</v>
      </c>
      <c r="AY892" s="16">
        <v>42943</v>
      </c>
      <c r="AZ892" s="706" t="s">
        <v>6733</v>
      </c>
      <c r="BA892" s="16">
        <v>43152</v>
      </c>
      <c r="BB892" s="16">
        <v>43166</v>
      </c>
      <c r="BC892" s="706" t="s">
        <v>7539</v>
      </c>
      <c r="BD892" s="686" t="s">
        <v>7355</v>
      </c>
      <c r="BE892" s="711"/>
      <c r="BF892" s="690"/>
      <c r="BG892" s="710"/>
      <c r="BH892" s="717"/>
      <c r="BI892" s="710"/>
      <c r="BJ892" s="708">
        <f>'[393]MATRIZ '!$J$54</f>
        <v>0</v>
      </c>
      <c r="BK892" s="708"/>
      <c r="BL892" s="718"/>
      <c r="BM892" s="191"/>
      <c r="BN892" s="719"/>
      <c r="BO892" s="720"/>
      <c r="BP892" s="721"/>
      <c r="BQ892" s="722"/>
      <c r="BR892" s="723"/>
      <c r="BS892" s="710"/>
      <c r="BT892" s="710"/>
      <c r="BU892" s="710"/>
      <c r="BV892" s="710"/>
      <c r="BW892" s="724"/>
      <c r="BX892" s="725"/>
      <c r="BY892" s="240"/>
      <c r="BZ892" s="726"/>
    </row>
    <row r="893" spans="1:78" s="259" customFormat="1" ht="54">
      <c r="A893" s="502">
        <v>888</v>
      </c>
      <c r="B893" s="706" t="s">
        <v>8263</v>
      </c>
      <c r="C893" s="687">
        <v>79046146</v>
      </c>
      <c r="D893" s="688" t="s">
        <v>906</v>
      </c>
      <c r="E893" s="16">
        <v>43530</v>
      </c>
      <c r="F893" s="689">
        <v>43530</v>
      </c>
      <c r="G893" s="706" t="s">
        <v>8259</v>
      </c>
      <c r="H893" s="693" t="s">
        <v>5</v>
      </c>
      <c r="I893" s="27" t="s">
        <v>79</v>
      </c>
      <c r="J893" s="16"/>
      <c r="K893" s="689"/>
      <c r="L893" s="706"/>
      <c r="M893" s="693"/>
      <c r="N893" s="693"/>
      <c r="O893" s="240"/>
      <c r="P893" s="709"/>
      <c r="Q893" s="710"/>
      <c r="R893" s="711"/>
      <c r="S893" s="712"/>
      <c r="T893" s="240"/>
      <c r="U893" s="709"/>
      <c r="V893" s="710"/>
      <c r="W893" s="711"/>
      <c r="X893" s="712"/>
      <c r="Y893" s="240"/>
      <c r="Z893" s="709"/>
      <c r="AA893" s="710"/>
      <c r="AB893" s="711"/>
      <c r="AC893" s="712"/>
      <c r="AD893" s="240"/>
      <c r="AE893" s="709"/>
      <c r="AF893" s="710"/>
      <c r="AG893" s="711"/>
      <c r="AH893" s="712"/>
      <c r="AI893" s="713"/>
      <c r="AJ893" s="709"/>
      <c r="AK893" s="710"/>
      <c r="AL893" s="711"/>
      <c r="AM893" s="712"/>
      <c r="AN893" s="711"/>
      <c r="AO893" s="692"/>
      <c r="AP893" s="715"/>
      <c r="AQ893" s="716" t="s">
        <v>8440</v>
      </c>
      <c r="AR893" s="706" t="s">
        <v>79</v>
      </c>
      <c r="AS893" s="171"/>
      <c r="AT893" s="171"/>
      <c r="AU893" s="692" t="s">
        <v>8058</v>
      </c>
      <c r="AV893" s="692"/>
      <c r="AW893" s="692" t="s">
        <v>69</v>
      </c>
      <c r="AX893" s="706" t="s">
        <v>3808</v>
      </c>
      <c r="AY893" s="16">
        <v>42816</v>
      </c>
      <c r="AZ893" s="706" t="s">
        <v>67</v>
      </c>
      <c r="BA893" s="706" t="s">
        <v>67</v>
      </c>
      <c r="BB893" s="16">
        <v>42928</v>
      </c>
      <c r="BC893" s="706" t="s">
        <v>8441</v>
      </c>
      <c r="BD893" s="686" t="s">
        <v>7355</v>
      </c>
      <c r="BE893" s="711"/>
      <c r="BF893" s="690"/>
      <c r="BG893" s="710"/>
      <c r="BH893" s="717"/>
      <c r="BI893" s="710"/>
      <c r="BJ893" s="708">
        <f>'[394]MATRIZ '!$J$50</f>
        <v>0</v>
      </c>
      <c r="BK893" s="708"/>
      <c r="BL893" s="718"/>
      <c r="BM893" s="191"/>
      <c r="BN893" s="719"/>
      <c r="BO893" s="720"/>
      <c r="BP893" s="721"/>
      <c r="BQ893" s="722"/>
      <c r="BR893" s="723"/>
      <c r="BS893" s="710"/>
      <c r="BT893" s="710"/>
      <c r="BU893" s="710"/>
      <c r="BV893" s="710"/>
      <c r="BW893" s="724"/>
      <c r="BX893" s="725"/>
      <c r="BY893" s="240"/>
      <c r="BZ893" s="726"/>
    </row>
    <row r="894" spans="1:78" ht="54">
      <c r="A894" s="96">
        <v>889</v>
      </c>
      <c r="B894" s="428" t="s">
        <v>8285</v>
      </c>
      <c r="C894" s="419">
        <v>72238013</v>
      </c>
      <c r="D894" s="439" t="s">
        <v>8637</v>
      </c>
      <c r="E894" s="420">
        <v>43542</v>
      </c>
      <c r="F894" s="21">
        <v>43542</v>
      </c>
      <c r="G894" s="428" t="s">
        <v>8624</v>
      </c>
      <c r="H894" s="26" t="s">
        <v>576</v>
      </c>
      <c r="I894" s="423" t="s">
        <v>2411</v>
      </c>
      <c r="J894" s="420">
        <v>43543</v>
      </c>
      <c r="K894" s="21">
        <v>43543</v>
      </c>
      <c r="L894" s="428" t="s">
        <v>8286</v>
      </c>
      <c r="M894" s="26" t="s">
        <v>576</v>
      </c>
      <c r="N894" s="423" t="s">
        <v>2411</v>
      </c>
      <c r="O894" s="147">
        <v>43550</v>
      </c>
      <c r="P894" s="21">
        <v>43550</v>
      </c>
      <c r="Q894" s="424" t="s">
        <v>8297</v>
      </c>
      <c r="R894" s="26" t="s">
        <v>195</v>
      </c>
      <c r="S894" s="26" t="s">
        <v>1491</v>
      </c>
      <c r="T894" s="147">
        <v>43594</v>
      </c>
      <c r="U894" s="21">
        <v>43594</v>
      </c>
      <c r="V894" s="424" t="s">
        <v>8563</v>
      </c>
      <c r="W894" s="26" t="s">
        <v>6739</v>
      </c>
      <c r="X894" s="26" t="s">
        <v>6174</v>
      </c>
      <c r="Y894" s="147">
        <v>43608</v>
      </c>
      <c r="Z894" s="21">
        <v>43608</v>
      </c>
      <c r="AA894" s="424" t="s">
        <v>8719</v>
      </c>
      <c r="AB894" s="26" t="s">
        <v>625</v>
      </c>
      <c r="AC894" s="26" t="s">
        <v>8720</v>
      </c>
      <c r="AD894" s="147">
        <v>44153</v>
      </c>
      <c r="AE894" s="21">
        <v>44153</v>
      </c>
      <c r="AF894" s="424" t="s">
        <v>9775</v>
      </c>
      <c r="AG894" s="26" t="s">
        <v>5</v>
      </c>
      <c r="AH894" s="26" t="s">
        <v>9546</v>
      </c>
      <c r="AI894" s="237"/>
      <c r="AJ894" s="234"/>
      <c r="AK894" s="235"/>
      <c r="AL894" s="236"/>
      <c r="AM894" s="249"/>
      <c r="AN894" s="238"/>
      <c r="AO894" s="477"/>
      <c r="AP894" s="239"/>
      <c r="AQ894" s="427" t="s">
        <v>8287</v>
      </c>
      <c r="AR894" s="428" t="s">
        <v>2411</v>
      </c>
      <c r="AS894" s="426">
        <v>37077</v>
      </c>
      <c r="AT894" s="426">
        <v>40054</v>
      </c>
      <c r="AU894" s="421" t="s">
        <v>8442</v>
      </c>
      <c r="AV894" s="421"/>
      <c r="AW894" s="421" t="s">
        <v>69</v>
      </c>
      <c r="AX894" s="428" t="s">
        <v>328</v>
      </c>
      <c r="AY894" s="420">
        <v>42050</v>
      </c>
      <c r="AZ894" s="428" t="s">
        <v>6739</v>
      </c>
      <c r="BA894" s="420">
        <v>43489</v>
      </c>
      <c r="BB894" s="678">
        <v>43545</v>
      </c>
      <c r="BC894" s="428" t="s">
        <v>95</v>
      </c>
      <c r="BD894" s="422" t="s">
        <v>7355</v>
      </c>
      <c r="BE894" s="236"/>
      <c r="BF894" s="22"/>
      <c r="BG894" s="235"/>
      <c r="BH894" s="194"/>
      <c r="BI894" s="235"/>
      <c r="BJ894" s="209">
        <f>'[395]MATRIZ '!$J$61</f>
        <v>0</v>
      </c>
      <c r="BK894" s="159"/>
      <c r="BL894" s="196"/>
      <c r="BM894" s="384"/>
      <c r="BN894" s="541"/>
      <c r="BO894" s="449"/>
      <c r="BP894" s="410"/>
      <c r="BQ894" s="414"/>
      <c r="BR894" s="243"/>
      <c r="BS894" s="235"/>
      <c r="BT894" s="235"/>
      <c r="BU894" s="235"/>
      <c r="BV894" s="235"/>
      <c r="BW894" s="244"/>
      <c r="BX894" s="245"/>
      <c r="BY894" s="233"/>
      <c r="BZ894" s="246"/>
    </row>
    <row r="895" spans="1:78" ht="54">
      <c r="A895" s="96">
        <v>890</v>
      </c>
      <c r="B895" s="428" t="s">
        <v>8289</v>
      </c>
      <c r="C895" s="419">
        <v>79987569</v>
      </c>
      <c r="D895" s="439" t="s">
        <v>167</v>
      </c>
      <c r="E895" s="420">
        <v>43551</v>
      </c>
      <c r="F895" s="21">
        <v>43551</v>
      </c>
      <c r="G895" s="428" t="s">
        <v>8290</v>
      </c>
      <c r="H895" s="26" t="s">
        <v>625</v>
      </c>
      <c r="I895" s="423" t="s">
        <v>2411</v>
      </c>
      <c r="J895" s="147">
        <v>43566</v>
      </c>
      <c r="K895" s="21">
        <v>43566</v>
      </c>
      <c r="L895" s="428" t="s">
        <v>8629</v>
      </c>
      <c r="M895" s="26" t="s">
        <v>1493</v>
      </c>
      <c r="N895" s="26" t="s">
        <v>1495</v>
      </c>
      <c r="O895" s="147">
        <v>43676</v>
      </c>
      <c r="P895" s="21">
        <v>43676</v>
      </c>
      <c r="Q895" s="424" t="s">
        <v>8986</v>
      </c>
      <c r="R895" s="26" t="s">
        <v>171</v>
      </c>
      <c r="S895" s="26" t="s">
        <v>8628</v>
      </c>
      <c r="T895" s="147">
        <v>43899</v>
      </c>
      <c r="U895" s="21">
        <v>43899</v>
      </c>
      <c r="V895" s="424" t="s">
        <v>9494</v>
      </c>
      <c r="W895" s="26" t="s">
        <v>5</v>
      </c>
      <c r="X895" s="26" t="s">
        <v>79</v>
      </c>
      <c r="Y895" s="233"/>
      <c r="Z895" s="234"/>
      <c r="AA895" s="235"/>
      <c r="AB895" s="236"/>
      <c r="AC895" s="249"/>
      <c r="AD895" s="233"/>
      <c r="AE895" s="234"/>
      <c r="AF895" s="235"/>
      <c r="AG895" s="236"/>
      <c r="AH895" s="249"/>
      <c r="AI895" s="237"/>
      <c r="AJ895" s="234"/>
      <c r="AK895" s="235"/>
      <c r="AL895" s="236"/>
      <c r="AM895" s="249"/>
      <c r="AN895" s="238"/>
      <c r="AO895" s="477"/>
      <c r="AP895" s="239"/>
      <c r="AQ895" s="427" t="s">
        <v>8291</v>
      </c>
      <c r="AR895" s="428" t="s">
        <v>2411</v>
      </c>
      <c r="AS895" s="426">
        <v>38148</v>
      </c>
      <c r="AT895" s="426" t="s">
        <v>8630</v>
      </c>
      <c r="AU895" s="421" t="s">
        <v>8058</v>
      </c>
      <c r="AV895" s="421"/>
      <c r="AW895" s="421" t="s">
        <v>69</v>
      </c>
      <c r="AX895" s="428" t="s">
        <v>8120</v>
      </c>
      <c r="AY895" s="420">
        <v>42794</v>
      </c>
      <c r="AZ895" s="428" t="s">
        <v>6733</v>
      </c>
      <c r="BA895" s="420">
        <v>43545</v>
      </c>
      <c r="BB895" s="678">
        <v>43556</v>
      </c>
      <c r="BC895" s="428" t="s">
        <v>95</v>
      </c>
      <c r="BD895" s="422" t="s">
        <v>7355</v>
      </c>
      <c r="BE895" s="236"/>
      <c r="BF895" s="22"/>
      <c r="BG895" s="235"/>
      <c r="BH895" s="194"/>
      <c r="BI895" s="235"/>
      <c r="BJ895" s="209">
        <f>'[396]MATRIZ '!$J$78</f>
        <v>0</v>
      </c>
      <c r="BK895" s="159"/>
      <c r="BL895" s="196"/>
      <c r="BM895" s="384"/>
      <c r="BN895" s="541"/>
      <c r="BO895" s="449"/>
      <c r="BP895" s="410"/>
      <c r="BQ895" s="414"/>
      <c r="BR895" s="243"/>
      <c r="BS895" s="235"/>
      <c r="BT895" s="235"/>
      <c r="BU895" s="235"/>
      <c r="BV895" s="235"/>
      <c r="BW895" s="244"/>
      <c r="BX895" s="245"/>
      <c r="BY895" s="233"/>
      <c r="BZ895" s="246"/>
    </row>
    <row r="896" spans="1:78" ht="54">
      <c r="A896" s="96">
        <v>891</v>
      </c>
      <c r="B896" s="428" t="s">
        <v>4148</v>
      </c>
      <c r="C896" s="419">
        <v>79130530</v>
      </c>
      <c r="D896" s="439" t="s">
        <v>906</v>
      </c>
      <c r="E896" s="420">
        <v>43537</v>
      </c>
      <c r="F896" s="21">
        <v>43537</v>
      </c>
      <c r="G896" s="428" t="s">
        <v>8292</v>
      </c>
      <c r="H896" s="26" t="s">
        <v>625</v>
      </c>
      <c r="I896" s="423" t="s">
        <v>6174</v>
      </c>
      <c r="J896" s="147">
        <v>43601</v>
      </c>
      <c r="K896" s="21">
        <v>43601</v>
      </c>
      <c r="L896" s="424" t="s">
        <v>8644</v>
      </c>
      <c r="M896" s="26" t="s">
        <v>625</v>
      </c>
      <c r="N896" s="26" t="s">
        <v>1495</v>
      </c>
      <c r="O896" s="147">
        <v>43601</v>
      </c>
      <c r="P896" s="21">
        <v>43601</v>
      </c>
      <c r="Q896" s="147" t="s">
        <v>8819</v>
      </c>
      <c r="R896" s="26" t="s">
        <v>625</v>
      </c>
      <c r="S896" s="26" t="s">
        <v>2411</v>
      </c>
      <c r="T896" s="233">
        <v>44557</v>
      </c>
      <c r="U896" s="234">
        <v>44531</v>
      </c>
      <c r="V896" s="959" t="s">
        <v>10728</v>
      </c>
      <c r="W896" s="236" t="s">
        <v>5</v>
      </c>
      <c r="X896" s="249" t="s">
        <v>79</v>
      </c>
      <c r="Y896" s="233"/>
      <c r="Z896" s="234"/>
      <c r="AA896" s="235"/>
      <c r="AB896" s="236"/>
      <c r="AC896" s="249"/>
      <c r="AD896" s="233"/>
      <c r="AE896" s="234"/>
      <c r="AF896" s="235"/>
      <c r="AG896" s="236"/>
      <c r="AH896" s="249"/>
      <c r="AI896" s="237"/>
      <c r="AJ896" s="234"/>
      <c r="AK896" s="235"/>
      <c r="AL896" s="236"/>
      <c r="AM896" s="249"/>
      <c r="AN896" s="422" t="s">
        <v>6487</v>
      </c>
      <c r="AO896" s="477"/>
      <c r="AP896" s="421" t="s">
        <v>2558</v>
      </c>
      <c r="AQ896" s="427" t="s">
        <v>8294</v>
      </c>
      <c r="AR896" s="428" t="s">
        <v>2395</v>
      </c>
      <c r="AS896" s="426">
        <v>33312</v>
      </c>
      <c r="AT896" s="426">
        <v>40908</v>
      </c>
      <c r="AU896" s="421" t="s">
        <v>8058</v>
      </c>
      <c r="AV896" s="421"/>
      <c r="AW896" s="421" t="s">
        <v>69</v>
      </c>
      <c r="AX896" s="428" t="s">
        <v>8295</v>
      </c>
      <c r="AY896" s="420">
        <v>42516</v>
      </c>
      <c r="AZ896" s="428" t="s">
        <v>6733</v>
      </c>
      <c r="BA896" s="420">
        <v>43532</v>
      </c>
      <c r="BB896" s="678">
        <v>43542</v>
      </c>
      <c r="BC896" s="428" t="s">
        <v>8296</v>
      </c>
      <c r="BD896" s="422" t="s">
        <v>7355</v>
      </c>
      <c r="BE896" s="236"/>
      <c r="BF896" s="22"/>
      <c r="BG896" s="235"/>
      <c r="BH896" s="194"/>
      <c r="BI896" s="235"/>
      <c r="BJ896" s="209"/>
      <c r="BK896" s="159"/>
      <c r="BL896" s="196"/>
      <c r="BM896" s="384"/>
      <c r="BN896" s="541"/>
      <c r="BO896" s="449"/>
      <c r="BP896" s="410"/>
      <c r="BQ896" s="414"/>
      <c r="BR896" s="243"/>
      <c r="BS896" s="235"/>
      <c r="BT896" s="235"/>
      <c r="BU896" s="235"/>
      <c r="BV896" s="235"/>
      <c r="BW896" s="244"/>
      <c r="BX896" s="245"/>
      <c r="BY896" s="233"/>
      <c r="BZ896" s="246"/>
    </row>
    <row r="897" spans="1:78" ht="54">
      <c r="A897" s="96">
        <v>892</v>
      </c>
      <c r="B897" s="428" t="s">
        <v>8304</v>
      </c>
      <c r="C897" s="419">
        <v>79561882</v>
      </c>
      <c r="D897" s="439" t="s">
        <v>677</v>
      </c>
      <c r="E897" s="420">
        <v>43453</v>
      </c>
      <c r="F897" s="21">
        <v>43453</v>
      </c>
      <c r="G897" s="428" t="s">
        <v>8305</v>
      </c>
      <c r="H897" s="26" t="s">
        <v>5</v>
      </c>
      <c r="I897" s="423" t="s">
        <v>79</v>
      </c>
      <c r="J897" s="147">
        <v>43536</v>
      </c>
      <c r="K897" s="21">
        <v>43536</v>
      </c>
      <c r="L897" s="424" t="s">
        <v>8306</v>
      </c>
      <c r="M897" s="26" t="s">
        <v>286</v>
      </c>
      <c r="N897" s="26" t="s">
        <v>85</v>
      </c>
      <c r="O897" s="420">
        <v>44018</v>
      </c>
      <c r="P897" s="23">
        <v>44018</v>
      </c>
      <c r="Q897" s="428" t="s">
        <v>9544</v>
      </c>
      <c r="R897" s="26" t="s">
        <v>5</v>
      </c>
      <c r="S897" s="423" t="s">
        <v>9511</v>
      </c>
      <c r="T897" s="147">
        <v>44343</v>
      </c>
      <c r="U897" s="21">
        <v>44343</v>
      </c>
      <c r="V897" s="424" t="s">
        <v>10495</v>
      </c>
      <c r="W897" s="26" t="s">
        <v>5</v>
      </c>
      <c r="X897" s="26" t="s">
        <v>10496</v>
      </c>
      <c r="Y897" s="233"/>
      <c r="Z897" s="234"/>
      <c r="AA897" s="235"/>
      <c r="AB897" s="236"/>
      <c r="AC897" s="249"/>
      <c r="AD897" s="233"/>
      <c r="AE897" s="234"/>
      <c r="AF897" s="235"/>
      <c r="AG897" s="236"/>
      <c r="AH897" s="249"/>
      <c r="AI897" s="237"/>
      <c r="AJ897" s="234"/>
      <c r="AK897" s="235"/>
      <c r="AL897" s="236"/>
      <c r="AM897" s="249"/>
      <c r="AN897" s="422"/>
      <c r="AO897" s="508">
        <v>43536</v>
      </c>
      <c r="AP897" s="421"/>
      <c r="AQ897" s="427" t="s">
        <v>8307</v>
      </c>
      <c r="AR897" s="428" t="s">
        <v>101</v>
      </c>
      <c r="AS897" s="426">
        <v>38595</v>
      </c>
      <c r="AT897" s="426">
        <v>40663</v>
      </c>
      <c r="AU897" s="421" t="s">
        <v>8058</v>
      </c>
      <c r="AV897" s="421"/>
      <c r="AW897" s="421" t="s">
        <v>69</v>
      </c>
      <c r="AX897" s="428" t="s">
        <v>8308</v>
      </c>
      <c r="AY897" s="420">
        <v>43313</v>
      </c>
      <c r="AZ897" s="428" t="s">
        <v>67</v>
      </c>
      <c r="BA897" s="428" t="s">
        <v>67</v>
      </c>
      <c r="BB897" s="678">
        <v>43333</v>
      </c>
      <c r="BC897" s="428" t="s">
        <v>95</v>
      </c>
      <c r="BD897" s="422" t="s">
        <v>7355</v>
      </c>
      <c r="BE897" s="236"/>
      <c r="BF897" s="22"/>
      <c r="BG897" s="235"/>
      <c r="BH897" s="194"/>
      <c r="BI897" s="235"/>
      <c r="BJ897" s="209">
        <f>'[397]MATRIZ '!$J$72</f>
        <v>0</v>
      </c>
      <c r="BK897" s="159"/>
      <c r="BL897" s="196"/>
      <c r="BM897" s="384"/>
      <c r="BN897" s="541"/>
      <c r="BO897" s="449"/>
      <c r="BP897" s="410"/>
      <c r="BQ897" s="414"/>
      <c r="BR897" s="243"/>
      <c r="BS897" s="235"/>
      <c r="BT897" s="235"/>
      <c r="BU897" s="235"/>
      <c r="BV897" s="235"/>
      <c r="BW897" s="244"/>
      <c r="BX897" s="245"/>
      <c r="BY897" s="233"/>
      <c r="BZ897" s="246"/>
    </row>
    <row r="898" spans="1:78" s="259" customFormat="1" ht="115.5" customHeight="1">
      <c r="A898" s="502">
        <v>893</v>
      </c>
      <c r="B898" s="706" t="s">
        <v>8364</v>
      </c>
      <c r="C898" s="687">
        <v>1088249205</v>
      </c>
      <c r="D898" s="688" t="s">
        <v>8362</v>
      </c>
      <c r="E898" s="16">
        <v>43509</v>
      </c>
      <c r="F898" s="689">
        <v>43509</v>
      </c>
      <c r="G898" s="706" t="s">
        <v>8366</v>
      </c>
      <c r="H898" s="693" t="s">
        <v>63</v>
      </c>
      <c r="I898" s="27" t="s">
        <v>79</v>
      </c>
      <c r="J898" s="16">
        <v>43556</v>
      </c>
      <c r="K898" s="689">
        <v>43556</v>
      </c>
      <c r="L898" s="706" t="s">
        <v>8363</v>
      </c>
      <c r="M898" s="693" t="s">
        <v>63</v>
      </c>
      <c r="N898" s="27" t="s">
        <v>79</v>
      </c>
      <c r="O898" s="16">
        <v>43801</v>
      </c>
      <c r="P898" s="689">
        <v>43801</v>
      </c>
      <c r="Q898" s="706" t="s">
        <v>9262</v>
      </c>
      <c r="R898" s="693" t="s">
        <v>208</v>
      </c>
      <c r="S898" s="693" t="s">
        <v>8243</v>
      </c>
      <c r="T898" s="16">
        <v>44033</v>
      </c>
      <c r="U898" s="689">
        <v>44033</v>
      </c>
      <c r="V898" s="706" t="s">
        <v>9556</v>
      </c>
      <c r="W898" s="693" t="s">
        <v>63</v>
      </c>
      <c r="X898" s="693" t="s">
        <v>9511</v>
      </c>
      <c r="Y898" s="16">
        <v>44362</v>
      </c>
      <c r="Z898" s="689">
        <v>44362</v>
      </c>
      <c r="AA898" s="706" t="s">
        <v>10521</v>
      </c>
      <c r="AB898" s="693" t="s">
        <v>63</v>
      </c>
      <c r="AC898" s="693" t="s">
        <v>10522</v>
      </c>
      <c r="AD898" s="240">
        <v>44547</v>
      </c>
      <c r="AE898" s="709">
        <v>44531</v>
      </c>
      <c r="AF898" s="959" t="s">
        <v>10726</v>
      </c>
      <c r="AG898" s="711" t="s">
        <v>3534</v>
      </c>
      <c r="AH898" s="712" t="s">
        <v>10727</v>
      </c>
      <c r="AI898" s="713"/>
      <c r="AJ898" s="709"/>
      <c r="AK898" s="710"/>
      <c r="AL898" s="711"/>
      <c r="AM898" s="712"/>
      <c r="AN898" s="686"/>
      <c r="AO898" s="171"/>
      <c r="AP898" s="692"/>
      <c r="AQ898" s="716" t="s">
        <v>8419</v>
      </c>
      <c r="AR898" s="706" t="s">
        <v>101</v>
      </c>
      <c r="AS898" s="171" t="s">
        <v>67</v>
      </c>
      <c r="AT898" s="171" t="s">
        <v>67</v>
      </c>
      <c r="AU898" s="692" t="s">
        <v>8058</v>
      </c>
      <c r="AV898" s="692"/>
      <c r="AW898" s="692" t="s">
        <v>69</v>
      </c>
      <c r="AX898" s="706" t="s">
        <v>8308</v>
      </c>
      <c r="AY898" s="16">
        <v>43363</v>
      </c>
      <c r="AZ898" s="706"/>
      <c r="BA898" s="16"/>
      <c r="BB898" s="16">
        <v>43385</v>
      </c>
      <c r="BC898" s="706" t="s">
        <v>561</v>
      </c>
      <c r="BD898" s="686" t="s">
        <v>7355</v>
      </c>
      <c r="BE898" s="690" t="s">
        <v>8365</v>
      </c>
      <c r="BF898" s="690"/>
      <c r="BG898" s="710"/>
      <c r="BH898" s="717"/>
      <c r="BI898" s="710"/>
      <c r="BJ898" s="708">
        <f>'[398]MATRIZ DE CONTRATOS '!$H$27</f>
        <v>0</v>
      </c>
      <c r="BK898" s="708"/>
      <c r="BL898" s="718"/>
      <c r="BM898" s="191"/>
      <c r="BN898" s="719"/>
      <c r="BO898" s="720"/>
      <c r="BP898" s="721"/>
      <c r="BQ898" s="722"/>
      <c r="BR898" s="723"/>
      <c r="BS898" s="710"/>
      <c r="BT898" s="710"/>
      <c r="BU898" s="710"/>
      <c r="BV898" s="710"/>
      <c r="BW898" s="724"/>
      <c r="BX898" s="725"/>
      <c r="BY898" s="240"/>
      <c r="BZ898" s="726"/>
    </row>
    <row r="899" spans="1:78" ht="54">
      <c r="A899" s="96">
        <v>895</v>
      </c>
      <c r="B899" s="428" t="s">
        <v>8417</v>
      </c>
      <c r="C899" s="419">
        <v>93402642</v>
      </c>
      <c r="D899" s="439" t="s">
        <v>8638</v>
      </c>
      <c r="E899" s="420">
        <v>43543</v>
      </c>
      <c r="F899" s="21">
        <v>43543</v>
      </c>
      <c r="G899" s="428" t="s">
        <v>8420</v>
      </c>
      <c r="H899" s="26" t="s">
        <v>625</v>
      </c>
      <c r="I899" s="423" t="s">
        <v>6367</v>
      </c>
      <c r="J899" s="147">
        <v>43615</v>
      </c>
      <c r="K899" s="21">
        <v>43615</v>
      </c>
      <c r="L899" s="424" t="s">
        <v>8777</v>
      </c>
      <c r="M899" s="26" t="s">
        <v>5</v>
      </c>
      <c r="N899" s="423" t="s">
        <v>79</v>
      </c>
      <c r="O899" s="147">
        <v>43643</v>
      </c>
      <c r="P899" s="21">
        <v>43643</v>
      </c>
      <c r="Q899" s="424" t="s">
        <v>9187</v>
      </c>
      <c r="R899" s="26" t="s">
        <v>5</v>
      </c>
      <c r="S899" s="26" t="s">
        <v>85</v>
      </c>
      <c r="T899" s="147">
        <v>43691</v>
      </c>
      <c r="U899" s="21">
        <v>43691</v>
      </c>
      <c r="V899" s="424" t="s">
        <v>9037</v>
      </c>
      <c r="W899" s="26" t="s">
        <v>5</v>
      </c>
      <c r="X899" s="26" t="s">
        <v>85</v>
      </c>
      <c r="Y899" s="147">
        <v>43756</v>
      </c>
      <c r="Z899" s="21">
        <v>43756</v>
      </c>
      <c r="AA899" s="424" t="s">
        <v>9195</v>
      </c>
      <c r="AB899" s="26" t="s">
        <v>5</v>
      </c>
      <c r="AC899" s="26" t="s">
        <v>85</v>
      </c>
      <c r="AD899" s="233">
        <v>44375</v>
      </c>
      <c r="AE899" t="s">
        <v>10613</v>
      </c>
      <c r="AF899" s="959" t="s">
        <v>10553</v>
      </c>
      <c r="AG899" s="236" t="s">
        <v>5</v>
      </c>
      <c r="AH899" s="249" t="s">
        <v>3406</v>
      </c>
      <c r="AI899" s="237"/>
      <c r="AJ899" s="234"/>
      <c r="AK899" s="235"/>
      <c r="AL899" s="236"/>
      <c r="AM899" s="249"/>
      <c r="AN899" s="422"/>
      <c r="AO899" s="508"/>
      <c r="AP899" s="421"/>
      <c r="AQ899" s="427" t="s">
        <v>8418</v>
      </c>
      <c r="AR899" s="428" t="s">
        <v>6174</v>
      </c>
      <c r="AS899" s="426">
        <v>37773</v>
      </c>
      <c r="AT899" s="426">
        <v>40847</v>
      </c>
      <c r="AU899" s="421" t="s">
        <v>8058</v>
      </c>
      <c r="AV899" s="421"/>
      <c r="AW899" s="421" t="s">
        <v>69</v>
      </c>
      <c r="AX899" s="428" t="s">
        <v>8421</v>
      </c>
      <c r="AY899" s="420">
        <v>42327</v>
      </c>
      <c r="AZ899" s="428" t="s">
        <v>652</v>
      </c>
      <c r="BA899" s="420">
        <v>43538</v>
      </c>
      <c r="BB899" s="678">
        <v>43546</v>
      </c>
      <c r="BC899" s="428" t="s">
        <v>95</v>
      </c>
      <c r="BD899" s="422" t="s">
        <v>7355</v>
      </c>
      <c r="BE899" s="22"/>
      <c r="BF899" s="22"/>
      <c r="BG899" s="235"/>
      <c r="BH899" s="194"/>
      <c r="BI899" s="235"/>
      <c r="BJ899" s="209">
        <f>'[399]MATRIZ '!$J$78</f>
        <v>0</v>
      </c>
      <c r="BK899" s="159"/>
      <c r="BL899" s="196"/>
      <c r="BM899" s="384"/>
      <c r="BN899" s="541"/>
      <c r="BO899" s="449"/>
      <c r="BP899" s="410"/>
      <c r="BQ899" s="414"/>
      <c r="BR899" s="243"/>
      <c r="BS899" s="235"/>
      <c r="BT899" s="235"/>
      <c r="BU899" s="235"/>
      <c r="BV899" s="235"/>
      <c r="BW899" s="244"/>
      <c r="BX899" s="245"/>
      <c r="BY899" s="233"/>
      <c r="BZ899" s="246"/>
    </row>
    <row r="900" spans="1:78" ht="54">
      <c r="A900" s="96">
        <v>896</v>
      </c>
      <c r="B900" s="428" t="s">
        <v>8424</v>
      </c>
      <c r="C900" s="419">
        <v>14838884</v>
      </c>
      <c r="D900" s="420" t="s">
        <v>1153</v>
      </c>
      <c r="E900" s="420">
        <v>43564</v>
      </c>
      <c r="F900" s="21">
        <v>43564</v>
      </c>
      <c r="G900" s="428" t="s">
        <v>8423</v>
      </c>
      <c r="H900" s="26" t="s">
        <v>576</v>
      </c>
      <c r="I900" s="423" t="s">
        <v>6174</v>
      </c>
      <c r="J900" s="147">
        <v>43857</v>
      </c>
      <c r="K900" s="21">
        <v>43857</v>
      </c>
      <c r="L900" s="424" t="s">
        <v>9353</v>
      </c>
      <c r="M900" s="26" t="s">
        <v>5</v>
      </c>
      <c r="N900" s="423" t="s">
        <v>79</v>
      </c>
      <c r="O900" s="147"/>
      <c r="P900" s="21"/>
      <c r="Q900" s="424"/>
      <c r="R900" s="26"/>
      <c r="S900" s="26"/>
      <c r="T900" s="233"/>
      <c r="U900" s="234"/>
      <c r="V900" s="235"/>
      <c r="W900" s="236"/>
      <c r="X900" s="249"/>
      <c r="Y900" s="233"/>
      <c r="Z900" s="234"/>
      <c r="AA900" s="235"/>
      <c r="AB900" s="236"/>
      <c r="AC900" s="249"/>
      <c r="AD900" s="233"/>
      <c r="AE900" s="234"/>
      <c r="AF900" s="235"/>
      <c r="AG900" s="236"/>
      <c r="AH900" s="249"/>
      <c r="AI900" s="237"/>
      <c r="AJ900" s="234"/>
      <c r="AK900" s="235"/>
      <c r="AL900" s="236"/>
      <c r="AM900" s="249"/>
      <c r="AN900" s="422"/>
      <c r="AO900" s="508"/>
      <c r="AP900" s="421"/>
      <c r="AQ900" s="427" t="s">
        <v>8425</v>
      </c>
      <c r="AR900" s="428" t="s">
        <v>6174</v>
      </c>
      <c r="AS900" s="426">
        <v>38412</v>
      </c>
      <c r="AT900" s="426">
        <v>39994</v>
      </c>
      <c r="AU900" s="421" t="s">
        <v>8426</v>
      </c>
      <c r="AV900" s="421"/>
      <c r="AW900" s="422" t="s">
        <v>92</v>
      </c>
      <c r="AX900" s="428" t="s">
        <v>4665</v>
      </c>
      <c r="AY900" s="420">
        <v>42290</v>
      </c>
      <c r="AZ900" s="428" t="s">
        <v>1643</v>
      </c>
      <c r="BA900" s="420">
        <v>43440</v>
      </c>
      <c r="BB900" s="678">
        <v>43525</v>
      </c>
      <c r="BC900" s="428" t="s">
        <v>95</v>
      </c>
      <c r="BD900" s="422" t="s">
        <v>7355</v>
      </c>
      <c r="BE900" s="22"/>
      <c r="BF900" s="22"/>
      <c r="BG900" s="235"/>
      <c r="BH900" s="194"/>
      <c r="BI900" s="235"/>
      <c r="BJ900" s="209">
        <f>[400]MATRIZ!$J$54</f>
        <v>127558795.24556109</v>
      </c>
      <c r="BK900" s="159"/>
      <c r="BL900" s="196"/>
      <c r="BM900" s="384"/>
      <c r="BN900" s="541"/>
      <c r="BO900" s="449"/>
      <c r="BP900" s="410"/>
      <c r="BQ900" s="414"/>
      <c r="BR900" s="243"/>
      <c r="BS900" s="235"/>
      <c r="BT900" s="235"/>
      <c r="BU900" s="235"/>
      <c r="BV900" s="235"/>
      <c r="BW900" s="244"/>
      <c r="BX900" s="245"/>
      <c r="BY900" s="233"/>
      <c r="BZ900" s="246"/>
    </row>
    <row r="901" spans="1:78" ht="54">
      <c r="A901" s="96">
        <v>897</v>
      </c>
      <c r="B901" s="428" t="s">
        <v>8433</v>
      </c>
      <c r="C901" s="419">
        <v>94324347</v>
      </c>
      <c r="D901" s="439" t="s">
        <v>1153</v>
      </c>
      <c r="E901" s="420">
        <v>43570</v>
      </c>
      <c r="F901" s="21">
        <v>43570</v>
      </c>
      <c r="G901" s="428" t="s">
        <v>8434</v>
      </c>
      <c r="H901" s="26" t="s">
        <v>576</v>
      </c>
      <c r="I901" s="423" t="s">
        <v>6576</v>
      </c>
      <c r="J901" s="147">
        <v>43858</v>
      </c>
      <c r="K901" s="21">
        <v>43858</v>
      </c>
      <c r="L901" s="424" t="s">
        <v>9350</v>
      </c>
      <c r="M901" s="26" t="s">
        <v>5</v>
      </c>
      <c r="N901" s="423" t="s">
        <v>79</v>
      </c>
      <c r="O901" s="147">
        <v>43847</v>
      </c>
      <c r="P901" s="21">
        <v>43844</v>
      </c>
      <c r="Q901" s="424" t="s">
        <v>9357</v>
      </c>
      <c r="R901" s="26" t="s">
        <v>208</v>
      </c>
      <c r="S901" s="26" t="s">
        <v>8243</v>
      </c>
      <c r="T901" s="147">
        <v>44165</v>
      </c>
      <c r="U901" s="21">
        <v>44165</v>
      </c>
      <c r="V901" s="424" t="s">
        <v>9786</v>
      </c>
      <c r="W901" s="26" t="s">
        <v>208</v>
      </c>
      <c r="X901" s="147" t="s">
        <v>9787</v>
      </c>
      <c r="Y901" s="233">
        <v>44602</v>
      </c>
      <c r="Z901" s="234">
        <v>44593</v>
      </c>
      <c r="AA901" s="959" t="s">
        <v>10752</v>
      </c>
      <c r="AB901" s="236" t="s">
        <v>208</v>
      </c>
      <c r="AC901" s="249" t="s">
        <v>10688</v>
      </c>
      <c r="AD901" s="233"/>
      <c r="AE901" s="234"/>
      <c r="AF901" s="235"/>
      <c r="AG901" s="236"/>
      <c r="AH901" s="249"/>
      <c r="AI901" s="237"/>
      <c r="AJ901" s="234"/>
      <c r="AK901" s="235"/>
      <c r="AL901" s="236"/>
      <c r="AM901" s="249"/>
      <c r="AN901" s="422"/>
      <c r="AO901" s="508"/>
      <c r="AP901" s="421"/>
      <c r="AQ901" s="427" t="s">
        <v>8435</v>
      </c>
      <c r="AR901" s="428" t="s">
        <v>6576</v>
      </c>
      <c r="AS901" s="426">
        <v>37773</v>
      </c>
      <c r="AT901" s="426">
        <v>40862</v>
      </c>
      <c r="AU901" s="421" t="s">
        <v>8437</v>
      </c>
      <c r="AV901" s="421"/>
      <c r="AW901" s="421" t="s">
        <v>69</v>
      </c>
      <c r="AX901" s="428" t="s">
        <v>8436</v>
      </c>
      <c r="AY901" s="420">
        <v>42563</v>
      </c>
      <c r="AZ901" s="428" t="s">
        <v>576</v>
      </c>
      <c r="BA901" s="420" t="s">
        <v>8555</v>
      </c>
      <c r="BB901" s="678">
        <v>43579</v>
      </c>
      <c r="BC901" s="428" t="s">
        <v>95</v>
      </c>
      <c r="BD901" s="422" t="s">
        <v>7355</v>
      </c>
      <c r="BE901" s="22"/>
      <c r="BF901" s="22"/>
      <c r="BG901" s="235"/>
      <c r="BH901" s="194"/>
      <c r="BI901" s="235"/>
      <c r="BJ901" s="209"/>
      <c r="BK901" s="159"/>
      <c r="BL901" s="196"/>
      <c r="BM901" s="384"/>
      <c r="BN901" s="541"/>
      <c r="BO901" s="449"/>
      <c r="BP901" s="410"/>
      <c r="BQ901" s="414"/>
      <c r="BR901" s="243"/>
      <c r="BS901" s="235"/>
      <c r="BT901" s="235"/>
      <c r="BU901" s="235"/>
      <c r="BV901" s="235"/>
      <c r="BW901" s="244"/>
      <c r="BX901" s="245"/>
      <c r="BY901" s="233"/>
      <c r="BZ901" s="246"/>
    </row>
    <row r="902" spans="1:78" ht="67.5">
      <c r="A902" s="96">
        <v>898</v>
      </c>
      <c r="B902" s="428" t="s">
        <v>8500</v>
      </c>
      <c r="C902" s="419">
        <v>12723075</v>
      </c>
      <c r="D902" s="439" t="s">
        <v>2173</v>
      </c>
      <c r="E902" s="420">
        <v>43591</v>
      </c>
      <c r="F902" s="21">
        <v>43591</v>
      </c>
      <c r="G902" s="428" t="s">
        <v>8517</v>
      </c>
      <c r="H902" s="26" t="s">
        <v>625</v>
      </c>
      <c r="I902" s="423" t="s">
        <v>6174</v>
      </c>
      <c r="J902" s="147"/>
      <c r="K902" s="21"/>
      <c r="L902" s="424"/>
      <c r="M902" s="26"/>
      <c r="N902" s="26"/>
      <c r="O902" s="147"/>
      <c r="P902" s="21"/>
      <c r="Q902" s="424"/>
      <c r="R902" s="26"/>
      <c r="S902" s="26"/>
      <c r="T902" s="233"/>
      <c r="U902" s="234"/>
      <c r="V902" s="235"/>
      <c r="W902" s="236"/>
      <c r="X902" s="249"/>
      <c r="Y902" s="233"/>
      <c r="Z902" s="234"/>
      <c r="AA902" s="235"/>
      <c r="AB902" s="236"/>
      <c r="AC902" s="249"/>
      <c r="AD902" s="233"/>
      <c r="AE902" s="234"/>
      <c r="AF902" s="235"/>
      <c r="AG902" s="236"/>
      <c r="AH902" s="249"/>
      <c r="AI902" s="237"/>
      <c r="AJ902" s="234"/>
      <c r="AK902" s="235"/>
      <c r="AL902" s="236"/>
      <c r="AM902" s="249"/>
      <c r="AN902" s="422"/>
      <c r="AO902" s="508"/>
      <c r="AP902" s="421"/>
      <c r="AQ902" s="427" t="s">
        <v>8501</v>
      </c>
      <c r="AR902" s="428" t="s">
        <v>6174</v>
      </c>
      <c r="AS902" s="426">
        <v>34389</v>
      </c>
      <c r="AT902" s="426">
        <v>40908</v>
      </c>
      <c r="AU902" s="422" t="s">
        <v>8058</v>
      </c>
      <c r="AV902" s="422"/>
      <c r="AW902" s="421" t="s">
        <v>69</v>
      </c>
      <c r="AX902" s="428" t="s">
        <v>8503</v>
      </c>
      <c r="AY902" s="420">
        <v>42643</v>
      </c>
      <c r="AZ902" s="428" t="s">
        <v>8502</v>
      </c>
      <c r="BA902" s="420">
        <v>43587</v>
      </c>
      <c r="BB902" s="678"/>
      <c r="BC902" s="428" t="s">
        <v>8441</v>
      </c>
      <c r="BD902" s="422" t="s">
        <v>7355</v>
      </c>
      <c r="BE902" s="22"/>
      <c r="BF902" s="22"/>
      <c r="BG902" s="235"/>
      <c r="BH902" s="194"/>
      <c r="BI902" s="235"/>
      <c r="BJ902" s="209">
        <f>[401]MATRIZ!$J$59</f>
        <v>4946697.960777808</v>
      </c>
      <c r="BK902" s="159"/>
      <c r="BL902" s="196"/>
      <c r="BM902" s="384"/>
      <c r="BN902" s="541"/>
      <c r="BO902" s="449"/>
      <c r="BP902" s="410"/>
      <c r="BQ902" s="414"/>
      <c r="BR902" s="243"/>
      <c r="BS902" s="235"/>
      <c r="BT902" s="235"/>
      <c r="BU902" s="235"/>
      <c r="BV902" s="235"/>
      <c r="BW902" s="244"/>
      <c r="BX902" s="245"/>
      <c r="BY902" s="233"/>
      <c r="BZ902" s="246"/>
    </row>
    <row r="903" spans="1:78" ht="40.5">
      <c r="A903" s="96">
        <v>899</v>
      </c>
      <c r="B903" s="428" t="s">
        <v>8556</v>
      </c>
      <c r="C903" s="419">
        <v>7716829</v>
      </c>
      <c r="D903" s="439" t="s">
        <v>8639</v>
      </c>
      <c r="E903" s="420">
        <v>43594</v>
      </c>
      <c r="F903" s="21">
        <v>43594</v>
      </c>
      <c r="G903" s="428" t="s">
        <v>8557</v>
      </c>
      <c r="H903" s="26" t="s">
        <v>576</v>
      </c>
      <c r="I903" s="423" t="s">
        <v>6174</v>
      </c>
      <c r="J903" s="147">
        <v>43648</v>
      </c>
      <c r="K903" s="21">
        <v>43648</v>
      </c>
      <c r="L903" s="424" t="s">
        <v>8921</v>
      </c>
      <c r="M903" s="26" t="s">
        <v>625</v>
      </c>
      <c r="N903" s="26" t="s">
        <v>6736</v>
      </c>
      <c r="O903" s="147"/>
      <c r="P903" s="21"/>
      <c r="Q903" s="424"/>
      <c r="R903" s="26"/>
      <c r="S903" s="26"/>
      <c r="T903" s="233"/>
      <c r="U903" s="234"/>
      <c r="V903" s="235"/>
      <c r="W903" s="236"/>
      <c r="X903" s="249"/>
      <c r="Y903" s="233"/>
      <c r="Z903" s="234"/>
      <c r="AA903" s="235"/>
      <c r="AB903" s="236"/>
      <c r="AC903" s="249"/>
      <c r="AD903" s="233"/>
      <c r="AE903" s="234"/>
      <c r="AF903" s="235"/>
      <c r="AG903" s="236"/>
      <c r="AH903" s="249"/>
      <c r="AI903" s="237"/>
      <c r="AJ903" s="234"/>
      <c r="AK903" s="235"/>
      <c r="AL903" s="236"/>
      <c r="AM903" s="249"/>
      <c r="AN903" s="422"/>
      <c r="AO903" s="508"/>
      <c r="AP903" s="421"/>
      <c r="AQ903" s="427" t="s">
        <v>8558</v>
      </c>
      <c r="AR903" s="428" t="s">
        <v>6174</v>
      </c>
      <c r="AS903" s="426">
        <v>37810</v>
      </c>
      <c r="AT903" s="426">
        <v>39447</v>
      </c>
      <c r="AU903" s="422" t="s">
        <v>8058</v>
      </c>
      <c r="AV903" s="422"/>
      <c r="AW903" s="422" t="s">
        <v>92</v>
      </c>
      <c r="AX903" s="428" t="s">
        <v>2591</v>
      </c>
      <c r="AY903" s="420">
        <v>43005</v>
      </c>
      <c r="AZ903" s="428" t="s">
        <v>6739</v>
      </c>
      <c r="BA903" s="420">
        <v>43517</v>
      </c>
      <c r="BB903" s="678">
        <v>43539</v>
      </c>
      <c r="BC903" s="428" t="s">
        <v>95</v>
      </c>
      <c r="BD903" s="422"/>
      <c r="BE903" s="22"/>
      <c r="BF903" s="22"/>
      <c r="BG903" s="235"/>
      <c r="BH903" s="194"/>
      <c r="BI903" s="235"/>
      <c r="BJ903" s="209">
        <f>[402]MATRIZ!$J$45</f>
        <v>0</v>
      </c>
      <c r="BK903" s="159"/>
      <c r="BL903" s="196"/>
      <c r="BM903" s="384"/>
      <c r="BN903" s="541"/>
      <c r="BO903" s="449"/>
      <c r="BP903" s="410"/>
      <c r="BQ903" s="414"/>
      <c r="BR903" s="243"/>
      <c r="BS903" s="235"/>
      <c r="BT903" s="235"/>
      <c r="BU903" s="235"/>
      <c r="BV903" s="235"/>
      <c r="BW903" s="244"/>
      <c r="BX903" s="245"/>
      <c r="BY903" s="233"/>
      <c r="BZ903" s="246"/>
    </row>
    <row r="904" spans="1:78" ht="40.5">
      <c r="A904" s="96">
        <v>900</v>
      </c>
      <c r="B904" s="25" t="s">
        <v>8560</v>
      </c>
      <c r="C904" s="18">
        <v>16687752</v>
      </c>
      <c r="D904" s="439" t="s">
        <v>167</v>
      </c>
      <c r="E904" s="147">
        <v>43594</v>
      </c>
      <c r="F904" s="21">
        <v>43594</v>
      </c>
      <c r="G904" s="428" t="s">
        <v>8561</v>
      </c>
      <c r="H904" s="26" t="s">
        <v>576</v>
      </c>
      <c r="I904" s="423" t="s">
        <v>6174</v>
      </c>
      <c r="J904" s="147">
        <v>43627</v>
      </c>
      <c r="K904" s="21">
        <v>43627</v>
      </c>
      <c r="L904" s="424" t="s">
        <v>8781</v>
      </c>
      <c r="M904" s="26" t="s">
        <v>5</v>
      </c>
      <c r="N904" s="26" t="s">
        <v>79</v>
      </c>
      <c r="O904" s="147"/>
      <c r="P904" s="21"/>
      <c r="Q904" s="424"/>
      <c r="R904" s="26"/>
      <c r="S904" s="26"/>
      <c r="T904" s="233"/>
      <c r="U904" s="234"/>
      <c r="V904" s="235"/>
      <c r="W904" s="236"/>
      <c r="X904" s="249"/>
      <c r="Y904" s="233"/>
      <c r="Z904" s="234"/>
      <c r="AA904" s="235"/>
      <c r="AB904" s="236"/>
      <c r="AC904" s="249"/>
      <c r="AD904" s="233"/>
      <c r="AE904" s="234"/>
      <c r="AF904" s="235"/>
      <c r="AG904" s="236"/>
      <c r="AH904" s="249"/>
      <c r="AI904" s="237"/>
      <c r="AJ904" s="234"/>
      <c r="AK904" s="235"/>
      <c r="AL904" s="236"/>
      <c r="AM904" s="249"/>
      <c r="AN904" s="422"/>
      <c r="AO904" s="508">
        <v>43635</v>
      </c>
      <c r="AP904" s="421"/>
      <c r="AQ904" s="427" t="s">
        <v>8562</v>
      </c>
      <c r="AR904" s="428" t="s">
        <v>6174</v>
      </c>
      <c r="AS904" s="426">
        <v>37837</v>
      </c>
      <c r="AT904" s="426">
        <v>40633</v>
      </c>
      <c r="AU904" s="422" t="s">
        <v>8807</v>
      </c>
      <c r="AV904" s="422"/>
      <c r="AW904" s="422" t="s">
        <v>92</v>
      </c>
      <c r="AX904" s="428" t="s">
        <v>627</v>
      </c>
      <c r="AY904" s="420">
        <v>42075</v>
      </c>
      <c r="AZ904" s="428" t="s">
        <v>6739</v>
      </c>
      <c r="BA904" s="420">
        <v>43496</v>
      </c>
      <c r="BB904" s="678">
        <v>43546</v>
      </c>
      <c r="BC904" s="428" t="s">
        <v>95</v>
      </c>
      <c r="BD904" s="422" t="s">
        <v>8623</v>
      </c>
      <c r="BE904" s="22"/>
      <c r="BF904" s="22"/>
      <c r="BG904" s="235"/>
      <c r="BH904" s="194"/>
      <c r="BI904" s="235"/>
      <c r="BJ904" s="209">
        <f>'[403]MATRIZ '!$J$79</f>
        <v>0</v>
      </c>
      <c r="BK904" s="159"/>
      <c r="BL904" s="196"/>
      <c r="BM904" s="384"/>
      <c r="BN904" s="541"/>
      <c r="BO904" s="449"/>
      <c r="BP904" s="392"/>
      <c r="BQ904" s="243"/>
      <c r="BR904" s="243"/>
      <c r="BS904" s="235"/>
      <c r="BT904" s="235"/>
      <c r="BU904" s="235"/>
      <c r="BV904" s="235"/>
      <c r="BW904" s="244"/>
      <c r="BX904" s="245"/>
      <c r="BY904" s="233"/>
      <c r="BZ904" s="246"/>
    </row>
    <row r="905" spans="1:78" ht="40.5">
      <c r="A905" s="96">
        <v>901</v>
      </c>
      <c r="B905" s="25" t="s">
        <v>8564</v>
      </c>
      <c r="C905" s="419">
        <v>10010089</v>
      </c>
      <c r="D905" s="439" t="s">
        <v>677</v>
      </c>
      <c r="E905" s="147">
        <v>43594</v>
      </c>
      <c r="F905" s="21">
        <v>43594</v>
      </c>
      <c r="G905" s="428" t="s">
        <v>8565</v>
      </c>
      <c r="H905" s="26" t="s">
        <v>576</v>
      </c>
      <c r="I905" s="423" t="s">
        <v>6174</v>
      </c>
      <c r="J905" s="147">
        <v>43690</v>
      </c>
      <c r="K905" s="21">
        <v>43690</v>
      </c>
      <c r="L905" s="424" t="s">
        <v>9035</v>
      </c>
      <c r="M905" s="26" t="s">
        <v>5</v>
      </c>
      <c r="N905" s="26" t="s">
        <v>79</v>
      </c>
      <c r="O905" s="147">
        <v>43738</v>
      </c>
      <c r="P905" s="21">
        <v>43738</v>
      </c>
      <c r="Q905" s="424" t="s">
        <v>9169</v>
      </c>
      <c r="R905" s="26" t="s">
        <v>5</v>
      </c>
      <c r="S905" s="26" t="s">
        <v>85</v>
      </c>
      <c r="T905" s="147">
        <v>43754</v>
      </c>
      <c r="U905" s="21">
        <v>43754</v>
      </c>
      <c r="V905" s="424" t="s">
        <v>9193</v>
      </c>
      <c r="W905" s="26" t="s">
        <v>5</v>
      </c>
      <c r="X905" s="26" t="s">
        <v>85</v>
      </c>
      <c r="Y905" s="147">
        <v>44018</v>
      </c>
      <c r="Z905" s="21">
        <v>44018</v>
      </c>
      <c r="AA905" s="424" t="s">
        <v>9544</v>
      </c>
      <c r="AB905" s="26" t="s">
        <v>5</v>
      </c>
      <c r="AC905" s="26" t="s">
        <v>9511</v>
      </c>
      <c r="AD905" s="233"/>
      <c r="AE905" s="234"/>
      <c r="AF905" s="235"/>
      <c r="AG905" s="236"/>
      <c r="AH905" s="249"/>
      <c r="AI905" s="237"/>
      <c r="AJ905" s="234"/>
      <c r="AK905" s="235"/>
      <c r="AL905" s="236"/>
      <c r="AM905" s="249"/>
      <c r="AN905" s="422"/>
      <c r="AO905" s="508"/>
      <c r="AP905" s="421"/>
      <c r="AQ905" s="427" t="s">
        <v>8566</v>
      </c>
      <c r="AR905" s="428" t="s">
        <v>6174</v>
      </c>
      <c r="AS905" s="426">
        <v>38419</v>
      </c>
      <c r="AT905" s="426">
        <v>39822</v>
      </c>
      <c r="AU905" s="421" t="s">
        <v>8567</v>
      </c>
      <c r="AV905" s="421"/>
      <c r="AW905" s="422" t="s">
        <v>92</v>
      </c>
      <c r="AX905" s="428" t="s">
        <v>2665</v>
      </c>
      <c r="AY905" s="420">
        <v>42718</v>
      </c>
      <c r="AZ905" s="428" t="s">
        <v>6739</v>
      </c>
      <c r="BA905" s="420">
        <v>43510</v>
      </c>
      <c r="BB905" s="678">
        <v>43539</v>
      </c>
      <c r="BC905" s="428" t="s">
        <v>95</v>
      </c>
      <c r="BD905" s="422" t="s">
        <v>8623</v>
      </c>
      <c r="BE905" s="22"/>
      <c r="BF905" s="22"/>
      <c r="BG905" s="235"/>
      <c r="BH905" s="194"/>
      <c r="BI905" s="235"/>
      <c r="BJ905" s="209">
        <f>'[404]MATRIZ '!$J$65</f>
        <v>0</v>
      </c>
      <c r="BK905" s="159"/>
      <c r="BL905" s="196"/>
      <c r="BM905" s="384"/>
      <c r="BN905" s="541"/>
      <c r="BO905" s="449"/>
      <c r="BP905" s="392"/>
      <c r="BQ905" s="243"/>
      <c r="BR905" s="243"/>
      <c r="BS905" s="235"/>
      <c r="BT905" s="235"/>
      <c r="BU905" s="235"/>
      <c r="BV905" s="235"/>
      <c r="BW905" s="244"/>
      <c r="BX905" s="245"/>
      <c r="BY905" s="233"/>
      <c r="BZ905" s="246"/>
    </row>
    <row r="906" spans="1:78" ht="54">
      <c r="A906" s="96">
        <v>902</v>
      </c>
      <c r="B906" s="25" t="s">
        <v>8582</v>
      </c>
      <c r="C906" s="419">
        <v>94509713</v>
      </c>
      <c r="D906" s="439" t="s">
        <v>772</v>
      </c>
      <c r="E906" s="147">
        <v>43560</v>
      </c>
      <c r="F906" s="21">
        <v>43560</v>
      </c>
      <c r="G906" s="428" t="s">
        <v>8583</v>
      </c>
      <c r="H906" s="26" t="s">
        <v>5</v>
      </c>
      <c r="I906" s="423" t="s">
        <v>79</v>
      </c>
      <c r="J906" s="147">
        <v>43756</v>
      </c>
      <c r="K906" s="21">
        <v>43756</v>
      </c>
      <c r="L906" s="424" t="s">
        <v>9196</v>
      </c>
      <c r="M906" s="26" t="s">
        <v>503</v>
      </c>
      <c r="N906" s="26" t="s">
        <v>8243</v>
      </c>
      <c r="O906" s="147"/>
      <c r="P906" s="21"/>
      <c r="Q906" s="424"/>
      <c r="R906" s="26"/>
      <c r="S906" s="26"/>
      <c r="T906" s="233"/>
      <c r="U906" s="234"/>
      <c r="V906" s="235"/>
      <c r="W906" s="236"/>
      <c r="X906" s="249"/>
      <c r="Y906" s="233"/>
      <c r="Z906" s="234"/>
      <c r="AA906" s="235"/>
      <c r="AB906" s="236"/>
      <c r="AC906" s="249"/>
      <c r="AD906" s="233"/>
      <c r="AE906" s="234"/>
      <c r="AF906" s="235"/>
      <c r="AG906" s="236"/>
      <c r="AH906" s="249"/>
      <c r="AI906" s="237"/>
      <c r="AJ906" s="234"/>
      <c r="AK906" s="235"/>
      <c r="AL906" s="236"/>
      <c r="AM906" s="249"/>
      <c r="AN906" s="422"/>
      <c r="AO906" s="508"/>
      <c r="AP906" s="421"/>
      <c r="AQ906" s="427" t="s">
        <v>8584</v>
      </c>
      <c r="AR906" s="428" t="s">
        <v>6174</v>
      </c>
      <c r="AS906" s="426">
        <v>37773</v>
      </c>
      <c r="AT906" s="426">
        <v>39813</v>
      </c>
      <c r="AU906" s="421" t="s">
        <v>8646</v>
      </c>
      <c r="AV906" s="421"/>
      <c r="AW906" s="422" t="s">
        <v>92</v>
      </c>
      <c r="AX906" s="428" t="s">
        <v>8647</v>
      </c>
      <c r="AY906" s="420">
        <v>41724</v>
      </c>
      <c r="AZ906" s="428" t="s">
        <v>2417</v>
      </c>
      <c r="BA906" s="420">
        <v>42978</v>
      </c>
      <c r="BB906" s="678">
        <v>42996</v>
      </c>
      <c r="BC906" s="428" t="s">
        <v>8919</v>
      </c>
      <c r="BD906" s="422"/>
      <c r="BE906" s="22"/>
      <c r="BF906" s="22"/>
      <c r="BG906" s="235"/>
      <c r="BH906" s="194"/>
      <c r="BI906" s="235"/>
      <c r="BJ906" s="209"/>
      <c r="BK906" s="159"/>
      <c r="BL906" s="196"/>
      <c r="BM906" s="384"/>
      <c r="BN906" s="541"/>
      <c r="BO906" s="449"/>
      <c r="BP906" s="392"/>
      <c r="BQ906" s="243"/>
      <c r="BR906" s="243"/>
      <c r="BS906" s="235"/>
      <c r="BT906" s="235"/>
      <c r="BU906" s="235"/>
      <c r="BV906" s="235"/>
      <c r="BW906" s="244"/>
      <c r="BX906" s="245"/>
      <c r="BY906" s="233"/>
      <c r="BZ906" s="246"/>
    </row>
    <row r="907" spans="1:78" ht="94.5" customHeight="1">
      <c r="A907" s="502">
        <v>903</v>
      </c>
      <c r="B907" s="706" t="s">
        <v>8587</v>
      </c>
      <c r="C907" s="687">
        <v>13837685</v>
      </c>
      <c r="D907" s="706" t="s">
        <v>9326</v>
      </c>
      <c r="E907" s="16">
        <v>43536</v>
      </c>
      <c r="F907" s="689">
        <v>43536</v>
      </c>
      <c r="G907" s="706" t="s">
        <v>8303</v>
      </c>
      <c r="H907" s="706" t="s">
        <v>3534</v>
      </c>
      <c r="I907" s="27" t="s">
        <v>79</v>
      </c>
      <c r="J907" s="16">
        <v>43566</v>
      </c>
      <c r="K907" s="689">
        <v>43566</v>
      </c>
      <c r="L907" s="706" t="s">
        <v>8588</v>
      </c>
      <c r="M907" s="693" t="s">
        <v>5</v>
      </c>
      <c r="N907" s="27" t="s">
        <v>79</v>
      </c>
      <c r="O907" s="16">
        <v>44111</v>
      </c>
      <c r="P907" s="689">
        <v>44111</v>
      </c>
      <c r="Q907" s="706" t="s">
        <v>9694</v>
      </c>
      <c r="R907" s="693" t="s">
        <v>5</v>
      </c>
      <c r="S907" s="693" t="s">
        <v>10535</v>
      </c>
      <c r="T907" s="891" t="s">
        <v>10533</v>
      </c>
      <c r="U907" s="892" t="s">
        <v>10534</v>
      </c>
      <c r="V907" s="890" t="s">
        <v>10530</v>
      </c>
      <c r="W907" s="712" t="s">
        <v>10532</v>
      </c>
      <c r="X907" s="712" t="s">
        <v>10531</v>
      </c>
      <c r="Y907" s="233"/>
      <c r="Z907" s="234"/>
      <c r="AA907" s="235"/>
      <c r="AB907" s="236"/>
      <c r="AC907" s="249"/>
      <c r="AD907" s="233"/>
      <c r="AE907" s="234"/>
      <c r="AF907" s="235"/>
      <c r="AG907" s="236"/>
      <c r="AH907" s="249"/>
      <c r="AI907" s="237"/>
      <c r="AJ907" s="234"/>
      <c r="AK907" s="235"/>
      <c r="AL907" s="236"/>
      <c r="AM907" s="249"/>
      <c r="AN907" s="422"/>
      <c r="AO907" s="508"/>
      <c r="AP907" s="421"/>
      <c r="AQ907" s="252"/>
      <c r="AR907" s="238"/>
      <c r="AS907" s="250"/>
      <c r="AT907" s="250"/>
      <c r="AU907" s="238"/>
      <c r="AV907" s="238"/>
      <c r="AW907" s="238"/>
      <c r="AX907" s="428"/>
      <c r="AY907" s="250"/>
      <c r="AZ907" s="238"/>
      <c r="BA907" s="420"/>
      <c r="BB907" s="678">
        <v>43369</v>
      </c>
      <c r="BC907" s="428"/>
      <c r="BD907" s="422"/>
      <c r="BE907" s="22"/>
      <c r="BF907" s="22"/>
      <c r="BG907" s="235"/>
      <c r="BH907" s="194"/>
      <c r="BI907" s="235"/>
      <c r="BJ907" s="209"/>
      <c r="BK907" s="159"/>
      <c r="BL907" s="196"/>
      <c r="BM907" s="384"/>
      <c r="BN907" s="541"/>
      <c r="BO907" s="449"/>
      <c r="BP907" s="392"/>
      <c r="BQ907" s="243"/>
      <c r="BR907" s="243"/>
      <c r="BS907" s="235"/>
      <c r="BT907" s="235"/>
      <c r="BU907" s="235"/>
      <c r="BV907" s="235"/>
      <c r="BW907" s="244"/>
      <c r="BX907" s="245"/>
      <c r="BY907" s="233"/>
      <c r="BZ907" s="246"/>
    </row>
    <row r="908" spans="1:78" ht="54">
      <c r="A908" s="96">
        <v>904</v>
      </c>
      <c r="B908" s="424" t="s">
        <v>8648</v>
      </c>
      <c r="C908" s="419">
        <v>79748824</v>
      </c>
      <c r="D908" s="247"/>
      <c r="E908" s="147">
        <v>43523</v>
      </c>
      <c r="F908" s="21">
        <v>43523</v>
      </c>
      <c r="G908" s="428" t="s">
        <v>8593</v>
      </c>
      <c r="H908" s="26" t="s">
        <v>171</v>
      </c>
      <c r="I908" s="423" t="s">
        <v>274</v>
      </c>
      <c r="J908" s="147">
        <v>43524</v>
      </c>
      <c r="K908" s="21">
        <v>43524</v>
      </c>
      <c r="L908" s="428" t="s">
        <v>8594</v>
      </c>
      <c r="M908" s="26" t="s">
        <v>171</v>
      </c>
      <c r="N908" s="423" t="s">
        <v>7146</v>
      </c>
      <c r="O908" s="147"/>
      <c r="P908" s="21"/>
      <c r="Q908" s="424"/>
      <c r="R908" s="26"/>
      <c r="S908" s="26"/>
      <c r="T908" s="233"/>
      <c r="U908" s="234"/>
      <c r="V908" s="235"/>
      <c r="W908" s="236"/>
      <c r="X908" s="249"/>
      <c r="Y908" s="233"/>
      <c r="Z908" s="234"/>
      <c r="AA908" s="235"/>
      <c r="AB908" s="236"/>
      <c r="AC908" s="249"/>
      <c r="AD908" s="233"/>
      <c r="AE908" s="234"/>
      <c r="AF908" s="235"/>
      <c r="AG908" s="236"/>
      <c r="AH908" s="249"/>
      <c r="AI908" s="237"/>
      <c r="AJ908" s="234"/>
      <c r="AK908" s="235"/>
      <c r="AL908" s="236"/>
      <c r="AM908" s="249"/>
      <c r="AN908" s="422"/>
      <c r="AO908" s="508"/>
      <c r="AP908" s="421"/>
      <c r="AQ908" s="427" t="s">
        <v>8649</v>
      </c>
      <c r="AR908" s="427" t="s">
        <v>6476</v>
      </c>
      <c r="AS908" s="250"/>
      <c r="AT908" s="250"/>
      <c r="AU908" s="422" t="s">
        <v>8652</v>
      </c>
      <c r="AV908" s="422"/>
      <c r="AW908" s="422" t="s">
        <v>92</v>
      </c>
      <c r="AX908" s="428" t="s">
        <v>817</v>
      </c>
      <c r="AY908" s="420">
        <v>41607</v>
      </c>
      <c r="AZ908" s="428" t="s">
        <v>8650</v>
      </c>
      <c r="BA908" s="420">
        <v>42066</v>
      </c>
      <c r="BB908" s="678">
        <v>42093</v>
      </c>
      <c r="BC908" s="428" t="s">
        <v>8653</v>
      </c>
      <c r="BD908" s="422" t="s">
        <v>8654</v>
      </c>
      <c r="BE908" s="22"/>
      <c r="BF908" s="22"/>
      <c r="BG908" s="235"/>
      <c r="BH908" s="194"/>
      <c r="BI908" s="235"/>
      <c r="BJ908" s="209"/>
      <c r="BK908" s="159"/>
      <c r="BL908" s="196"/>
      <c r="BM908" s="384"/>
      <c r="BN908" s="541"/>
      <c r="BO908" s="449"/>
      <c r="BP908" s="392"/>
      <c r="BQ908" s="243"/>
      <c r="BR908" s="243"/>
      <c r="BS908" s="427" t="s">
        <v>8651</v>
      </c>
      <c r="BT908" s="235"/>
      <c r="BU908" s="235"/>
      <c r="BV908" s="235"/>
      <c r="BW908" s="244"/>
      <c r="BX908" s="245"/>
      <c r="BY908" s="233"/>
      <c r="BZ908" s="246"/>
    </row>
    <row r="909" spans="1:78" ht="28.5" customHeight="1">
      <c r="A909" s="96">
        <v>905</v>
      </c>
      <c r="B909" s="424" t="s">
        <v>8612</v>
      </c>
      <c r="C909" s="18">
        <v>7317804</v>
      </c>
      <c r="D909" s="424" t="s">
        <v>906</v>
      </c>
      <c r="E909" s="147">
        <v>43601</v>
      </c>
      <c r="F909" s="21">
        <v>43601</v>
      </c>
      <c r="G909" s="428" t="s">
        <v>8613</v>
      </c>
      <c r="H909" s="26" t="s">
        <v>625</v>
      </c>
      <c r="I909" s="423" t="s">
        <v>6174</v>
      </c>
      <c r="J909" s="147"/>
      <c r="K909" s="21"/>
      <c r="L909" s="428"/>
      <c r="M909" s="26"/>
      <c r="N909" s="423"/>
      <c r="O909" s="147"/>
      <c r="P909" s="21"/>
      <c r="Q909" s="424"/>
      <c r="R909" s="26"/>
      <c r="S909" s="26"/>
      <c r="T909" s="233"/>
      <c r="U909" s="234"/>
      <c r="V909" s="235"/>
      <c r="W909" s="236"/>
      <c r="X909" s="249"/>
      <c r="Y909" s="233"/>
      <c r="Z909" s="234"/>
      <c r="AA909" s="235"/>
      <c r="AB909" s="236"/>
      <c r="AC909" s="249"/>
      <c r="AD909" s="233"/>
      <c r="AE909" s="234"/>
      <c r="AF909" s="235"/>
      <c r="AG909" s="236"/>
      <c r="AH909" s="249"/>
      <c r="AI909" s="237"/>
      <c r="AJ909" s="234"/>
      <c r="AK909" s="235"/>
      <c r="AL909" s="236"/>
      <c r="AM909" s="249"/>
      <c r="AN909" s="422"/>
      <c r="AO909" s="508"/>
      <c r="AP909" s="421"/>
      <c r="AQ909" s="427" t="s">
        <v>8614</v>
      </c>
      <c r="AR909" s="428" t="s">
        <v>6174</v>
      </c>
      <c r="AS909" s="426">
        <v>37448</v>
      </c>
      <c r="AT909" s="426">
        <v>40939</v>
      </c>
      <c r="AU909" s="422" t="s">
        <v>8615</v>
      </c>
      <c r="AV909" s="422"/>
      <c r="AW909" s="421" t="s">
        <v>69</v>
      </c>
      <c r="AX909" s="428" t="s">
        <v>8616</v>
      </c>
      <c r="AY909" s="420">
        <v>42935</v>
      </c>
      <c r="AZ909" s="428" t="s">
        <v>6733</v>
      </c>
      <c r="BA909" s="420">
        <v>43553</v>
      </c>
      <c r="BB909" s="678"/>
      <c r="BC909" s="428" t="s">
        <v>912</v>
      </c>
      <c r="BD909" s="422" t="s">
        <v>8617</v>
      </c>
      <c r="BE909" s="22"/>
      <c r="BF909" s="22"/>
      <c r="BG909" s="235"/>
      <c r="BH909" s="194"/>
      <c r="BI909" s="235"/>
      <c r="BJ909" s="209"/>
      <c r="BK909" s="159"/>
      <c r="BL909" s="196"/>
      <c r="BM909" s="384"/>
      <c r="BN909" s="541"/>
      <c r="BO909" s="449"/>
      <c r="BP909" s="392"/>
      <c r="BQ909" s="243"/>
      <c r="BR909" s="243"/>
      <c r="BS909" s="235"/>
      <c r="BT909" s="235"/>
      <c r="BU909" s="235"/>
      <c r="BV909" s="235"/>
      <c r="BW909" s="244"/>
      <c r="BX909" s="245"/>
      <c r="BY909" s="233"/>
      <c r="BZ909" s="246"/>
    </row>
    <row r="910" spans="1:78" ht="30" customHeight="1">
      <c r="A910" s="96">
        <v>906</v>
      </c>
      <c r="B910" s="258" t="s">
        <v>8619</v>
      </c>
      <c r="C910" s="142">
        <v>88305371</v>
      </c>
      <c r="D910" s="424" t="s">
        <v>677</v>
      </c>
      <c r="E910" s="147">
        <v>42825</v>
      </c>
      <c r="F910" s="21">
        <v>42825</v>
      </c>
      <c r="G910" s="428" t="s">
        <v>8805</v>
      </c>
      <c r="H910" s="26" t="s">
        <v>171</v>
      </c>
      <c r="I910" s="423" t="s">
        <v>8806</v>
      </c>
      <c r="J910" s="147">
        <v>43537</v>
      </c>
      <c r="K910" s="21">
        <v>43537</v>
      </c>
      <c r="L910" s="428" t="s">
        <v>8655</v>
      </c>
      <c r="M910" s="26" t="s">
        <v>625</v>
      </c>
      <c r="N910" s="423" t="s">
        <v>6736</v>
      </c>
      <c r="O910" s="147"/>
      <c r="P910" s="21"/>
      <c r="Q910" s="424"/>
      <c r="R910" s="26"/>
      <c r="S910" s="26"/>
      <c r="T910" s="233"/>
      <c r="U910" s="234"/>
      <c r="V910" s="235"/>
      <c r="W910" s="236"/>
      <c r="X910" s="249"/>
      <c r="Y910" s="233"/>
      <c r="Z910" s="234"/>
      <c r="AA910" s="235"/>
      <c r="AB910" s="236"/>
      <c r="AC910" s="249"/>
      <c r="AD910" s="233"/>
      <c r="AE910" s="234"/>
      <c r="AF910" s="235"/>
      <c r="AG910" s="236"/>
      <c r="AH910" s="249"/>
      <c r="AI910" s="237"/>
      <c r="AJ910" s="234"/>
      <c r="AK910" s="235"/>
      <c r="AL910" s="236"/>
      <c r="AM910" s="249"/>
      <c r="AN910" s="422"/>
      <c r="AO910" s="508"/>
      <c r="AP910" s="421"/>
      <c r="AQ910" s="427" t="s">
        <v>8622</v>
      </c>
      <c r="AR910" s="428" t="s">
        <v>6174</v>
      </c>
      <c r="AS910" s="426">
        <v>38352</v>
      </c>
      <c r="AT910" s="426">
        <v>40862</v>
      </c>
      <c r="AU910" s="422" t="s">
        <v>4499</v>
      </c>
      <c r="AV910" s="422"/>
      <c r="AW910" s="421"/>
      <c r="AX910" s="428" t="s">
        <v>8620</v>
      </c>
      <c r="AY910" s="420" t="s">
        <v>8621</v>
      </c>
      <c r="AZ910" s="428" t="s">
        <v>736</v>
      </c>
      <c r="BA910" s="420">
        <v>43531</v>
      </c>
      <c r="BB910" s="678">
        <v>43539</v>
      </c>
      <c r="BC910" s="428" t="s">
        <v>95</v>
      </c>
      <c r="BD910" s="422" t="s">
        <v>8623</v>
      </c>
      <c r="BE910" s="22"/>
      <c r="BF910" s="22"/>
      <c r="BG910" s="235"/>
      <c r="BH910" s="194"/>
      <c r="BI910" s="235"/>
      <c r="BJ910" s="209">
        <f>[405]MATRIZ!$J$77</f>
        <v>0</v>
      </c>
      <c r="BK910" s="159"/>
      <c r="BL910" s="196"/>
      <c r="BM910" s="384"/>
      <c r="BN910" s="541"/>
      <c r="BO910" s="449"/>
      <c r="BP910" s="392"/>
      <c r="BQ910" s="243"/>
      <c r="BR910" s="243"/>
      <c r="BS910" s="235"/>
      <c r="BT910" s="235"/>
      <c r="BU910" s="235"/>
      <c r="BV910" s="235"/>
      <c r="BW910" s="244"/>
      <c r="BX910" s="245"/>
      <c r="BY910" s="233"/>
      <c r="BZ910" s="246"/>
    </row>
    <row r="911" spans="1:78" ht="42" customHeight="1">
      <c r="A911" s="96">
        <v>907</v>
      </c>
      <c r="B911" s="258" t="s">
        <v>8625</v>
      </c>
      <c r="C911" s="142">
        <v>27957322</v>
      </c>
      <c r="D911" s="424" t="s">
        <v>8640</v>
      </c>
      <c r="E911" s="147">
        <v>43545</v>
      </c>
      <c r="F911" s="21">
        <v>43545</v>
      </c>
      <c r="G911" s="428" t="s">
        <v>8627</v>
      </c>
      <c r="H911" s="26" t="s">
        <v>171</v>
      </c>
      <c r="I911" s="423" t="s">
        <v>8628</v>
      </c>
      <c r="J911" s="147"/>
      <c r="K911" s="21"/>
      <c r="L911" s="428"/>
      <c r="M911" s="26"/>
      <c r="N911" s="423"/>
      <c r="O911" s="147"/>
      <c r="P911" s="21"/>
      <c r="Q911" s="424"/>
      <c r="R911" s="26"/>
      <c r="S911" s="26"/>
      <c r="T911" s="233"/>
      <c r="U911" s="234"/>
      <c r="V911" s="235"/>
      <c r="W911" s="236"/>
      <c r="X911" s="249"/>
      <c r="Y911" s="233"/>
      <c r="Z911" s="234"/>
      <c r="AA911" s="235"/>
      <c r="AB911" s="236"/>
      <c r="AC911" s="249"/>
      <c r="AD911" s="233"/>
      <c r="AE911" s="234"/>
      <c r="AF911" s="235"/>
      <c r="AG911" s="236"/>
      <c r="AH911" s="249"/>
      <c r="AI911" s="237"/>
      <c r="AJ911" s="234"/>
      <c r="AK911" s="235"/>
      <c r="AL911" s="236"/>
      <c r="AM911" s="249"/>
      <c r="AN911" s="422"/>
      <c r="AO911" s="508"/>
      <c r="AP911" s="421"/>
      <c r="AQ911" s="427" t="s">
        <v>8626</v>
      </c>
      <c r="AR911" s="236"/>
      <c r="AS911" s="233"/>
      <c r="AT911" s="233"/>
      <c r="AU911" s="34" t="s">
        <v>9235</v>
      </c>
      <c r="AV911" s="34"/>
      <c r="AW911" s="421"/>
      <c r="AX911" s="428" t="s">
        <v>8641</v>
      </c>
      <c r="AY911" s="420">
        <v>42548</v>
      </c>
      <c r="AZ911" s="236"/>
      <c r="BA911" s="233"/>
      <c r="BB911" s="683"/>
      <c r="BC911" s="428" t="s">
        <v>561</v>
      </c>
      <c r="BD911" s="422" t="s">
        <v>8642</v>
      </c>
      <c r="BE911" s="22"/>
      <c r="BF911" s="22"/>
      <c r="BG911" s="235"/>
      <c r="BH911" s="194"/>
      <c r="BI911" s="235"/>
      <c r="BJ911" s="209"/>
      <c r="BK911" s="159"/>
      <c r="BL911" s="196"/>
      <c r="BM911" s="384"/>
      <c r="BN911" s="541"/>
      <c r="BO911" s="449"/>
      <c r="BP911" s="392"/>
      <c r="BQ911" s="243"/>
      <c r="BR911" s="243"/>
      <c r="BS911" s="235"/>
      <c r="BT911" s="235"/>
      <c r="BU911" s="235"/>
      <c r="BV911" s="235"/>
      <c r="BW911" s="244"/>
      <c r="BX911" s="245"/>
      <c r="BY911" s="233"/>
      <c r="BZ911" s="246"/>
    </row>
    <row r="912" spans="1:78" ht="41.25" customHeight="1">
      <c r="A912" s="96">
        <v>908</v>
      </c>
      <c r="B912" s="258" t="s">
        <v>8631</v>
      </c>
      <c r="C912" s="142">
        <v>18520034</v>
      </c>
      <c r="D912" s="424" t="s">
        <v>677</v>
      </c>
      <c r="E912" s="147">
        <v>43579</v>
      </c>
      <c r="F912" s="21">
        <v>43579</v>
      </c>
      <c r="G912" s="428" t="s">
        <v>8633</v>
      </c>
      <c r="H912" s="26" t="s">
        <v>625</v>
      </c>
      <c r="I912" s="423" t="s">
        <v>8632</v>
      </c>
      <c r="J912" s="147">
        <v>43605</v>
      </c>
      <c r="K912" s="21">
        <v>43605</v>
      </c>
      <c r="L912" s="428" t="s">
        <v>8784</v>
      </c>
      <c r="M912" s="26" t="s">
        <v>5</v>
      </c>
      <c r="N912" s="423" t="s">
        <v>79</v>
      </c>
      <c r="O912" s="420">
        <v>44018</v>
      </c>
      <c r="P912" s="23">
        <v>44018</v>
      </c>
      <c r="Q912" s="428" t="s">
        <v>9544</v>
      </c>
      <c r="R912" s="26" t="s">
        <v>5</v>
      </c>
      <c r="S912" s="423" t="s">
        <v>9511</v>
      </c>
      <c r="T912" s="233"/>
      <c r="U912" s="234"/>
      <c r="V912" s="235"/>
      <c r="W912" s="236"/>
      <c r="X912" s="249"/>
      <c r="Y912" s="233"/>
      <c r="Z912" s="234"/>
      <c r="AA912" s="235"/>
      <c r="AB912" s="236"/>
      <c r="AC912" s="249"/>
      <c r="AD912" s="233"/>
      <c r="AE912" s="234"/>
      <c r="AF912" s="235"/>
      <c r="AG912" s="236"/>
      <c r="AH912" s="249"/>
      <c r="AI912" s="237"/>
      <c r="AJ912" s="234"/>
      <c r="AK912" s="235"/>
      <c r="AL912" s="236"/>
      <c r="AM912" s="249"/>
      <c r="AN912" s="422"/>
      <c r="AO912" s="508"/>
      <c r="AP912" s="421"/>
      <c r="AQ912" s="427" t="s">
        <v>8643</v>
      </c>
      <c r="AR912" s="428" t="s">
        <v>6174</v>
      </c>
      <c r="AS912" s="426">
        <v>38126</v>
      </c>
      <c r="AT912" s="426">
        <v>40633</v>
      </c>
      <c r="AU912" s="422" t="s">
        <v>8785</v>
      </c>
      <c r="AV912" s="422"/>
      <c r="AW912" s="421" t="s">
        <v>69</v>
      </c>
      <c r="AX912" s="428" t="s">
        <v>8656</v>
      </c>
      <c r="AY912" s="420">
        <v>42656</v>
      </c>
      <c r="AZ912" s="428" t="s">
        <v>6739</v>
      </c>
      <c r="BA912" s="420">
        <v>43363</v>
      </c>
      <c r="BB912" s="678">
        <v>43403</v>
      </c>
      <c r="BC912" s="428" t="s">
        <v>95</v>
      </c>
      <c r="BD912" s="422" t="s">
        <v>8623</v>
      </c>
      <c r="BE912" s="22"/>
      <c r="BF912" s="22"/>
      <c r="BG912" s="235"/>
      <c r="BH912" s="194"/>
      <c r="BI912" s="235"/>
      <c r="BJ912" s="209">
        <f>'[406]MATRIZ '!$J$76</f>
        <v>0</v>
      </c>
      <c r="BK912" s="159"/>
      <c r="BL912" s="196"/>
      <c r="BM912" s="384"/>
      <c r="BN912" s="541"/>
      <c r="BO912" s="449"/>
      <c r="BP912" s="392"/>
      <c r="BQ912" s="243"/>
      <c r="BR912" s="243"/>
      <c r="BS912" s="235"/>
      <c r="BT912" s="235"/>
      <c r="BU912" s="235"/>
      <c r="BV912" s="235"/>
      <c r="BW912" s="244"/>
      <c r="BX912" s="245"/>
      <c r="BY912" s="233"/>
      <c r="BZ912" s="246"/>
    </row>
    <row r="913" spans="1:78" ht="43.5" customHeight="1">
      <c r="A913" s="96">
        <v>909</v>
      </c>
      <c r="B913" s="258" t="s">
        <v>8634</v>
      </c>
      <c r="C913" s="142">
        <v>16749446</v>
      </c>
      <c r="D913" s="424" t="s">
        <v>906</v>
      </c>
      <c r="E913" s="147">
        <v>43598</v>
      </c>
      <c r="F913" s="21">
        <v>43598</v>
      </c>
      <c r="G913" s="428" t="s">
        <v>8636</v>
      </c>
      <c r="H913" s="26" t="s">
        <v>576</v>
      </c>
      <c r="I913" s="423" t="s">
        <v>6174</v>
      </c>
      <c r="J913" s="147">
        <v>43658</v>
      </c>
      <c r="K913" s="21">
        <v>43658</v>
      </c>
      <c r="L913" s="428" t="s">
        <v>9039</v>
      </c>
      <c r="M913" s="26" t="s">
        <v>503</v>
      </c>
      <c r="N913" s="423" t="s">
        <v>85</v>
      </c>
      <c r="O913" s="147">
        <v>43858</v>
      </c>
      <c r="P913" s="21">
        <v>43858</v>
      </c>
      <c r="Q913" s="424" t="s">
        <v>9450</v>
      </c>
      <c r="R913" s="26" t="s">
        <v>5</v>
      </c>
      <c r="S913" s="26" t="s">
        <v>79</v>
      </c>
      <c r="T913" s="233"/>
      <c r="U913" s="234"/>
      <c r="V913" s="235"/>
      <c r="W913" s="236"/>
      <c r="X913" s="249"/>
      <c r="Y913" s="233"/>
      <c r="Z913" s="234"/>
      <c r="AA913" s="235"/>
      <c r="AB913" s="236"/>
      <c r="AC913" s="249"/>
      <c r="AD913" s="233"/>
      <c r="AE913" s="234"/>
      <c r="AF913" s="235"/>
      <c r="AG913" s="236"/>
      <c r="AH913" s="249"/>
      <c r="AI913" s="237"/>
      <c r="AJ913" s="234"/>
      <c r="AK913" s="235"/>
      <c r="AL913" s="236"/>
      <c r="AM913" s="249"/>
      <c r="AN913" s="422"/>
      <c r="AO913" s="508"/>
      <c r="AP913" s="421"/>
      <c r="AQ913" s="427" t="s">
        <v>8635</v>
      </c>
      <c r="AR913" s="428" t="s">
        <v>6174</v>
      </c>
      <c r="AS913" s="426">
        <v>37073</v>
      </c>
      <c r="AT913" s="426">
        <v>40633</v>
      </c>
      <c r="AU913" s="422" t="s">
        <v>9040</v>
      </c>
      <c r="AV913" s="422"/>
      <c r="AW913" s="422" t="s">
        <v>92</v>
      </c>
      <c r="AX913" s="428" t="s">
        <v>4007</v>
      </c>
      <c r="AY913" s="420">
        <v>42290</v>
      </c>
      <c r="AZ913" s="428" t="s">
        <v>6739</v>
      </c>
      <c r="BA913" s="420">
        <v>43517</v>
      </c>
      <c r="BB913" s="678">
        <v>43556</v>
      </c>
      <c r="BC913" s="428" t="s">
        <v>95</v>
      </c>
      <c r="BD913" s="422" t="s">
        <v>8623</v>
      </c>
      <c r="BE913" s="22"/>
      <c r="BF913" s="22"/>
      <c r="BG913" s="235"/>
      <c r="BH913" s="194"/>
      <c r="BI913" s="235"/>
      <c r="BJ913" s="209">
        <f>'[407]MATRIZ '!$J$87</f>
        <v>260616644.8477231</v>
      </c>
      <c r="BK913" s="159"/>
      <c r="BL913" s="196"/>
      <c r="BM913" s="384"/>
      <c r="BN913" s="541"/>
      <c r="BO913" s="449"/>
      <c r="BP913" s="392"/>
      <c r="BQ913" s="243"/>
      <c r="BR913" s="243"/>
      <c r="BS913" s="235"/>
      <c r="BT913" s="235"/>
      <c r="BU913" s="235"/>
      <c r="BV913" s="235"/>
      <c r="BW913" s="244"/>
      <c r="BX913" s="245"/>
      <c r="BY913" s="233"/>
      <c r="BZ913" s="246"/>
    </row>
    <row r="914" spans="1:78" ht="40.5">
      <c r="A914" s="96">
        <v>910</v>
      </c>
      <c r="B914" s="258" t="s">
        <v>8715</v>
      </c>
      <c r="C914" s="142">
        <v>63508317</v>
      </c>
      <c r="D914" s="424" t="s">
        <v>8737</v>
      </c>
      <c r="E914" s="147">
        <v>43612</v>
      </c>
      <c r="F914" s="21">
        <v>43612</v>
      </c>
      <c r="G914" s="428" t="s">
        <v>8716</v>
      </c>
      <c r="H914" s="26" t="s">
        <v>576</v>
      </c>
      <c r="I914" s="423" t="s">
        <v>6174</v>
      </c>
      <c r="J914" s="147">
        <v>43871</v>
      </c>
      <c r="K914" s="21">
        <v>43871</v>
      </c>
      <c r="L914" s="428" t="s">
        <v>9882</v>
      </c>
      <c r="M914" s="26" t="s">
        <v>5</v>
      </c>
      <c r="N914" s="423" t="s">
        <v>79</v>
      </c>
      <c r="O914" s="147"/>
      <c r="P914" s="21"/>
      <c r="Q914" s="424"/>
      <c r="R914" s="26"/>
      <c r="S914" s="26"/>
      <c r="T914" s="233"/>
      <c r="U914" s="234"/>
      <c r="V914" s="235"/>
      <c r="W914" s="236"/>
      <c r="X914" s="249"/>
      <c r="Y914" s="233"/>
      <c r="Z914" s="234"/>
      <c r="AA914" s="235"/>
      <c r="AB914" s="236"/>
      <c r="AC914" s="249"/>
      <c r="AD914" s="233"/>
      <c r="AE914" s="234"/>
      <c r="AF914" s="235"/>
      <c r="AG914" s="236"/>
      <c r="AH914" s="249"/>
      <c r="AI914" s="237"/>
      <c r="AJ914" s="234"/>
      <c r="AK914" s="235"/>
      <c r="AL914" s="236"/>
      <c r="AM914" s="249"/>
      <c r="AN914" s="422"/>
      <c r="AO914" s="508"/>
      <c r="AP914" s="421"/>
      <c r="AQ914" s="427" t="s">
        <v>8717</v>
      </c>
      <c r="AR914" s="428" t="s">
        <v>6174</v>
      </c>
      <c r="AS914" s="426">
        <v>38420</v>
      </c>
      <c r="AT914" s="426">
        <v>40862</v>
      </c>
      <c r="AU914" s="422" t="s">
        <v>8718</v>
      </c>
      <c r="AV914" s="422"/>
      <c r="AW914" s="421" t="s">
        <v>69</v>
      </c>
      <c r="AX914" s="428" t="s">
        <v>627</v>
      </c>
      <c r="AY914" s="420">
        <v>41586</v>
      </c>
      <c r="AZ914" s="428" t="s">
        <v>6739</v>
      </c>
      <c r="BA914" s="420">
        <v>43272</v>
      </c>
      <c r="BB914" s="678">
        <v>43579</v>
      </c>
      <c r="BC914" s="428" t="s">
        <v>95</v>
      </c>
      <c r="BD914" s="422" t="s">
        <v>8623</v>
      </c>
      <c r="BE914" s="22"/>
      <c r="BF914" s="22"/>
      <c r="BG914" s="235"/>
      <c r="BH914" s="194"/>
      <c r="BI914" s="235"/>
      <c r="BJ914" s="209">
        <f>'[408]MATRIZ '!$J$82</f>
        <v>0</v>
      </c>
      <c r="BK914" s="159"/>
      <c r="BL914" s="196"/>
      <c r="BM914" s="384"/>
      <c r="BN914" s="541"/>
      <c r="BO914" s="449"/>
      <c r="BP914" s="392"/>
      <c r="BQ914" s="243"/>
      <c r="BR914" s="243"/>
      <c r="BS914" s="235"/>
      <c r="BT914" s="235"/>
      <c r="BU914" s="235"/>
      <c r="BV914" s="235"/>
      <c r="BW914" s="244"/>
      <c r="BX914" s="245"/>
      <c r="BY914" s="233"/>
      <c r="BZ914" s="246"/>
    </row>
    <row r="915" spans="1:78" ht="40.5">
      <c r="A915" s="96">
        <v>911</v>
      </c>
      <c r="B915" s="258" t="s">
        <v>8725</v>
      </c>
      <c r="C915" s="142">
        <v>7553032</v>
      </c>
      <c r="D915" s="424"/>
      <c r="E915" s="147">
        <v>43605</v>
      </c>
      <c r="F915" s="21">
        <v>43605</v>
      </c>
      <c r="G915" s="428" t="s">
        <v>8723</v>
      </c>
      <c r="H915" s="26" t="s">
        <v>1630</v>
      </c>
      <c r="I915" s="423" t="s">
        <v>6212</v>
      </c>
      <c r="J915" s="147">
        <v>44342</v>
      </c>
      <c r="K915" s="21">
        <v>44342</v>
      </c>
      <c r="L915" s="428" t="s">
        <v>10494</v>
      </c>
      <c r="M915" s="26" t="s">
        <v>208</v>
      </c>
      <c r="N915" s="423" t="s">
        <v>79</v>
      </c>
      <c r="O915" s="147"/>
      <c r="P915" s="21"/>
      <c r="Q915" s="424"/>
      <c r="R915" s="26"/>
      <c r="S915" s="26"/>
      <c r="T915" s="233"/>
      <c r="U915" s="234"/>
      <c r="V915" s="235"/>
      <c r="W915" s="236"/>
      <c r="X915" s="249"/>
      <c r="Y915" s="233"/>
      <c r="Z915" s="234"/>
      <c r="AA915" s="235"/>
      <c r="AB915" s="236"/>
      <c r="AC915" s="249"/>
      <c r="AD915" s="233"/>
      <c r="AE915" s="234"/>
      <c r="AF915" s="235"/>
      <c r="AG915" s="236"/>
      <c r="AH915" s="249"/>
      <c r="AI915" s="237"/>
      <c r="AJ915" s="234"/>
      <c r="AK915" s="235"/>
      <c r="AL915" s="236"/>
      <c r="AM915" s="249"/>
      <c r="AN915" s="422"/>
      <c r="AO915" s="508"/>
      <c r="AP915" s="421"/>
      <c r="AQ915" s="427" t="s">
        <v>8722</v>
      </c>
      <c r="AR915" s="428" t="s">
        <v>6212</v>
      </c>
      <c r="AS915" s="426">
        <v>33197</v>
      </c>
      <c r="AT915" s="426">
        <v>40908</v>
      </c>
      <c r="AU915" s="422" t="s">
        <v>8948</v>
      </c>
      <c r="AV915" s="422"/>
      <c r="AW915" s="422" t="s">
        <v>92</v>
      </c>
      <c r="AX915" s="428" t="s">
        <v>8724</v>
      </c>
      <c r="AY915" s="420">
        <v>41509</v>
      </c>
      <c r="AZ915" s="428" t="s">
        <v>1630</v>
      </c>
      <c r="BA915" s="420">
        <v>43376</v>
      </c>
      <c r="BB915" s="678"/>
      <c r="BC915" s="428" t="s">
        <v>95</v>
      </c>
      <c r="BD915" s="422" t="s">
        <v>8623</v>
      </c>
      <c r="BE915" s="22"/>
      <c r="BF915" s="22"/>
      <c r="BG915" s="235"/>
      <c r="BH915" s="194"/>
      <c r="BI915" s="235"/>
      <c r="BJ915" s="209"/>
      <c r="BK915" s="159"/>
      <c r="BL915" s="196"/>
      <c r="BM915" s="384"/>
      <c r="BN915" s="541"/>
      <c r="BO915" s="449"/>
      <c r="BP915" s="392"/>
      <c r="BQ915" s="243"/>
      <c r="BR915" s="243"/>
      <c r="BS915" s="235"/>
      <c r="BT915" s="235"/>
      <c r="BU915" s="235"/>
      <c r="BV915" s="235"/>
      <c r="BW915" s="244"/>
      <c r="BX915" s="245"/>
      <c r="BY915" s="233"/>
      <c r="BZ915" s="246"/>
    </row>
    <row r="916" spans="1:78" ht="54">
      <c r="A916" s="96">
        <v>912</v>
      </c>
      <c r="B916" s="258" t="s">
        <v>8749</v>
      </c>
      <c r="C916" s="142">
        <v>79488702</v>
      </c>
      <c r="D916" s="424" t="s">
        <v>2446</v>
      </c>
      <c r="E916" s="147">
        <v>43627</v>
      </c>
      <c r="F916" s="21">
        <v>43627</v>
      </c>
      <c r="G916" s="428" t="s">
        <v>8750</v>
      </c>
      <c r="H916" s="26" t="s">
        <v>94</v>
      </c>
      <c r="I916" s="423" t="s">
        <v>6174</v>
      </c>
      <c r="J916" s="147">
        <v>43656</v>
      </c>
      <c r="K916" s="21">
        <v>43656</v>
      </c>
      <c r="L916" s="428" t="s">
        <v>8985</v>
      </c>
      <c r="M916" s="26" t="s">
        <v>94</v>
      </c>
      <c r="N916" s="423" t="s">
        <v>1495</v>
      </c>
      <c r="O916" s="147">
        <v>43754</v>
      </c>
      <c r="P916" s="21">
        <v>43754</v>
      </c>
      <c r="Q916" s="424" t="s">
        <v>9192</v>
      </c>
      <c r="R916" s="26" t="s">
        <v>5</v>
      </c>
      <c r="S916" s="26" t="s">
        <v>79</v>
      </c>
      <c r="T916" s="233"/>
      <c r="U916" s="234"/>
      <c r="V916" s="235"/>
      <c r="W916" s="236"/>
      <c r="X916" s="249"/>
      <c r="Y916" s="233"/>
      <c r="Z916" s="234"/>
      <c r="AA916" s="235"/>
      <c r="AB916" s="236"/>
      <c r="AC916" s="249"/>
      <c r="AD916" s="233"/>
      <c r="AE916" s="234"/>
      <c r="AF916" s="235"/>
      <c r="AG916" s="236"/>
      <c r="AH916" s="249"/>
      <c r="AI916" s="237"/>
      <c r="AJ916" s="234"/>
      <c r="AK916" s="235"/>
      <c r="AL916" s="236"/>
      <c r="AM916" s="249"/>
      <c r="AN916" s="422"/>
      <c r="AO916" s="508"/>
      <c r="AP916" s="421"/>
      <c r="AQ916" s="427" t="s">
        <v>8751</v>
      </c>
      <c r="AR916" s="428" t="s">
        <v>6174</v>
      </c>
      <c r="AS916" s="426">
        <v>37634</v>
      </c>
      <c r="AT916" s="426">
        <v>40862</v>
      </c>
      <c r="AU916" s="422" t="s">
        <v>8949</v>
      </c>
      <c r="AV916" s="422"/>
      <c r="AW916" s="421" t="s">
        <v>69</v>
      </c>
      <c r="AX916" s="428" t="s">
        <v>8752</v>
      </c>
      <c r="AY916" s="420">
        <v>43010</v>
      </c>
      <c r="AZ916" s="428" t="s">
        <v>6733</v>
      </c>
      <c r="BA916" s="420">
        <v>43616</v>
      </c>
      <c r="BB916" s="678">
        <v>43629</v>
      </c>
      <c r="BC916" s="428" t="s">
        <v>95</v>
      </c>
      <c r="BD916" s="422" t="s">
        <v>8623</v>
      </c>
      <c r="BE916" s="22"/>
      <c r="BF916" s="22"/>
      <c r="BG916" s="235"/>
      <c r="BH916" s="194"/>
      <c r="BI916" s="235"/>
      <c r="BJ916" s="209">
        <f>'[409]MATRIZ '!$J$86</f>
        <v>232119836.45400378</v>
      </c>
      <c r="BK916" s="159"/>
      <c r="BL916" s="196"/>
      <c r="BM916" s="384"/>
      <c r="BN916" s="541"/>
      <c r="BO916" s="449"/>
      <c r="BP916" s="392"/>
      <c r="BQ916" s="243"/>
      <c r="BR916" s="243"/>
      <c r="BS916" s="235"/>
      <c r="BT916" s="235"/>
      <c r="BU916" s="235"/>
      <c r="BV916" s="235"/>
      <c r="BW916" s="244"/>
      <c r="BX916" s="245"/>
      <c r="BY916" s="233"/>
      <c r="BZ916" s="246"/>
    </row>
    <row r="917" spans="1:78" ht="40.5">
      <c r="A917" s="96">
        <v>913</v>
      </c>
      <c r="B917" s="258" t="s">
        <v>8794</v>
      </c>
      <c r="C917" s="142">
        <v>93408788</v>
      </c>
      <c r="D917" s="424"/>
      <c r="E917" s="147">
        <v>43628</v>
      </c>
      <c r="F917" s="21">
        <v>43628</v>
      </c>
      <c r="G917" s="428" t="s">
        <v>8795</v>
      </c>
      <c r="H917" s="26" t="s">
        <v>652</v>
      </c>
      <c r="I917" s="423" t="s">
        <v>6174</v>
      </c>
      <c r="J917" s="147">
        <v>43628</v>
      </c>
      <c r="K917" s="21">
        <v>43628</v>
      </c>
      <c r="L917" s="428" t="s">
        <v>8801</v>
      </c>
      <c r="M917" s="26" t="s">
        <v>652</v>
      </c>
      <c r="N917" s="423" t="s">
        <v>6174</v>
      </c>
      <c r="O917" s="147">
        <v>43642</v>
      </c>
      <c r="P917" s="21">
        <v>43642</v>
      </c>
      <c r="Q917" s="424" t="s">
        <v>8849</v>
      </c>
      <c r="R917" s="26" t="s">
        <v>652</v>
      </c>
      <c r="S917" s="423" t="s">
        <v>6174</v>
      </c>
      <c r="T917" s="233"/>
      <c r="U917" s="234"/>
      <c r="V917" s="235"/>
      <c r="W917" s="236"/>
      <c r="X917" s="249"/>
      <c r="Y917" s="233"/>
      <c r="Z917" s="234"/>
      <c r="AA917" s="235"/>
      <c r="AB917" s="236"/>
      <c r="AC917" s="249"/>
      <c r="AD917" s="233"/>
      <c r="AE917" s="234"/>
      <c r="AF917" s="235"/>
      <c r="AG917" s="236"/>
      <c r="AH917" s="249"/>
      <c r="AI917" s="237"/>
      <c r="AJ917" s="234"/>
      <c r="AK917" s="235"/>
      <c r="AL917" s="236"/>
      <c r="AM917" s="249"/>
      <c r="AN917" s="422"/>
      <c r="AO917" s="508"/>
      <c r="AP917" s="421"/>
      <c r="AQ917" s="427" t="s">
        <v>8796</v>
      </c>
      <c r="AR917" s="428" t="s">
        <v>6174</v>
      </c>
      <c r="AS917" s="426">
        <v>37956</v>
      </c>
      <c r="AT917" s="426">
        <v>39172</v>
      </c>
      <c r="AU917" s="422" t="s">
        <v>4499</v>
      </c>
      <c r="AV917" s="422"/>
      <c r="AW917" s="421" t="s">
        <v>69</v>
      </c>
      <c r="AX917" s="428" t="s">
        <v>8797</v>
      </c>
      <c r="AY917" s="420">
        <v>42629</v>
      </c>
      <c r="AZ917" s="428" t="s">
        <v>652</v>
      </c>
      <c r="BA917" s="420">
        <v>43622</v>
      </c>
      <c r="BB917" s="678">
        <v>43633</v>
      </c>
      <c r="BC917" s="428" t="s">
        <v>95</v>
      </c>
      <c r="BD917" s="422" t="s">
        <v>8623</v>
      </c>
      <c r="BE917" s="22"/>
      <c r="BF917" s="22"/>
      <c r="BG917" s="235"/>
      <c r="BH917" s="194"/>
      <c r="BI917" s="235"/>
      <c r="BJ917" s="209">
        <f>'[410]MATRIZ '!$J$49</f>
        <v>19349868.218232088</v>
      </c>
      <c r="BK917" s="159"/>
      <c r="BL917" s="196"/>
      <c r="BM917" s="384"/>
      <c r="BN917" s="541"/>
      <c r="BO917" s="449"/>
      <c r="BP917" s="392"/>
      <c r="BQ917" s="243"/>
      <c r="BR917" s="243"/>
      <c r="BS917" s="235"/>
      <c r="BT917" s="235"/>
      <c r="BU917" s="235"/>
      <c r="BV917" s="235"/>
      <c r="BW917" s="244"/>
      <c r="BX917" s="245"/>
      <c r="BY917" s="233"/>
      <c r="BZ917" s="246"/>
    </row>
    <row r="918" spans="1:78" ht="42.75" customHeight="1">
      <c r="A918" s="96">
        <v>914</v>
      </c>
      <c r="B918" s="258" t="s">
        <v>4944</v>
      </c>
      <c r="C918" s="419">
        <v>79204548</v>
      </c>
      <c r="D918" s="424" t="s">
        <v>906</v>
      </c>
      <c r="E918" s="147">
        <v>43550</v>
      </c>
      <c r="F918" s="21">
        <v>43550</v>
      </c>
      <c r="G918" s="428" t="s">
        <v>8852</v>
      </c>
      <c r="H918" s="26" t="s">
        <v>94</v>
      </c>
      <c r="I918" s="423" t="s">
        <v>6443</v>
      </c>
      <c r="J918" s="147">
        <v>43539</v>
      </c>
      <c r="K918" s="21">
        <v>43539</v>
      </c>
      <c r="L918" s="428" t="s">
        <v>8851</v>
      </c>
      <c r="M918" s="26" t="s">
        <v>94</v>
      </c>
      <c r="N918" s="423" t="s">
        <v>6174</v>
      </c>
      <c r="O918" s="147">
        <v>43629</v>
      </c>
      <c r="P918" s="21">
        <v>43629</v>
      </c>
      <c r="Q918" s="428" t="s">
        <v>8804</v>
      </c>
      <c r="R918" s="26" t="s">
        <v>94</v>
      </c>
      <c r="S918" s="423" t="s">
        <v>4916</v>
      </c>
      <c r="T918" s="233"/>
      <c r="U918" s="234"/>
      <c r="V918" s="235"/>
      <c r="W918" s="236"/>
      <c r="X918" s="249"/>
      <c r="Y918" s="233"/>
      <c r="Z918" s="234"/>
      <c r="AA918" s="235"/>
      <c r="AB918" s="236"/>
      <c r="AC918" s="249"/>
      <c r="AD918" s="233"/>
      <c r="AE918" s="234"/>
      <c r="AF918" s="235"/>
      <c r="AG918" s="236"/>
      <c r="AH918" s="249"/>
      <c r="AI918" s="237"/>
      <c r="AJ918" s="234"/>
      <c r="AK918" s="235"/>
      <c r="AL918" s="236"/>
      <c r="AM918" s="249"/>
      <c r="AN918" s="422"/>
      <c r="AO918" s="508"/>
      <c r="AP918" s="421"/>
      <c r="AQ918" s="427" t="s">
        <v>8803</v>
      </c>
      <c r="AR918" s="428" t="s">
        <v>6476</v>
      </c>
      <c r="AS918" s="426">
        <v>33637</v>
      </c>
      <c r="AT918" s="426">
        <v>40908</v>
      </c>
      <c r="AU918" s="422" t="s">
        <v>4499</v>
      </c>
      <c r="AV918" s="422"/>
      <c r="AW918" s="421" t="s">
        <v>69</v>
      </c>
      <c r="AX918" s="428" t="s">
        <v>8850</v>
      </c>
      <c r="AY918" s="420">
        <v>42943</v>
      </c>
      <c r="AZ918" s="428" t="s">
        <v>6733</v>
      </c>
      <c r="BA918" s="420">
        <v>43437</v>
      </c>
      <c r="BB918" s="678">
        <v>43543</v>
      </c>
      <c r="BC918" s="428" t="s">
        <v>95</v>
      </c>
      <c r="BD918" s="422" t="s">
        <v>8623</v>
      </c>
      <c r="BE918" s="22"/>
      <c r="BF918" s="22"/>
      <c r="BG918" s="235"/>
      <c r="BH918" s="194"/>
      <c r="BI918" s="235"/>
      <c r="BJ918" s="209"/>
      <c r="BK918" s="159"/>
      <c r="BL918" s="196"/>
      <c r="BM918" s="384"/>
      <c r="BN918" s="541"/>
      <c r="BO918" s="449"/>
      <c r="BP918" s="392"/>
      <c r="BQ918" s="243"/>
      <c r="BR918" s="243"/>
      <c r="BS918" s="235"/>
      <c r="BT918" s="235"/>
      <c r="BU918" s="235"/>
      <c r="BV918" s="235"/>
      <c r="BW918" s="244"/>
      <c r="BX918" s="245"/>
      <c r="BY918" s="233"/>
      <c r="BZ918" s="246"/>
    </row>
    <row r="919" spans="1:78" ht="54">
      <c r="A919" s="96">
        <v>915</v>
      </c>
      <c r="B919" s="258" t="s">
        <v>8816</v>
      </c>
      <c r="C919" s="142">
        <v>70256673</v>
      </c>
      <c r="D919" s="424" t="s">
        <v>333</v>
      </c>
      <c r="E919" s="147">
        <v>43585</v>
      </c>
      <c r="F919" s="21">
        <v>43585</v>
      </c>
      <c r="G919" s="428" t="s">
        <v>8817</v>
      </c>
      <c r="H919" s="26" t="s">
        <v>576</v>
      </c>
      <c r="I919" s="423" t="s">
        <v>6212</v>
      </c>
      <c r="J919" s="147">
        <v>43635</v>
      </c>
      <c r="K919" s="21">
        <v>43635</v>
      </c>
      <c r="L919" s="428" t="s">
        <v>8877</v>
      </c>
      <c r="M919" s="26" t="s">
        <v>8878</v>
      </c>
      <c r="N919" s="423" t="s">
        <v>79</v>
      </c>
      <c r="O919" s="423">
        <v>43679</v>
      </c>
      <c r="P919" s="21">
        <v>43679</v>
      </c>
      <c r="Q919" s="428" t="s">
        <v>9095</v>
      </c>
      <c r="R919" s="26" t="s">
        <v>5</v>
      </c>
      <c r="S919" s="422" t="s">
        <v>85</v>
      </c>
      <c r="T919" s="233"/>
      <c r="U919" s="234"/>
      <c r="V919" s="235"/>
      <c r="W919" s="236"/>
      <c r="X919" s="249"/>
      <c r="Y919" s="233"/>
      <c r="Z919" s="234"/>
      <c r="AA919" s="235"/>
      <c r="AB919" s="236"/>
      <c r="AC919" s="249"/>
      <c r="AD919" s="233"/>
      <c r="AE919" s="234"/>
      <c r="AF919" s="235"/>
      <c r="AG919" s="236"/>
      <c r="AH919" s="249"/>
      <c r="AI919" s="237"/>
      <c r="AJ919" s="234"/>
      <c r="AK919" s="235"/>
      <c r="AL919" s="236"/>
      <c r="AM919" s="249"/>
      <c r="AN919" s="422"/>
      <c r="AO919" s="508"/>
      <c r="AP919" s="421"/>
      <c r="AQ919" s="427" t="s">
        <v>8818</v>
      </c>
      <c r="AR919" s="428" t="s">
        <v>6476</v>
      </c>
      <c r="AS919" s="426">
        <v>38356</v>
      </c>
      <c r="AT919" s="426">
        <v>39825</v>
      </c>
      <c r="AU919" s="422" t="s">
        <v>8879</v>
      </c>
      <c r="AV919" s="422"/>
      <c r="AW919" s="422" t="s">
        <v>92</v>
      </c>
      <c r="AX919" s="428" t="s">
        <v>409</v>
      </c>
      <c r="AY919" s="420">
        <v>41416</v>
      </c>
      <c r="AZ919" s="428" t="s">
        <v>6739</v>
      </c>
      <c r="BA919" s="420">
        <v>43440</v>
      </c>
      <c r="BB919" s="678">
        <v>43525</v>
      </c>
      <c r="BC919" s="428" t="s">
        <v>95</v>
      </c>
      <c r="BD919" s="422" t="s">
        <v>8623</v>
      </c>
      <c r="BE919" s="22"/>
      <c r="BF919" s="22"/>
      <c r="BG919" s="235"/>
      <c r="BH919" s="194"/>
      <c r="BI919" s="235"/>
      <c r="BJ919" s="209"/>
      <c r="BK919" s="159"/>
      <c r="BL919" s="196"/>
      <c r="BM919" s="384"/>
      <c r="BN919" s="541"/>
      <c r="BO919" s="449"/>
      <c r="BP919" s="392"/>
      <c r="BQ919" s="243"/>
      <c r="BR919" s="243"/>
      <c r="BS919" s="235"/>
      <c r="BT919" s="235"/>
      <c r="BU919" s="235"/>
      <c r="BV919" s="235"/>
      <c r="BW919" s="244"/>
      <c r="BX919" s="245"/>
      <c r="BY919" s="233"/>
      <c r="BZ919" s="246"/>
    </row>
    <row r="920" spans="1:78" ht="135">
      <c r="A920" s="96">
        <v>916</v>
      </c>
      <c r="B920" s="258" t="s">
        <v>8855</v>
      </c>
      <c r="C920" s="142">
        <v>40429627</v>
      </c>
      <c r="D920" s="424" t="s">
        <v>8856</v>
      </c>
      <c r="E920" s="147">
        <v>43591</v>
      </c>
      <c r="F920" s="21">
        <v>43591</v>
      </c>
      <c r="G920" s="428" t="s">
        <v>8857</v>
      </c>
      <c r="H920" s="26" t="s">
        <v>5</v>
      </c>
      <c r="I920" s="423" t="s">
        <v>8243</v>
      </c>
      <c r="J920" s="147">
        <v>43651</v>
      </c>
      <c r="K920" s="21">
        <v>43651</v>
      </c>
      <c r="L920" s="428" t="s">
        <v>8858</v>
      </c>
      <c r="M920" s="26" t="s">
        <v>5974</v>
      </c>
      <c r="N920" s="423" t="s">
        <v>79</v>
      </c>
      <c r="O920" s="147">
        <v>43745</v>
      </c>
      <c r="P920" s="21">
        <v>43745</v>
      </c>
      <c r="Q920" s="424" t="s">
        <v>9172</v>
      </c>
      <c r="R920" s="26" t="s">
        <v>586</v>
      </c>
      <c r="S920" s="26" t="s">
        <v>9173</v>
      </c>
      <c r="T920" s="423">
        <v>43745</v>
      </c>
      <c r="U920" s="21">
        <v>43745</v>
      </c>
      <c r="V920" s="424" t="s">
        <v>9256</v>
      </c>
      <c r="W920" s="422" t="s">
        <v>586</v>
      </c>
      <c r="X920" s="422" t="s">
        <v>9257</v>
      </c>
      <c r="Y920" s="423">
        <v>44153</v>
      </c>
      <c r="Z920" s="21">
        <v>44153</v>
      </c>
      <c r="AA920" s="424" t="s">
        <v>9628</v>
      </c>
      <c r="AB920" s="422" t="s">
        <v>5974</v>
      </c>
      <c r="AC920" s="422" t="s">
        <v>9629</v>
      </c>
      <c r="AD920" s="233"/>
      <c r="AE920" s="234"/>
      <c r="AF920" s="235"/>
      <c r="AG920" s="236"/>
      <c r="AH920" s="249"/>
      <c r="AI920" s="237"/>
      <c r="AJ920" s="234"/>
      <c r="AK920" s="235"/>
      <c r="AL920" s="236"/>
      <c r="AM920" s="249"/>
      <c r="AN920" s="422"/>
      <c r="AO920" s="508"/>
      <c r="AP920" s="421"/>
      <c r="AQ920" s="427" t="s">
        <v>8859</v>
      </c>
      <c r="AR920" s="428" t="s">
        <v>6476</v>
      </c>
      <c r="AS920" s="426" t="s">
        <v>67</v>
      </c>
      <c r="AT920" s="426" t="s">
        <v>67</v>
      </c>
      <c r="AU920" s="422" t="s">
        <v>9174</v>
      </c>
      <c r="AV920" s="422"/>
      <c r="AW920" s="422" t="s">
        <v>92</v>
      </c>
      <c r="AX920" s="428" t="s">
        <v>1465</v>
      </c>
      <c r="AY920" s="420">
        <v>41977</v>
      </c>
      <c r="AZ920" s="428" t="s">
        <v>8861</v>
      </c>
      <c r="BA920" s="420">
        <v>43412</v>
      </c>
      <c r="BB920" s="678">
        <v>43495</v>
      </c>
      <c r="BC920" s="428" t="s">
        <v>561</v>
      </c>
      <c r="BD920" s="422" t="s">
        <v>8860</v>
      </c>
      <c r="BE920" s="22"/>
      <c r="BF920" s="22"/>
      <c r="BG920" s="235"/>
      <c r="BH920" s="194"/>
      <c r="BI920" s="235"/>
      <c r="BJ920" s="209">
        <f>'[411]MATRIZ DE CONTRATOS '!$I$61</f>
        <v>299270844.30471265</v>
      </c>
      <c r="BK920" s="159"/>
      <c r="BL920" s="196"/>
      <c r="BM920" s="384"/>
      <c r="BN920" s="541"/>
      <c r="BO920" s="449"/>
      <c r="BP920" s="392"/>
      <c r="BQ920" s="243"/>
      <c r="BR920" s="243"/>
      <c r="BS920" s="235"/>
      <c r="BT920" s="235"/>
      <c r="BU920" s="235"/>
      <c r="BV920" s="235"/>
      <c r="BW920" s="244"/>
      <c r="BX920" s="245"/>
      <c r="BY920" s="233"/>
      <c r="BZ920" s="246"/>
    </row>
    <row r="921" spans="1:78" ht="54">
      <c r="A921" s="96">
        <v>917</v>
      </c>
      <c r="B921" s="258" t="s">
        <v>8924</v>
      </c>
      <c r="C921" s="142">
        <v>92517463</v>
      </c>
      <c r="D921" s="424" t="s">
        <v>2563</v>
      </c>
      <c r="E921" s="147">
        <v>43655</v>
      </c>
      <c r="F921" s="21">
        <v>43655</v>
      </c>
      <c r="G921" s="428" t="s">
        <v>8945</v>
      </c>
      <c r="H921" s="26" t="s">
        <v>208</v>
      </c>
      <c r="I921" s="423" t="s">
        <v>1114</v>
      </c>
      <c r="J921" s="423">
        <v>43677</v>
      </c>
      <c r="K921" s="21">
        <v>43677</v>
      </c>
      <c r="L921" s="22" t="s">
        <v>9093</v>
      </c>
      <c r="M921" s="422" t="s">
        <v>5</v>
      </c>
      <c r="N921" s="422" t="s">
        <v>79</v>
      </c>
      <c r="O921" s="423">
        <v>43698</v>
      </c>
      <c r="P921" s="21">
        <v>43698</v>
      </c>
      <c r="Q921" s="424" t="s">
        <v>9106</v>
      </c>
      <c r="R921" s="422" t="s">
        <v>5</v>
      </c>
      <c r="S921" s="422" t="s">
        <v>85</v>
      </c>
      <c r="T921" s="423">
        <v>43777</v>
      </c>
      <c r="U921" s="21">
        <v>43777</v>
      </c>
      <c r="V921" s="424" t="s">
        <v>9234</v>
      </c>
      <c r="W921" s="422" t="s">
        <v>5</v>
      </c>
      <c r="X921" s="422" t="s">
        <v>85</v>
      </c>
      <c r="Y921" s="423">
        <v>44329</v>
      </c>
      <c r="Z921" s="21">
        <v>44329</v>
      </c>
      <c r="AA921" s="424" t="s">
        <v>10485</v>
      </c>
      <c r="AB921" s="422" t="s">
        <v>208</v>
      </c>
      <c r="AC921" s="422" t="s">
        <v>9511</v>
      </c>
      <c r="AD921" s="233">
        <v>44558</v>
      </c>
      <c r="AE921" s="234">
        <v>44531</v>
      </c>
      <c r="AF921" s="235" t="s">
        <v>10716</v>
      </c>
      <c r="AG921" s="236" t="s">
        <v>5</v>
      </c>
      <c r="AH921" s="249" t="s">
        <v>10717</v>
      </c>
      <c r="AI921" s="237"/>
      <c r="AJ921" s="234"/>
      <c r="AK921" s="235"/>
      <c r="AL921" s="236"/>
      <c r="AM921" s="249"/>
      <c r="AN921" s="422"/>
      <c r="AO921" s="508"/>
      <c r="AP921" s="421"/>
      <c r="AQ921" s="427" t="s">
        <v>8925</v>
      </c>
      <c r="AR921" s="428" t="s">
        <v>6476</v>
      </c>
      <c r="AS921" s="426"/>
      <c r="AT921" s="426"/>
      <c r="AU921" s="422" t="s">
        <v>8926</v>
      </c>
      <c r="AV921" s="422"/>
      <c r="AW921" s="422" t="s">
        <v>92</v>
      </c>
      <c r="AX921" s="428" t="s">
        <v>2573</v>
      </c>
      <c r="AY921" s="420">
        <v>42153</v>
      </c>
      <c r="AZ921" s="428" t="s">
        <v>142</v>
      </c>
      <c r="BA921" s="420">
        <v>42698</v>
      </c>
      <c r="BB921" s="678">
        <v>42878</v>
      </c>
      <c r="BC921" s="428"/>
      <c r="BD921" s="422"/>
      <c r="BE921" s="22"/>
      <c r="BF921" s="22"/>
      <c r="BG921" s="235"/>
      <c r="BH921" s="194"/>
      <c r="BI921" s="235"/>
      <c r="BJ921" s="209"/>
      <c r="BK921" s="159"/>
      <c r="BL921" s="196"/>
      <c r="BM921" s="384"/>
      <c r="BN921" s="541"/>
      <c r="BO921" s="449"/>
      <c r="BP921" s="392"/>
      <c r="BQ921" s="243"/>
      <c r="BR921" s="243"/>
      <c r="BS921" s="235"/>
      <c r="BT921" s="235"/>
      <c r="BU921" s="235"/>
      <c r="BV921" s="235"/>
      <c r="BW921" s="244"/>
      <c r="BX921" s="245"/>
      <c r="BY921" s="233"/>
      <c r="BZ921" s="246"/>
    </row>
    <row r="922" spans="1:78" ht="67.5">
      <c r="A922" s="96">
        <v>918</v>
      </c>
      <c r="B922" s="258" t="s">
        <v>8927</v>
      </c>
      <c r="C922" s="142"/>
      <c r="D922" s="424"/>
      <c r="E922" s="147">
        <v>43662</v>
      </c>
      <c r="F922" s="21">
        <v>43662</v>
      </c>
      <c r="G922" s="428" t="s">
        <v>8928</v>
      </c>
      <c r="H922" s="26" t="s">
        <v>625</v>
      </c>
      <c r="I922" s="423" t="s">
        <v>6212</v>
      </c>
      <c r="J922" s="147"/>
      <c r="K922" s="21"/>
      <c r="L922" s="428"/>
      <c r="M922" s="26"/>
      <c r="N922" s="423"/>
      <c r="O922" s="147"/>
      <c r="P922" s="21"/>
      <c r="Q922" s="424"/>
      <c r="R922" s="26"/>
      <c r="S922" s="26"/>
      <c r="T922" s="233"/>
      <c r="U922" s="234"/>
      <c r="V922" s="235"/>
      <c r="W922" s="236"/>
      <c r="X922" s="249"/>
      <c r="Y922" s="233"/>
      <c r="Z922" s="234"/>
      <c r="AA922" s="235"/>
      <c r="AB922" s="236"/>
      <c r="AC922" s="249"/>
      <c r="AD922" s="233"/>
      <c r="AE922" s="234"/>
      <c r="AF922" s="235"/>
      <c r="AG922" s="236"/>
      <c r="AH922" s="249"/>
      <c r="AI922" s="237"/>
      <c r="AJ922" s="234"/>
      <c r="AK922" s="235"/>
      <c r="AL922" s="236"/>
      <c r="AM922" s="249"/>
      <c r="AN922" s="422"/>
      <c r="AO922" s="508"/>
      <c r="AP922" s="421"/>
      <c r="AQ922" s="427" t="s">
        <v>8929</v>
      </c>
      <c r="AR922" s="428" t="s">
        <v>6476</v>
      </c>
      <c r="AS922" s="426">
        <v>38596</v>
      </c>
      <c r="AT922" s="426">
        <v>40543</v>
      </c>
      <c r="AU922" s="422" t="s">
        <v>8932</v>
      </c>
      <c r="AV922" s="422"/>
      <c r="AW922" s="421" t="s">
        <v>69</v>
      </c>
      <c r="AX922" s="428" t="s">
        <v>8930</v>
      </c>
      <c r="AY922" s="420">
        <v>43062</v>
      </c>
      <c r="AZ922" s="428" t="s">
        <v>8931</v>
      </c>
      <c r="BA922" s="420">
        <v>43560</v>
      </c>
      <c r="BB922" s="678"/>
      <c r="BC922" s="428" t="s">
        <v>95</v>
      </c>
      <c r="BD922" s="422" t="s">
        <v>8623</v>
      </c>
      <c r="BE922" s="22"/>
      <c r="BF922" s="22"/>
      <c r="BG922" s="235"/>
      <c r="BH922" s="194"/>
      <c r="BI922" s="235"/>
      <c r="BJ922" s="209"/>
      <c r="BK922" s="159"/>
      <c r="BL922" s="196"/>
      <c r="BM922" s="384"/>
      <c r="BN922" s="541"/>
      <c r="BO922" s="449"/>
      <c r="BP922" s="392"/>
      <c r="BQ922" s="243"/>
      <c r="BR922" s="243"/>
      <c r="BS922" s="235"/>
      <c r="BT922" s="235"/>
      <c r="BU922" s="235"/>
      <c r="BV922" s="235"/>
      <c r="BW922" s="244"/>
      <c r="BX922" s="245"/>
      <c r="BY922" s="233"/>
      <c r="BZ922" s="246"/>
    </row>
    <row r="923" spans="1:78" ht="54">
      <c r="A923" s="96">
        <v>919</v>
      </c>
      <c r="B923" s="258" t="s">
        <v>8940</v>
      </c>
      <c r="C923" s="142">
        <v>80172624</v>
      </c>
      <c r="D923" s="424"/>
      <c r="E923" s="147">
        <v>43669</v>
      </c>
      <c r="F923" s="21">
        <v>43669</v>
      </c>
      <c r="G923" s="428" t="s">
        <v>8941</v>
      </c>
      <c r="H923" s="26" t="s">
        <v>625</v>
      </c>
      <c r="I923" s="423" t="s">
        <v>6174</v>
      </c>
      <c r="J923" s="147">
        <v>43992</v>
      </c>
      <c r="K923" s="21">
        <v>43992</v>
      </c>
      <c r="L923" s="428" t="s">
        <v>9509</v>
      </c>
      <c r="M923" s="26" t="s">
        <v>5</v>
      </c>
      <c r="N923" s="423" t="s">
        <v>85</v>
      </c>
      <c r="O923" s="147"/>
      <c r="P923" s="21"/>
      <c r="Q923" s="424"/>
      <c r="R923" s="26"/>
      <c r="S923" s="26"/>
      <c r="T923" s="233"/>
      <c r="U923" s="234"/>
      <c r="V923" s="235"/>
      <c r="W923" s="236"/>
      <c r="X923" s="249"/>
      <c r="Y923" s="233"/>
      <c r="Z923" s="234"/>
      <c r="AA923" s="235"/>
      <c r="AB923" s="236"/>
      <c r="AC923" s="249"/>
      <c r="AD923" s="233"/>
      <c r="AE923" s="234"/>
      <c r="AF923" s="235"/>
      <c r="AG923" s="236"/>
      <c r="AH923" s="249"/>
      <c r="AI923" s="237"/>
      <c r="AJ923" s="234"/>
      <c r="AK923" s="235"/>
      <c r="AL923" s="236"/>
      <c r="AM923" s="249"/>
      <c r="AN923" s="422"/>
      <c r="AO923" s="508">
        <v>43992</v>
      </c>
      <c r="AP923" s="421"/>
      <c r="AQ923" s="427" t="s">
        <v>8942</v>
      </c>
      <c r="AR923" s="428" t="s">
        <v>6476</v>
      </c>
      <c r="AS923" s="426">
        <v>37991</v>
      </c>
      <c r="AT923" s="426">
        <v>40663</v>
      </c>
      <c r="AU923" s="422" t="s">
        <v>8943</v>
      </c>
      <c r="AV923" s="422"/>
      <c r="AW923" s="421" t="s">
        <v>69</v>
      </c>
      <c r="AX923" s="428" t="s">
        <v>8944</v>
      </c>
      <c r="AY923" s="420">
        <v>43084</v>
      </c>
      <c r="AZ923" s="428" t="s">
        <v>6733</v>
      </c>
      <c r="BA923" s="420">
        <v>43644</v>
      </c>
      <c r="BB923" s="678"/>
      <c r="BC923" s="428" t="s">
        <v>95</v>
      </c>
      <c r="BD923" s="422" t="s">
        <v>8623</v>
      </c>
      <c r="BE923" s="22"/>
      <c r="BF923" s="22"/>
      <c r="BG923" s="235"/>
      <c r="BH923" s="194"/>
      <c r="BI923" s="235"/>
      <c r="BJ923" s="209">
        <f>'[412]MATRIZ '!$J$84</f>
        <v>165369470.57269907</v>
      </c>
      <c r="BK923" s="159"/>
      <c r="BL923" s="196"/>
      <c r="BM923" s="384"/>
      <c r="BN923" s="541"/>
      <c r="BO923" s="449"/>
      <c r="BP923" s="392"/>
      <c r="BQ923" s="243"/>
      <c r="BR923" s="243"/>
      <c r="BS923" s="235"/>
      <c r="BT923" s="235"/>
      <c r="BU923" s="235"/>
      <c r="BV923" s="235"/>
      <c r="BW923" s="244"/>
      <c r="BX923" s="245"/>
      <c r="BY923" s="233"/>
      <c r="BZ923" s="246"/>
    </row>
    <row r="924" spans="1:78" ht="27">
      <c r="A924" s="96">
        <v>920</v>
      </c>
      <c r="B924" s="258" t="s">
        <v>8946</v>
      </c>
      <c r="C924" s="142"/>
      <c r="D924" s="424"/>
      <c r="E924" s="147">
        <v>43502</v>
      </c>
      <c r="F924" s="21">
        <v>43502</v>
      </c>
      <c r="G924" s="428" t="s">
        <v>8959</v>
      </c>
      <c r="H924" s="26" t="s">
        <v>208</v>
      </c>
      <c r="I924" s="423" t="s">
        <v>8243</v>
      </c>
      <c r="J924" s="147"/>
      <c r="K924" s="21"/>
      <c r="L924" s="428"/>
      <c r="M924" s="26"/>
      <c r="N924" s="423"/>
      <c r="O924" s="147"/>
      <c r="P924" s="21"/>
      <c r="Q924" s="424"/>
      <c r="R924" s="26"/>
      <c r="S924" s="26"/>
      <c r="T924" s="233"/>
      <c r="U924" s="234"/>
      <c r="V924" s="235"/>
      <c r="W924" s="236"/>
      <c r="X924" s="249"/>
      <c r="Y924" s="233"/>
      <c r="Z924" s="234"/>
      <c r="AA924" s="235"/>
      <c r="AB924" s="236"/>
      <c r="AC924" s="249"/>
      <c r="AD924" s="233"/>
      <c r="AE924" s="234"/>
      <c r="AF924" s="235"/>
      <c r="AG924" s="236"/>
      <c r="AH924" s="249"/>
      <c r="AI924" s="237"/>
      <c r="AJ924" s="234"/>
      <c r="AK924" s="235"/>
      <c r="AL924" s="236"/>
      <c r="AM924" s="249"/>
      <c r="AN924" s="422"/>
      <c r="AO924" s="508"/>
      <c r="AP924" s="421"/>
      <c r="AQ924" s="427"/>
      <c r="AR924" s="428"/>
      <c r="AS924" s="426"/>
      <c r="AT924" s="426"/>
      <c r="AU924" s="422"/>
      <c r="AV924" s="422"/>
      <c r="AW924" s="421"/>
      <c r="AX924" s="428"/>
      <c r="AY924" s="420"/>
      <c r="AZ924" s="428"/>
      <c r="BA924" s="420"/>
      <c r="BB924" s="678">
        <v>43446</v>
      </c>
      <c r="BC924" s="428" t="s">
        <v>5086</v>
      </c>
      <c r="BD924" s="422" t="s">
        <v>6447</v>
      </c>
      <c r="BE924" s="22"/>
      <c r="BF924" s="22"/>
      <c r="BG924" s="235"/>
      <c r="BH924" s="194"/>
      <c r="BI924" s="235"/>
      <c r="BJ924" s="209">
        <f>[413]SEVICOL!$K$35</f>
        <v>4592055739.4651098</v>
      </c>
      <c r="BK924" s="159"/>
      <c r="BL924" s="196"/>
      <c r="BM924" s="384"/>
      <c r="BN924" s="541"/>
      <c r="BO924" s="449"/>
      <c r="BP924" s="392"/>
      <c r="BQ924" s="243"/>
      <c r="BR924" s="243"/>
      <c r="BS924" s="235"/>
      <c r="BT924" s="235"/>
      <c r="BU924" s="235"/>
      <c r="BV924" s="235"/>
      <c r="BW924" s="244"/>
      <c r="BX924" s="245"/>
      <c r="BY924" s="233"/>
      <c r="BZ924" s="246"/>
    </row>
    <row r="925" spans="1:78" ht="54">
      <c r="A925" s="96">
        <v>921</v>
      </c>
      <c r="B925" s="258" t="s">
        <v>8975</v>
      </c>
      <c r="C925" s="142">
        <v>79846463</v>
      </c>
      <c r="D925" s="424" t="s">
        <v>648</v>
      </c>
      <c r="E925" s="147">
        <v>43676</v>
      </c>
      <c r="F925" s="21">
        <v>43676</v>
      </c>
      <c r="G925" s="428" t="s">
        <v>8976</v>
      </c>
      <c r="H925" s="26" t="s">
        <v>625</v>
      </c>
      <c r="I925" s="423" t="s">
        <v>6174</v>
      </c>
      <c r="J925" s="147">
        <v>43692</v>
      </c>
      <c r="K925" s="21">
        <v>43692</v>
      </c>
      <c r="L925" s="428" t="s">
        <v>9197</v>
      </c>
      <c r="M925" s="26" t="s">
        <v>625</v>
      </c>
      <c r="N925" s="423" t="s">
        <v>9198</v>
      </c>
      <c r="O925" s="147">
        <v>43846</v>
      </c>
      <c r="P925" s="21">
        <v>43846</v>
      </c>
      <c r="Q925" s="424" t="s">
        <v>9384</v>
      </c>
      <c r="R925" s="26" t="s">
        <v>5</v>
      </c>
      <c r="S925" s="26" t="s">
        <v>79</v>
      </c>
      <c r="T925" s="423">
        <v>43867</v>
      </c>
      <c r="U925" s="21">
        <v>43867</v>
      </c>
      <c r="V925" s="424" t="s">
        <v>9395</v>
      </c>
      <c r="W925" s="422" t="s">
        <v>5</v>
      </c>
      <c r="X925" s="422" t="s">
        <v>85</v>
      </c>
      <c r="Y925" s="233"/>
      <c r="Z925" s="234"/>
      <c r="AA925" s="235"/>
      <c r="AB925" s="236"/>
      <c r="AC925" s="249"/>
      <c r="AD925" s="233"/>
      <c r="AE925" s="234"/>
      <c r="AF925" s="235"/>
      <c r="AG925" s="236"/>
      <c r="AH925" s="249"/>
      <c r="AI925" s="237"/>
      <c r="AJ925" s="234"/>
      <c r="AK925" s="235"/>
      <c r="AL925" s="236"/>
      <c r="AM925" s="249"/>
      <c r="AN925" s="422"/>
      <c r="AO925" s="508"/>
      <c r="AP925" s="421"/>
      <c r="AQ925" s="427" t="s">
        <v>8977</v>
      </c>
      <c r="AR925" s="428" t="s">
        <v>6476</v>
      </c>
      <c r="AS925" s="426">
        <v>37956</v>
      </c>
      <c r="AT925" s="426">
        <v>40847</v>
      </c>
      <c r="AU925" s="422" t="s">
        <v>8980</v>
      </c>
      <c r="AV925" s="422"/>
      <c r="AW925" s="421"/>
      <c r="AX925" s="428" t="s">
        <v>8978</v>
      </c>
      <c r="AY925" s="420">
        <v>43084</v>
      </c>
      <c r="AZ925" s="428" t="s">
        <v>652</v>
      </c>
      <c r="BA925" s="420">
        <v>43670</v>
      </c>
      <c r="BB925" s="678">
        <v>43685</v>
      </c>
      <c r="BC925" s="428" t="s">
        <v>95</v>
      </c>
      <c r="BD925" s="422" t="s">
        <v>8979</v>
      </c>
      <c r="BE925" s="22"/>
      <c r="BF925" s="22"/>
      <c r="BG925" s="235"/>
      <c r="BH925" s="194"/>
      <c r="BI925" s="235"/>
      <c r="BJ925" s="209"/>
      <c r="BK925" s="159"/>
      <c r="BL925" s="196"/>
      <c r="BM925" s="384"/>
      <c r="BN925" s="541"/>
      <c r="BO925" s="449"/>
      <c r="BP925" s="392"/>
      <c r="BQ925" s="243"/>
      <c r="BR925" s="243"/>
      <c r="BS925" s="235"/>
      <c r="BT925" s="235"/>
      <c r="BU925" s="235"/>
      <c r="BV925" s="235"/>
      <c r="BW925" s="244"/>
      <c r="BX925" s="245"/>
      <c r="BY925" s="233"/>
      <c r="BZ925" s="246"/>
    </row>
    <row r="926" spans="1:78" ht="40.5">
      <c r="A926" s="96">
        <v>922</v>
      </c>
      <c r="B926" s="258" t="s">
        <v>8981</v>
      </c>
      <c r="C926" s="142">
        <v>94466892</v>
      </c>
      <c r="D926" s="424"/>
      <c r="E926" s="147">
        <v>43669</v>
      </c>
      <c r="F926" s="21">
        <v>43669</v>
      </c>
      <c r="G926" s="428" t="s">
        <v>8982</v>
      </c>
      <c r="H926" s="26" t="s">
        <v>5</v>
      </c>
      <c r="I926" s="423" t="s">
        <v>8243</v>
      </c>
      <c r="J926" s="147"/>
      <c r="K926" s="21"/>
      <c r="L926" s="428"/>
      <c r="M926" s="26"/>
      <c r="N926" s="423"/>
      <c r="O926" s="147"/>
      <c r="P926" s="21"/>
      <c r="Q926" s="424"/>
      <c r="R926" s="26"/>
      <c r="S926" s="26"/>
      <c r="T926" s="233"/>
      <c r="U926" s="234"/>
      <c r="V926" s="235"/>
      <c r="W926" s="236"/>
      <c r="X926" s="249"/>
      <c r="Y926" s="233"/>
      <c r="Z926" s="234"/>
      <c r="AA926" s="235"/>
      <c r="AB926" s="236"/>
      <c r="AC926" s="249"/>
      <c r="AD926" s="233"/>
      <c r="AE926" s="234"/>
      <c r="AF926" s="235"/>
      <c r="AG926" s="236"/>
      <c r="AH926" s="249"/>
      <c r="AI926" s="237"/>
      <c r="AJ926" s="234"/>
      <c r="AK926" s="235"/>
      <c r="AL926" s="236"/>
      <c r="AM926" s="249"/>
      <c r="AN926" s="422"/>
      <c r="AO926" s="508"/>
      <c r="AP926" s="421"/>
      <c r="AQ926" s="427" t="s">
        <v>8983</v>
      </c>
      <c r="AR926" s="428" t="s">
        <v>161</v>
      </c>
      <c r="AS926" s="426"/>
      <c r="AT926" s="426"/>
      <c r="AU926" s="422" t="s">
        <v>8980</v>
      </c>
      <c r="AV926" s="422"/>
      <c r="AW926" s="421" t="s">
        <v>69</v>
      </c>
      <c r="AX926" s="428" t="s">
        <v>8984</v>
      </c>
      <c r="AY926" s="420">
        <v>43550</v>
      </c>
      <c r="AZ926" s="428" t="s">
        <v>67</v>
      </c>
      <c r="BA926" s="428" t="s">
        <v>67</v>
      </c>
      <c r="BB926" s="678">
        <v>43641</v>
      </c>
      <c r="BC926" s="428" t="s">
        <v>95</v>
      </c>
      <c r="BD926" s="422" t="s">
        <v>8623</v>
      </c>
      <c r="BE926" s="22"/>
      <c r="BF926" s="22"/>
      <c r="BG926" s="235"/>
      <c r="BH926" s="194"/>
      <c r="BI926" s="235"/>
      <c r="BJ926" s="209">
        <f>'[414]MATRIZ '!$J$60</f>
        <v>96194906.014095545</v>
      </c>
      <c r="BK926" s="159"/>
      <c r="BL926" s="196"/>
      <c r="BM926" s="384"/>
      <c r="BN926" s="541"/>
      <c r="BO926" s="449"/>
      <c r="BP926" s="392"/>
      <c r="BQ926" s="243"/>
      <c r="BR926" s="243"/>
      <c r="BS926" s="235"/>
      <c r="BT926" s="235"/>
      <c r="BU926" s="235"/>
      <c r="BV926" s="235"/>
      <c r="BW926" s="244"/>
      <c r="BX926" s="245"/>
      <c r="BY926" s="233"/>
      <c r="BZ926" s="246"/>
    </row>
    <row r="927" spans="1:78" ht="94.5">
      <c r="A927" s="96">
        <v>923</v>
      </c>
      <c r="B927" s="258" t="s">
        <v>8988</v>
      </c>
      <c r="C927" s="142" t="s">
        <v>8989</v>
      </c>
      <c r="D927" s="424" t="s">
        <v>8990</v>
      </c>
      <c r="E927" s="147">
        <v>43678</v>
      </c>
      <c r="F927" s="21">
        <v>43678</v>
      </c>
      <c r="G927" s="428" t="s">
        <v>8991</v>
      </c>
      <c r="H927" s="26" t="s">
        <v>5</v>
      </c>
      <c r="I927" s="423" t="s">
        <v>8243</v>
      </c>
      <c r="J927" s="147">
        <v>43879</v>
      </c>
      <c r="K927" s="21">
        <v>43879</v>
      </c>
      <c r="L927" s="428" t="s">
        <v>9468</v>
      </c>
      <c r="M927" s="26" t="s">
        <v>63</v>
      </c>
      <c r="N927" s="423" t="s">
        <v>9469</v>
      </c>
      <c r="O927" s="147"/>
      <c r="P927" s="21"/>
      <c r="Q927" s="424"/>
      <c r="R927" s="26"/>
      <c r="S927" s="26"/>
      <c r="T927" s="233"/>
      <c r="U927" s="234"/>
      <c r="V927" s="235"/>
      <c r="W927" s="236"/>
      <c r="X927" s="249"/>
      <c r="Y927" s="233"/>
      <c r="Z927" s="234"/>
      <c r="AA927" s="235"/>
      <c r="AB927" s="236"/>
      <c r="AC927" s="249"/>
      <c r="AD927" s="233"/>
      <c r="AE927" s="234"/>
      <c r="AF927" s="235"/>
      <c r="AG927" s="236"/>
      <c r="AH927" s="249"/>
      <c r="AI927" s="237"/>
      <c r="AJ927" s="234"/>
      <c r="AK927" s="235"/>
      <c r="AL927" s="236"/>
      <c r="AM927" s="249"/>
      <c r="AN927" s="422"/>
      <c r="AO927" s="508"/>
      <c r="AP927" s="421"/>
      <c r="AQ927" s="427" t="s">
        <v>8992</v>
      </c>
      <c r="AR927" s="428" t="s">
        <v>161</v>
      </c>
      <c r="AS927" s="426"/>
      <c r="AT927" s="426"/>
      <c r="AU927" s="422"/>
      <c r="AV927" s="422"/>
      <c r="AW927" s="422" t="s">
        <v>92</v>
      </c>
      <c r="AX927" s="428" t="s">
        <v>2573</v>
      </c>
      <c r="AY927" s="420">
        <v>42062</v>
      </c>
      <c r="AZ927" s="428" t="s">
        <v>142</v>
      </c>
      <c r="BA927" s="420">
        <v>42698</v>
      </c>
      <c r="BB927" s="678">
        <v>42769</v>
      </c>
      <c r="BC927" s="428" t="s">
        <v>561</v>
      </c>
      <c r="BD927" s="422" t="s">
        <v>8623</v>
      </c>
      <c r="BE927" s="22"/>
      <c r="BF927" s="22"/>
      <c r="BG927" s="235"/>
      <c r="BH927" s="194"/>
      <c r="BI927" s="235"/>
      <c r="BJ927" s="209">
        <f>'[415]MATRIZ DE CONTRATOS '!$J$24</f>
        <v>197052369.14700428</v>
      </c>
      <c r="BK927" s="159"/>
      <c r="BL927" s="196"/>
      <c r="BM927" s="384"/>
      <c r="BN927" s="541"/>
      <c r="BO927" s="449"/>
      <c r="BP927" s="392"/>
      <c r="BQ927" s="243"/>
      <c r="BR927" s="243"/>
      <c r="BS927" s="235"/>
      <c r="BT927" s="235"/>
      <c r="BU927" s="235"/>
      <c r="BV927" s="235"/>
      <c r="BW927" s="244"/>
      <c r="BX927" s="245"/>
      <c r="BY927" s="233"/>
      <c r="BZ927" s="246"/>
    </row>
    <row r="928" spans="1:78" ht="40.5">
      <c r="A928" s="96">
        <v>924</v>
      </c>
      <c r="B928" s="258" t="s">
        <v>8993</v>
      </c>
      <c r="C928" s="142"/>
      <c r="D928" s="424"/>
      <c r="E928" s="147">
        <v>43679</v>
      </c>
      <c r="F928" s="21">
        <v>43679</v>
      </c>
      <c r="G928" s="428" t="s">
        <v>8995</v>
      </c>
      <c r="H928" s="26" t="s">
        <v>625</v>
      </c>
      <c r="I928" s="423" t="s">
        <v>6174</v>
      </c>
      <c r="J928" s="147"/>
      <c r="K928" s="21"/>
      <c r="L928" s="428"/>
      <c r="M928" s="26"/>
      <c r="N928" s="423"/>
      <c r="O928" s="147"/>
      <c r="P928" s="21"/>
      <c r="Q928" s="424"/>
      <c r="R928" s="26"/>
      <c r="S928" s="26"/>
      <c r="T928" s="233"/>
      <c r="U928" s="234"/>
      <c r="V928" s="235"/>
      <c r="W928" s="236"/>
      <c r="X928" s="249"/>
      <c r="Y928" s="233"/>
      <c r="Z928" s="234"/>
      <c r="AA928" s="235"/>
      <c r="AB928" s="236"/>
      <c r="AC928" s="249"/>
      <c r="AD928" s="233"/>
      <c r="AE928" s="234"/>
      <c r="AF928" s="235"/>
      <c r="AG928" s="236"/>
      <c r="AH928" s="249"/>
      <c r="AI928" s="237"/>
      <c r="AJ928" s="234"/>
      <c r="AK928" s="235"/>
      <c r="AL928" s="236"/>
      <c r="AM928" s="249"/>
      <c r="AN928" s="422"/>
      <c r="AO928" s="508"/>
      <c r="AP928" s="421"/>
      <c r="AQ928" s="427" t="s">
        <v>8994</v>
      </c>
      <c r="AR928" s="428" t="s">
        <v>161</v>
      </c>
      <c r="AS928" s="426">
        <v>36756</v>
      </c>
      <c r="AT928" s="426">
        <v>40908</v>
      </c>
      <c r="AU928" s="422" t="s">
        <v>8980</v>
      </c>
      <c r="AV928" s="422"/>
      <c r="AW928" s="421" t="s">
        <v>69</v>
      </c>
      <c r="AX928" s="428" t="s">
        <v>8996</v>
      </c>
      <c r="AY928" s="420">
        <v>42816</v>
      </c>
      <c r="AZ928" s="428" t="s">
        <v>627</v>
      </c>
      <c r="BA928" s="420">
        <v>43677</v>
      </c>
      <c r="BB928" s="678"/>
      <c r="BC928" s="428" t="s">
        <v>912</v>
      </c>
      <c r="BD928" s="422" t="s">
        <v>8623</v>
      </c>
      <c r="BE928" s="22"/>
      <c r="BF928" s="22"/>
      <c r="BG928" s="235"/>
      <c r="BH928" s="194"/>
      <c r="BI928" s="235"/>
      <c r="BJ928" s="209"/>
      <c r="BK928" s="159"/>
      <c r="BL928" s="196"/>
      <c r="BM928" s="384"/>
      <c r="BN928" s="541"/>
      <c r="BO928" s="449"/>
      <c r="BP928" s="392"/>
      <c r="BQ928" s="243"/>
      <c r="BR928" s="243"/>
      <c r="BS928" s="235"/>
      <c r="BT928" s="235"/>
      <c r="BU928" s="235"/>
      <c r="BV928" s="235"/>
      <c r="BW928" s="244"/>
      <c r="BX928" s="245"/>
      <c r="BY928" s="233"/>
      <c r="BZ928" s="246"/>
    </row>
    <row r="929" spans="1:78" ht="27">
      <c r="A929" s="96">
        <v>925</v>
      </c>
      <c r="B929" s="258" t="s">
        <v>9321</v>
      </c>
      <c r="C929" s="142">
        <v>94154985</v>
      </c>
      <c r="D929" s="424" t="s">
        <v>747</v>
      </c>
      <c r="E929" s="147">
        <v>43690</v>
      </c>
      <c r="F929" s="21">
        <v>43690</v>
      </c>
      <c r="G929" s="428" t="s">
        <v>9034</v>
      </c>
      <c r="H929" s="26" t="s">
        <v>5</v>
      </c>
      <c r="I929" s="423" t="s">
        <v>79</v>
      </c>
      <c r="J929" s="147">
        <v>43822</v>
      </c>
      <c r="K929" s="21">
        <v>43822</v>
      </c>
      <c r="L929" s="428" t="s">
        <v>9322</v>
      </c>
      <c r="M929" s="422" t="s">
        <v>5</v>
      </c>
      <c r="N929" s="423" t="s">
        <v>85</v>
      </c>
      <c r="O929" s="147"/>
      <c r="P929" s="21"/>
      <c r="Q929" s="424"/>
      <c r="R929" s="26"/>
      <c r="S929" s="26"/>
      <c r="T929" s="233"/>
      <c r="U929" s="234"/>
      <c r="V929" s="235"/>
      <c r="W929" s="236"/>
      <c r="X929" s="249"/>
      <c r="Y929" s="233"/>
      <c r="Z929" s="234"/>
      <c r="AA929" s="235"/>
      <c r="AB929" s="236"/>
      <c r="AC929" s="249"/>
      <c r="AD929" s="233"/>
      <c r="AE929" s="234"/>
      <c r="AF929" s="235"/>
      <c r="AG929" s="236"/>
      <c r="AH929" s="249"/>
      <c r="AI929" s="237"/>
      <c r="AJ929" s="234"/>
      <c r="AK929" s="235"/>
      <c r="AL929" s="236"/>
      <c r="AM929" s="249"/>
      <c r="AN929" s="422"/>
      <c r="AO929" s="508"/>
      <c r="AP929" s="421"/>
      <c r="AQ929" s="427" t="s">
        <v>9327</v>
      </c>
      <c r="AR929" s="428" t="s">
        <v>161</v>
      </c>
      <c r="AS929" s="426">
        <v>39828</v>
      </c>
      <c r="AT929" s="426">
        <v>40633</v>
      </c>
      <c r="AU929" s="422" t="s">
        <v>8980</v>
      </c>
      <c r="AV929" s="422"/>
      <c r="AW929" s="421" t="s">
        <v>69</v>
      </c>
      <c r="AX929" s="428" t="s">
        <v>9328</v>
      </c>
      <c r="AY929" s="420">
        <v>43521</v>
      </c>
      <c r="AZ929" s="428" t="s">
        <v>67</v>
      </c>
      <c r="BA929" s="420" t="s">
        <v>67</v>
      </c>
      <c r="BB929" s="678">
        <v>43535</v>
      </c>
      <c r="BC929" s="428" t="s">
        <v>95</v>
      </c>
      <c r="BD929" s="422" t="s">
        <v>8623</v>
      </c>
      <c r="BE929" s="22"/>
      <c r="BF929" s="22"/>
      <c r="BG929" s="235"/>
      <c r="BH929" s="194"/>
      <c r="BI929" s="235"/>
      <c r="BJ929" s="209"/>
      <c r="BK929" s="159"/>
      <c r="BL929" s="196"/>
      <c r="BM929" s="384"/>
      <c r="BN929" s="541"/>
      <c r="BO929" s="449"/>
      <c r="BP929" s="392"/>
      <c r="BQ929" s="243"/>
      <c r="BR929" s="243"/>
      <c r="BS929" s="235"/>
      <c r="BT929" s="235"/>
      <c r="BU929" s="235"/>
      <c r="BV929" s="235"/>
      <c r="BW929" s="244"/>
      <c r="BX929" s="245"/>
      <c r="BY929" s="233"/>
      <c r="BZ929" s="246"/>
    </row>
    <row r="930" spans="1:78" ht="40.5">
      <c r="A930" s="96">
        <v>926</v>
      </c>
      <c r="B930" s="258" t="s">
        <v>9044</v>
      </c>
      <c r="C930" s="142">
        <v>80577259</v>
      </c>
      <c r="D930" s="424" t="s">
        <v>906</v>
      </c>
      <c r="E930" s="147">
        <v>43693</v>
      </c>
      <c r="F930" s="21">
        <v>43693</v>
      </c>
      <c r="G930" s="428" t="s">
        <v>9045</v>
      </c>
      <c r="H930" s="26" t="s">
        <v>5</v>
      </c>
      <c r="I930" s="423" t="s">
        <v>79</v>
      </c>
      <c r="J930" s="147">
        <v>43703</v>
      </c>
      <c r="K930" s="21">
        <v>43703</v>
      </c>
      <c r="L930" s="428" t="s">
        <v>9136</v>
      </c>
      <c r="M930" s="422" t="s">
        <v>5</v>
      </c>
      <c r="N930" s="423" t="s">
        <v>9137</v>
      </c>
      <c r="O930" s="147"/>
      <c r="P930" s="21"/>
      <c r="Q930" s="424"/>
      <c r="R930" s="26"/>
      <c r="S930" s="26"/>
      <c r="T930" s="233"/>
      <c r="U930" s="234"/>
      <c r="V930" s="235"/>
      <c r="W930" s="236"/>
      <c r="X930" s="249"/>
      <c r="Y930" s="233"/>
      <c r="Z930" s="234"/>
      <c r="AA930" s="235"/>
      <c r="AB930" s="236"/>
      <c r="AC930" s="249"/>
      <c r="AD930" s="233"/>
      <c r="AE930" s="234"/>
      <c r="AF930" s="235"/>
      <c r="AG930" s="236"/>
      <c r="AH930" s="249"/>
      <c r="AI930" s="237"/>
      <c r="AJ930" s="234"/>
      <c r="AK930" s="235"/>
      <c r="AL930" s="236"/>
      <c r="AM930" s="249"/>
      <c r="AN930" s="422"/>
      <c r="AO930" s="508"/>
      <c r="AP930" s="421"/>
      <c r="AQ930" s="427" t="s">
        <v>9046</v>
      </c>
      <c r="AR930" s="428" t="s">
        <v>161</v>
      </c>
      <c r="AS930" s="426"/>
      <c r="AT930" s="426"/>
      <c r="AU930" s="422" t="s">
        <v>8980</v>
      </c>
      <c r="AV930" s="422"/>
      <c r="AW930" s="421" t="s">
        <v>69</v>
      </c>
      <c r="AX930" s="428" t="s">
        <v>4042</v>
      </c>
      <c r="AY930" s="420">
        <v>42390</v>
      </c>
      <c r="AZ930" s="428" t="s">
        <v>94</v>
      </c>
      <c r="BA930" s="420">
        <v>42809</v>
      </c>
      <c r="BB930" s="678">
        <v>42831</v>
      </c>
      <c r="BC930" s="428" t="s">
        <v>912</v>
      </c>
      <c r="BD930" s="422" t="s">
        <v>7243</v>
      </c>
      <c r="BE930" s="22"/>
      <c r="BF930" s="22"/>
      <c r="BG930" s="235"/>
      <c r="BH930" s="194"/>
      <c r="BI930" s="235"/>
      <c r="BJ930" s="209"/>
      <c r="BK930" s="159"/>
      <c r="BL930" s="196"/>
      <c r="BM930" s="384"/>
      <c r="BN930" s="541"/>
      <c r="BO930" s="449"/>
      <c r="BP930" s="392"/>
      <c r="BQ930" s="243"/>
      <c r="BR930" s="243"/>
      <c r="BS930" s="235"/>
      <c r="BT930" s="235"/>
      <c r="BU930" s="235"/>
      <c r="BV930" s="235"/>
      <c r="BW930" s="244"/>
      <c r="BX930" s="245"/>
      <c r="BY930" s="233"/>
      <c r="BZ930" s="246"/>
    </row>
    <row r="931" spans="1:78" ht="54">
      <c r="A931" s="96">
        <v>927</v>
      </c>
      <c r="B931" s="258" t="s">
        <v>10443</v>
      </c>
      <c r="C931" s="142"/>
      <c r="D931" s="424" t="s">
        <v>1153</v>
      </c>
      <c r="E931" s="147">
        <v>43698</v>
      </c>
      <c r="F931" s="21">
        <v>43698</v>
      </c>
      <c r="G931" s="428" t="s">
        <v>9082</v>
      </c>
      <c r="H931" s="26" t="s">
        <v>576</v>
      </c>
      <c r="I931" s="423" t="s">
        <v>2395</v>
      </c>
      <c r="J931" s="147">
        <v>43718</v>
      </c>
      <c r="K931" s="21">
        <v>43718</v>
      </c>
      <c r="L931" s="428" t="s">
        <v>9116</v>
      </c>
      <c r="M931" s="26" t="s">
        <v>503</v>
      </c>
      <c r="N931" s="423" t="s">
        <v>9117</v>
      </c>
      <c r="O931" s="147">
        <v>44295</v>
      </c>
      <c r="P931" s="21">
        <v>44295</v>
      </c>
      <c r="Q931" s="428" t="s">
        <v>10444</v>
      </c>
      <c r="R931" s="26" t="s">
        <v>9612</v>
      </c>
      <c r="S931" s="423" t="s">
        <v>79</v>
      </c>
      <c r="T931" s="233"/>
      <c r="U931" s="234"/>
      <c r="V931" s="235"/>
      <c r="W931" s="236"/>
      <c r="X931" s="249"/>
      <c r="Y931" s="233"/>
      <c r="Z931" s="234"/>
      <c r="AA931" s="235"/>
      <c r="AB931" s="236"/>
      <c r="AC931" s="249"/>
      <c r="AD931" s="233"/>
      <c r="AE931" s="234"/>
      <c r="AF931" s="235"/>
      <c r="AG931" s="236"/>
      <c r="AH931" s="249"/>
      <c r="AI931" s="237"/>
      <c r="AJ931" s="234"/>
      <c r="AK931" s="235"/>
      <c r="AL931" s="236"/>
      <c r="AM931" s="249"/>
      <c r="AN931" s="422"/>
      <c r="AO931" s="508"/>
      <c r="AP931" s="421"/>
      <c r="AQ931" s="427" t="s">
        <v>9081</v>
      </c>
      <c r="AR931" s="428" t="s">
        <v>2395</v>
      </c>
      <c r="AS931" s="426">
        <v>38412</v>
      </c>
      <c r="AT931" s="426">
        <v>40054</v>
      </c>
      <c r="AU931" s="422" t="s">
        <v>9080</v>
      </c>
      <c r="AV931" s="422"/>
      <c r="AW931" s="422" t="s">
        <v>92</v>
      </c>
      <c r="AX931" s="428" t="s">
        <v>9079</v>
      </c>
      <c r="AY931" s="420">
        <v>42796</v>
      </c>
      <c r="AZ931" s="428" t="s">
        <v>576</v>
      </c>
      <c r="BA931" s="420">
        <v>43650</v>
      </c>
      <c r="BB931" s="678">
        <v>43679</v>
      </c>
      <c r="BC931" s="428" t="s">
        <v>95</v>
      </c>
      <c r="BD931" s="422" t="s">
        <v>7243</v>
      </c>
      <c r="BE931" s="22"/>
      <c r="BF931" s="22"/>
      <c r="BG931" s="235"/>
      <c r="BH931" s="194"/>
      <c r="BI931" s="235"/>
      <c r="BJ931" s="209">
        <f>'[416]MATRIZ '!$J$66</f>
        <v>54256562.609873056</v>
      </c>
      <c r="BK931" s="159"/>
      <c r="BL931" s="196"/>
      <c r="BM931" s="384"/>
      <c r="BN931" s="541"/>
      <c r="BO931" s="449"/>
      <c r="BP931" s="392"/>
      <c r="BQ931" s="243"/>
      <c r="BR931" s="243"/>
      <c r="BS931" s="235"/>
      <c r="BT931" s="235"/>
      <c r="BU931" s="235"/>
      <c r="BV931" s="235"/>
      <c r="BW931" s="244"/>
      <c r="BX931" s="245"/>
      <c r="BY931" s="233"/>
      <c r="BZ931" s="246"/>
    </row>
    <row r="932" spans="1:78" ht="40.5">
      <c r="A932" s="96">
        <v>928</v>
      </c>
      <c r="B932" s="258" t="s">
        <v>9111</v>
      </c>
      <c r="C932" s="142">
        <v>14421134</v>
      </c>
      <c r="D932" s="424" t="s">
        <v>9109</v>
      </c>
      <c r="E932" s="147">
        <v>43706</v>
      </c>
      <c r="F932" s="21">
        <v>43706</v>
      </c>
      <c r="G932" s="428" t="s">
        <v>9110</v>
      </c>
      <c r="H932" s="26" t="s">
        <v>208</v>
      </c>
      <c r="I932" s="423" t="s">
        <v>5661</v>
      </c>
      <c r="J932" s="147">
        <v>44014</v>
      </c>
      <c r="K932" s="21">
        <v>44014</v>
      </c>
      <c r="L932" s="428" t="s">
        <v>9542</v>
      </c>
      <c r="M932" s="26" t="s">
        <v>5</v>
      </c>
      <c r="N932" s="423" t="s">
        <v>9543</v>
      </c>
      <c r="O932" s="147">
        <v>44069</v>
      </c>
      <c r="P932" s="21">
        <v>44069</v>
      </c>
      <c r="Q932" s="424" t="s">
        <v>9611</v>
      </c>
      <c r="R932" s="26" t="s">
        <v>9612</v>
      </c>
      <c r="S932" s="26" t="s">
        <v>6066</v>
      </c>
      <c r="T932" s="233"/>
      <c r="U932" s="234"/>
      <c r="V932" s="235"/>
      <c r="W932" s="236"/>
      <c r="X932" s="249"/>
      <c r="Y932" s="233"/>
      <c r="Z932" s="234"/>
      <c r="AA932" s="235"/>
      <c r="AB932" s="236"/>
      <c r="AC932" s="249"/>
      <c r="AD932" s="233"/>
      <c r="AE932" s="234"/>
      <c r="AF932" s="235"/>
      <c r="AG932" s="236"/>
      <c r="AH932" s="249"/>
      <c r="AI932" s="237"/>
      <c r="AJ932" s="234"/>
      <c r="AK932" s="235"/>
      <c r="AL932" s="236"/>
      <c r="AM932" s="249"/>
      <c r="AN932" s="422"/>
      <c r="AO932" s="508"/>
      <c r="AP932" s="421"/>
      <c r="AQ932" s="427" t="s">
        <v>9112</v>
      </c>
      <c r="AR932" s="428" t="s">
        <v>79</v>
      </c>
      <c r="AS932" s="426">
        <v>38533</v>
      </c>
      <c r="AT932" s="426">
        <v>40561</v>
      </c>
      <c r="AU932" s="422" t="s">
        <v>9113</v>
      </c>
      <c r="AV932" s="422"/>
      <c r="AW932" s="421" t="s">
        <v>69</v>
      </c>
      <c r="AX932" s="428" t="s">
        <v>3930</v>
      </c>
      <c r="AY932" s="420">
        <v>43315</v>
      </c>
      <c r="AZ932" s="428" t="s">
        <v>67</v>
      </c>
      <c r="BA932" s="428" t="s">
        <v>67</v>
      </c>
      <c r="BB932" s="678">
        <v>43336</v>
      </c>
      <c r="BC932" s="428" t="s">
        <v>95</v>
      </c>
      <c r="BD932" s="422" t="s">
        <v>7243</v>
      </c>
      <c r="BE932" s="22"/>
      <c r="BF932" s="22"/>
      <c r="BG932" s="235"/>
      <c r="BH932" s="194"/>
      <c r="BI932" s="235"/>
      <c r="BJ932" s="209">
        <f>'[417]MATRIZ '!$J$45</f>
        <v>8446782.4996306319</v>
      </c>
      <c r="BK932" s="159"/>
      <c r="BL932" s="196"/>
      <c r="BM932" s="384"/>
      <c r="BN932" s="541"/>
      <c r="BO932" s="449"/>
      <c r="BP932" s="392"/>
      <c r="BQ932" s="243"/>
      <c r="BR932" s="243"/>
      <c r="BS932" s="235"/>
      <c r="BT932" s="235"/>
      <c r="BU932" s="235"/>
      <c r="BV932" s="235"/>
      <c r="BW932" s="244"/>
      <c r="BX932" s="245"/>
      <c r="BY932" s="233"/>
      <c r="BZ932" s="246"/>
    </row>
    <row r="933" spans="1:78" ht="115.5" customHeight="1">
      <c r="A933" s="502">
        <v>929</v>
      </c>
      <c r="B933" s="813" t="s">
        <v>9087</v>
      </c>
      <c r="C933" s="687" t="s">
        <v>9088</v>
      </c>
      <c r="D933" s="706" t="s">
        <v>9086</v>
      </c>
      <c r="E933" s="16">
        <v>43706</v>
      </c>
      <c r="F933" s="689">
        <v>43706</v>
      </c>
      <c r="G933" s="706" t="s">
        <v>9085</v>
      </c>
      <c r="H933" s="693" t="s">
        <v>5</v>
      </c>
      <c r="I933" s="27" t="s">
        <v>5661</v>
      </c>
      <c r="J933" s="16">
        <v>43850</v>
      </c>
      <c r="K933" s="689">
        <v>43850</v>
      </c>
      <c r="L933" s="706" t="s">
        <v>9446</v>
      </c>
      <c r="M933" s="693" t="s">
        <v>9447</v>
      </c>
      <c r="N933" s="27" t="s">
        <v>8243</v>
      </c>
      <c r="O933" s="16" t="s">
        <v>10527</v>
      </c>
      <c r="P933" s="689" t="s">
        <v>10528</v>
      </c>
      <c r="Q933" s="706" t="s">
        <v>10526</v>
      </c>
      <c r="R933" s="693" t="s">
        <v>10529</v>
      </c>
      <c r="S933" s="693" t="s">
        <v>1114</v>
      </c>
      <c r="T933" s="233"/>
      <c r="U933" s="234"/>
      <c r="V933" s="235"/>
      <c r="W933" s="236"/>
      <c r="X933" s="249"/>
      <c r="Y933" s="233"/>
      <c r="Z933" s="234"/>
      <c r="AA933" s="235"/>
      <c r="AB933" s="236"/>
      <c r="AC933" s="249"/>
      <c r="AD933" s="233"/>
      <c r="AE933" s="234"/>
      <c r="AF933" s="235"/>
      <c r="AG933" s="236"/>
      <c r="AH933" s="249"/>
      <c r="AI933" s="237"/>
      <c r="AJ933" s="234"/>
      <c r="AK933" s="235"/>
      <c r="AL933" s="236"/>
      <c r="AM933" s="249"/>
      <c r="AN933" s="422"/>
      <c r="AO933" s="508"/>
      <c r="AP933" s="421"/>
      <c r="AQ933" s="427" t="s">
        <v>9089</v>
      </c>
      <c r="AR933" s="428" t="s">
        <v>79</v>
      </c>
      <c r="AS933" s="426" t="s">
        <v>67</v>
      </c>
      <c r="AT933" s="426" t="s">
        <v>67</v>
      </c>
      <c r="AU933" s="422" t="s">
        <v>8980</v>
      </c>
      <c r="AV933" s="422"/>
      <c r="AW933" s="422" t="s">
        <v>92</v>
      </c>
      <c r="AX933" s="428" t="s">
        <v>8308</v>
      </c>
      <c r="AY933" s="420">
        <v>40886</v>
      </c>
      <c r="AZ933" s="428" t="s">
        <v>576</v>
      </c>
      <c r="BA933" s="420">
        <v>43630</v>
      </c>
      <c r="BB933" s="678">
        <v>43644</v>
      </c>
      <c r="BC933" s="428" t="s">
        <v>561</v>
      </c>
      <c r="BD933" s="422" t="s">
        <v>7243</v>
      </c>
      <c r="BE933" s="22"/>
      <c r="BF933" s="22"/>
      <c r="BG933" s="235"/>
      <c r="BH933" s="194"/>
      <c r="BI933" s="235"/>
      <c r="BJ933" s="209">
        <f>'[418]MATRIZ DE CONTRATOS '!$H$28</f>
        <v>462740594.29268706</v>
      </c>
      <c r="BK933" s="159"/>
      <c r="BL933" s="196"/>
      <c r="BM933" s="384"/>
      <c r="BN933" s="541"/>
      <c r="BO933" s="449"/>
      <c r="BP933" s="392"/>
      <c r="BQ933" s="243"/>
      <c r="BR933" s="243"/>
      <c r="BS933" s="235"/>
      <c r="BT933" s="235"/>
      <c r="BU933" s="235"/>
      <c r="BV933" s="235"/>
      <c r="BW933" s="244"/>
      <c r="BX933" s="245"/>
      <c r="BY933" s="233"/>
      <c r="BZ933" s="246"/>
    </row>
    <row r="934" spans="1:78" ht="40.5">
      <c r="A934" s="96">
        <v>930</v>
      </c>
      <c r="B934" s="258" t="s">
        <v>9238</v>
      </c>
      <c r="C934" s="142">
        <v>71318182</v>
      </c>
      <c r="D934" s="424" t="s">
        <v>333</v>
      </c>
      <c r="E934" s="147">
        <v>43815</v>
      </c>
      <c r="F934" s="21">
        <v>43815</v>
      </c>
      <c r="G934" s="428" t="s">
        <v>9239</v>
      </c>
      <c r="H934" s="26" t="s">
        <v>5</v>
      </c>
      <c r="I934" s="423" t="s">
        <v>79</v>
      </c>
      <c r="J934" s="147">
        <v>43894</v>
      </c>
      <c r="K934" s="21">
        <v>43894</v>
      </c>
      <c r="L934" s="428" t="s">
        <v>9460</v>
      </c>
      <c r="M934" s="26" t="s">
        <v>9447</v>
      </c>
      <c r="N934" s="423" t="s">
        <v>4916</v>
      </c>
      <c r="O934" s="147">
        <v>43934</v>
      </c>
      <c r="P934" s="21">
        <v>43934</v>
      </c>
      <c r="Q934" s="424" t="s">
        <v>9501</v>
      </c>
      <c r="R934" s="26" t="s">
        <v>5</v>
      </c>
      <c r="S934" s="26" t="s">
        <v>85</v>
      </c>
      <c r="T934" s="233"/>
      <c r="U934" s="234"/>
      <c r="V934" s="235"/>
      <c r="W934" s="236"/>
      <c r="X934" s="249"/>
      <c r="Y934" s="233"/>
      <c r="Z934" s="234"/>
      <c r="AA934" s="235"/>
      <c r="AB934" s="236"/>
      <c r="AC934" s="249"/>
      <c r="AD934" s="233"/>
      <c r="AE934" s="234"/>
      <c r="AF934" s="235"/>
      <c r="AG934" s="236"/>
      <c r="AH934" s="249"/>
      <c r="AI934" s="237"/>
      <c r="AJ934" s="234"/>
      <c r="AK934" s="235"/>
      <c r="AL934" s="236"/>
      <c r="AM934" s="249"/>
      <c r="AN934" s="422"/>
      <c r="AO934" s="508"/>
      <c r="AP934" s="421"/>
      <c r="AQ934" s="427" t="s">
        <v>9240</v>
      </c>
      <c r="AR934" s="428" t="s">
        <v>79</v>
      </c>
      <c r="AS934" s="426"/>
      <c r="AT934" s="426"/>
      <c r="AU934" s="422" t="s">
        <v>9241</v>
      </c>
      <c r="AV934" s="422"/>
      <c r="AW934" s="421" t="s">
        <v>69</v>
      </c>
      <c r="AX934" s="428" t="s">
        <v>9242</v>
      </c>
      <c r="AY934" s="420"/>
      <c r="AZ934" s="428" t="s">
        <v>409</v>
      </c>
      <c r="BA934" s="420"/>
      <c r="BB934" s="678">
        <v>43707</v>
      </c>
      <c r="BC934" s="428" t="s">
        <v>95</v>
      </c>
      <c r="BD934" s="422" t="s">
        <v>7243</v>
      </c>
      <c r="BE934" s="22"/>
      <c r="BF934" s="22"/>
      <c r="BG934" s="235"/>
      <c r="BH934" s="194"/>
      <c r="BI934" s="235"/>
      <c r="BJ934" s="209"/>
      <c r="BK934" s="159"/>
      <c r="BL934" s="196"/>
      <c r="BM934" s="384"/>
      <c r="BN934" s="541"/>
      <c r="BO934" s="449"/>
      <c r="BP934" s="392"/>
      <c r="BQ934" s="243"/>
      <c r="BR934" s="243"/>
      <c r="BS934" s="235"/>
      <c r="BT934" s="235"/>
      <c r="BU934" s="235"/>
      <c r="BV934" s="235"/>
      <c r="BW934" s="244"/>
      <c r="BX934" s="245"/>
      <c r="BY934" s="233"/>
      <c r="BZ934" s="246"/>
    </row>
    <row r="935" spans="1:78" ht="40.5">
      <c r="A935" s="96">
        <v>931</v>
      </c>
      <c r="B935" s="258" t="s">
        <v>9251</v>
      </c>
      <c r="C935" s="127">
        <v>71797359</v>
      </c>
      <c r="D935" s="424" t="s">
        <v>333</v>
      </c>
      <c r="E935" s="147">
        <v>43776</v>
      </c>
      <c r="F935" s="21">
        <v>43776</v>
      </c>
      <c r="G935" s="428" t="s">
        <v>9252</v>
      </c>
      <c r="H935" s="26" t="s">
        <v>5</v>
      </c>
      <c r="I935" s="423" t="s">
        <v>79</v>
      </c>
      <c r="J935" s="147"/>
      <c r="K935" s="21"/>
      <c r="L935" s="428"/>
      <c r="M935" s="26"/>
      <c r="N935" s="423"/>
      <c r="O935" s="147"/>
      <c r="P935" s="21"/>
      <c r="Q935" s="424"/>
      <c r="R935" s="26"/>
      <c r="S935" s="26"/>
      <c r="T935" s="233"/>
      <c r="U935" s="234"/>
      <c r="V935" s="235"/>
      <c r="W935" s="236"/>
      <c r="X935" s="249"/>
      <c r="Y935" s="233"/>
      <c r="Z935" s="234"/>
      <c r="AA935" s="235"/>
      <c r="AB935" s="236"/>
      <c r="AC935" s="249"/>
      <c r="AD935" s="233"/>
      <c r="AE935" s="234"/>
      <c r="AF935" s="235"/>
      <c r="AG935" s="236"/>
      <c r="AH935" s="249"/>
      <c r="AI935" s="237"/>
      <c r="AJ935" s="234"/>
      <c r="AK935" s="235"/>
      <c r="AL935" s="236"/>
      <c r="AM935" s="249"/>
      <c r="AN935" s="422"/>
      <c r="AO935" s="508"/>
      <c r="AP935" s="421"/>
      <c r="AQ935" s="427" t="s">
        <v>9253</v>
      </c>
      <c r="AR935" s="428" t="s">
        <v>79</v>
      </c>
      <c r="AS935" s="426">
        <v>38785</v>
      </c>
      <c r="AT935" s="426">
        <v>40724</v>
      </c>
      <c r="AU935" s="422" t="s">
        <v>9255</v>
      </c>
      <c r="AV935" s="422"/>
      <c r="AW935" s="421" t="s">
        <v>69</v>
      </c>
      <c r="AX935" s="428" t="s">
        <v>9254</v>
      </c>
      <c r="AY935" s="420">
        <v>43584</v>
      </c>
      <c r="AZ935" s="428" t="s">
        <v>409</v>
      </c>
      <c r="BA935" s="420">
        <v>43742</v>
      </c>
      <c r="BB935" s="678">
        <v>43753</v>
      </c>
      <c r="BC935" s="428" t="s">
        <v>95</v>
      </c>
      <c r="BD935" s="422" t="s">
        <v>7243</v>
      </c>
      <c r="BE935" s="22"/>
      <c r="BF935" s="22"/>
      <c r="BG935" s="235"/>
      <c r="BH935" s="194"/>
      <c r="BI935" s="235"/>
      <c r="BJ935" s="209"/>
      <c r="BK935" s="159"/>
      <c r="BL935" s="196"/>
      <c r="BM935" s="384"/>
      <c r="BN935" s="541"/>
      <c r="BO935" s="449"/>
      <c r="BP935" s="392"/>
      <c r="BQ935" s="243"/>
      <c r="BR935" s="243"/>
      <c r="BS935" s="235"/>
      <c r="BT935" s="235"/>
      <c r="BU935" s="235"/>
      <c r="BV935" s="235"/>
      <c r="BW935" s="244"/>
      <c r="BX935" s="245"/>
      <c r="BY935" s="233"/>
      <c r="BZ935" s="246"/>
    </row>
    <row r="936" spans="1:78" ht="27">
      <c r="A936" s="96">
        <v>932</v>
      </c>
      <c r="B936" s="258" t="s">
        <v>9263</v>
      </c>
      <c r="C936" s="142"/>
      <c r="D936" s="424"/>
      <c r="E936" s="147">
        <v>43817</v>
      </c>
      <c r="F936" s="21">
        <v>43817</v>
      </c>
      <c r="G936" s="428" t="s">
        <v>9266</v>
      </c>
      <c r="H936" s="26" t="s">
        <v>9265</v>
      </c>
      <c r="I936" s="423" t="s">
        <v>2395</v>
      </c>
      <c r="J936" s="147"/>
      <c r="K936" s="21"/>
      <c r="L936" s="428"/>
      <c r="M936" s="26"/>
      <c r="N936" s="423"/>
      <c r="O936" s="147"/>
      <c r="P936" s="21"/>
      <c r="Q936" s="424"/>
      <c r="R936" s="26"/>
      <c r="S936" s="26"/>
      <c r="T936" s="233"/>
      <c r="U936" s="234"/>
      <c r="V936" s="235"/>
      <c r="W936" s="236"/>
      <c r="X936" s="249"/>
      <c r="Y936" s="233"/>
      <c r="Z936" s="234"/>
      <c r="AA936" s="235"/>
      <c r="AB936" s="236"/>
      <c r="AC936" s="249"/>
      <c r="AD936" s="233"/>
      <c r="AE936" s="234"/>
      <c r="AF936" s="235"/>
      <c r="AG936" s="236"/>
      <c r="AH936" s="249"/>
      <c r="AI936" s="237"/>
      <c r="AJ936" s="234"/>
      <c r="AK936" s="235"/>
      <c r="AL936" s="236"/>
      <c r="AM936" s="249"/>
      <c r="AN936" s="422"/>
      <c r="AO936" s="508"/>
      <c r="AP936" s="421"/>
      <c r="AQ936" s="427" t="s">
        <v>9264</v>
      </c>
      <c r="AR936" s="428" t="s">
        <v>2395</v>
      </c>
      <c r="AS936" s="426">
        <v>38351</v>
      </c>
      <c r="AT936" s="426">
        <v>39994</v>
      </c>
      <c r="AU936" s="422" t="s">
        <v>8980</v>
      </c>
      <c r="AV936" s="422"/>
      <c r="AW936" s="421" t="s">
        <v>69</v>
      </c>
      <c r="AX936" s="428" t="s">
        <v>94</v>
      </c>
      <c r="AY936" s="420">
        <v>42761</v>
      </c>
      <c r="AZ936" s="428" t="s">
        <v>576</v>
      </c>
      <c r="BA936" s="420">
        <v>43740</v>
      </c>
      <c r="BB936" s="678">
        <v>43763</v>
      </c>
      <c r="BC936" s="428" t="s">
        <v>95</v>
      </c>
      <c r="BD936" s="422" t="s">
        <v>7243</v>
      </c>
      <c r="BE936" s="22"/>
      <c r="BF936" s="22"/>
      <c r="BG936" s="235"/>
      <c r="BH936" s="194"/>
      <c r="BI936" s="235"/>
      <c r="BJ936" s="209"/>
      <c r="BK936" s="159"/>
      <c r="BL936" s="196"/>
      <c r="BM936" s="384"/>
      <c r="BN936" s="541"/>
      <c r="BO936" s="449"/>
      <c r="BP936" s="392"/>
      <c r="BQ936" s="243"/>
      <c r="BR936" s="243"/>
      <c r="BS936" s="235"/>
      <c r="BT936" s="235"/>
      <c r="BU936" s="235"/>
      <c r="BV936" s="235"/>
      <c r="BW936" s="244"/>
      <c r="BX936" s="245"/>
      <c r="BY936" s="233"/>
      <c r="BZ936" s="246"/>
    </row>
    <row r="937" spans="1:78" ht="27">
      <c r="A937" s="96">
        <v>933</v>
      </c>
      <c r="B937" s="258" t="s">
        <v>9298</v>
      </c>
      <c r="C937" s="142"/>
      <c r="D937" s="424"/>
      <c r="E937" s="147">
        <v>43817</v>
      </c>
      <c r="F937" s="21">
        <v>43817</v>
      </c>
      <c r="G937" s="428" t="s">
        <v>9267</v>
      </c>
      <c r="H937" s="26" t="s">
        <v>9265</v>
      </c>
      <c r="I937" s="423" t="s">
        <v>2395</v>
      </c>
      <c r="J937" s="147"/>
      <c r="K937" s="21"/>
      <c r="L937" s="428"/>
      <c r="M937" s="26"/>
      <c r="N937" s="423"/>
      <c r="O937" s="147"/>
      <c r="P937" s="21"/>
      <c r="Q937" s="424"/>
      <c r="R937" s="26"/>
      <c r="S937" s="26"/>
      <c r="T937" s="233"/>
      <c r="U937" s="234"/>
      <c r="V937" s="235"/>
      <c r="W937" s="236"/>
      <c r="X937" s="249"/>
      <c r="Y937" s="233"/>
      <c r="Z937" s="234"/>
      <c r="AA937" s="235"/>
      <c r="AB937" s="236"/>
      <c r="AC937" s="249"/>
      <c r="AD937" s="233"/>
      <c r="AE937" s="234"/>
      <c r="AF937" s="235"/>
      <c r="AG937" s="236"/>
      <c r="AH937" s="249"/>
      <c r="AI937" s="237"/>
      <c r="AJ937" s="234"/>
      <c r="AK937" s="235"/>
      <c r="AL937" s="236"/>
      <c r="AM937" s="249"/>
      <c r="AN937" s="422"/>
      <c r="AO937" s="508"/>
      <c r="AP937" s="421"/>
      <c r="AQ937" s="427" t="s">
        <v>9268</v>
      </c>
      <c r="AR937" s="428" t="s">
        <v>2395</v>
      </c>
      <c r="AS937" s="426">
        <v>38777</v>
      </c>
      <c r="AT937" s="426">
        <v>40633</v>
      </c>
      <c r="AU937" s="422" t="s">
        <v>8980</v>
      </c>
      <c r="AV937" s="422"/>
      <c r="AW937" s="421" t="s">
        <v>69</v>
      </c>
      <c r="AX937" s="428" t="s">
        <v>627</v>
      </c>
      <c r="AY937" s="420" t="s">
        <v>9269</v>
      </c>
      <c r="AZ937" s="428" t="s">
        <v>576</v>
      </c>
      <c r="BA937" s="420">
        <v>43759</v>
      </c>
      <c r="BB937" s="678">
        <v>43787</v>
      </c>
      <c r="BC937" s="428" t="s">
        <v>95</v>
      </c>
      <c r="BD937" s="422" t="s">
        <v>7243</v>
      </c>
      <c r="BE937" s="22"/>
      <c r="BF937" s="22"/>
      <c r="BG937" s="235"/>
      <c r="BH937" s="194"/>
      <c r="BI937" s="235"/>
      <c r="BJ937" s="209"/>
      <c r="BK937" s="159"/>
      <c r="BL937" s="196"/>
      <c r="BM937" s="384"/>
      <c r="BN937" s="541"/>
      <c r="BO937" s="449"/>
      <c r="BP937" s="392"/>
      <c r="BQ937" s="243"/>
      <c r="BR937" s="243"/>
      <c r="BS937" s="235"/>
      <c r="BT937" s="235"/>
      <c r="BU937" s="235"/>
      <c r="BV937" s="235"/>
      <c r="BW937" s="244"/>
      <c r="BX937" s="245"/>
      <c r="BY937" s="233"/>
      <c r="BZ937" s="246"/>
    </row>
    <row r="938" spans="1:78" ht="27">
      <c r="A938" s="96">
        <v>934</v>
      </c>
      <c r="B938" s="258" t="s">
        <v>9270</v>
      </c>
      <c r="C938" s="142"/>
      <c r="D938" s="424"/>
      <c r="E938" s="147">
        <v>43817</v>
      </c>
      <c r="F938" s="21">
        <v>43817</v>
      </c>
      <c r="G938" s="428" t="s">
        <v>9271</v>
      </c>
      <c r="H938" s="26" t="s">
        <v>9265</v>
      </c>
      <c r="I938" s="423" t="s">
        <v>2395</v>
      </c>
      <c r="J938" s="147"/>
      <c r="K938" s="21"/>
      <c r="L938" s="428"/>
      <c r="M938" s="26"/>
      <c r="N938" s="423"/>
      <c r="O938" s="147"/>
      <c r="P938" s="21"/>
      <c r="Q938" s="424"/>
      <c r="R938" s="26"/>
      <c r="S938" s="26"/>
      <c r="T938" s="233"/>
      <c r="U938" s="234"/>
      <c r="V938" s="235"/>
      <c r="W938" s="236"/>
      <c r="X938" s="249"/>
      <c r="Y938" s="233"/>
      <c r="Z938" s="234"/>
      <c r="AA938" s="235"/>
      <c r="AB938" s="236"/>
      <c r="AC938" s="249"/>
      <c r="AD938" s="233"/>
      <c r="AE938" s="234"/>
      <c r="AF938" s="235"/>
      <c r="AG938" s="236"/>
      <c r="AH938" s="249"/>
      <c r="AI938" s="237"/>
      <c r="AJ938" s="234"/>
      <c r="AK938" s="235"/>
      <c r="AL938" s="236"/>
      <c r="AM938" s="249"/>
      <c r="AN938" s="422"/>
      <c r="AO938" s="508"/>
      <c r="AP938" s="421"/>
      <c r="AQ938" s="427" t="s">
        <v>9272</v>
      </c>
      <c r="AR938" s="428" t="s">
        <v>2395</v>
      </c>
      <c r="AS938" s="426">
        <v>38285</v>
      </c>
      <c r="AT938" s="426">
        <v>39082</v>
      </c>
      <c r="AU938" s="422" t="s">
        <v>9273</v>
      </c>
      <c r="AV938" s="422"/>
      <c r="AW938" s="421" t="s">
        <v>69</v>
      </c>
      <c r="AX938" s="428" t="s">
        <v>1630</v>
      </c>
      <c r="AY938" s="420">
        <v>42655</v>
      </c>
      <c r="AZ938" s="428" t="s">
        <v>576</v>
      </c>
      <c r="BA938" s="420">
        <v>43740</v>
      </c>
      <c r="BB938" s="678">
        <v>43763</v>
      </c>
      <c r="BC938" s="428" t="s">
        <v>95</v>
      </c>
      <c r="BD938" s="422" t="s">
        <v>7243</v>
      </c>
      <c r="BE938" s="22"/>
      <c r="BF938" s="22"/>
      <c r="BG938" s="235"/>
      <c r="BH938" s="194"/>
      <c r="BI938" s="235"/>
      <c r="BJ938" s="209"/>
      <c r="BK938" s="159"/>
      <c r="BL938" s="196"/>
      <c r="BM938" s="384"/>
      <c r="BN938" s="541"/>
      <c r="BO938" s="449"/>
      <c r="BP938" s="392"/>
      <c r="BQ938" s="243"/>
      <c r="BR938" s="243"/>
      <c r="BS938" s="235"/>
      <c r="BT938" s="235"/>
      <c r="BU938" s="235"/>
      <c r="BV938" s="235"/>
      <c r="BW938" s="244"/>
      <c r="BX938" s="245"/>
      <c r="BY938" s="233"/>
      <c r="BZ938" s="246"/>
    </row>
    <row r="939" spans="1:78" ht="40.5">
      <c r="A939" s="96">
        <v>935</v>
      </c>
      <c r="B939" s="258" t="s">
        <v>9275</v>
      </c>
      <c r="C939" s="142">
        <v>91493525</v>
      </c>
      <c r="D939" s="424" t="s">
        <v>4647</v>
      </c>
      <c r="E939" s="147">
        <v>43817</v>
      </c>
      <c r="F939" s="21">
        <v>43817</v>
      </c>
      <c r="G939" s="428" t="s">
        <v>9276</v>
      </c>
      <c r="H939" s="26" t="s">
        <v>9265</v>
      </c>
      <c r="I939" s="423" t="s">
        <v>2395</v>
      </c>
      <c r="J939" s="147">
        <v>44298</v>
      </c>
      <c r="K939" s="21">
        <v>44298</v>
      </c>
      <c r="L939" s="428" t="s">
        <v>10449</v>
      </c>
      <c r="M939" s="26" t="s">
        <v>63</v>
      </c>
      <c r="N939" s="423" t="s">
        <v>79</v>
      </c>
      <c r="O939" s="147">
        <v>44315</v>
      </c>
      <c r="P939" s="21">
        <v>44315</v>
      </c>
      <c r="Q939" s="424" t="s">
        <v>10450</v>
      </c>
      <c r="R939" s="26" t="s">
        <v>63</v>
      </c>
      <c r="S939" s="26" t="s">
        <v>85</v>
      </c>
      <c r="T939" s="233"/>
      <c r="U939" s="234"/>
      <c r="V939" s="235"/>
      <c r="W939" s="236"/>
      <c r="X939" s="249"/>
      <c r="Y939" s="233"/>
      <c r="Z939" s="234"/>
      <c r="AA939" s="235"/>
      <c r="AB939" s="236"/>
      <c r="AC939" s="249"/>
      <c r="AD939" s="233"/>
      <c r="AE939" s="234"/>
      <c r="AF939" s="235"/>
      <c r="AG939" s="236"/>
      <c r="AH939" s="249"/>
      <c r="AI939" s="237"/>
      <c r="AJ939" s="234"/>
      <c r="AK939" s="235"/>
      <c r="AL939" s="236"/>
      <c r="AM939" s="249"/>
      <c r="AN939" s="422"/>
      <c r="AO939" s="508"/>
      <c r="AP939" s="421"/>
      <c r="AQ939" s="427" t="s">
        <v>9274</v>
      </c>
      <c r="AR939" s="428" t="s">
        <v>2395</v>
      </c>
      <c r="AS939" s="426">
        <v>38144</v>
      </c>
      <c r="AT939" s="426">
        <v>40862</v>
      </c>
      <c r="AU939" s="422" t="s">
        <v>9281</v>
      </c>
      <c r="AV939" s="422"/>
      <c r="AW939" s="421" t="s">
        <v>69</v>
      </c>
      <c r="AX939" s="428" t="s">
        <v>9280</v>
      </c>
      <c r="AY939" s="420">
        <v>42601</v>
      </c>
      <c r="AZ939" s="428" t="s">
        <v>576</v>
      </c>
      <c r="BA939" s="420">
        <v>43753</v>
      </c>
      <c r="BB939" s="678">
        <v>43775</v>
      </c>
      <c r="BC939" s="428" t="s">
        <v>95</v>
      </c>
      <c r="BD939" s="422" t="s">
        <v>7243</v>
      </c>
      <c r="BE939" s="22"/>
      <c r="BF939" s="22"/>
      <c r="BG939" s="235"/>
      <c r="BH939" s="194"/>
      <c r="BI939" s="235"/>
      <c r="BJ939" s="209"/>
      <c r="BK939" s="159"/>
      <c r="BL939" s="196"/>
      <c r="BM939" s="384"/>
      <c r="BN939" s="541"/>
      <c r="BO939" s="449"/>
      <c r="BP939" s="392"/>
      <c r="BQ939" s="243"/>
      <c r="BR939" s="243"/>
      <c r="BS939" s="235"/>
      <c r="BT939" s="235"/>
      <c r="BU939" s="235"/>
      <c r="BV939" s="235"/>
      <c r="BW939" s="244"/>
      <c r="BX939" s="245"/>
      <c r="BY939" s="233"/>
      <c r="BZ939" s="246"/>
    </row>
    <row r="940" spans="1:78" ht="27">
      <c r="A940" s="96">
        <v>936</v>
      </c>
      <c r="B940" s="258" t="s">
        <v>9277</v>
      </c>
      <c r="C940" s="142"/>
      <c r="D940" s="424"/>
      <c r="E940" s="147">
        <v>43817</v>
      </c>
      <c r="F940" s="21">
        <v>43817</v>
      </c>
      <c r="G940" s="428" t="s">
        <v>9278</v>
      </c>
      <c r="H940" s="26" t="s">
        <v>9265</v>
      </c>
      <c r="I940" s="423" t="s">
        <v>2395</v>
      </c>
      <c r="J940" s="147"/>
      <c r="K940" s="21"/>
      <c r="L940" s="428"/>
      <c r="M940" s="26"/>
      <c r="N940" s="423"/>
      <c r="O940" s="147"/>
      <c r="P940" s="21"/>
      <c r="Q940" s="424"/>
      <c r="R940" s="26"/>
      <c r="S940" s="26"/>
      <c r="T940" s="233"/>
      <c r="U940" s="234"/>
      <c r="V940" s="235"/>
      <c r="W940" s="236"/>
      <c r="X940" s="249"/>
      <c r="Y940" s="233"/>
      <c r="Z940" s="234"/>
      <c r="AA940" s="235"/>
      <c r="AB940" s="236"/>
      <c r="AC940" s="249"/>
      <c r="AD940" s="233"/>
      <c r="AE940" s="234"/>
      <c r="AF940" s="235"/>
      <c r="AG940" s="236"/>
      <c r="AH940" s="249"/>
      <c r="AI940" s="237"/>
      <c r="AJ940" s="234"/>
      <c r="AK940" s="235"/>
      <c r="AL940" s="236"/>
      <c r="AM940" s="249"/>
      <c r="AN940" s="422"/>
      <c r="AO940" s="508"/>
      <c r="AP940" s="421"/>
      <c r="AQ940" s="427" t="s">
        <v>9279</v>
      </c>
      <c r="AR940" s="428" t="s">
        <v>2395</v>
      </c>
      <c r="AS940" s="426">
        <v>38355</v>
      </c>
      <c r="AT940" s="426">
        <v>41090</v>
      </c>
      <c r="AU940" s="422" t="s">
        <v>8980</v>
      </c>
      <c r="AV940" s="422"/>
      <c r="AW940" s="421" t="s">
        <v>69</v>
      </c>
      <c r="AX940" s="428" t="s">
        <v>94</v>
      </c>
      <c r="AY940" s="420">
        <v>42929</v>
      </c>
      <c r="AZ940" s="428" t="s">
        <v>576</v>
      </c>
      <c r="BA940" s="420">
        <v>43769</v>
      </c>
      <c r="BB940" s="678">
        <v>43790</v>
      </c>
      <c r="BC940" s="428" t="s">
        <v>95</v>
      </c>
      <c r="BD940" s="422" t="s">
        <v>7243</v>
      </c>
      <c r="BE940" s="22"/>
      <c r="BF940" s="22"/>
      <c r="BG940" s="235"/>
      <c r="BH940" s="194"/>
      <c r="BI940" s="235"/>
      <c r="BJ940" s="209"/>
      <c r="BK940" s="159"/>
      <c r="BL940" s="196"/>
      <c r="BM940" s="384"/>
      <c r="BN940" s="541"/>
      <c r="BO940" s="449"/>
      <c r="BP940" s="392"/>
      <c r="BQ940" s="243"/>
      <c r="BR940" s="243"/>
      <c r="BS940" s="235"/>
      <c r="BT940" s="235"/>
      <c r="BU940" s="235"/>
      <c r="BV940" s="235"/>
      <c r="BW940" s="244"/>
      <c r="BX940" s="245"/>
      <c r="BY940" s="233"/>
      <c r="BZ940" s="246"/>
    </row>
    <row r="941" spans="1:78" ht="40.5">
      <c r="A941" s="96">
        <v>937</v>
      </c>
      <c r="B941" s="258" t="s">
        <v>9282</v>
      </c>
      <c r="C941" s="142">
        <v>79131296</v>
      </c>
      <c r="D941" s="424" t="s">
        <v>597</v>
      </c>
      <c r="E941" s="147">
        <v>43783</v>
      </c>
      <c r="F941" s="21">
        <v>43783</v>
      </c>
      <c r="G941" s="428" t="s">
        <v>9289</v>
      </c>
      <c r="H941" s="26" t="s">
        <v>9284</v>
      </c>
      <c r="I941" s="423" t="s">
        <v>1495</v>
      </c>
      <c r="J941" s="147">
        <v>43789</v>
      </c>
      <c r="K941" s="21">
        <v>43789</v>
      </c>
      <c r="L941" s="428" t="s">
        <v>9283</v>
      </c>
      <c r="M941" s="26" t="s">
        <v>9284</v>
      </c>
      <c r="N941" s="423" t="s">
        <v>2395</v>
      </c>
      <c r="O941" s="147"/>
      <c r="P941" s="21"/>
      <c r="Q941" s="424"/>
      <c r="R941" s="26"/>
      <c r="S941" s="26"/>
      <c r="T941" s="233"/>
      <c r="U941" s="234"/>
      <c r="V941" s="235"/>
      <c r="W941" s="236"/>
      <c r="X941" s="249"/>
      <c r="Y941" s="233"/>
      <c r="Z941" s="234"/>
      <c r="AA941" s="235"/>
      <c r="AB941" s="236"/>
      <c r="AC941" s="249"/>
      <c r="AD941" s="233"/>
      <c r="AE941" s="234"/>
      <c r="AF941" s="235"/>
      <c r="AG941" s="236"/>
      <c r="AH941" s="249"/>
      <c r="AI941" s="237"/>
      <c r="AJ941" s="234"/>
      <c r="AK941" s="235"/>
      <c r="AL941" s="236"/>
      <c r="AM941" s="249"/>
      <c r="AN941" s="422"/>
      <c r="AO941" s="508"/>
      <c r="AP941" s="421"/>
      <c r="AQ941" s="427" t="s">
        <v>9288</v>
      </c>
      <c r="AR941" s="428" t="s">
        <v>2395</v>
      </c>
      <c r="AS941" s="426">
        <v>37771</v>
      </c>
      <c r="AT941" s="426">
        <v>38502</v>
      </c>
      <c r="AU941" s="422" t="s">
        <v>9287</v>
      </c>
      <c r="AV941" s="422"/>
      <c r="AW941" s="421" t="s">
        <v>69</v>
      </c>
      <c r="AX941" s="428" t="s">
        <v>9285</v>
      </c>
      <c r="AY941" s="420">
        <v>43384</v>
      </c>
      <c r="AZ941" s="428" t="s">
        <v>94</v>
      </c>
      <c r="BA941" s="420">
        <v>43726</v>
      </c>
      <c r="BB941" s="678">
        <v>43787</v>
      </c>
      <c r="BC941" s="428" t="s">
        <v>9286</v>
      </c>
      <c r="BD941" s="422" t="s">
        <v>7243</v>
      </c>
      <c r="BE941" s="22"/>
      <c r="BF941" s="22"/>
      <c r="BG941" s="235"/>
      <c r="BH941" s="194"/>
      <c r="BI941" s="235"/>
      <c r="BJ941" s="209"/>
      <c r="BK941" s="159"/>
      <c r="BL941" s="196"/>
      <c r="BM941" s="384"/>
      <c r="BN941" s="541"/>
      <c r="BO941" s="449"/>
      <c r="BP941" s="392"/>
      <c r="BQ941" s="243"/>
      <c r="BR941" s="243"/>
      <c r="BS941" s="235"/>
      <c r="BT941" s="235"/>
      <c r="BU941" s="235"/>
      <c r="BV941" s="235"/>
      <c r="BW941" s="244"/>
      <c r="BX941" s="245"/>
      <c r="BY941" s="233"/>
      <c r="BZ941" s="246"/>
    </row>
    <row r="942" spans="1:78" ht="40.5">
      <c r="A942" s="96">
        <v>938</v>
      </c>
      <c r="B942" s="258" t="s">
        <v>9290</v>
      </c>
      <c r="C942" s="142">
        <v>91320693</v>
      </c>
      <c r="D942" s="424" t="s">
        <v>3988</v>
      </c>
      <c r="E942" s="147">
        <v>43817</v>
      </c>
      <c r="F942" s="21">
        <v>43817</v>
      </c>
      <c r="G942" s="428" t="s">
        <v>9291</v>
      </c>
      <c r="H942" s="26" t="s">
        <v>9284</v>
      </c>
      <c r="I942" s="423" t="s">
        <v>1495</v>
      </c>
      <c r="J942" s="147">
        <v>44153</v>
      </c>
      <c r="K942" s="21">
        <v>44153</v>
      </c>
      <c r="L942" s="428" t="s">
        <v>9774</v>
      </c>
      <c r="M942" s="26" t="s">
        <v>5</v>
      </c>
      <c r="N942" s="423" t="s">
        <v>79</v>
      </c>
      <c r="O942" s="147">
        <v>44308</v>
      </c>
      <c r="P942" s="21">
        <v>44308</v>
      </c>
      <c r="Q942" s="424" t="s">
        <v>10463</v>
      </c>
      <c r="R942" s="26" t="s">
        <v>5</v>
      </c>
      <c r="S942" s="26" t="s">
        <v>9511</v>
      </c>
      <c r="T942" s="233"/>
      <c r="U942" s="234"/>
      <c r="V942" s="235"/>
      <c r="W942" s="236"/>
      <c r="X942" s="249"/>
      <c r="Y942" s="233"/>
      <c r="Z942" s="234"/>
      <c r="AA942" s="235"/>
      <c r="AB942" s="236"/>
      <c r="AC942" s="249"/>
      <c r="AD942" s="233"/>
      <c r="AE942" s="234"/>
      <c r="AF942" s="235"/>
      <c r="AG942" s="236"/>
      <c r="AH942" s="249"/>
      <c r="AI942" s="237"/>
      <c r="AJ942" s="234"/>
      <c r="AK942" s="235"/>
      <c r="AL942" s="236"/>
      <c r="AM942" s="249"/>
      <c r="AN942" s="422"/>
      <c r="AO942" s="508"/>
      <c r="AP942" s="421"/>
      <c r="AQ942" s="427" t="s">
        <v>9292</v>
      </c>
      <c r="AR942" s="428" t="s">
        <v>2395</v>
      </c>
      <c r="AS942" s="426">
        <v>37834</v>
      </c>
      <c r="AT942" s="426">
        <v>40694</v>
      </c>
      <c r="AU942" s="422" t="s">
        <v>8980</v>
      </c>
      <c r="AV942" s="422"/>
      <c r="AW942" s="421"/>
      <c r="AX942" s="428" t="s">
        <v>4258</v>
      </c>
      <c r="AY942" s="420">
        <v>42786</v>
      </c>
      <c r="AZ942" s="428" t="s">
        <v>94</v>
      </c>
      <c r="BA942" s="420">
        <v>43777</v>
      </c>
      <c r="BB942" s="678">
        <v>43798</v>
      </c>
      <c r="BC942" s="428" t="s">
        <v>95</v>
      </c>
      <c r="BD942" s="422" t="s">
        <v>7243</v>
      </c>
      <c r="BE942" s="22"/>
      <c r="BF942" s="22"/>
      <c r="BG942" s="235"/>
      <c r="BH942" s="194"/>
      <c r="BI942" s="235"/>
      <c r="BJ942" s="209"/>
      <c r="BK942" s="159"/>
      <c r="BL942" s="196"/>
      <c r="BM942" s="384"/>
      <c r="BN942" s="541"/>
      <c r="BO942" s="449"/>
      <c r="BP942" s="392"/>
      <c r="BQ942" s="243"/>
      <c r="BR942" s="243"/>
      <c r="BS942" s="235"/>
      <c r="BT942" s="235"/>
      <c r="BU942" s="235"/>
      <c r="BV942" s="235"/>
      <c r="BW942" s="244"/>
      <c r="BX942" s="245"/>
      <c r="BY942" s="233"/>
      <c r="BZ942" s="246"/>
    </row>
    <row r="943" spans="1:78" ht="40.5">
      <c r="A943" s="96">
        <v>939</v>
      </c>
      <c r="B943" s="258" t="s">
        <v>9293</v>
      </c>
      <c r="C943" s="142">
        <v>11412510</v>
      </c>
      <c r="D943" s="424" t="s">
        <v>597</v>
      </c>
      <c r="E943" s="147">
        <v>43817</v>
      </c>
      <c r="F943" s="21">
        <v>43817</v>
      </c>
      <c r="G943" s="428" t="s">
        <v>9294</v>
      </c>
      <c r="H943" s="26" t="s">
        <v>9284</v>
      </c>
      <c r="I943" s="423" t="s">
        <v>1495</v>
      </c>
      <c r="J943" s="147">
        <v>43902</v>
      </c>
      <c r="K943" s="21">
        <v>43902</v>
      </c>
      <c r="L943" s="428" t="s">
        <v>9497</v>
      </c>
      <c r="M943" s="26" t="s">
        <v>63</v>
      </c>
      <c r="N943" s="423" t="s">
        <v>79</v>
      </c>
      <c r="O943" s="147"/>
      <c r="P943" s="21"/>
      <c r="Q943" s="424"/>
      <c r="R943" s="26"/>
      <c r="S943" s="26"/>
      <c r="T943" s="233"/>
      <c r="U943" s="234"/>
      <c r="V943" s="235"/>
      <c r="W943" s="236"/>
      <c r="X943" s="249"/>
      <c r="Y943" s="233"/>
      <c r="Z943" s="234"/>
      <c r="AA943" s="235"/>
      <c r="AB943" s="236"/>
      <c r="AC943" s="249"/>
      <c r="AD943" s="233"/>
      <c r="AE943" s="234"/>
      <c r="AF943" s="235"/>
      <c r="AG943" s="236"/>
      <c r="AH943" s="249"/>
      <c r="AI943" s="237"/>
      <c r="AJ943" s="234"/>
      <c r="AK943" s="235"/>
      <c r="AL943" s="236"/>
      <c r="AM943" s="249"/>
      <c r="AN943" s="422"/>
      <c r="AO943" s="508"/>
      <c r="AP943" s="421"/>
      <c r="AQ943" s="427" t="s">
        <v>9295</v>
      </c>
      <c r="AR943" s="428" t="s">
        <v>2395</v>
      </c>
      <c r="AS943" s="426">
        <v>38649</v>
      </c>
      <c r="AT943" s="426">
        <v>39994</v>
      </c>
      <c r="AU943" s="422" t="s">
        <v>9296</v>
      </c>
      <c r="AV943" s="422"/>
      <c r="AW943" s="421" t="s">
        <v>69</v>
      </c>
      <c r="AX943" s="428" t="s">
        <v>8944</v>
      </c>
      <c r="AY943" s="420">
        <v>42615</v>
      </c>
      <c r="AZ943" s="428" t="s">
        <v>94</v>
      </c>
      <c r="BA943" s="420">
        <v>43777</v>
      </c>
      <c r="BB943" s="678">
        <v>43798</v>
      </c>
      <c r="BC943" s="428" t="s">
        <v>95</v>
      </c>
      <c r="BD943" s="422" t="s">
        <v>7243</v>
      </c>
      <c r="BE943" s="22"/>
      <c r="BF943" s="22"/>
      <c r="BG943" s="235"/>
      <c r="BH943" s="194"/>
      <c r="BI943" s="235"/>
      <c r="BJ943" s="209"/>
      <c r="BK943" s="159"/>
      <c r="BL943" s="196"/>
      <c r="BM943" s="384"/>
      <c r="BN943" s="541"/>
      <c r="BO943" s="449"/>
      <c r="BP943" s="392"/>
      <c r="BQ943" s="243"/>
      <c r="BR943" s="243"/>
      <c r="BS943" s="235"/>
      <c r="BT943" s="235"/>
      <c r="BU943" s="235"/>
      <c r="BV943" s="235"/>
      <c r="BW943" s="244"/>
      <c r="BX943" s="245"/>
      <c r="BY943" s="233"/>
      <c r="BZ943" s="246"/>
    </row>
    <row r="944" spans="1:78" ht="40.5">
      <c r="A944" s="96">
        <v>940</v>
      </c>
      <c r="B944" s="258" t="s">
        <v>9299</v>
      </c>
      <c r="C944" s="142">
        <v>6390093</v>
      </c>
      <c r="D944" s="424" t="s">
        <v>772</v>
      </c>
      <c r="E944" s="147">
        <v>42888</v>
      </c>
      <c r="F944" s="21">
        <v>42888</v>
      </c>
      <c r="G944" s="428" t="s">
        <v>9300</v>
      </c>
      <c r="H944" s="26" t="s">
        <v>5</v>
      </c>
      <c r="I944" s="423" t="s">
        <v>79</v>
      </c>
      <c r="J944" s="147">
        <v>43472</v>
      </c>
      <c r="K944" s="21">
        <v>43472</v>
      </c>
      <c r="L944" s="428" t="s">
        <v>9301</v>
      </c>
      <c r="M944" s="26" t="s">
        <v>5</v>
      </c>
      <c r="N944" s="423" t="s">
        <v>8243</v>
      </c>
      <c r="O944" s="147"/>
      <c r="P944" s="21"/>
      <c r="Q944" s="424"/>
      <c r="R944" s="26"/>
      <c r="S944" s="26"/>
      <c r="T944" s="233"/>
      <c r="U944" s="234"/>
      <c r="V944" s="235"/>
      <c r="W944" s="236"/>
      <c r="X944" s="249"/>
      <c r="Y944" s="233"/>
      <c r="Z944" s="234"/>
      <c r="AA944" s="235"/>
      <c r="AB944" s="236"/>
      <c r="AC944" s="249"/>
      <c r="AD944" s="233"/>
      <c r="AE944" s="234"/>
      <c r="AF944" s="235"/>
      <c r="AG944" s="236"/>
      <c r="AH944" s="249"/>
      <c r="AI944" s="237"/>
      <c r="AJ944" s="234"/>
      <c r="AK944" s="235"/>
      <c r="AL944" s="236"/>
      <c r="AM944" s="249"/>
      <c r="AN944" s="422"/>
      <c r="AO944" s="508"/>
      <c r="AP944" s="421"/>
      <c r="AQ944" s="427" t="s">
        <v>9302</v>
      </c>
      <c r="AR944" s="428" t="s">
        <v>79</v>
      </c>
      <c r="AS944" s="426">
        <v>37956</v>
      </c>
      <c r="AT944" s="426">
        <v>39994</v>
      </c>
      <c r="AU944" s="422" t="s">
        <v>9303</v>
      </c>
      <c r="AV944" s="422"/>
      <c r="AW944" s="422" t="s">
        <v>92</v>
      </c>
      <c r="AX944" s="428" t="s">
        <v>2897</v>
      </c>
      <c r="AY944" s="420">
        <v>41668</v>
      </c>
      <c r="AZ944" s="428" t="s">
        <v>4007</v>
      </c>
      <c r="BA944" s="420">
        <v>42775</v>
      </c>
      <c r="BB944" s="678">
        <v>42809</v>
      </c>
      <c r="BC944" s="428" t="s">
        <v>95</v>
      </c>
      <c r="BD944" s="422" t="s">
        <v>7243</v>
      </c>
      <c r="BE944" s="22"/>
      <c r="BF944" s="22"/>
      <c r="BG944" s="235"/>
      <c r="BH944" s="194"/>
      <c r="BI944" s="235"/>
      <c r="BJ944" s="209"/>
      <c r="BK944" s="159"/>
      <c r="BL944" s="196"/>
      <c r="BM944" s="384"/>
      <c r="BN944" s="541"/>
      <c r="BO944" s="449"/>
      <c r="BP944" s="392"/>
      <c r="BQ944" s="243"/>
      <c r="BR944" s="243"/>
      <c r="BS944" s="235"/>
      <c r="BT944" s="235"/>
      <c r="BU944" s="235"/>
      <c r="BV944" s="235"/>
      <c r="BW944" s="244"/>
      <c r="BX944" s="245"/>
      <c r="BY944" s="233"/>
      <c r="BZ944" s="246"/>
    </row>
    <row r="945" spans="1:78" ht="27">
      <c r="A945" s="96">
        <v>941</v>
      </c>
      <c r="B945" s="258" t="s">
        <v>9307</v>
      </c>
      <c r="C945" s="142">
        <v>79880589</v>
      </c>
      <c r="D945" s="424" t="s">
        <v>167</v>
      </c>
      <c r="E945" s="147">
        <v>43805</v>
      </c>
      <c r="F945" s="21">
        <v>43805</v>
      </c>
      <c r="G945" s="428" t="s">
        <v>9308</v>
      </c>
      <c r="H945" s="26" t="s">
        <v>5</v>
      </c>
      <c r="I945" s="423" t="s">
        <v>79</v>
      </c>
      <c r="J945" s="147"/>
      <c r="K945" s="21"/>
      <c r="L945" s="428"/>
      <c r="M945" s="26"/>
      <c r="N945" s="423"/>
      <c r="O945" s="147"/>
      <c r="P945" s="21"/>
      <c r="Q945" s="424"/>
      <c r="R945" s="26"/>
      <c r="S945" s="26"/>
      <c r="T945" s="233"/>
      <c r="U945" s="234"/>
      <c r="V945" s="235"/>
      <c r="W945" s="236"/>
      <c r="X945" s="249"/>
      <c r="Y945" s="233"/>
      <c r="Z945" s="234"/>
      <c r="AA945" s="235"/>
      <c r="AB945" s="236"/>
      <c r="AC945" s="249"/>
      <c r="AD945" s="233"/>
      <c r="AE945" s="234"/>
      <c r="AF945" s="235"/>
      <c r="AG945" s="236"/>
      <c r="AH945" s="249"/>
      <c r="AI945" s="237"/>
      <c r="AJ945" s="234"/>
      <c r="AK945" s="235"/>
      <c r="AL945" s="236"/>
      <c r="AM945" s="249"/>
      <c r="AN945" s="422"/>
      <c r="AO945" s="508"/>
      <c r="AP945" s="421"/>
      <c r="AQ945" s="427" t="s">
        <v>9309</v>
      </c>
      <c r="AR945" s="428" t="s">
        <v>79</v>
      </c>
      <c r="AS945" s="426">
        <v>38777</v>
      </c>
      <c r="AT945" s="426">
        <v>40862</v>
      </c>
      <c r="AU945" s="422" t="s">
        <v>9310</v>
      </c>
      <c r="AV945" s="422"/>
      <c r="AW945" s="421" t="s">
        <v>69</v>
      </c>
      <c r="AX945" s="428" t="s">
        <v>94</v>
      </c>
      <c r="AY945" s="420">
        <v>41816</v>
      </c>
      <c r="AZ945" s="428" t="s">
        <v>576</v>
      </c>
      <c r="BA945" s="420">
        <v>43167</v>
      </c>
      <c r="BB945" s="678">
        <v>43600</v>
      </c>
      <c r="BC945" s="428" t="s">
        <v>95</v>
      </c>
      <c r="BD945" s="422" t="s">
        <v>7243</v>
      </c>
      <c r="BE945" s="22"/>
      <c r="BF945" s="22"/>
      <c r="BG945" s="235"/>
      <c r="BH945" s="194"/>
      <c r="BI945" s="235"/>
      <c r="BJ945" s="209"/>
      <c r="BK945" s="159"/>
      <c r="BL945" s="196"/>
      <c r="BM945" s="384"/>
      <c r="BN945" s="541"/>
      <c r="BO945" s="449"/>
      <c r="BP945" s="392"/>
      <c r="BQ945" s="243"/>
      <c r="BR945" s="243"/>
      <c r="BS945" s="235"/>
      <c r="BT945" s="235"/>
      <c r="BU945" s="235"/>
      <c r="BV945" s="235"/>
      <c r="BW945" s="244"/>
      <c r="BX945" s="245"/>
      <c r="BY945" s="233"/>
      <c r="BZ945" s="246"/>
    </row>
    <row r="946" spans="1:78" ht="40.5">
      <c r="A946" s="96">
        <v>942</v>
      </c>
      <c r="B946" s="258" t="s">
        <v>9311</v>
      </c>
      <c r="C946" s="142">
        <v>79826799</v>
      </c>
      <c r="D946" s="424" t="s">
        <v>167</v>
      </c>
      <c r="E946" s="147">
        <v>43805</v>
      </c>
      <c r="F946" s="21">
        <v>43805</v>
      </c>
      <c r="G946" s="428" t="s">
        <v>9312</v>
      </c>
      <c r="H946" s="26" t="s">
        <v>5</v>
      </c>
      <c r="I946" s="423" t="s">
        <v>79</v>
      </c>
      <c r="J946" s="147"/>
      <c r="K946" s="21"/>
      <c r="L946" s="428"/>
      <c r="M946" s="26"/>
      <c r="N946" s="423"/>
      <c r="O946" s="147"/>
      <c r="P946" s="21"/>
      <c r="Q946" s="424"/>
      <c r="R946" s="26"/>
      <c r="S946" s="26"/>
      <c r="T946" s="233"/>
      <c r="U946" s="234"/>
      <c r="V946" s="235"/>
      <c r="W946" s="236"/>
      <c r="X946" s="249"/>
      <c r="Y946" s="233"/>
      <c r="Z946" s="234"/>
      <c r="AA946" s="235"/>
      <c r="AB946" s="236"/>
      <c r="AC946" s="249"/>
      <c r="AD946" s="233"/>
      <c r="AE946" s="234"/>
      <c r="AF946" s="235"/>
      <c r="AG946" s="236"/>
      <c r="AH946" s="249"/>
      <c r="AI946" s="237"/>
      <c r="AJ946" s="234"/>
      <c r="AK946" s="235"/>
      <c r="AL946" s="236"/>
      <c r="AM946" s="249"/>
      <c r="AN946" s="422"/>
      <c r="AO946" s="508"/>
      <c r="AP946" s="421"/>
      <c r="AQ946" s="427" t="s">
        <v>9313</v>
      </c>
      <c r="AR946" s="428" t="s">
        <v>79</v>
      </c>
      <c r="AS946" s="426">
        <v>38534</v>
      </c>
      <c r="AT946" s="426">
        <v>40694</v>
      </c>
      <c r="AU946" s="422" t="s">
        <v>9315</v>
      </c>
      <c r="AV946" s="422"/>
      <c r="AW946" s="421" t="s">
        <v>69</v>
      </c>
      <c r="AX946" s="428" t="s">
        <v>4258</v>
      </c>
      <c r="AY946" s="420">
        <v>43032</v>
      </c>
      <c r="AZ946" s="428" t="s">
        <v>94</v>
      </c>
      <c r="BA946" s="420">
        <v>43710</v>
      </c>
      <c r="BB946" s="678" t="s">
        <v>9314</v>
      </c>
      <c r="BC946" s="428" t="s">
        <v>95</v>
      </c>
      <c r="BD946" s="422" t="s">
        <v>7243</v>
      </c>
      <c r="BE946" s="22"/>
      <c r="BF946" s="22"/>
      <c r="BG946" s="235"/>
      <c r="BH946" s="194"/>
      <c r="BI946" s="235"/>
      <c r="BJ946" s="209"/>
      <c r="BK946" s="159"/>
      <c r="BL946" s="196"/>
      <c r="BM946" s="384"/>
      <c r="BN946" s="541"/>
      <c r="BO946" s="449"/>
      <c r="BP946" s="392"/>
      <c r="BQ946" s="243"/>
      <c r="BR946" s="243"/>
      <c r="BS946" s="235"/>
      <c r="BT946" s="235"/>
      <c r="BU946" s="235"/>
      <c r="BV946" s="235"/>
      <c r="BW946" s="244"/>
      <c r="BX946" s="245"/>
      <c r="BY946" s="233"/>
      <c r="BZ946" s="246"/>
    </row>
    <row r="947" spans="1:78" ht="27">
      <c r="A947" s="96">
        <v>943</v>
      </c>
      <c r="B947" s="258" t="s">
        <v>9316</v>
      </c>
      <c r="C947" s="142">
        <v>79501104</v>
      </c>
      <c r="D947" s="424" t="s">
        <v>167</v>
      </c>
      <c r="E947" s="147">
        <v>43805</v>
      </c>
      <c r="F947" s="21">
        <v>43805</v>
      </c>
      <c r="G947" s="428" t="s">
        <v>9317</v>
      </c>
      <c r="H947" s="26" t="s">
        <v>5</v>
      </c>
      <c r="I947" s="423" t="s">
        <v>79</v>
      </c>
      <c r="J947" s="147"/>
      <c r="K947" s="21"/>
      <c r="L947" s="428"/>
      <c r="M947" s="26"/>
      <c r="N947" s="423"/>
      <c r="O947" s="147"/>
      <c r="P947" s="21"/>
      <c r="Q947" s="424"/>
      <c r="R947" s="26"/>
      <c r="S947" s="26"/>
      <c r="T947" s="233"/>
      <c r="U947" s="234"/>
      <c r="V947" s="235"/>
      <c r="W947" s="236"/>
      <c r="X947" s="249"/>
      <c r="Y947" s="233"/>
      <c r="Z947" s="234"/>
      <c r="AA947" s="235"/>
      <c r="AB947" s="236"/>
      <c r="AC947" s="249"/>
      <c r="AD947" s="233"/>
      <c r="AE947" s="234"/>
      <c r="AF947" s="235"/>
      <c r="AG947" s="236"/>
      <c r="AH947" s="249"/>
      <c r="AI947" s="237"/>
      <c r="AJ947" s="234"/>
      <c r="AK947" s="235"/>
      <c r="AL947" s="236"/>
      <c r="AM947" s="249"/>
      <c r="AN947" s="422"/>
      <c r="AO947" s="508"/>
      <c r="AP947" s="421"/>
      <c r="AQ947" s="427" t="s">
        <v>9318</v>
      </c>
      <c r="AR947" s="428" t="s">
        <v>79</v>
      </c>
      <c r="AS947" s="426">
        <v>38281</v>
      </c>
      <c r="AT947" s="426">
        <v>39856</v>
      </c>
      <c r="AU947" s="422" t="s">
        <v>9319</v>
      </c>
      <c r="AV947" s="422"/>
      <c r="AW947" s="421" t="s">
        <v>69</v>
      </c>
      <c r="AX947" s="428" t="s">
        <v>9316</v>
      </c>
      <c r="AY947" s="420">
        <v>43236</v>
      </c>
      <c r="AZ947" s="428" t="s">
        <v>67</v>
      </c>
      <c r="BA947" s="428" t="s">
        <v>67</v>
      </c>
      <c r="BB947" s="678">
        <v>43733</v>
      </c>
      <c r="BC947" s="428" t="s">
        <v>95</v>
      </c>
      <c r="BD947" s="422" t="s">
        <v>7243</v>
      </c>
      <c r="BE947" s="22"/>
      <c r="BF947" s="22"/>
      <c r="BG947" s="235"/>
      <c r="BH947" s="194"/>
      <c r="BI947" s="235"/>
      <c r="BJ947" s="209"/>
      <c r="BK947" s="159"/>
      <c r="BL947" s="196"/>
      <c r="BM947" s="384"/>
      <c r="BN947" s="541"/>
      <c r="BO947" s="449"/>
      <c r="BP947" s="392"/>
      <c r="BQ947" s="243"/>
      <c r="BR947" s="243"/>
      <c r="BS947" s="235"/>
      <c r="BT947" s="235"/>
      <c r="BU947" s="235"/>
      <c r="BV947" s="235"/>
      <c r="BW947" s="244"/>
      <c r="BX947" s="245"/>
      <c r="BY947" s="233"/>
      <c r="BZ947" s="246"/>
    </row>
    <row r="948" spans="1:78" ht="27" customHeight="1">
      <c r="A948" s="96">
        <v>944</v>
      </c>
      <c r="B948" s="258" t="s">
        <v>9354</v>
      </c>
      <c r="C948" s="142"/>
      <c r="D948" s="424" t="s">
        <v>8003</v>
      </c>
      <c r="E948" s="147">
        <v>43854</v>
      </c>
      <c r="F948" s="21">
        <v>43854</v>
      </c>
      <c r="G948" s="428" t="s">
        <v>9355</v>
      </c>
      <c r="H948" s="26" t="s">
        <v>5</v>
      </c>
      <c r="I948" s="423" t="s">
        <v>79</v>
      </c>
      <c r="J948" s="147">
        <v>43893</v>
      </c>
      <c r="K948" s="21">
        <v>43893</v>
      </c>
      <c r="L948" s="428" t="s">
        <v>9489</v>
      </c>
      <c r="M948" s="26" t="s">
        <v>5</v>
      </c>
      <c r="N948" s="423" t="s">
        <v>85</v>
      </c>
      <c r="O948" s="147">
        <v>44133</v>
      </c>
      <c r="P948" s="21">
        <v>44133</v>
      </c>
      <c r="Q948" s="424" t="s">
        <v>9744</v>
      </c>
      <c r="R948" s="26" t="s">
        <v>208</v>
      </c>
      <c r="S948" s="26" t="s">
        <v>8255</v>
      </c>
      <c r="T948" s="147">
        <v>44139</v>
      </c>
      <c r="U948" s="21">
        <v>44139</v>
      </c>
      <c r="V948" s="424" t="s">
        <v>9762</v>
      </c>
      <c r="W948" s="26" t="s">
        <v>208</v>
      </c>
      <c r="X948" s="26" t="s">
        <v>9511</v>
      </c>
      <c r="Y948" s="963">
        <v>44607</v>
      </c>
      <c r="Z948" s="640">
        <v>44593</v>
      </c>
      <c r="AA948" s="959" t="s">
        <v>10753</v>
      </c>
      <c r="AB948" s="236" t="s">
        <v>208</v>
      </c>
      <c r="AC948" s="249" t="s">
        <v>10754</v>
      </c>
      <c r="AD948" s="233"/>
      <c r="AE948" s="234"/>
      <c r="AF948" s="235"/>
      <c r="AG948" s="236"/>
      <c r="AH948" s="249"/>
      <c r="AI948" s="237"/>
      <c r="AJ948" s="234"/>
      <c r="AK948" s="235"/>
      <c r="AL948" s="236"/>
      <c r="AM948" s="249"/>
      <c r="AN948" s="422"/>
      <c r="AO948" s="508"/>
      <c r="AP948" s="421"/>
      <c r="AQ948" s="427"/>
      <c r="AR948" s="428"/>
      <c r="AS948" s="426"/>
      <c r="AT948" s="426"/>
      <c r="AU948" s="422"/>
      <c r="AV948" s="422"/>
      <c r="AW948" s="421"/>
      <c r="AX948" s="428"/>
      <c r="AY948" s="420"/>
      <c r="AZ948" s="428"/>
      <c r="BA948" s="420"/>
      <c r="BB948" s="678">
        <v>43725</v>
      </c>
      <c r="BC948" s="428"/>
      <c r="BD948" s="422"/>
      <c r="BE948" s="22"/>
      <c r="BF948" s="22"/>
      <c r="BG948" s="235"/>
      <c r="BH948" s="194"/>
      <c r="BI948" s="235"/>
      <c r="BJ948" s="159"/>
      <c r="BK948" s="159"/>
      <c r="BL948" s="196"/>
      <c r="BM948" s="384"/>
      <c r="BN948" s="541"/>
      <c r="BO948" s="449"/>
      <c r="BP948" s="392"/>
      <c r="BQ948" s="243"/>
      <c r="BR948" s="243"/>
      <c r="BS948" s="235"/>
      <c r="BT948" s="235"/>
      <c r="BU948" s="235"/>
      <c r="BV948" s="235"/>
      <c r="BW948" s="244"/>
      <c r="BX948" s="245"/>
      <c r="BY948" s="233"/>
      <c r="BZ948" s="246"/>
    </row>
    <row r="949" spans="1:78" ht="27" customHeight="1">
      <c r="A949" s="96">
        <v>945</v>
      </c>
      <c r="B949" s="671" t="s">
        <v>9462</v>
      </c>
      <c r="C949" s="142">
        <v>18512412</v>
      </c>
      <c r="D949" s="424" t="s">
        <v>677</v>
      </c>
      <c r="E949" s="147">
        <v>43768</v>
      </c>
      <c r="F949" s="21">
        <v>43768</v>
      </c>
      <c r="G949" s="428" t="s">
        <v>9463</v>
      </c>
      <c r="H949" s="26" t="s">
        <v>5</v>
      </c>
      <c r="I949" s="423" t="s">
        <v>79</v>
      </c>
      <c r="J949" s="147">
        <v>43871</v>
      </c>
      <c r="K949" s="21">
        <v>43871</v>
      </c>
      <c r="L949" s="428" t="s">
        <v>9464</v>
      </c>
      <c r="M949" s="26" t="s">
        <v>5</v>
      </c>
      <c r="N949" s="423" t="s">
        <v>85</v>
      </c>
      <c r="O949" s="147"/>
      <c r="P949" s="21"/>
      <c r="Q949" s="424"/>
      <c r="R949" s="26"/>
      <c r="S949" s="26"/>
      <c r="T949" s="233"/>
      <c r="U949" s="234"/>
      <c r="V949" s="235"/>
      <c r="W949" s="236"/>
      <c r="X949" s="249"/>
      <c r="Y949" s="233"/>
      <c r="Z949" s="234"/>
      <c r="AA949" s="235"/>
      <c r="AB949" s="236"/>
      <c r="AC949" s="249"/>
      <c r="AD949" s="233"/>
      <c r="AE949" s="234"/>
      <c r="AF949" s="235"/>
      <c r="AG949" s="236"/>
      <c r="AH949" s="249"/>
      <c r="AI949" s="237"/>
      <c r="AJ949" s="234"/>
      <c r="AK949" s="235"/>
      <c r="AL949" s="236"/>
      <c r="AM949" s="249"/>
      <c r="AN949" s="422"/>
      <c r="AO949" s="508">
        <v>43871</v>
      </c>
      <c r="AP949" s="421"/>
      <c r="AQ949" s="427"/>
      <c r="AR949" s="428"/>
      <c r="AS949" s="426"/>
      <c r="AT949" s="426"/>
      <c r="AU949" s="422"/>
      <c r="AV949" s="422"/>
      <c r="AW949" s="421"/>
      <c r="AX949" s="428"/>
      <c r="AY949" s="420"/>
      <c r="AZ949" s="428"/>
      <c r="BA949" s="420"/>
      <c r="BB949" s="678">
        <v>43581</v>
      </c>
      <c r="BC949" s="428"/>
      <c r="BD949" s="422"/>
      <c r="BE949" s="22"/>
      <c r="BF949" s="22"/>
      <c r="BG949" s="235"/>
      <c r="BH949" s="194"/>
      <c r="BI949" s="235"/>
      <c r="BJ949" s="159"/>
      <c r="BK949" s="159"/>
      <c r="BL949" s="196"/>
      <c r="BM949" s="384"/>
      <c r="BN949" s="541"/>
      <c r="BO949" s="449"/>
      <c r="BP949" s="392"/>
      <c r="BQ949" s="243"/>
      <c r="BR949" s="243"/>
      <c r="BS949" s="235"/>
      <c r="BT949" s="235"/>
      <c r="BU949" s="235"/>
      <c r="BV949" s="235"/>
      <c r="BW949" s="244"/>
      <c r="BX949" s="245"/>
      <c r="BY949" s="233"/>
      <c r="BZ949" s="246"/>
    </row>
    <row r="950" spans="1:78" ht="27">
      <c r="A950" s="96">
        <v>946</v>
      </c>
      <c r="B950" s="258" t="s">
        <v>6400</v>
      </c>
      <c r="C950" s="142">
        <v>91420064</v>
      </c>
      <c r="D950" s="424" t="s">
        <v>382</v>
      </c>
      <c r="E950" s="147">
        <v>43781</v>
      </c>
      <c r="F950" s="21">
        <v>43781</v>
      </c>
      <c r="G950" s="428" t="s">
        <v>9245</v>
      </c>
      <c r="H950" s="26" t="s">
        <v>208</v>
      </c>
      <c r="I950" s="423" t="s">
        <v>79</v>
      </c>
      <c r="J950" s="147">
        <v>43895</v>
      </c>
      <c r="K950" s="21">
        <v>43895</v>
      </c>
      <c r="L950" s="428" t="s">
        <v>9491</v>
      </c>
      <c r="M950" s="26" t="s">
        <v>5</v>
      </c>
      <c r="N950" s="423" t="s">
        <v>79</v>
      </c>
      <c r="O950" s="147">
        <v>44179</v>
      </c>
      <c r="P950" s="21">
        <v>44179</v>
      </c>
      <c r="Q950" s="428" t="s">
        <v>9796</v>
      </c>
      <c r="R950" s="26" t="s">
        <v>208</v>
      </c>
      <c r="S950" s="423" t="s">
        <v>9511</v>
      </c>
      <c r="T950" s="147">
        <v>44259</v>
      </c>
      <c r="U950" s="21">
        <v>44259</v>
      </c>
      <c r="V950" s="424" t="s">
        <v>10367</v>
      </c>
      <c r="W950" s="26" t="s">
        <v>208</v>
      </c>
      <c r="X950" s="26" t="s">
        <v>9511</v>
      </c>
      <c r="Y950" s="147" t="s">
        <v>10410</v>
      </c>
      <c r="Z950" s="21">
        <v>44278</v>
      </c>
      <c r="AA950" s="424" t="s">
        <v>10409</v>
      </c>
      <c r="AB950" s="26" t="s">
        <v>5</v>
      </c>
      <c r="AC950" s="26" t="s">
        <v>9155</v>
      </c>
      <c r="AD950" s="233"/>
      <c r="AE950" s="234"/>
      <c r="AF950" s="235"/>
      <c r="AG950" s="236"/>
      <c r="AH950" s="249"/>
      <c r="AI950" s="237"/>
      <c r="AJ950" s="234"/>
      <c r="AK950" s="235"/>
      <c r="AL950" s="236"/>
      <c r="AM950" s="249"/>
      <c r="AN950" s="422"/>
      <c r="AO950" s="508"/>
      <c r="AP950" s="421"/>
      <c r="AQ950" s="427"/>
      <c r="AR950" s="428"/>
      <c r="AS950" s="426"/>
      <c r="AT950" s="426"/>
      <c r="AU950" s="422"/>
      <c r="AV950" s="422"/>
      <c r="AW950" s="421"/>
      <c r="AX950" s="428"/>
      <c r="AY950" s="420"/>
      <c r="AZ950" s="428"/>
      <c r="BA950" s="420"/>
      <c r="BB950" s="678">
        <v>43770</v>
      </c>
      <c r="BC950" s="428"/>
      <c r="BD950" s="422"/>
      <c r="BE950" s="22"/>
      <c r="BF950" s="22"/>
      <c r="BG950" s="235"/>
      <c r="BH950" s="194"/>
      <c r="BI950" s="235"/>
      <c r="BJ950" s="159"/>
      <c r="BK950" s="159"/>
      <c r="BL950" s="196"/>
      <c r="BM950" s="384"/>
      <c r="BN950" s="541"/>
      <c r="BO950" s="449"/>
      <c r="BP950" s="392"/>
      <c r="BQ950" s="243"/>
      <c r="BR950" s="243"/>
      <c r="BS950" s="235"/>
      <c r="BT950" s="235"/>
      <c r="BU950" s="235"/>
      <c r="BV950" s="235"/>
      <c r="BW950" s="244"/>
      <c r="BX950" s="245"/>
      <c r="BY950" s="233"/>
      <c r="BZ950" s="246"/>
    </row>
    <row r="951" spans="1:78" ht="54">
      <c r="A951" s="96">
        <v>947</v>
      </c>
      <c r="B951" s="258" t="s">
        <v>9522</v>
      </c>
      <c r="C951" s="142">
        <v>17221141</v>
      </c>
      <c r="D951" s="424" t="s">
        <v>2446</v>
      </c>
      <c r="E951" s="147">
        <v>44001</v>
      </c>
      <c r="F951" s="21">
        <v>44001</v>
      </c>
      <c r="G951" s="428" t="s">
        <v>9523</v>
      </c>
      <c r="H951" s="26" t="s">
        <v>5</v>
      </c>
      <c r="I951" s="423" t="s">
        <v>79</v>
      </c>
      <c r="J951" s="147">
        <v>44014</v>
      </c>
      <c r="K951" s="21">
        <v>44014</v>
      </c>
      <c r="L951" s="428" t="s">
        <v>9526</v>
      </c>
      <c r="M951" s="26" t="s">
        <v>5</v>
      </c>
      <c r="N951" s="423" t="s">
        <v>85</v>
      </c>
      <c r="O951" s="147"/>
      <c r="P951" s="21"/>
      <c r="Q951" s="424"/>
      <c r="R951" s="26"/>
      <c r="S951" s="26"/>
      <c r="T951" s="233"/>
      <c r="U951" s="234"/>
      <c r="V951" s="235"/>
      <c r="W951" s="236"/>
      <c r="X951" s="249"/>
      <c r="Y951" s="233"/>
      <c r="Z951" s="234"/>
      <c r="AA951" s="235"/>
      <c r="AB951" s="236"/>
      <c r="AC951" s="249"/>
      <c r="AD951" s="233"/>
      <c r="AE951" s="234"/>
      <c r="AF951" s="235"/>
      <c r="AG951" s="236"/>
      <c r="AH951" s="249"/>
      <c r="AI951" s="237"/>
      <c r="AJ951" s="234"/>
      <c r="AK951" s="235"/>
      <c r="AL951" s="236"/>
      <c r="AM951" s="249"/>
      <c r="AN951" s="422"/>
      <c r="AO951" s="508">
        <v>44014</v>
      </c>
      <c r="AP951" s="421"/>
      <c r="AQ951" s="427" t="s">
        <v>9524</v>
      </c>
      <c r="AR951" s="428" t="s">
        <v>79</v>
      </c>
      <c r="AS951" s="426">
        <v>38716</v>
      </c>
      <c r="AT951" s="426">
        <v>40862</v>
      </c>
      <c r="AU951" s="422"/>
      <c r="AV951" s="422"/>
      <c r="AW951" s="421" t="s">
        <v>69</v>
      </c>
      <c r="AX951" s="428" t="s">
        <v>9525</v>
      </c>
      <c r="AY951" s="420">
        <v>42671</v>
      </c>
      <c r="AZ951" s="428" t="s">
        <v>94</v>
      </c>
      <c r="BA951" s="420">
        <v>43777</v>
      </c>
      <c r="BB951" s="678">
        <v>43805</v>
      </c>
      <c r="BC951" s="428" t="s">
        <v>95</v>
      </c>
      <c r="BD951" s="422" t="s">
        <v>7243</v>
      </c>
      <c r="BE951" s="22"/>
      <c r="BF951" s="22"/>
      <c r="BG951" s="235"/>
      <c r="BH951" s="194"/>
      <c r="BI951" s="235"/>
      <c r="BJ951" s="159"/>
      <c r="BK951" s="159"/>
      <c r="BL951" s="196"/>
      <c r="BM951" s="384"/>
      <c r="BN951" s="541"/>
      <c r="BO951" s="449"/>
      <c r="BP951" s="392"/>
      <c r="BQ951" s="243"/>
      <c r="BR951" s="243"/>
      <c r="BS951" s="235"/>
      <c r="BT951" s="235"/>
      <c r="BU951" s="235"/>
      <c r="BV951" s="235"/>
      <c r="BW951" s="244"/>
      <c r="BX951" s="245"/>
      <c r="BY951" s="233"/>
      <c r="BZ951" s="246"/>
    </row>
    <row r="952" spans="1:78" s="259" customFormat="1" ht="40.5">
      <c r="A952" s="502">
        <v>948</v>
      </c>
      <c r="B952" s="813" t="s">
        <v>9636</v>
      </c>
      <c r="C952" s="687"/>
      <c r="D952" s="706" t="s">
        <v>9560</v>
      </c>
      <c r="E952" s="16">
        <v>44035</v>
      </c>
      <c r="F952" s="689">
        <v>44035</v>
      </c>
      <c r="G952" s="706" t="s">
        <v>9561</v>
      </c>
      <c r="H952" s="693" t="s">
        <v>5</v>
      </c>
      <c r="I952" s="27" t="s">
        <v>79</v>
      </c>
      <c r="J952" s="16">
        <v>44040</v>
      </c>
      <c r="K952" s="689">
        <v>44040</v>
      </c>
      <c r="L952" s="706" t="s">
        <v>9559</v>
      </c>
      <c r="M952" s="693" t="s">
        <v>5</v>
      </c>
      <c r="N952" s="27" t="s">
        <v>9562</v>
      </c>
      <c r="O952" s="16">
        <v>44153</v>
      </c>
      <c r="P952" s="689">
        <v>44153</v>
      </c>
      <c r="Q952" s="706" t="s">
        <v>9778</v>
      </c>
      <c r="R952" s="693" t="s">
        <v>5</v>
      </c>
      <c r="S952" s="693" t="s">
        <v>9543</v>
      </c>
      <c r="T952" s="16">
        <v>43834</v>
      </c>
      <c r="U952" s="689">
        <v>43834</v>
      </c>
      <c r="V952" s="706" t="s">
        <v>9776</v>
      </c>
      <c r="W952" s="693" t="s">
        <v>5</v>
      </c>
      <c r="X952" s="693" t="s">
        <v>9777</v>
      </c>
      <c r="Y952" s="240"/>
      <c r="Z952" s="709"/>
      <c r="AA952" s="710"/>
      <c r="AB952" s="711"/>
      <c r="AC952" s="712"/>
      <c r="AD952" s="240"/>
      <c r="AE952" s="709"/>
      <c r="AF952" s="710"/>
      <c r="AG952" s="711"/>
      <c r="AH952" s="712"/>
      <c r="AI952" s="713"/>
      <c r="AJ952" s="709"/>
      <c r="AK952" s="710"/>
      <c r="AL952" s="711"/>
      <c r="AM952" s="712"/>
      <c r="AN952" s="686"/>
      <c r="AO952" s="171"/>
      <c r="AP952" s="692"/>
      <c r="AQ952" s="716" t="s">
        <v>9563</v>
      </c>
      <c r="AR952" s="706" t="s">
        <v>79</v>
      </c>
      <c r="AS952" s="171"/>
      <c r="AT952" s="171"/>
      <c r="AU952" s="686"/>
      <c r="AV952" s="686"/>
      <c r="AW952" s="686" t="s">
        <v>92</v>
      </c>
      <c r="AX952" s="706" t="s">
        <v>1629</v>
      </c>
      <c r="AY952" s="16">
        <v>41514</v>
      </c>
      <c r="AZ952" s="706" t="s">
        <v>1630</v>
      </c>
      <c r="BA952" s="16">
        <v>43405</v>
      </c>
      <c r="BB952" s="16">
        <v>43419</v>
      </c>
      <c r="BC952" s="706" t="s">
        <v>561</v>
      </c>
      <c r="BD952" s="686" t="s">
        <v>9564</v>
      </c>
      <c r="BE952" s="690"/>
      <c r="BF952" s="690"/>
      <c r="BG952" s="710"/>
      <c r="BH952" s="717"/>
      <c r="BI952" s="710"/>
      <c r="BJ952" s="708"/>
      <c r="BK952" s="708"/>
      <c r="BL952" s="718"/>
      <c r="BM952" s="191"/>
      <c r="BN952" s="719"/>
      <c r="BO952" s="720"/>
      <c r="BP952" s="814"/>
      <c r="BQ952" s="723"/>
      <c r="BR952" s="723"/>
      <c r="BS952" s="710"/>
      <c r="BT952" s="710"/>
      <c r="BU952" s="710"/>
      <c r="BV952" s="710"/>
      <c r="BW952" s="724"/>
      <c r="BX952" s="725"/>
      <c r="BY952" s="240"/>
      <c r="BZ952" s="726"/>
    </row>
    <row r="953" spans="1:78" ht="40.5">
      <c r="A953" s="96">
        <v>949</v>
      </c>
      <c r="B953" s="258" t="s">
        <v>9565</v>
      </c>
      <c r="C953" s="142">
        <v>16015737</v>
      </c>
      <c r="D953" s="424" t="s">
        <v>8638</v>
      </c>
      <c r="E953" s="147">
        <v>44040</v>
      </c>
      <c r="F953" s="21">
        <v>44040</v>
      </c>
      <c r="G953" s="428" t="s">
        <v>9566</v>
      </c>
      <c r="H953" s="26" t="s">
        <v>5</v>
      </c>
      <c r="I953" s="423" t="s">
        <v>79</v>
      </c>
      <c r="J953" s="147"/>
      <c r="K953" s="21"/>
      <c r="L953" s="428"/>
      <c r="M953" s="26"/>
      <c r="N953" s="423"/>
      <c r="O953" s="147"/>
      <c r="P953" s="21"/>
      <c r="Q953" s="424"/>
      <c r="R953" s="26"/>
      <c r="S953" s="26"/>
      <c r="T953" s="233"/>
      <c r="U953" s="234"/>
      <c r="V953" s="235"/>
      <c r="W953" s="236"/>
      <c r="X953" s="249"/>
      <c r="Y953" s="233"/>
      <c r="Z953" s="234"/>
      <c r="AA953" s="235"/>
      <c r="AB953" s="236"/>
      <c r="AC953" s="249"/>
      <c r="AD953" s="233"/>
      <c r="AE953" s="234"/>
      <c r="AF953" s="235"/>
      <c r="AG953" s="236"/>
      <c r="AH953" s="249"/>
      <c r="AI953" s="237"/>
      <c r="AJ953" s="234"/>
      <c r="AK953" s="235"/>
      <c r="AL953" s="236"/>
      <c r="AM953" s="249"/>
      <c r="AN953" s="422"/>
      <c r="AO953" s="508"/>
      <c r="AP953" s="421"/>
      <c r="AQ953" s="427" t="s">
        <v>9567</v>
      </c>
      <c r="AR953" s="428" t="s">
        <v>79</v>
      </c>
      <c r="AS953" s="426">
        <v>39770</v>
      </c>
      <c r="AT953" s="426">
        <v>40862</v>
      </c>
      <c r="AU953" s="422"/>
      <c r="AV953" s="422"/>
      <c r="AW953" s="421" t="s">
        <v>69</v>
      </c>
      <c r="AX953" s="428" t="s">
        <v>9568</v>
      </c>
      <c r="AY953" s="420">
        <v>43483</v>
      </c>
      <c r="AZ953" s="428" t="s">
        <v>652</v>
      </c>
      <c r="BA953" s="420">
        <v>43853</v>
      </c>
      <c r="BB953" s="678">
        <v>43861</v>
      </c>
      <c r="BC953" s="428" t="s">
        <v>95</v>
      </c>
      <c r="BD953" s="422" t="s">
        <v>7243</v>
      </c>
      <c r="BE953" s="22"/>
      <c r="BF953" s="22"/>
      <c r="BG953" s="235"/>
      <c r="BH953" s="194"/>
      <c r="BI953" s="235"/>
      <c r="BJ953" s="159"/>
      <c r="BK953" s="159"/>
      <c r="BL953" s="196"/>
      <c r="BM953" s="384"/>
      <c r="BN953" s="541"/>
      <c r="BO953" s="449"/>
      <c r="BP953" s="392"/>
      <c r="BQ953" s="243"/>
      <c r="BR953" s="243"/>
      <c r="BS953" s="235"/>
      <c r="BT953" s="235"/>
      <c r="BU953" s="235"/>
      <c r="BV953" s="235"/>
      <c r="BW953" s="244"/>
      <c r="BX953" s="245"/>
      <c r="BY953" s="233"/>
      <c r="BZ953" s="246"/>
    </row>
    <row r="954" spans="1:78" ht="67.5">
      <c r="A954" s="96">
        <v>950</v>
      </c>
      <c r="B954" s="258" t="s">
        <v>9580</v>
      </c>
      <c r="C954" s="142">
        <v>5822552</v>
      </c>
      <c r="D954" s="424" t="s">
        <v>9581</v>
      </c>
      <c r="E954" s="147">
        <v>44041</v>
      </c>
      <c r="F954" s="21">
        <v>44041</v>
      </c>
      <c r="G954" s="428" t="s">
        <v>9689</v>
      </c>
      <c r="H954" s="26" t="s">
        <v>625</v>
      </c>
      <c r="I954" s="423" t="s">
        <v>1495</v>
      </c>
      <c r="J954" s="147">
        <v>44172</v>
      </c>
      <c r="K954" s="21">
        <v>44172</v>
      </c>
      <c r="L954" s="428" t="s">
        <v>9690</v>
      </c>
      <c r="M954" s="26" t="s">
        <v>5</v>
      </c>
      <c r="N954" s="423" t="s">
        <v>9562</v>
      </c>
      <c r="O954" s="147">
        <v>44041</v>
      </c>
      <c r="P954" s="21">
        <v>44041</v>
      </c>
      <c r="Q954" s="424" t="s">
        <v>9689</v>
      </c>
      <c r="R954" s="26" t="s">
        <v>625</v>
      </c>
      <c r="S954" s="26" t="s">
        <v>1495</v>
      </c>
      <c r="T954" s="233"/>
      <c r="U954" s="234"/>
      <c r="V954" s="235"/>
      <c r="W954" s="236"/>
      <c r="X954" s="249"/>
      <c r="Y954" s="233"/>
      <c r="Z954" s="234"/>
      <c r="AA954" s="235"/>
      <c r="AB954" s="236"/>
      <c r="AC954" s="249"/>
      <c r="AD954" s="233"/>
      <c r="AE954" s="234"/>
      <c r="AF954" s="235"/>
      <c r="AG954" s="236"/>
      <c r="AH954" s="249"/>
      <c r="AI954" s="237"/>
      <c r="AJ954" s="234"/>
      <c r="AK954" s="235"/>
      <c r="AL954" s="236"/>
      <c r="AM954" s="249"/>
      <c r="AN954" s="422"/>
      <c r="AO954" s="508"/>
      <c r="AP954" s="421"/>
      <c r="AQ954" s="427" t="s">
        <v>9626</v>
      </c>
      <c r="AR954" s="428" t="s">
        <v>9582</v>
      </c>
      <c r="AS954" s="426">
        <v>40438</v>
      </c>
      <c r="AT954" s="426">
        <v>40862</v>
      </c>
      <c r="AU954" s="422"/>
      <c r="AV954" s="422"/>
      <c r="AW954" s="421" t="s">
        <v>69</v>
      </c>
      <c r="AX954" s="428" t="s">
        <v>8235</v>
      </c>
      <c r="AY954" s="420">
        <v>43049</v>
      </c>
      <c r="AZ954" s="428" t="s">
        <v>9583</v>
      </c>
      <c r="BA954" s="420">
        <v>43966</v>
      </c>
      <c r="BB954" s="678">
        <v>44054</v>
      </c>
      <c r="BC954" s="428" t="s">
        <v>95</v>
      </c>
      <c r="BD954" s="422" t="s">
        <v>7243</v>
      </c>
      <c r="BE954" s="22"/>
      <c r="BF954" s="22"/>
      <c r="BG954" s="235"/>
      <c r="BH954" s="194"/>
      <c r="BI954" s="235"/>
      <c r="BJ954" s="159"/>
      <c r="BK954" s="159"/>
      <c r="BL954" s="196"/>
      <c r="BM954" s="384"/>
      <c r="BN954" s="541"/>
      <c r="BO954" s="449"/>
      <c r="BP954" s="392"/>
      <c r="BQ954" s="243"/>
      <c r="BR954" s="243"/>
      <c r="BS954" s="235"/>
      <c r="BT954" s="235"/>
      <c r="BU954" s="235"/>
      <c r="BV954" s="235"/>
      <c r="BW954" s="244"/>
      <c r="BX954" s="245"/>
      <c r="BY954" s="233"/>
      <c r="BZ954" s="246"/>
    </row>
    <row r="955" spans="1:78" ht="54">
      <c r="A955" s="96">
        <v>951</v>
      </c>
      <c r="B955" s="258" t="s">
        <v>4179</v>
      </c>
      <c r="C955" s="142">
        <v>11515248</v>
      </c>
      <c r="D955" s="424" t="s">
        <v>906</v>
      </c>
      <c r="E955" s="147">
        <v>44039</v>
      </c>
      <c r="F955" s="21">
        <v>44039</v>
      </c>
      <c r="G955" s="428" t="s">
        <v>9688</v>
      </c>
      <c r="H955" s="26" t="s">
        <v>94</v>
      </c>
      <c r="I955" s="423" t="s">
        <v>3423</v>
      </c>
      <c r="J955" s="147">
        <v>44131</v>
      </c>
      <c r="K955" s="21">
        <v>44131</v>
      </c>
      <c r="L955" s="428" t="s">
        <v>9687</v>
      </c>
      <c r="M955" s="26" t="s">
        <v>625</v>
      </c>
      <c r="N955" s="423" t="s">
        <v>1495</v>
      </c>
      <c r="O955" s="147"/>
      <c r="P955" s="21"/>
      <c r="Q955" s="424"/>
      <c r="R955" s="26"/>
      <c r="S955" s="26"/>
      <c r="T955" s="233"/>
      <c r="U955" s="234"/>
      <c r="V955" s="235"/>
      <c r="W955" s="236"/>
      <c r="X955" s="249"/>
      <c r="Y955" s="233"/>
      <c r="Z955" s="234"/>
      <c r="AA955" s="235"/>
      <c r="AB955" s="236"/>
      <c r="AC955" s="249"/>
      <c r="AD955" s="233"/>
      <c r="AE955" s="234"/>
      <c r="AF955" s="235"/>
      <c r="AG955" s="236"/>
      <c r="AH955" s="249"/>
      <c r="AI955" s="237"/>
      <c r="AJ955" s="234"/>
      <c r="AK955" s="235"/>
      <c r="AL955" s="236"/>
      <c r="AM955" s="249"/>
      <c r="AN955" s="422"/>
      <c r="AO955" s="508"/>
      <c r="AP955" s="421"/>
      <c r="AQ955" s="427" t="s">
        <v>9627</v>
      </c>
      <c r="AR955" s="428" t="s">
        <v>9582</v>
      </c>
      <c r="AS955" s="426"/>
      <c r="AT955" s="426"/>
      <c r="AU955" s="422"/>
      <c r="AV955" s="422"/>
      <c r="AW955" s="421" t="s">
        <v>69</v>
      </c>
      <c r="AX955" s="428" t="s">
        <v>9686</v>
      </c>
      <c r="AY955" s="420">
        <v>43381</v>
      </c>
      <c r="AZ955" s="428" t="s">
        <v>9583</v>
      </c>
      <c r="BA955" s="420">
        <v>44008</v>
      </c>
      <c r="BB955" s="678">
        <v>44042</v>
      </c>
      <c r="BC955" s="428" t="s">
        <v>9645</v>
      </c>
      <c r="BD955" s="422"/>
      <c r="BE955" s="22"/>
      <c r="BF955" s="22"/>
      <c r="BG955" s="235"/>
      <c r="BH955" s="194"/>
      <c r="BI955" s="235"/>
      <c r="BJ955" s="159"/>
      <c r="BK955" s="159"/>
      <c r="BL955" s="196"/>
      <c r="BM955" s="384"/>
      <c r="BN955" s="541"/>
      <c r="BO955" s="449"/>
      <c r="BP955" s="392"/>
      <c r="BQ955" s="243"/>
      <c r="BR955" s="243"/>
      <c r="BS955" s="235"/>
      <c r="BT955" s="235"/>
      <c r="BU955" s="235"/>
      <c r="BV955" s="235"/>
      <c r="BW955" s="244"/>
      <c r="BX955" s="245"/>
      <c r="BY955" s="233"/>
      <c r="BZ955" s="246"/>
    </row>
    <row r="956" spans="1:78" ht="40.5">
      <c r="A956" s="502">
        <v>952</v>
      </c>
      <c r="B956" s="813" t="s">
        <v>9632</v>
      </c>
      <c r="C956" s="687">
        <v>901138881</v>
      </c>
      <c r="D956" s="706" t="s">
        <v>9634</v>
      </c>
      <c r="E956" s="16">
        <v>44077</v>
      </c>
      <c r="F956" s="689">
        <v>44077</v>
      </c>
      <c r="G956" s="706" t="s">
        <v>9633</v>
      </c>
      <c r="H956" s="693" t="s">
        <v>9638</v>
      </c>
      <c r="I956" s="27" t="s">
        <v>79</v>
      </c>
      <c r="J956" s="16">
        <v>44078</v>
      </c>
      <c r="K956" s="689">
        <v>44078</v>
      </c>
      <c r="L956" s="706" t="s">
        <v>9637</v>
      </c>
      <c r="M956" s="693" t="s">
        <v>9638</v>
      </c>
      <c r="N956" s="27" t="s">
        <v>79</v>
      </c>
      <c r="O956" s="16">
        <v>44258</v>
      </c>
      <c r="P956" s="689">
        <v>44258</v>
      </c>
      <c r="Q956" s="706" t="s">
        <v>10361</v>
      </c>
      <c r="R956" s="693" t="s">
        <v>63</v>
      </c>
      <c r="S956" s="693" t="s">
        <v>79</v>
      </c>
      <c r="T956" s="16">
        <v>44273</v>
      </c>
      <c r="U956" s="689">
        <v>44273</v>
      </c>
      <c r="V956" s="706" t="s">
        <v>10421</v>
      </c>
      <c r="W956" s="693" t="s">
        <v>10422</v>
      </c>
      <c r="X956" s="693" t="s">
        <v>9546</v>
      </c>
      <c r="Y956" s="16">
        <v>44291</v>
      </c>
      <c r="Z956" s="689">
        <v>44291</v>
      </c>
      <c r="AA956" s="706" t="s">
        <v>10432</v>
      </c>
      <c r="AB956" s="693" t="s">
        <v>4895</v>
      </c>
      <c r="AC956" s="693" t="s">
        <v>85</v>
      </c>
      <c r="AD956" s="16">
        <v>44307</v>
      </c>
      <c r="AE956" s="689">
        <v>44307</v>
      </c>
      <c r="AF956" s="706" t="s">
        <v>10433</v>
      </c>
      <c r="AG956" s="693" t="s">
        <v>63</v>
      </c>
      <c r="AH956" s="693" t="s">
        <v>9511</v>
      </c>
      <c r="AI956" s="240">
        <v>44375</v>
      </c>
      <c r="AJ956" s="709">
        <v>44375</v>
      </c>
      <c r="AK956" s="710" t="s">
        <v>10542</v>
      </c>
      <c r="AL956" s="711" t="s">
        <v>63</v>
      </c>
      <c r="AM956" s="712" t="s">
        <v>10540</v>
      </c>
      <c r="AN956" s="422"/>
      <c r="AO956" s="508"/>
      <c r="AP956" s="421"/>
      <c r="AQ956" s="427" t="s">
        <v>9635</v>
      </c>
      <c r="AR956" s="428" t="s">
        <v>79</v>
      </c>
      <c r="AS956" s="426"/>
      <c r="AT956" s="426"/>
      <c r="AU956" s="422"/>
      <c r="AV956" s="422"/>
      <c r="AW956" s="421" t="s">
        <v>69</v>
      </c>
      <c r="AX956" s="428" t="s">
        <v>94</v>
      </c>
      <c r="AY956" s="420">
        <v>43887</v>
      </c>
      <c r="AZ956" s="428"/>
      <c r="BA956" s="420"/>
      <c r="BB956" s="678">
        <v>43887</v>
      </c>
      <c r="BC956" s="428" t="s">
        <v>71</v>
      </c>
      <c r="BD956" s="422"/>
      <c r="BE956" s="22"/>
      <c r="BF956" s="22"/>
      <c r="BG956" s="235"/>
      <c r="BH956" s="194"/>
      <c r="BI956" s="235"/>
      <c r="BJ956" s="159"/>
      <c r="BK956" s="159"/>
      <c r="BL956" s="196"/>
      <c r="BM956" s="384"/>
      <c r="BN956" s="541"/>
      <c r="BO956" s="449"/>
      <c r="BP956" s="392"/>
      <c r="BQ956" s="243"/>
      <c r="BR956" s="243"/>
      <c r="BS956" s="235"/>
      <c r="BT956" s="235"/>
      <c r="BU956" s="235"/>
      <c r="BV956" s="235"/>
      <c r="BW956" s="244"/>
      <c r="BX956" s="245"/>
      <c r="BY956" s="233"/>
      <c r="BZ956" s="246"/>
    </row>
    <row r="957" spans="1:78" ht="40.5">
      <c r="A957" s="96">
        <v>953</v>
      </c>
      <c r="B957" s="258" t="s">
        <v>5571</v>
      </c>
      <c r="C957" s="142">
        <v>79005491</v>
      </c>
      <c r="D957" s="424" t="s">
        <v>9642</v>
      </c>
      <c r="E957" s="147">
        <v>44175</v>
      </c>
      <c r="F957" s="21">
        <v>44175</v>
      </c>
      <c r="G957" s="428" t="s">
        <v>9643</v>
      </c>
      <c r="H957" s="26" t="s">
        <v>625</v>
      </c>
      <c r="I957" s="423" t="s">
        <v>3423</v>
      </c>
      <c r="J957" s="147">
        <v>44309</v>
      </c>
      <c r="K957" s="21">
        <v>44309</v>
      </c>
      <c r="L957" s="428" t="s">
        <v>10461</v>
      </c>
      <c r="M957" s="26" t="s">
        <v>5</v>
      </c>
      <c r="N957" s="423" t="s">
        <v>79</v>
      </c>
      <c r="O957" s="147"/>
      <c r="P957" s="21"/>
      <c r="Q957" s="424"/>
      <c r="R957" s="26"/>
      <c r="S957" s="26"/>
      <c r="T957" s="233"/>
      <c r="U957" s="234"/>
      <c r="V957" s="235"/>
      <c r="W957" s="236"/>
      <c r="X957" s="249"/>
      <c r="Y957" s="233"/>
      <c r="Z957" s="234"/>
      <c r="AA957" s="235"/>
      <c r="AB957" s="236"/>
      <c r="AC957" s="249"/>
      <c r="AD957" s="233"/>
      <c r="AE957" s="234"/>
      <c r="AF957" s="235"/>
      <c r="AG957" s="236"/>
      <c r="AH957" s="249"/>
      <c r="AI957" s="237"/>
      <c r="AJ957" s="234"/>
      <c r="AK957" s="235"/>
      <c r="AL957" s="236"/>
      <c r="AM957" s="249"/>
      <c r="AN957" s="422"/>
      <c r="AO957" s="508"/>
      <c r="AP957" s="421"/>
      <c r="AQ957" s="427" t="s">
        <v>9644</v>
      </c>
      <c r="AR957" s="428" t="s">
        <v>9582</v>
      </c>
      <c r="AS957" s="426"/>
      <c r="AT957" s="426"/>
      <c r="AU957" s="422"/>
      <c r="AV957" s="422"/>
      <c r="AW957" s="421" t="s">
        <v>69</v>
      </c>
      <c r="AX957" s="428" t="s">
        <v>2721</v>
      </c>
      <c r="AY957" s="420">
        <v>43553</v>
      </c>
      <c r="AZ957" s="428" t="s">
        <v>94</v>
      </c>
      <c r="BA957" s="420">
        <v>44067</v>
      </c>
      <c r="BB957" s="678">
        <v>44132</v>
      </c>
      <c r="BC957" s="428" t="s">
        <v>9645</v>
      </c>
      <c r="BD957" s="422"/>
      <c r="BE957" s="22"/>
      <c r="BF957" s="22"/>
      <c r="BG957" s="235"/>
      <c r="BH957" s="194"/>
      <c r="BI957" s="235"/>
      <c r="BJ957" s="159"/>
      <c r="BK957" s="159"/>
      <c r="BL957" s="196"/>
      <c r="BM957" s="384"/>
      <c r="BN957" s="541"/>
      <c r="BO957" s="449"/>
      <c r="BP957" s="392"/>
      <c r="BQ957" s="243"/>
      <c r="BR957" s="243"/>
      <c r="BS957" s="235"/>
      <c r="BT957" s="235"/>
      <c r="BU957" s="235"/>
      <c r="BV957" s="235"/>
      <c r="BW957" s="244"/>
      <c r="BX957" s="245"/>
      <c r="BY957" s="233"/>
      <c r="BZ957" s="246"/>
    </row>
    <row r="958" spans="1:78" ht="30">
      <c r="A958" s="96">
        <v>954</v>
      </c>
      <c r="B958" s="258" t="s">
        <v>9646</v>
      </c>
      <c r="C958" s="142"/>
      <c r="D958" s="424"/>
      <c r="E958" s="147">
        <v>44181</v>
      </c>
      <c r="F958" s="21">
        <v>44181</v>
      </c>
      <c r="G958" s="428" t="s">
        <v>9647</v>
      </c>
      <c r="H958" s="26" t="s">
        <v>576</v>
      </c>
      <c r="I958" s="423" t="s">
        <v>3423</v>
      </c>
      <c r="J958" s="147">
        <v>44400</v>
      </c>
      <c r="K958" s="21" t="s">
        <v>10614</v>
      </c>
      <c r="L958" s="959" t="s">
        <v>10615</v>
      </c>
      <c r="M958" s="26" t="s">
        <v>5</v>
      </c>
      <c r="N958" s="423" t="s">
        <v>79</v>
      </c>
      <c r="O958" s="147"/>
      <c r="P958" s="21"/>
      <c r="Q958" s="424"/>
      <c r="R958" s="26"/>
      <c r="S958" s="26"/>
      <c r="T958" s="233"/>
      <c r="U958" s="234"/>
      <c r="V958" s="235"/>
      <c r="W958" s="236"/>
      <c r="X958" s="249"/>
      <c r="Y958" s="233"/>
      <c r="Z958" s="234"/>
      <c r="AA958" s="235"/>
      <c r="AB958" s="236"/>
      <c r="AC958" s="249"/>
      <c r="AD958" s="233"/>
      <c r="AE958" s="234"/>
      <c r="AF958" s="235"/>
      <c r="AG958" s="236"/>
      <c r="AH958" s="249"/>
      <c r="AI958" s="237"/>
      <c r="AJ958" s="234"/>
      <c r="AK958" s="235"/>
      <c r="AL958" s="236"/>
      <c r="AM958" s="249"/>
      <c r="AN958" s="422"/>
      <c r="AO958" s="508"/>
      <c r="AP958" s="421"/>
      <c r="AQ958" s="427" t="s">
        <v>9648</v>
      </c>
      <c r="AR958" s="428" t="s">
        <v>9582</v>
      </c>
      <c r="AS958" s="426"/>
      <c r="AT958" s="426"/>
      <c r="AU958" s="422"/>
      <c r="AV958" s="422"/>
      <c r="AW958" s="422" t="s">
        <v>92</v>
      </c>
      <c r="AX958" s="428" t="s">
        <v>409</v>
      </c>
      <c r="AY958" s="420">
        <v>42326</v>
      </c>
      <c r="AZ958" s="428" t="s">
        <v>576</v>
      </c>
      <c r="BA958" s="420">
        <v>44084</v>
      </c>
      <c r="BB958" s="678">
        <v>44144</v>
      </c>
      <c r="BC958" s="428" t="s">
        <v>9649</v>
      </c>
      <c r="BD958" s="422" t="s">
        <v>7243</v>
      </c>
      <c r="BE958" s="22"/>
      <c r="BF958" s="22"/>
      <c r="BG958" s="235"/>
      <c r="BH958" s="194"/>
      <c r="BI958" s="235"/>
      <c r="BJ958" s="159"/>
      <c r="BK958" s="159"/>
      <c r="BL958" s="196"/>
      <c r="BM958" s="384"/>
      <c r="BN958" s="541"/>
      <c r="BO958" s="449"/>
      <c r="BP958" s="392"/>
      <c r="BQ958" s="243"/>
      <c r="BR958" s="243"/>
      <c r="BS958" s="235"/>
      <c r="BT958" s="235"/>
      <c r="BU958" s="235"/>
      <c r="BV958" s="235"/>
      <c r="BW958" s="244"/>
      <c r="BX958" s="245"/>
      <c r="BY958" s="233"/>
      <c r="BZ958" s="246"/>
    </row>
    <row r="959" spans="1:78" ht="27">
      <c r="A959" s="96">
        <v>955</v>
      </c>
      <c r="B959" s="258" t="s">
        <v>9650</v>
      </c>
      <c r="C959" s="142"/>
      <c r="D959" s="424"/>
      <c r="E959" s="147">
        <v>44181</v>
      </c>
      <c r="F959" s="21">
        <v>44181</v>
      </c>
      <c r="G959" s="428" t="s">
        <v>9651</v>
      </c>
      <c r="H959" s="26" t="s">
        <v>576</v>
      </c>
      <c r="I959" s="423" t="s">
        <v>3423</v>
      </c>
      <c r="J959" s="147"/>
      <c r="K959" s="21"/>
      <c r="L959" s="428"/>
      <c r="M959" s="26"/>
      <c r="N959" s="423"/>
      <c r="O959" s="147"/>
      <c r="P959" s="21"/>
      <c r="Q959" s="424"/>
      <c r="R959" s="26"/>
      <c r="S959" s="26"/>
      <c r="T959" s="233"/>
      <c r="U959" s="234"/>
      <c r="V959" s="235"/>
      <c r="W959" s="236"/>
      <c r="X959" s="249"/>
      <c r="Y959" s="233"/>
      <c r="Z959" s="234"/>
      <c r="AA959" s="235"/>
      <c r="AB959" s="236"/>
      <c r="AC959" s="249"/>
      <c r="AD959" s="233"/>
      <c r="AE959" s="234"/>
      <c r="AF959" s="235"/>
      <c r="AG959" s="236"/>
      <c r="AH959" s="249"/>
      <c r="AI959" s="237"/>
      <c r="AJ959" s="234"/>
      <c r="AK959" s="235"/>
      <c r="AL959" s="236"/>
      <c r="AM959" s="249"/>
      <c r="AN959" s="422"/>
      <c r="AO959" s="508"/>
      <c r="AP959" s="421"/>
      <c r="AQ959" s="427" t="s">
        <v>9652</v>
      </c>
      <c r="AR959" s="428" t="s">
        <v>9582</v>
      </c>
      <c r="AS959" s="426"/>
      <c r="AT959" s="426"/>
      <c r="AU959" s="422"/>
      <c r="AV959" s="422"/>
      <c r="AW959" s="421" t="s">
        <v>69</v>
      </c>
      <c r="AX959" s="428" t="s">
        <v>4215</v>
      </c>
      <c r="AY959" s="420">
        <v>41838</v>
      </c>
      <c r="AZ959" s="428" t="s">
        <v>576</v>
      </c>
      <c r="BA959" s="420">
        <v>43972</v>
      </c>
      <c r="BB959" s="678">
        <v>44090</v>
      </c>
      <c r="BC959" s="428" t="s">
        <v>9649</v>
      </c>
      <c r="BD959" s="422" t="s">
        <v>7243</v>
      </c>
      <c r="BE959" s="22"/>
      <c r="BF959" s="22"/>
      <c r="BG959" s="235"/>
      <c r="BH959" s="194"/>
      <c r="BI959" s="235"/>
      <c r="BJ959" s="159"/>
      <c r="BK959" s="159"/>
      <c r="BL959" s="196"/>
      <c r="BM959" s="384"/>
      <c r="BN959" s="541"/>
      <c r="BO959" s="449"/>
      <c r="BP959" s="392"/>
      <c r="BQ959" s="243"/>
      <c r="BR959" s="243"/>
      <c r="BS959" s="235"/>
      <c r="BT959" s="235"/>
      <c r="BU959" s="235"/>
      <c r="BV959" s="235"/>
      <c r="BW959" s="244"/>
      <c r="BX959" s="245"/>
      <c r="BY959" s="233"/>
      <c r="BZ959" s="234"/>
    </row>
    <row r="960" spans="1:78" ht="40.5">
      <c r="A960" s="96">
        <v>956</v>
      </c>
      <c r="B960" s="258" t="s">
        <v>9653</v>
      </c>
      <c r="C960" s="142"/>
      <c r="D960" s="424" t="s">
        <v>4647</v>
      </c>
      <c r="E960" s="147">
        <v>43558</v>
      </c>
      <c r="F960" s="21">
        <v>43558</v>
      </c>
      <c r="G960" s="428" t="s">
        <v>9656</v>
      </c>
      <c r="H960" s="26" t="s">
        <v>171</v>
      </c>
      <c r="I960" s="423" t="s">
        <v>3423</v>
      </c>
      <c r="J960" s="147">
        <v>43966</v>
      </c>
      <c r="K960" s="21">
        <v>43966</v>
      </c>
      <c r="L960" s="428" t="s">
        <v>9657</v>
      </c>
      <c r="M960" s="26" t="s">
        <v>625</v>
      </c>
      <c r="N960" s="423" t="s">
        <v>1495</v>
      </c>
      <c r="O960" s="147">
        <v>44167</v>
      </c>
      <c r="P960" s="21">
        <v>44167</v>
      </c>
      <c r="Q960" s="424" t="s">
        <v>9700</v>
      </c>
      <c r="R960" s="26" t="s">
        <v>625</v>
      </c>
      <c r="S960" s="26" t="s">
        <v>85</v>
      </c>
      <c r="T960" s="147">
        <v>44278</v>
      </c>
      <c r="U960" s="21">
        <v>44278</v>
      </c>
      <c r="V960" s="424" t="s">
        <v>10408</v>
      </c>
      <c r="W960" s="26" t="s">
        <v>63</v>
      </c>
      <c r="X960" s="26" t="s">
        <v>79</v>
      </c>
      <c r="Y960" s="233"/>
      <c r="Z960" s="234"/>
      <c r="AA960" s="235"/>
      <c r="AB960" s="236"/>
      <c r="AC960" s="249"/>
      <c r="AD960" s="233"/>
      <c r="AE960" s="234"/>
      <c r="AF960" s="235"/>
      <c r="AG960" s="236"/>
      <c r="AH960" s="249"/>
      <c r="AI960" s="237"/>
      <c r="AJ960" s="234"/>
      <c r="AK960" s="235"/>
      <c r="AL960" s="236"/>
      <c r="AM960" s="249"/>
      <c r="AN960" s="422"/>
      <c r="AO960" s="508"/>
      <c r="AP960" s="421"/>
      <c r="AQ960" s="427" t="s">
        <v>9655</v>
      </c>
      <c r="AR960" s="428" t="s">
        <v>9582</v>
      </c>
      <c r="AS960" s="426"/>
      <c r="AT960" s="426"/>
      <c r="AU960" s="422"/>
      <c r="AV960" s="422"/>
      <c r="AW960" s="421" t="s">
        <v>69</v>
      </c>
      <c r="AX960" s="428" t="s">
        <v>9654</v>
      </c>
      <c r="AY960" s="420">
        <v>43553</v>
      </c>
      <c r="AZ960" s="428" t="s">
        <v>9280</v>
      </c>
      <c r="BA960" s="420">
        <v>43965</v>
      </c>
      <c r="BB960" s="678">
        <v>44015</v>
      </c>
      <c r="BC960" s="428"/>
      <c r="BD960" s="422"/>
      <c r="BE960" s="22"/>
      <c r="BF960" s="22"/>
      <c r="BG960" s="235"/>
      <c r="BH960" s="194"/>
      <c r="BI960" s="235"/>
      <c r="BJ960" s="159"/>
      <c r="BK960" s="159"/>
      <c r="BL960" s="196"/>
      <c r="BM960" s="384"/>
      <c r="BN960" s="541"/>
      <c r="BO960" s="449"/>
      <c r="BP960" s="392"/>
      <c r="BQ960" s="243"/>
      <c r="BR960" s="243"/>
      <c r="BS960" s="235"/>
      <c r="BT960" s="235"/>
      <c r="BU960" s="235"/>
      <c r="BV960" s="235"/>
      <c r="BW960" s="244"/>
      <c r="BX960" s="245"/>
      <c r="BY960" s="233"/>
      <c r="BZ960" s="234"/>
    </row>
    <row r="961" spans="1:78" ht="27">
      <c r="A961" s="96">
        <v>957</v>
      </c>
      <c r="B961" s="258" t="s">
        <v>9658</v>
      </c>
      <c r="C961" s="142"/>
      <c r="D961" s="424"/>
      <c r="E961" s="147">
        <v>44160</v>
      </c>
      <c r="F961" s="21">
        <v>44160</v>
      </c>
      <c r="G961" s="428" t="s">
        <v>9659</v>
      </c>
      <c r="H961" s="26" t="s">
        <v>576</v>
      </c>
      <c r="I961" s="423" t="s">
        <v>3423</v>
      </c>
      <c r="J961" s="147"/>
      <c r="K961" s="21"/>
      <c r="L961" s="428"/>
      <c r="M961" s="26"/>
      <c r="N961" s="423"/>
      <c r="O961" s="147"/>
      <c r="P961" s="21"/>
      <c r="Q961" s="424"/>
      <c r="R961" s="26"/>
      <c r="S961" s="26"/>
      <c r="T961" s="233"/>
      <c r="U961" s="234"/>
      <c r="V961" s="235"/>
      <c r="W961" s="236"/>
      <c r="X961" s="249"/>
      <c r="Y961" s="233"/>
      <c r="Z961" s="234"/>
      <c r="AA961" s="235"/>
      <c r="AB961" s="236"/>
      <c r="AC961" s="249"/>
      <c r="AD961" s="233"/>
      <c r="AE961" s="234"/>
      <c r="AF961" s="235"/>
      <c r="AG961" s="236"/>
      <c r="AH961" s="249"/>
      <c r="AI961" s="237"/>
      <c r="AJ961" s="234"/>
      <c r="AK961" s="235"/>
      <c r="AL961" s="236"/>
      <c r="AM961" s="249"/>
      <c r="AN961" s="422"/>
      <c r="AO961" s="508"/>
      <c r="AP961" s="421"/>
      <c r="AQ961" s="427" t="s">
        <v>9660</v>
      </c>
      <c r="AR961" s="428" t="s">
        <v>9582</v>
      </c>
      <c r="AS961" s="426"/>
      <c r="AT961" s="426"/>
      <c r="AU961" s="422"/>
      <c r="AV961" s="422"/>
      <c r="AW961" s="421" t="s">
        <v>69</v>
      </c>
      <c r="AX961" s="428" t="s">
        <v>1630</v>
      </c>
      <c r="AY961" s="420">
        <v>42992</v>
      </c>
      <c r="AZ961" s="428" t="s">
        <v>576</v>
      </c>
      <c r="BA961" s="420">
        <v>44022</v>
      </c>
      <c r="BB961" s="678">
        <v>44112</v>
      </c>
      <c r="BC961" s="428" t="s">
        <v>95</v>
      </c>
      <c r="BD961" s="422" t="s">
        <v>7243</v>
      </c>
      <c r="BE961" s="22"/>
      <c r="BF961" s="22"/>
      <c r="BG961" s="235"/>
      <c r="BH961" s="194"/>
      <c r="BI961" s="235"/>
      <c r="BJ961" s="159"/>
      <c r="BK961" s="159"/>
      <c r="BL961" s="196"/>
      <c r="BM961" s="384"/>
      <c r="BN961" s="541"/>
      <c r="BO961" s="449"/>
      <c r="BP961" s="392"/>
      <c r="BQ961" s="243"/>
      <c r="BR961" s="243"/>
      <c r="BS961" s="235"/>
      <c r="BT961" s="235"/>
      <c r="BU961" s="235"/>
      <c r="BV961" s="235"/>
      <c r="BW961" s="244"/>
      <c r="BX961" s="245"/>
      <c r="BY961" s="233"/>
      <c r="BZ961" s="234"/>
    </row>
    <row r="962" spans="1:78" ht="27">
      <c r="A962" s="96">
        <v>958</v>
      </c>
      <c r="B962" s="258" t="s">
        <v>9662</v>
      </c>
      <c r="C962" s="142"/>
      <c r="D962" s="424"/>
      <c r="E962" s="147">
        <v>44159</v>
      </c>
      <c r="F962" s="21">
        <v>44159</v>
      </c>
      <c r="G962" s="428" t="s">
        <v>9661</v>
      </c>
      <c r="H962" s="26" t="s">
        <v>576</v>
      </c>
      <c r="I962" s="423" t="s">
        <v>3423</v>
      </c>
      <c r="J962" s="147"/>
      <c r="K962" s="21"/>
      <c r="L962" s="428"/>
      <c r="M962" s="26"/>
      <c r="N962" s="423"/>
      <c r="O962" s="147"/>
      <c r="P962" s="21"/>
      <c r="Q962" s="424"/>
      <c r="R962" s="26"/>
      <c r="S962" s="26"/>
      <c r="T962" s="233"/>
      <c r="U962" s="234"/>
      <c r="V962" s="235"/>
      <c r="W962" s="236"/>
      <c r="X962" s="249"/>
      <c r="Y962" s="233"/>
      <c r="Z962" s="234"/>
      <c r="AA962" s="235"/>
      <c r="AB962" s="236"/>
      <c r="AC962" s="249"/>
      <c r="AD962" s="233"/>
      <c r="AE962" s="234"/>
      <c r="AF962" s="235"/>
      <c r="AG962" s="236"/>
      <c r="AH962" s="249"/>
      <c r="AI962" s="237"/>
      <c r="AJ962" s="234"/>
      <c r="AK962" s="235"/>
      <c r="AL962" s="236"/>
      <c r="AM962" s="249"/>
      <c r="AN962" s="422"/>
      <c r="AO962" s="508"/>
      <c r="AP962" s="421"/>
      <c r="AQ962" s="427" t="s">
        <v>9663</v>
      </c>
      <c r="AR962" s="428" t="s">
        <v>9582</v>
      </c>
      <c r="AS962" s="426"/>
      <c r="AT962" s="426"/>
      <c r="AU962" s="422"/>
      <c r="AV962" s="422"/>
      <c r="AW962" s="422" t="s">
        <v>92</v>
      </c>
      <c r="AX962" s="428" t="s">
        <v>2591</v>
      </c>
      <c r="AY962" s="420"/>
      <c r="AZ962" s="428" t="s">
        <v>576</v>
      </c>
      <c r="BA962" s="420">
        <v>43962</v>
      </c>
      <c r="BB962" s="678">
        <v>44067</v>
      </c>
      <c r="BC962" s="428" t="s">
        <v>95</v>
      </c>
      <c r="BD962" s="422" t="s">
        <v>7243</v>
      </c>
      <c r="BE962" s="22"/>
      <c r="BF962" s="22"/>
      <c r="BG962" s="235"/>
      <c r="BH962" s="194"/>
      <c r="BI962" s="235"/>
      <c r="BJ962" s="159"/>
      <c r="BK962" s="159"/>
      <c r="BL962" s="196"/>
      <c r="BM962" s="384"/>
      <c r="BN962" s="541"/>
      <c r="BO962" s="449"/>
      <c r="BP962" s="392"/>
      <c r="BQ962" s="243"/>
      <c r="BR962" s="243"/>
      <c r="BS962" s="235"/>
      <c r="BT962" s="235"/>
      <c r="BU962" s="235"/>
      <c r="BV962" s="235"/>
      <c r="BW962" s="244"/>
      <c r="BX962" s="245"/>
      <c r="BY962" s="233"/>
      <c r="BZ962" s="234"/>
    </row>
    <row r="963" spans="1:78" ht="40.5">
      <c r="A963" s="96">
        <v>959</v>
      </c>
      <c r="B963" s="258" t="s">
        <v>1448</v>
      </c>
      <c r="C963" s="142"/>
      <c r="D963" s="424" t="s">
        <v>906</v>
      </c>
      <c r="E963" s="147">
        <v>44146</v>
      </c>
      <c r="F963" s="21">
        <v>44146</v>
      </c>
      <c r="G963" s="428" t="s">
        <v>9664</v>
      </c>
      <c r="H963" s="26" t="s">
        <v>94</v>
      </c>
      <c r="I963" s="423" t="s">
        <v>3423</v>
      </c>
      <c r="J963" s="147">
        <v>44341</v>
      </c>
      <c r="K963" s="21">
        <v>44341</v>
      </c>
      <c r="L963" s="428" t="s">
        <v>10493</v>
      </c>
      <c r="M963" s="26" t="s">
        <v>5</v>
      </c>
      <c r="N963" s="423" t="s">
        <v>79</v>
      </c>
      <c r="O963" s="147">
        <v>44480</v>
      </c>
      <c r="P963" s="21">
        <v>44470</v>
      </c>
      <c r="Q963" s="960" t="s">
        <v>10644</v>
      </c>
      <c r="R963" s="26" t="s">
        <v>208</v>
      </c>
      <c r="S963" s="26" t="s">
        <v>10645</v>
      </c>
      <c r="T963" s="233"/>
      <c r="U963" s="234"/>
      <c r="V963" s="235"/>
      <c r="W963" s="236"/>
      <c r="X963" s="249"/>
      <c r="Y963" s="233"/>
      <c r="Z963" s="234"/>
      <c r="AA963" s="235"/>
      <c r="AB963" s="236"/>
      <c r="AC963" s="249"/>
      <c r="AD963" s="233"/>
      <c r="AE963" s="234"/>
      <c r="AF963" s="235"/>
      <c r="AG963" s="236"/>
      <c r="AH963" s="249"/>
      <c r="AI963" s="237"/>
      <c r="AJ963" s="234"/>
      <c r="AK963" s="235"/>
      <c r="AL963" s="236"/>
      <c r="AM963" s="249"/>
      <c r="AN963" s="422"/>
      <c r="AO963" s="508"/>
      <c r="AP963" s="421"/>
      <c r="AQ963" s="427" t="s">
        <v>9665</v>
      </c>
      <c r="AR963" s="428" t="s">
        <v>9582</v>
      </c>
      <c r="AS963" s="426"/>
      <c r="AT963" s="426"/>
      <c r="AU963" s="422"/>
      <c r="AV963" s="422"/>
      <c r="AW963" s="421" t="s">
        <v>69</v>
      </c>
      <c r="AX963" s="428" t="s">
        <v>9666</v>
      </c>
      <c r="AY963" s="420">
        <v>43558</v>
      </c>
      <c r="AZ963" s="428" t="s">
        <v>94</v>
      </c>
      <c r="BA963" s="420">
        <v>44067</v>
      </c>
      <c r="BB963" s="678">
        <v>44126</v>
      </c>
      <c r="BC963" s="428" t="s">
        <v>9645</v>
      </c>
      <c r="BD963" s="422" t="s">
        <v>6447</v>
      </c>
      <c r="BE963" s="22"/>
      <c r="BF963" s="22"/>
      <c r="BG963" s="235"/>
      <c r="BH963" s="194"/>
      <c r="BI963" s="235"/>
      <c r="BJ963" s="159"/>
      <c r="BK963" s="159"/>
      <c r="BL963" s="196"/>
      <c r="BM963" s="384"/>
      <c r="BN963" s="541"/>
      <c r="BO963" s="449"/>
      <c r="BP963" s="392"/>
      <c r="BQ963" s="243"/>
      <c r="BR963" s="243"/>
      <c r="BS963" s="235"/>
      <c r="BT963" s="235"/>
      <c r="BU963" s="235"/>
      <c r="BV963" s="235"/>
      <c r="BW963" s="244"/>
      <c r="BX963" s="245"/>
      <c r="BY963" s="233"/>
      <c r="BZ963" s="234"/>
    </row>
    <row r="964" spans="1:78" ht="40.5">
      <c r="A964" s="96">
        <v>960</v>
      </c>
      <c r="B964" s="258" t="s">
        <v>9667</v>
      </c>
      <c r="C964" s="142"/>
      <c r="D964" s="424"/>
      <c r="E964" s="147">
        <v>44126</v>
      </c>
      <c r="F964" s="21">
        <v>44126</v>
      </c>
      <c r="G964" s="428" t="s">
        <v>9668</v>
      </c>
      <c r="H964" s="26" t="s">
        <v>94</v>
      </c>
      <c r="I964" s="423" t="s">
        <v>3423</v>
      </c>
      <c r="J964" s="147">
        <v>44146</v>
      </c>
      <c r="K964" s="21">
        <v>44146</v>
      </c>
      <c r="L964" s="428" t="s">
        <v>9695</v>
      </c>
      <c r="M964" s="26" t="s">
        <v>625</v>
      </c>
      <c r="N964" s="423" t="s">
        <v>1495</v>
      </c>
      <c r="O964" s="147"/>
      <c r="P964" s="21"/>
      <c r="Q964" s="424"/>
      <c r="R964" s="26"/>
      <c r="S964" s="26"/>
      <c r="T964" s="233"/>
      <c r="U964" s="234"/>
      <c r="V964" s="235"/>
      <c r="W964" s="236"/>
      <c r="X964" s="249"/>
      <c r="Y964" s="233"/>
      <c r="Z964" s="234"/>
      <c r="AA964" s="235"/>
      <c r="AB964" s="236"/>
      <c r="AC964" s="249"/>
      <c r="AD964" s="233"/>
      <c r="AE964" s="234"/>
      <c r="AF964" s="235"/>
      <c r="AG964" s="236"/>
      <c r="AH964" s="249"/>
      <c r="AI964" s="237"/>
      <c r="AJ964" s="234"/>
      <c r="AK964" s="235"/>
      <c r="AL964" s="236"/>
      <c r="AM964" s="249"/>
      <c r="AN964" s="422"/>
      <c r="AO964" s="508"/>
      <c r="AP964" s="421"/>
      <c r="AQ964" s="427" t="s">
        <v>9669</v>
      </c>
      <c r="AR964" s="428" t="s">
        <v>9582</v>
      </c>
      <c r="AS964" s="426"/>
      <c r="AT964" s="426"/>
      <c r="AU964" s="422"/>
      <c r="AV964" s="422"/>
      <c r="AW964" s="421" t="s">
        <v>69</v>
      </c>
      <c r="AX964" s="428" t="s">
        <v>9670</v>
      </c>
      <c r="AY964" s="420">
        <v>43447</v>
      </c>
      <c r="AZ964" s="428" t="s">
        <v>94</v>
      </c>
      <c r="BA964" s="420">
        <v>44067</v>
      </c>
      <c r="BB964" s="678">
        <v>44130</v>
      </c>
      <c r="BC964" s="428" t="s">
        <v>9645</v>
      </c>
      <c r="BD964" s="422" t="s">
        <v>6447</v>
      </c>
      <c r="BE964" s="22"/>
      <c r="BF964" s="22"/>
      <c r="BG964" s="235"/>
      <c r="BH964" s="194"/>
      <c r="BI964" s="235"/>
      <c r="BJ964" s="159"/>
      <c r="BK964" s="159"/>
      <c r="BL964" s="196"/>
      <c r="BM964" s="384"/>
      <c r="BN964" s="541"/>
      <c r="BO964" s="449"/>
      <c r="BP964" s="392"/>
      <c r="BQ964" s="243"/>
      <c r="BR964" s="243"/>
      <c r="BS964" s="235"/>
      <c r="BT964" s="235"/>
      <c r="BU964" s="235"/>
      <c r="BV964" s="235"/>
      <c r="BW964" s="244"/>
      <c r="BX964" s="245"/>
      <c r="BY964" s="233"/>
      <c r="BZ964" s="234"/>
    </row>
    <row r="965" spans="1:78" ht="40.5">
      <c r="A965" s="96">
        <v>961</v>
      </c>
      <c r="B965" s="258" t="s">
        <v>9671</v>
      </c>
      <c r="C965" s="142"/>
      <c r="D965" s="424"/>
      <c r="E965" s="147">
        <v>43860</v>
      </c>
      <c r="F965" s="21">
        <v>43860</v>
      </c>
      <c r="G965" s="428" t="s">
        <v>9672</v>
      </c>
      <c r="H965" s="26" t="s">
        <v>94</v>
      </c>
      <c r="I965" s="423" t="s">
        <v>3423</v>
      </c>
      <c r="J965" s="147"/>
      <c r="K965" s="21"/>
      <c r="L965" s="428"/>
      <c r="M965" s="26"/>
      <c r="N965" s="423"/>
      <c r="O965" s="147"/>
      <c r="P965" s="21"/>
      <c r="Q965" s="424"/>
      <c r="R965" s="26"/>
      <c r="S965" s="26"/>
      <c r="T965" s="233"/>
      <c r="U965" s="234"/>
      <c r="V965" s="235"/>
      <c r="W965" s="236"/>
      <c r="X965" s="249"/>
      <c r="Y965" s="233"/>
      <c r="Z965" s="234"/>
      <c r="AA965" s="235"/>
      <c r="AB965" s="236"/>
      <c r="AC965" s="249"/>
      <c r="AD965" s="233"/>
      <c r="AE965" s="234"/>
      <c r="AF965" s="235"/>
      <c r="AG965" s="236"/>
      <c r="AH965" s="249"/>
      <c r="AI965" s="237"/>
      <c r="AJ965" s="234"/>
      <c r="AK965" s="235"/>
      <c r="AL965" s="236"/>
      <c r="AM965" s="249"/>
      <c r="AN965" s="422"/>
      <c r="AO965" s="508"/>
      <c r="AP965" s="421"/>
      <c r="AQ965" s="427" t="s">
        <v>9673</v>
      </c>
      <c r="AR965" s="428" t="s">
        <v>9582</v>
      </c>
      <c r="AS965" s="426"/>
      <c r="AT965" s="426"/>
      <c r="AU965" s="422"/>
      <c r="AV965" s="422"/>
      <c r="AW965" s="421" t="s">
        <v>69</v>
      </c>
      <c r="AX965" s="428" t="s">
        <v>3663</v>
      </c>
      <c r="AY965" s="420">
        <v>43339</v>
      </c>
      <c r="AZ965" s="428" t="s">
        <v>94</v>
      </c>
      <c r="BA965" s="420">
        <v>43791</v>
      </c>
      <c r="BB965" s="678"/>
      <c r="BC965" s="428" t="s">
        <v>8296</v>
      </c>
      <c r="BD965" s="422" t="s">
        <v>7243</v>
      </c>
      <c r="BE965" s="22"/>
      <c r="BF965" s="22"/>
      <c r="BG965" s="235"/>
      <c r="BH965" s="194"/>
      <c r="BI965" s="235"/>
      <c r="BJ965" s="159"/>
      <c r="BK965" s="159"/>
      <c r="BL965" s="196"/>
      <c r="BM965" s="384"/>
      <c r="BN965" s="541"/>
      <c r="BO965" s="449"/>
      <c r="BP965" s="392"/>
      <c r="BQ965" s="243"/>
      <c r="BR965" s="243"/>
      <c r="BS965" s="235"/>
      <c r="BT965" s="235"/>
      <c r="BU965" s="235"/>
      <c r="BV965" s="235"/>
      <c r="BW965" s="244"/>
      <c r="BX965" s="245"/>
      <c r="BY965" s="233"/>
      <c r="BZ965" s="234"/>
    </row>
    <row r="966" spans="1:78" ht="40.5">
      <c r="A966" s="96">
        <v>962</v>
      </c>
      <c r="B966" s="258" t="s">
        <v>9671</v>
      </c>
      <c r="C966" s="142"/>
      <c r="D966" s="424"/>
      <c r="E966" s="147">
        <v>44126</v>
      </c>
      <c r="F966" s="21">
        <v>44126</v>
      </c>
      <c r="G966" s="428" t="s">
        <v>9674</v>
      </c>
      <c r="H966" s="26" t="s">
        <v>94</v>
      </c>
      <c r="I966" s="423" t="s">
        <v>3423</v>
      </c>
      <c r="J966" s="147">
        <v>44309</v>
      </c>
      <c r="K966" s="21">
        <v>44309</v>
      </c>
      <c r="L966" s="428" t="s">
        <v>10462</v>
      </c>
      <c r="M966" s="26" t="s">
        <v>5</v>
      </c>
      <c r="N966" s="423" t="s">
        <v>79</v>
      </c>
      <c r="O966" s="147"/>
      <c r="P966" s="21"/>
      <c r="Q966" s="424"/>
      <c r="R966" s="26"/>
      <c r="S966" s="26"/>
      <c r="T966" s="233"/>
      <c r="U966" s="234"/>
      <c r="V966" s="235"/>
      <c r="W966" s="236"/>
      <c r="X966" s="249"/>
      <c r="Y966" s="233"/>
      <c r="Z966" s="234"/>
      <c r="AA966" s="235"/>
      <c r="AB966" s="236"/>
      <c r="AC966" s="249"/>
      <c r="AD966" s="233"/>
      <c r="AE966" s="234"/>
      <c r="AF966" s="235"/>
      <c r="AG966" s="236"/>
      <c r="AH966" s="249"/>
      <c r="AI966" s="237"/>
      <c r="AJ966" s="234"/>
      <c r="AK966" s="235"/>
      <c r="AL966" s="236"/>
      <c r="AM966" s="249"/>
      <c r="AN966" s="422"/>
      <c r="AO966" s="508"/>
      <c r="AP966" s="421"/>
      <c r="AQ966" s="427" t="s">
        <v>9675</v>
      </c>
      <c r="AR966" s="428" t="s">
        <v>9582</v>
      </c>
      <c r="AS966" s="426"/>
      <c r="AT966" s="426"/>
      <c r="AU966" s="422"/>
      <c r="AV966" s="422"/>
      <c r="AW966" s="421" t="s">
        <v>69</v>
      </c>
      <c r="AX966" s="428" t="s">
        <v>9676</v>
      </c>
      <c r="AY966" s="420">
        <v>43215</v>
      </c>
      <c r="AZ966" s="428" t="s">
        <v>94</v>
      </c>
      <c r="BA966" s="420">
        <v>44067</v>
      </c>
      <c r="BB966" s="678">
        <v>44130</v>
      </c>
      <c r="BC966" s="428" t="s">
        <v>9645</v>
      </c>
      <c r="BD966" s="422" t="s">
        <v>6447</v>
      </c>
      <c r="BE966" s="22"/>
      <c r="BF966" s="22"/>
      <c r="BG966" s="235"/>
      <c r="BH966" s="194"/>
      <c r="BI966" s="235"/>
      <c r="BJ966" s="159"/>
      <c r="BK966" s="159"/>
      <c r="BL966" s="196"/>
      <c r="BM966" s="384"/>
      <c r="BN966" s="541"/>
      <c r="BO966" s="449"/>
      <c r="BP966" s="392"/>
      <c r="BQ966" s="243"/>
      <c r="BR966" s="243"/>
      <c r="BS966" s="235"/>
      <c r="BT966" s="235"/>
      <c r="BU966" s="235"/>
      <c r="BV966" s="235"/>
      <c r="BW966" s="244"/>
      <c r="BX966" s="245"/>
      <c r="BY966" s="233"/>
      <c r="BZ966" s="234"/>
    </row>
    <row r="967" spans="1:78" ht="40.5">
      <c r="A967" s="96">
        <v>963</v>
      </c>
      <c r="B967" s="258" t="s">
        <v>9677</v>
      </c>
      <c r="C967" s="142">
        <v>88206747</v>
      </c>
      <c r="D967" s="424" t="s">
        <v>167</v>
      </c>
      <c r="E967" s="147">
        <v>44138</v>
      </c>
      <c r="F967" s="21">
        <v>44138</v>
      </c>
      <c r="G967" s="428" t="s">
        <v>9678</v>
      </c>
      <c r="H967" s="26" t="s">
        <v>94</v>
      </c>
      <c r="I967" s="423" t="s">
        <v>3423</v>
      </c>
      <c r="J967" s="147">
        <v>44344</v>
      </c>
      <c r="K967" s="21">
        <v>44344</v>
      </c>
      <c r="L967" s="428" t="s">
        <v>10497</v>
      </c>
      <c r="M967" s="26" t="s">
        <v>5</v>
      </c>
      <c r="N967" s="423" t="s">
        <v>79</v>
      </c>
      <c r="O967" s="147"/>
      <c r="P967" s="21"/>
      <c r="Q967" s="424"/>
      <c r="R967" s="26"/>
      <c r="S967" s="26"/>
      <c r="T967" s="233"/>
      <c r="U967" s="234"/>
      <c r="V967" s="235"/>
      <c r="W967" s="236"/>
      <c r="X967" s="249"/>
      <c r="Y967" s="233"/>
      <c r="Z967" s="234"/>
      <c r="AA967" s="235"/>
      <c r="AB967" s="236"/>
      <c r="AC967" s="249"/>
      <c r="AD967" s="233"/>
      <c r="AE967" s="234"/>
      <c r="AF967" s="235"/>
      <c r="AG967" s="236"/>
      <c r="AH967" s="249"/>
      <c r="AI967" s="237"/>
      <c r="AJ967" s="234"/>
      <c r="AK967" s="235"/>
      <c r="AL967" s="236"/>
      <c r="AM967" s="249"/>
      <c r="AN967" s="422"/>
      <c r="AO967" s="508"/>
      <c r="AP967" s="421"/>
      <c r="AQ967" s="427" t="s">
        <v>9679</v>
      </c>
      <c r="AR967" s="428" t="s">
        <v>9582</v>
      </c>
      <c r="AS967" s="426"/>
      <c r="AT967" s="426"/>
      <c r="AU967" s="422"/>
      <c r="AV967" s="422"/>
      <c r="AW967" s="421" t="s">
        <v>69</v>
      </c>
      <c r="AX967" s="428" t="s">
        <v>9680</v>
      </c>
      <c r="AY967" s="420">
        <v>43245</v>
      </c>
      <c r="AZ967" s="428" t="s">
        <v>94</v>
      </c>
      <c r="BA967" s="420">
        <v>43896</v>
      </c>
      <c r="BB967" s="678">
        <v>44046</v>
      </c>
      <c r="BC967" s="428" t="s">
        <v>95</v>
      </c>
      <c r="BD967" s="422" t="s">
        <v>7243</v>
      </c>
      <c r="BE967" s="22"/>
      <c r="BF967" s="22"/>
      <c r="BG967" s="235"/>
      <c r="BH967" s="194"/>
      <c r="BI967" s="235"/>
      <c r="BJ967" s="159"/>
      <c r="BK967" s="159"/>
      <c r="BL967" s="196"/>
      <c r="BM967" s="384"/>
      <c r="BN967" s="541"/>
      <c r="BO967" s="449"/>
      <c r="BP967" s="392"/>
      <c r="BQ967" s="243"/>
      <c r="BR967" s="243"/>
      <c r="BS967" s="235"/>
      <c r="BT967" s="235"/>
      <c r="BU967" s="235"/>
      <c r="BV967" s="235"/>
      <c r="BW967" s="244"/>
      <c r="BX967" s="245"/>
      <c r="BY967" s="233"/>
      <c r="BZ967" s="234"/>
    </row>
    <row r="968" spans="1:78" ht="40.5">
      <c r="A968" s="96">
        <v>964</v>
      </c>
      <c r="B968" s="258" t="s">
        <v>9681</v>
      </c>
      <c r="C968" s="142"/>
      <c r="D968" s="424"/>
      <c r="E968" s="147">
        <v>44046</v>
      </c>
      <c r="F968" s="21">
        <v>44046</v>
      </c>
      <c r="G968" s="428" t="s">
        <v>9682</v>
      </c>
      <c r="H968" s="26" t="s">
        <v>94</v>
      </c>
      <c r="I968" s="423" t="s">
        <v>3423</v>
      </c>
      <c r="J968" s="147">
        <v>44131</v>
      </c>
      <c r="K968" s="21">
        <v>44131</v>
      </c>
      <c r="L968" s="428" t="s">
        <v>9685</v>
      </c>
      <c r="M968" s="26" t="s">
        <v>625</v>
      </c>
      <c r="N968" s="423" t="s">
        <v>1495</v>
      </c>
      <c r="O968" s="147"/>
      <c r="P968" s="21"/>
      <c r="Q968" s="424"/>
      <c r="R968" s="26"/>
      <c r="S968" s="26"/>
      <c r="T968" s="233"/>
      <c r="U968" s="234"/>
      <c r="V968" s="235"/>
      <c r="W968" s="236"/>
      <c r="X968" s="249"/>
      <c r="Y968" s="233"/>
      <c r="Z968" s="234"/>
      <c r="AA968" s="235"/>
      <c r="AB968" s="236"/>
      <c r="AC968" s="249"/>
      <c r="AD968" s="233"/>
      <c r="AE968" s="234"/>
      <c r="AF968" s="235"/>
      <c r="AG968" s="236"/>
      <c r="AH968" s="249"/>
      <c r="AI968" s="237"/>
      <c r="AJ968" s="234"/>
      <c r="AK968" s="235"/>
      <c r="AL968" s="236"/>
      <c r="AM968" s="249"/>
      <c r="AN968" s="422"/>
      <c r="AO968" s="508"/>
      <c r="AP968" s="421"/>
      <c r="AQ968" s="427" t="s">
        <v>9683</v>
      </c>
      <c r="AR968" s="428" t="s">
        <v>9582</v>
      </c>
      <c r="AS968" s="426"/>
      <c r="AT968" s="426"/>
      <c r="AU968" s="422"/>
      <c r="AV968" s="422"/>
      <c r="AW968" s="421" t="s">
        <v>69</v>
      </c>
      <c r="AX968" s="428" t="s">
        <v>9684</v>
      </c>
      <c r="AY968" s="420">
        <v>43228</v>
      </c>
      <c r="AZ968" s="428" t="s">
        <v>94</v>
      </c>
      <c r="BA968" s="420">
        <v>44015</v>
      </c>
      <c r="BB968" s="678">
        <v>44047</v>
      </c>
      <c r="BC968" s="428" t="s">
        <v>95</v>
      </c>
      <c r="BD968" s="422" t="s">
        <v>7243</v>
      </c>
      <c r="BE968" s="22"/>
      <c r="BF968" s="22"/>
      <c r="BG968" s="235"/>
      <c r="BH968" s="194"/>
      <c r="BI968" s="235"/>
      <c r="BJ968" s="159"/>
      <c r="BK968" s="159"/>
      <c r="BL968" s="196"/>
      <c r="BM968" s="384"/>
      <c r="BN968" s="541"/>
      <c r="BO968" s="449"/>
      <c r="BP968" s="392"/>
      <c r="BQ968" s="243"/>
      <c r="BR968" s="243"/>
      <c r="BS968" s="235"/>
      <c r="BT968" s="235"/>
      <c r="BU968" s="235"/>
      <c r="BV968" s="235"/>
      <c r="BW968" s="244"/>
      <c r="BX968" s="245"/>
      <c r="BY968" s="233"/>
      <c r="BZ968" s="234"/>
    </row>
    <row r="969" spans="1:78" ht="40.5">
      <c r="A969" s="96">
        <v>965</v>
      </c>
      <c r="B969" s="258" t="s">
        <v>9691</v>
      </c>
      <c r="C969" s="142"/>
      <c r="D969" s="424"/>
      <c r="E969" s="147">
        <v>43808</v>
      </c>
      <c r="F969" s="21">
        <v>43808</v>
      </c>
      <c r="G969" s="428" t="s">
        <v>9692</v>
      </c>
      <c r="H969" s="26" t="s">
        <v>94</v>
      </c>
      <c r="I969" s="423" t="s">
        <v>3423</v>
      </c>
      <c r="J969" s="147">
        <v>44326</v>
      </c>
      <c r="K969" s="21">
        <v>44326</v>
      </c>
      <c r="L969" s="428" t="s">
        <v>10479</v>
      </c>
      <c r="M969" s="26" t="s">
        <v>63</v>
      </c>
      <c r="N969" s="423" t="s">
        <v>79</v>
      </c>
      <c r="O969" s="147"/>
      <c r="P969" s="21"/>
      <c r="Q969" s="424"/>
      <c r="R969" s="26"/>
      <c r="S969" s="26"/>
      <c r="T969" s="233"/>
      <c r="U969" s="234"/>
      <c r="V969" s="235"/>
      <c r="W969" s="236"/>
      <c r="X969" s="249"/>
      <c r="Y969" s="233"/>
      <c r="Z969" s="234"/>
      <c r="AA969" s="235"/>
      <c r="AB969" s="236"/>
      <c r="AC969" s="249"/>
      <c r="AD969" s="233"/>
      <c r="AE969" s="234"/>
      <c r="AF969" s="235"/>
      <c r="AG969" s="236"/>
      <c r="AH969" s="249"/>
      <c r="AI969" s="237"/>
      <c r="AJ969" s="234"/>
      <c r="AK969" s="235"/>
      <c r="AL969" s="236"/>
      <c r="AM969" s="249"/>
      <c r="AN969" s="422"/>
      <c r="AO969" s="508"/>
      <c r="AP969" s="421"/>
      <c r="AQ969" s="427" t="s">
        <v>10480</v>
      </c>
      <c r="AR969" s="428" t="s">
        <v>79</v>
      </c>
      <c r="AS969" s="426"/>
      <c r="AT969" s="426"/>
      <c r="AU969" s="422"/>
      <c r="AV969" s="422"/>
      <c r="AW969" s="421"/>
      <c r="AX969" s="420" t="s">
        <v>9693</v>
      </c>
      <c r="AY969" s="420">
        <v>43486</v>
      </c>
      <c r="AZ969" s="428" t="s">
        <v>94</v>
      </c>
      <c r="BA969" s="420">
        <v>44065</v>
      </c>
      <c r="BB969" s="678">
        <v>44025</v>
      </c>
      <c r="BC969" s="428" t="s">
        <v>95</v>
      </c>
      <c r="BD969" s="422" t="s">
        <v>7243</v>
      </c>
      <c r="BE969" s="22"/>
      <c r="BF969" s="22"/>
      <c r="BG969" s="235"/>
      <c r="BH969" s="194"/>
      <c r="BI969" s="235"/>
      <c r="BJ969" s="159"/>
      <c r="BK969" s="159"/>
      <c r="BL969" s="196"/>
      <c r="BM969" s="384"/>
      <c r="BN969" s="541"/>
      <c r="BO969" s="449"/>
      <c r="BP969" s="392"/>
      <c r="BQ969" s="243"/>
      <c r="BR969" s="243"/>
      <c r="BS969" s="235"/>
      <c r="BT969" s="235"/>
      <c r="BU969" s="235"/>
      <c r="BV969" s="235"/>
      <c r="BW969" s="244"/>
      <c r="BX969" s="245"/>
      <c r="BY969" s="233"/>
      <c r="BZ969" s="234"/>
    </row>
    <row r="970" spans="1:78" ht="54">
      <c r="A970" s="96">
        <v>966</v>
      </c>
      <c r="B970" s="258" t="s">
        <v>9696</v>
      </c>
      <c r="C970" s="142"/>
      <c r="D970" s="424"/>
      <c r="E970" s="147">
        <v>44175</v>
      </c>
      <c r="F970" s="21">
        <v>44175</v>
      </c>
      <c r="G970" s="428" t="s">
        <v>9697</v>
      </c>
      <c r="H970" s="26" t="s">
        <v>94</v>
      </c>
      <c r="I970" s="423" t="s">
        <v>3423</v>
      </c>
      <c r="J970" s="147">
        <v>44174</v>
      </c>
      <c r="K970" s="21">
        <v>44174</v>
      </c>
      <c r="L970" s="428" t="s">
        <v>9699</v>
      </c>
      <c r="M970" s="26" t="s">
        <v>94</v>
      </c>
      <c r="N970" s="423" t="s">
        <v>3423</v>
      </c>
      <c r="O970" s="147">
        <v>44309</v>
      </c>
      <c r="P970" s="21">
        <v>44309</v>
      </c>
      <c r="Q970" s="424" t="s">
        <v>10460</v>
      </c>
      <c r="R970" s="26" t="s">
        <v>5</v>
      </c>
      <c r="S970" s="26" t="s">
        <v>79</v>
      </c>
      <c r="T970" s="233"/>
      <c r="U970" s="234"/>
      <c r="V970" s="235"/>
      <c r="W970" s="236"/>
      <c r="X970" s="249"/>
      <c r="Y970" s="233"/>
      <c r="Z970" s="234"/>
      <c r="AA970" s="235"/>
      <c r="AB970" s="236"/>
      <c r="AC970" s="249"/>
      <c r="AD970" s="233"/>
      <c r="AE970" s="234"/>
      <c r="AF970" s="235"/>
      <c r="AG970" s="236"/>
      <c r="AH970" s="249"/>
      <c r="AI970" s="237"/>
      <c r="AJ970" s="234"/>
      <c r="AK970" s="235"/>
      <c r="AL970" s="236"/>
      <c r="AM970" s="249"/>
      <c r="AN970" s="422"/>
      <c r="AO970" s="508"/>
      <c r="AP970" s="421"/>
      <c r="AQ970" s="427" t="s">
        <v>9698</v>
      </c>
      <c r="AR970" s="428" t="s">
        <v>9582</v>
      </c>
      <c r="AS970" s="426">
        <v>40523</v>
      </c>
      <c r="AT970" s="426">
        <v>40908</v>
      </c>
      <c r="AU970" s="422"/>
      <c r="AV970" s="422"/>
      <c r="AW970" s="421" t="s">
        <v>69</v>
      </c>
      <c r="AX970" s="428" t="s">
        <v>318</v>
      </c>
      <c r="AY970" s="420">
        <v>42247</v>
      </c>
      <c r="AZ970" s="428" t="s">
        <v>94</v>
      </c>
      <c r="BA970" s="420">
        <v>43853</v>
      </c>
      <c r="BB970" s="678">
        <v>44165</v>
      </c>
      <c r="BC970" s="428" t="s">
        <v>8296</v>
      </c>
      <c r="BD970" s="422" t="s">
        <v>7243</v>
      </c>
      <c r="BE970" s="22"/>
      <c r="BF970" s="22"/>
      <c r="BG970" s="235"/>
      <c r="BH970" s="194"/>
      <c r="BI970" s="235"/>
      <c r="BJ970" s="159"/>
      <c r="BK970" s="159"/>
      <c r="BL970" s="196"/>
      <c r="BM970" s="384"/>
      <c r="BN970" s="541"/>
      <c r="BO970" s="449"/>
      <c r="BP970" s="392"/>
      <c r="BQ970" s="243"/>
      <c r="BR970" s="243"/>
      <c r="BS970" s="235"/>
      <c r="BT970" s="235"/>
      <c r="BU970" s="235"/>
      <c r="BV970" s="235"/>
      <c r="BW970" s="244"/>
      <c r="BX970" s="245"/>
      <c r="BY970" s="233"/>
      <c r="BZ970" s="234"/>
    </row>
    <row r="971" spans="1:78" ht="40.5">
      <c r="A971" s="96">
        <v>967</v>
      </c>
      <c r="B971" s="258" t="s">
        <v>9704</v>
      </c>
      <c r="C971" s="142"/>
      <c r="D971" s="424"/>
      <c r="E971" s="147">
        <v>44082</v>
      </c>
      <c r="F971" s="21">
        <v>44082</v>
      </c>
      <c r="G971" s="428" t="s">
        <v>9705</v>
      </c>
      <c r="H971" s="26" t="s">
        <v>5</v>
      </c>
      <c r="I971" s="423" t="s">
        <v>79</v>
      </c>
      <c r="J971" s="147">
        <v>44088</v>
      </c>
      <c r="K971" s="21">
        <v>44088</v>
      </c>
      <c r="L971" s="428" t="s">
        <v>9708</v>
      </c>
      <c r="M971" s="26" t="s">
        <v>5</v>
      </c>
      <c r="N971" s="423" t="s">
        <v>79</v>
      </c>
      <c r="O971" s="147">
        <v>44161</v>
      </c>
      <c r="P971" s="21">
        <v>44161</v>
      </c>
      <c r="Q971" s="424" t="s">
        <v>9784</v>
      </c>
      <c r="R971" s="26" t="s">
        <v>5</v>
      </c>
      <c r="S971" s="26" t="s">
        <v>9771</v>
      </c>
      <c r="T971" s="233"/>
      <c r="U971" s="234"/>
      <c r="V971" s="235"/>
      <c r="W971" s="236"/>
      <c r="X971" s="249"/>
      <c r="Y971" s="233"/>
      <c r="Z971" s="234"/>
      <c r="AA971" s="235"/>
      <c r="AB971" s="236"/>
      <c r="AC971" s="249"/>
      <c r="AD971" s="233"/>
      <c r="AE971" s="234"/>
      <c r="AF971" s="235"/>
      <c r="AG971" s="236"/>
      <c r="AH971" s="249"/>
      <c r="AI971" s="237"/>
      <c r="AJ971" s="234"/>
      <c r="AK971" s="235"/>
      <c r="AL971" s="236"/>
      <c r="AM971" s="249"/>
      <c r="AN971" s="422"/>
      <c r="AO971" s="508"/>
      <c r="AP971" s="421"/>
      <c r="AQ971" s="427" t="s">
        <v>9706</v>
      </c>
      <c r="AR971" s="428" t="s">
        <v>79</v>
      </c>
      <c r="AS971" s="426"/>
      <c r="AT971" s="426"/>
      <c r="AU971" s="422"/>
      <c r="AV971" s="422"/>
      <c r="AW971" s="421" t="s">
        <v>69</v>
      </c>
      <c r="AX971" s="428" t="s">
        <v>9707</v>
      </c>
      <c r="AY971" s="420">
        <v>43630</v>
      </c>
      <c r="AZ971" s="428" t="s">
        <v>652</v>
      </c>
      <c r="BA971" s="420">
        <v>43902</v>
      </c>
      <c r="BB971" s="678"/>
      <c r="BC971" s="428" t="s">
        <v>95</v>
      </c>
      <c r="BD971" s="422" t="s">
        <v>7243</v>
      </c>
      <c r="BE971" s="22"/>
      <c r="BF971" s="22"/>
      <c r="BG971" s="235"/>
      <c r="BH971" s="194"/>
      <c r="BI971" s="235"/>
      <c r="BJ971" s="159"/>
      <c r="BK971" s="159"/>
      <c r="BL971" s="196"/>
      <c r="BM971" s="384"/>
      <c r="BN971" s="541"/>
      <c r="BO971" s="449"/>
      <c r="BP971" s="392"/>
      <c r="BQ971" s="243"/>
      <c r="BR971" s="243"/>
      <c r="BS971" s="235"/>
      <c r="BT971" s="235"/>
      <c r="BU971" s="235"/>
      <c r="BV971" s="235"/>
      <c r="BW971" s="244"/>
      <c r="BX971" s="245"/>
      <c r="BY971" s="233"/>
      <c r="BZ971" s="234"/>
    </row>
    <row r="972" spans="1:78" ht="15">
      <c r="A972" s="96">
        <v>968</v>
      </c>
      <c r="B972" s="258" t="s">
        <v>9738</v>
      </c>
      <c r="C972" s="142"/>
      <c r="D972" s="424"/>
      <c r="E972" s="147"/>
      <c r="F972" s="21"/>
      <c r="G972" s="428" t="s">
        <v>9739</v>
      </c>
      <c r="H972" s="26"/>
      <c r="I972" s="423"/>
      <c r="J972" s="147"/>
      <c r="K972" s="21"/>
      <c r="L972" s="428"/>
      <c r="M972" s="26"/>
      <c r="N972" s="423"/>
      <c r="O972" s="147"/>
      <c r="P972" s="21"/>
      <c r="Q972" s="424"/>
      <c r="R972" s="26"/>
      <c r="S972" s="26"/>
      <c r="T972" s="233"/>
      <c r="U972" s="234"/>
      <c r="V972" s="235"/>
      <c r="W972" s="236"/>
      <c r="X972" s="249"/>
      <c r="Y972" s="233"/>
      <c r="Z972" s="234"/>
      <c r="AA972" s="235"/>
      <c r="AB972" s="236"/>
      <c r="AC972" s="249"/>
      <c r="AD972" s="233"/>
      <c r="AE972" s="234"/>
      <c r="AF972" s="235"/>
      <c r="AG972" s="236"/>
      <c r="AH972" s="249"/>
      <c r="AI972" s="237"/>
      <c r="AJ972" s="234"/>
      <c r="AK972" s="235"/>
      <c r="AL972" s="236"/>
      <c r="AM972" s="249"/>
      <c r="AN972" s="422"/>
      <c r="AO972" s="508"/>
      <c r="AP972" s="421"/>
      <c r="AQ972" s="427"/>
      <c r="AR972" s="428"/>
      <c r="AS972" s="426"/>
      <c r="AT972" s="426"/>
      <c r="AU972" s="422"/>
      <c r="AV972" s="422"/>
      <c r="AW972" s="421"/>
      <c r="AX972" s="428"/>
      <c r="AY972" s="420"/>
      <c r="AZ972" s="428"/>
      <c r="BA972" s="420"/>
      <c r="BB972" s="678"/>
      <c r="BC972" s="428"/>
      <c r="BD972" s="422"/>
      <c r="BE972" s="22"/>
      <c r="BF972" s="22"/>
      <c r="BG972" s="235"/>
      <c r="BH972" s="194"/>
      <c r="BI972" s="235"/>
      <c r="BJ972" s="159"/>
      <c r="BK972" s="159"/>
      <c r="BL972" s="196"/>
      <c r="BM972" s="384"/>
      <c r="BN972" s="541"/>
      <c r="BO972" s="449"/>
      <c r="BP972" s="392"/>
      <c r="BQ972" s="243"/>
      <c r="BR972" s="243"/>
      <c r="BS972" s="235"/>
      <c r="BT972" s="235"/>
      <c r="BU972" s="235"/>
      <c r="BV972" s="235"/>
      <c r="BW972" s="244"/>
      <c r="BX972" s="245"/>
      <c r="BY972" s="233"/>
      <c r="BZ972" s="234"/>
    </row>
    <row r="973" spans="1:78" ht="40.5">
      <c r="A973" s="96">
        <v>969</v>
      </c>
      <c r="B973" s="258" t="s">
        <v>9766</v>
      </c>
      <c r="C973" s="142">
        <v>76325481</v>
      </c>
      <c r="D973" s="424" t="s">
        <v>2446</v>
      </c>
      <c r="E973" s="147" t="s">
        <v>9767</v>
      </c>
      <c r="F973" s="21">
        <v>44139</v>
      </c>
      <c r="G973" s="428" t="s">
        <v>9767</v>
      </c>
      <c r="H973" s="26" t="s">
        <v>5</v>
      </c>
      <c r="I973" s="423" t="s">
        <v>79</v>
      </c>
      <c r="J973" s="147"/>
      <c r="K973" s="21"/>
      <c r="L973" s="428"/>
      <c r="M973" s="26"/>
      <c r="N973" s="423"/>
      <c r="O973" s="147"/>
      <c r="P973" s="21"/>
      <c r="Q973" s="424"/>
      <c r="R973" s="26"/>
      <c r="S973" s="26"/>
      <c r="T973" s="233"/>
      <c r="U973" s="234"/>
      <c r="V973" s="235"/>
      <c r="W973" s="236"/>
      <c r="X973" s="249"/>
      <c r="Y973" s="233"/>
      <c r="Z973" s="234"/>
      <c r="AA973" s="235"/>
      <c r="AB973" s="236"/>
      <c r="AC973" s="249"/>
      <c r="AD973" s="233"/>
      <c r="AE973" s="234"/>
      <c r="AF973" s="235"/>
      <c r="AG973" s="236"/>
      <c r="AH973" s="249"/>
      <c r="AI973" s="237"/>
      <c r="AJ973" s="234"/>
      <c r="AK973" s="235"/>
      <c r="AL973" s="236"/>
      <c r="AM973" s="249"/>
      <c r="AN973" s="422"/>
      <c r="AO973" s="508"/>
      <c r="AP973" s="421"/>
      <c r="AQ973" s="427" t="s">
        <v>9768</v>
      </c>
      <c r="AR973" s="428" t="s">
        <v>79</v>
      </c>
      <c r="AS973" s="426">
        <v>39448</v>
      </c>
      <c r="AT973" s="426">
        <v>40862</v>
      </c>
      <c r="AU973" s="422"/>
      <c r="AV973" s="422"/>
      <c r="AW973" s="421" t="s">
        <v>69</v>
      </c>
      <c r="AX973" s="428" t="s">
        <v>9769</v>
      </c>
      <c r="AY973" s="420">
        <v>42508</v>
      </c>
      <c r="AZ973" s="428" t="s">
        <v>2250</v>
      </c>
      <c r="BA973" s="420">
        <v>43881</v>
      </c>
      <c r="BB973" s="678">
        <v>44125</v>
      </c>
      <c r="BC973" s="428" t="s">
        <v>95</v>
      </c>
      <c r="BD973" s="422" t="s">
        <v>7243</v>
      </c>
      <c r="BE973" s="22"/>
      <c r="BF973" s="22"/>
      <c r="BG973" s="235"/>
      <c r="BH973" s="194"/>
      <c r="BI973" s="235"/>
      <c r="BJ973" s="159"/>
      <c r="BK973" s="159"/>
      <c r="BL973" s="196"/>
      <c r="BM973" s="384"/>
      <c r="BN973" s="541"/>
      <c r="BO973" s="449"/>
      <c r="BP973" s="392"/>
      <c r="BQ973" s="243"/>
      <c r="BR973" s="243"/>
      <c r="BS973" s="235"/>
      <c r="BT973" s="235"/>
      <c r="BU973" s="235"/>
      <c r="BV973" s="235"/>
      <c r="BW973" s="244"/>
      <c r="BX973" s="245"/>
      <c r="BY973" s="233"/>
      <c r="BZ973" s="234"/>
    </row>
    <row r="974" spans="1:78" ht="15">
      <c r="A974" s="96">
        <v>970</v>
      </c>
      <c r="B974" s="258" t="s">
        <v>9772</v>
      </c>
      <c r="C974" s="142"/>
      <c r="D974" s="424"/>
      <c r="E974" s="147">
        <v>44152</v>
      </c>
      <c r="F974" s="21">
        <v>44152</v>
      </c>
      <c r="G974" s="147" t="s">
        <v>9773</v>
      </c>
      <c r="H974" s="26" t="s">
        <v>208</v>
      </c>
      <c r="I974" s="423" t="s">
        <v>79</v>
      </c>
      <c r="J974" s="147"/>
      <c r="K974" s="21"/>
      <c r="L974" s="428"/>
      <c r="M974" s="26"/>
      <c r="N974" s="423"/>
      <c r="O974" s="147"/>
      <c r="P974" s="21"/>
      <c r="Q974" s="424"/>
      <c r="R974" s="26"/>
      <c r="S974" s="26"/>
      <c r="T974" s="233"/>
      <c r="U974" s="234"/>
      <c r="V974" s="235"/>
      <c r="W974" s="236"/>
      <c r="X974" s="249"/>
      <c r="Y974" s="233"/>
      <c r="Z974" s="234"/>
      <c r="AA974" s="235"/>
      <c r="AB974" s="236"/>
      <c r="AC974" s="249"/>
      <c r="AD974" s="233"/>
      <c r="AE974" s="234"/>
      <c r="AF974" s="235"/>
      <c r="AG974" s="236"/>
      <c r="AH974" s="249"/>
      <c r="AI974" s="237"/>
      <c r="AJ974" s="234"/>
      <c r="AK974" s="235"/>
      <c r="AL974" s="236"/>
      <c r="AM974" s="249"/>
      <c r="AN974" s="422"/>
      <c r="AO974" s="508"/>
      <c r="AP974" s="421"/>
      <c r="AQ974" s="427"/>
      <c r="AR974" s="428"/>
      <c r="AS974" s="426"/>
      <c r="AT974" s="426"/>
      <c r="AU974" s="422"/>
      <c r="AV974" s="422"/>
      <c r="AW974" s="421"/>
      <c r="AX974" s="428"/>
      <c r="AY974" s="420"/>
      <c r="AZ974" s="428"/>
      <c r="BA974" s="420"/>
      <c r="BB974" s="678">
        <v>41306</v>
      </c>
      <c r="BC974" s="428"/>
      <c r="BD974" s="422"/>
      <c r="BE974" s="22"/>
      <c r="BF974" s="22"/>
      <c r="BG974" s="235"/>
      <c r="BH974" s="194"/>
      <c r="BI974" s="235"/>
      <c r="BJ974" s="159"/>
      <c r="BK974" s="159"/>
      <c r="BL974" s="196"/>
      <c r="BM974" s="384"/>
      <c r="BN974" s="541"/>
      <c r="BO974" s="449"/>
      <c r="BP974" s="392"/>
      <c r="BQ974" s="243"/>
      <c r="BR974" s="243"/>
      <c r="BS974" s="235"/>
      <c r="BT974" s="235"/>
      <c r="BU974" s="235"/>
      <c r="BV974" s="235"/>
      <c r="BW974" s="244"/>
      <c r="BX974" s="245"/>
      <c r="BY974" s="233"/>
      <c r="BZ974" s="234"/>
    </row>
    <row r="975" spans="1:78" ht="27">
      <c r="A975" s="96">
        <v>971</v>
      </c>
      <c r="B975" s="258" t="s">
        <v>9788</v>
      </c>
      <c r="C975" s="142">
        <v>72260018</v>
      </c>
      <c r="D975" s="424" t="s">
        <v>608</v>
      </c>
      <c r="E975" s="147">
        <v>44167</v>
      </c>
      <c r="F975" s="21">
        <v>44167</v>
      </c>
      <c r="G975" s="428" t="s">
        <v>9789</v>
      </c>
      <c r="H975" s="26" t="s">
        <v>5</v>
      </c>
      <c r="I975" s="423" t="s">
        <v>79</v>
      </c>
      <c r="J975" s="147"/>
      <c r="K975" s="21"/>
      <c r="L975" s="428"/>
      <c r="M975" s="26"/>
      <c r="N975" s="423"/>
      <c r="O975" s="147"/>
      <c r="P975" s="21"/>
      <c r="Q975" s="424"/>
      <c r="R975" s="26"/>
      <c r="S975" s="26"/>
      <c r="T975" s="233"/>
      <c r="U975" s="234"/>
      <c r="V975" s="235"/>
      <c r="W975" s="236"/>
      <c r="X975" s="249"/>
      <c r="Y975" s="233"/>
      <c r="Z975" s="234"/>
      <c r="AA975" s="235"/>
      <c r="AB975" s="236"/>
      <c r="AC975" s="249"/>
      <c r="AD975" s="233"/>
      <c r="AE975" s="234"/>
      <c r="AF975" s="235"/>
      <c r="AG975" s="236"/>
      <c r="AH975" s="249"/>
      <c r="AI975" s="237"/>
      <c r="AJ975" s="234"/>
      <c r="AK975" s="235"/>
      <c r="AL975" s="236"/>
      <c r="AM975" s="249"/>
      <c r="AN975" s="422"/>
      <c r="AO975" s="508"/>
      <c r="AP975" s="421"/>
      <c r="AQ975" s="427" t="s">
        <v>9879</v>
      </c>
      <c r="AR975" s="428" t="s">
        <v>79</v>
      </c>
      <c r="AS975" s="426">
        <v>40268</v>
      </c>
      <c r="AT975" s="426">
        <v>40724</v>
      </c>
      <c r="AU975" s="422"/>
      <c r="AV975" s="422"/>
      <c r="AW975" s="421" t="s">
        <v>69</v>
      </c>
      <c r="AX975" s="428" t="s">
        <v>328</v>
      </c>
      <c r="AY975" s="420">
        <v>42704</v>
      </c>
      <c r="AZ975" s="428"/>
      <c r="BA975" s="420"/>
      <c r="BB975" s="678">
        <v>42768</v>
      </c>
      <c r="BC975" s="428" t="s">
        <v>95</v>
      </c>
      <c r="BD975" s="422" t="s">
        <v>7243</v>
      </c>
      <c r="BE975" s="22"/>
      <c r="BF975" s="22"/>
      <c r="BG975" s="235"/>
      <c r="BH975" s="194"/>
      <c r="BI975" s="235"/>
      <c r="BJ975" s="159"/>
      <c r="BK975" s="159"/>
      <c r="BL975" s="196"/>
      <c r="BM975" s="384"/>
      <c r="BN975" s="541"/>
      <c r="BO975" s="449"/>
      <c r="BP975" s="392"/>
      <c r="BQ975" s="243"/>
      <c r="BR975" s="243"/>
      <c r="BS975" s="235"/>
      <c r="BT975" s="235"/>
      <c r="BU975" s="235"/>
      <c r="BV975" s="235"/>
      <c r="BW975" s="244"/>
      <c r="BX975" s="245"/>
      <c r="BY975" s="233"/>
      <c r="BZ975" s="234"/>
    </row>
    <row r="976" spans="1:78" ht="27">
      <c r="A976" s="96">
        <v>972</v>
      </c>
      <c r="B976" s="258" t="s">
        <v>9878</v>
      </c>
      <c r="C976" s="142"/>
      <c r="D976" s="424"/>
      <c r="E976" s="147"/>
      <c r="F976" s="21"/>
      <c r="G976" s="428"/>
      <c r="H976" s="26"/>
      <c r="I976" s="423"/>
      <c r="J976" s="147"/>
      <c r="K976" s="21"/>
      <c r="L976" s="428"/>
      <c r="M976" s="26"/>
      <c r="N976" s="423"/>
      <c r="O976" s="147"/>
      <c r="P976" s="21"/>
      <c r="Q976" s="424"/>
      <c r="R976" s="26"/>
      <c r="S976" s="26"/>
      <c r="T976" s="233"/>
      <c r="U976" s="234"/>
      <c r="V976" s="235"/>
      <c r="W976" s="236"/>
      <c r="X976" s="249"/>
      <c r="Y976" s="233"/>
      <c r="Z976" s="234"/>
      <c r="AA976" s="235"/>
      <c r="AB976" s="236"/>
      <c r="AC976" s="249"/>
      <c r="AD976" s="233"/>
      <c r="AE976" s="234"/>
      <c r="AF976" s="235"/>
      <c r="AG976" s="236"/>
      <c r="AH976" s="249"/>
      <c r="AI976" s="237"/>
      <c r="AJ976" s="234"/>
      <c r="AK976" s="235"/>
      <c r="AL976" s="236"/>
      <c r="AM976" s="249"/>
      <c r="AN976" s="422"/>
      <c r="AO976" s="508"/>
      <c r="AP976" s="421"/>
      <c r="AQ976" s="427" t="s">
        <v>9880</v>
      </c>
      <c r="AR976" s="428"/>
      <c r="AS976" s="426"/>
      <c r="AT976" s="426"/>
      <c r="AU976" s="422"/>
      <c r="AV976" s="422"/>
      <c r="AW976" s="421" t="s">
        <v>69</v>
      </c>
      <c r="AX976" s="428"/>
      <c r="AY976" s="420">
        <v>43153</v>
      </c>
      <c r="AZ976" s="428" t="s">
        <v>576</v>
      </c>
      <c r="BA976" s="420">
        <v>44035</v>
      </c>
      <c r="BB976" s="678">
        <v>44126</v>
      </c>
      <c r="BC976" s="428" t="s">
        <v>9645</v>
      </c>
      <c r="BD976" s="422"/>
      <c r="BE976" s="22"/>
      <c r="BF976" s="22"/>
      <c r="BG976" s="235"/>
      <c r="BH976" s="194"/>
      <c r="BI976" s="235"/>
      <c r="BJ976" s="159"/>
      <c r="BK976" s="159"/>
      <c r="BL976" s="196"/>
      <c r="BM976" s="384"/>
      <c r="BN976" s="541"/>
      <c r="BO976" s="449"/>
      <c r="BP976" s="392"/>
      <c r="BQ976" s="243"/>
      <c r="BR976" s="243"/>
      <c r="BS976" s="235"/>
      <c r="BT976" s="235"/>
      <c r="BU976" s="235"/>
      <c r="BV976" s="235"/>
      <c r="BW976" s="244"/>
      <c r="BX976" s="245"/>
      <c r="BY976" s="233"/>
      <c r="BZ976" s="234"/>
    </row>
    <row r="977" spans="1:78" ht="30">
      <c r="A977" s="96">
        <v>973</v>
      </c>
      <c r="B977" s="258" t="s">
        <v>9805</v>
      </c>
      <c r="C977" s="142">
        <v>93383877</v>
      </c>
      <c r="D977" s="424"/>
      <c r="E977" s="147">
        <v>44195</v>
      </c>
      <c r="F977" s="21">
        <v>44195</v>
      </c>
      <c r="G977" s="428" t="s">
        <v>9804</v>
      </c>
      <c r="H977" s="26" t="s">
        <v>208</v>
      </c>
      <c r="I977" s="423" t="s">
        <v>79</v>
      </c>
      <c r="J977" s="147">
        <v>44482</v>
      </c>
      <c r="K977" s="21">
        <v>44470</v>
      </c>
      <c r="L977" s="959" t="s">
        <v>10669</v>
      </c>
      <c r="M977" s="26" t="s">
        <v>208</v>
      </c>
      <c r="N977" s="423" t="s">
        <v>8447</v>
      </c>
      <c r="O977" s="963">
        <v>44567</v>
      </c>
      <c r="P977" s="21">
        <v>44562</v>
      </c>
      <c r="Q977" s="959" t="s">
        <v>10739</v>
      </c>
      <c r="R977" s="26" t="s">
        <v>208</v>
      </c>
      <c r="S977" s="26" t="s">
        <v>10645</v>
      </c>
      <c r="T977" s="233"/>
      <c r="U977" s="234"/>
      <c r="V977" s="235"/>
      <c r="W977" s="236"/>
      <c r="X977" s="249"/>
      <c r="Y977" s="233"/>
      <c r="Z977" s="234"/>
      <c r="AA977" s="235"/>
      <c r="AB977" s="236"/>
      <c r="AC977" s="249"/>
      <c r="AD977" s="233"/>
      <c r="AE977" s="234"/>
      <c r="AF977" s="235"/>
      <c r="AG977" s="236"/>
      <c r="AH977" s="249"/>
      <c r="AI977" s="237"/>
      <c r="AJ977" s="234"/>
      <c r="AK977" s="235"/>
      <c r="AL977" s="236"/>
      <c r="AM977" s="249"/>
      <c r="AN977" s="422"/>
      <c r="AO977" s="508"/>
      <c r="AP977" s="421"/>
      <c r="AQ977" s="427" t="s">
        <v>9883</v>
      </c>
      <c r="AR977" s="428" t="s">
        <v>79</v>
      </c>
      <c r="AS977" s="426" t="s">
        <v>67</v>
      </c>
      <c r="AT977" s="426" t="s">
        <v>67</v>
      </c>
      <c r="AU977" s="422"/>
      <c r="AV977" s="422"/>
      <c r="AW977" s="422" t="s">
        <v>92</v>
      </c>
      <c r="AX977" s="428" t="s">
        <v>9884</v>
      </c>
      <c r="AY977" s="420">
        <v>42781</v>
      </c>
      <c r="AZ977" s="428" t="s">
        <v>67</v>
      </c>
      <c r="BA977" s="420" t="s">
        <v>67</v>
      </c>
      <c r="BB977" s="678">
        <v>43536</v>
      </c>
      <c r="BC977" s="428" t="s">
        <v>561</v>
      </c>
      <c r="BD977" s="422" t="s">
        <v>7243</v>
      </c>
      <c r="BE977" s="22"/>
      <c r="BF977" s="22"/>
      <c r="BG977" s="235"/>
      <c r="BH977" s="194"/>
      <c r="BI977" s="235"/>
      <c r="BJ977" s="159"/>
      <c r="BK977" s="159"/>
      <c r="BL977" s="196"/>
      <c r="BM977" s="384"/>
      <c r="BN977" s="541"/>
      <c r="BO977" s="449"/>
      <c r="BP977" s="392"/>
      <c r="BQ977" s="243"/>
      <c r="BR977" s="243"/>
      <c r="BS977" s="235"/>
      <c r="BT977" s="235"/>
      <c r="BU977" s="235"/>
      <c r="BV977" s="235"/>
      <c r="BW977" s="244"/>
      <c r="BX977" s="245"/>
      <c r="BY977" s="233"/>
      <c r="BZ977" s="234"/>
    </row>
    <row r="978" spans="1:78" ht="54.75" customHeight="1">
      <c r="A978" s="96">
        <v>974</v>
      </c>
      <c r="B978" s="258" t="s">
        <v>10354</v>
      </c>
      <c r="C978" s="142"/>
      <c r="D978" s="424"/>
      <c r="E978" s="147">
        <v>44309</v>
      </c>
      <c r="F978" s="21">
        <v>44309</v>
      </c>
      <c r="G978" s="428" t="s">
        <v>10355</v>
      </c>
      <c r="H978" s="26" t="s">
        <v>576</v>
      </c>
      <c r="I978" s="423" t="s">
        <v>2395</v>
      </c>
      <c r="J978" s="147"/>
      <c r="K978" s="21"/>
      <c r="L978" s="428"/>
      <c r="M978" s="26"/>
      <c r="N978" s="423"/>
      <c r="O978" s="147"/>
      <c r="P978" s="21"/>
      <c r="Q978" s="424"/>
      <c r="R978" s="26"/>
      <c r="S978" s="26"/>
      <c r="T978" s="233"/>
      <c r="U978" s="234"/>
      <c r="V978" s="235"/>
      <c r="W978" s="236"/>
      <c r="X978" s="249"/>
      <c r="Y978" s="233"/>
      <c r="Z978" s="234"/>
      <c r="AA978" s="235"/>
      <c r="AB978" s="236"/>
      <c r="AC978" s="249"/>
      <c r="AD978" s="233"/>
      <c r="AE978" s="234"/>
      <c r="AF978" s="235"/>
      <c r="AG978" s="236"/>
      <c r="AH978" s="249"/>
      <c r="AI978" s="237"/>
      <c r="AJ978" s="234"/>
      <c r="AK978" s="235"/>
      <c r="AL978" s="236"/>
      <c r="AM978" s="249"/>
      <c r="AN978" s="422"/>
      <c r="AO978" s="508"/>
      <c r="AP978" s="421"/>
      <c r="AQ978" s="427" t="s">
        <v>10356</v>
      </c>
      <c r="AR978" s="428" t="s">
        <v>2395</v>
      </c>
      <c r="AS978" s="426">
        <v>37073</v>
      </c>
      <c r="AT978" s="426">
        <v>40632</v>
      </c>
      <c r="AU978" s="422" t="s">
        <v>10358</v>
      </c>
      <c r="AV978" s="422"/>
      <c r="AW978" s="421"/>
      <c r="AX978" s="428" t="s">
        <v>10357</v>
      </c>
      <c r="AY978" s="420">
        <v>42863</v>
      </c>
      <c r="AZ978" s="420" t="s">
        <v>576</v>
      </c>
      <c r="BA978" s="420">
        <v>44162</v>
      </c>
      <c r="BB978" s="678">
        <v>44232</v>
      </c>
      <c r="BC978" s="428" t="s">
        <v>95</v>
      </c>
      <c r="BD978" s="422" t="s">
        <v>7243</v>
      </c>
      <c r="BE978" s="22"/>
      <c r="BF978" s="22"/>
      <c r="BG978" s="235"/>
      <c r="BH978" s="194"/>
      <c r="BI978" s="235"/>
      <c r="BJ978" s="159"/>
      <c r="BK978" s="159"/>
      <c r="BL978" s="196"/>
      <c r="BM978" s="384"/>
      <c r="BN978" s="541"/>
      <c r="BO978" s="449"/>
      <c r="BP978" s="392"/>
      <c r="BQ978" s="243"/>
      <c r="BR978" s="243"/>
      <c r="BS978" s="235"/>
      <c r="BT978" s="235"/>
      <c r="BU978" s="235"/>
      <c r="BV978" s="235"/>
      <c r="BW978" s="244"/>
      <c r="BX978" s="245"/>
      <c r="BY978" s="233"/>
      <c r="BZ978" s="234"/>
    </row>
    <row r="979" spans="1:78" ht="40.5">
      <c r="A979" s="96">
        <v>975</v>
      </c>
      <c r="B979" s="258" t="s">
        <v>10302</v>
      </c>
      <c r="C979" s="142">
        <v>93409190</v>
      </c>
      <c r="D979" s="424" t="s">
        <v>2446</v>
      </c>
      <c r="E979" s="147">
        <v>44259</v>
      </c>
      <c r="F979" s="21">
        <v>44259</v>
      </c>
      <c r="G979" s="428" t="s">
        <v>10368</v>
      </c>
      <c r="H979" s="26" t="s">
        <v>5</v>
      </c>
      <c r="I979" s="26" t="s">
        <v>79</v>
      </c>
      <c r="J979" s="147">
        <v>44266</v>
      </c>
      <c r="K979" s="21">
        <v>44266</v>
      </c>
      <c r="L979" s="428" t="s">
        <v>10373</v>
      </c>
      <c r="M979" s="26" t="s">
        <v>5</v>
      </c>
      <c r="N979" s="423" t="s">
        <v>85</v>
      </c>
      <c r="O979" s="963">
        <v>44539</v>
      </c>
      <c r="P979" s="689">
        <v>44542</v>
      </c>
      <c r="Q979" s="959" t="s">
        <v>10705</v>
      </c>
      <c r="R979" s="26" t="s">
        <v>5</v>
      </c>
      <c r="S979" s="26" t="s">
        <v>10704</v>
      </c>
      <c r="T979" s="233"/>
      <c r="U979" s="234"/>
      <c r="V979" s="235"/>
      <c r="W979" s="236"/>
      <c r="X979" s="249"/>
      <c r="Y979" s="233"/>
      <c r="Z979" s="234"/>
      <c r="AA979" s="235"/>
      <c r="AB979" s="236"/>
      <c r="AC979" s="249"/>
      <c r="AD979" s="233"/>
      <c r="AE979" s="234"/>
      <c r="AF979" s="235"/>
      <c r="AG979" s="236"/>
      <c r="AH979" s="249"/>
      <c r="AI979" s="237"/>
      <c r="AJ979" s="234"/>
      <c r="AK979" s="235"/>
      <c r="AL979" s="236"/>
      <c r="AM979" s="249"/>
      <c r="AN979" s="422"/>
      <c r="AO979" s="508"/>
      <c r="AP979" s="421"/>
      <c r="AQ979" s="427" t="s">
        <v>10303</v>
      </c>
      <c r="AR979" s="428" t="s">
        <v>79</v>
      </c>
      <c r="AS979" s="426">
        <v>38353</v>
      </c>
      <c r="AT979" s="426">
        <v>40847</v>
      </c>
      <c r="AU979" s="422" t="s">
        <v>10372</v>
      </c>
      <c r="AV979" s="422"/>
      <c r="AW979" s="421" t="s">
        <v>69</v>
      </c>
      <c r="AX979" s="428" t="s">
        <v>10369</v>
      </c>
      <c r="AY979" s="420">
        <v>43174</v>
      </c>
      <c r="AZ979" s="420" t="s">
        <v>10370</v>
      </c>
      <c r="BA979" s="420">
        <v>44046</v>
      </c>
      <c r="BB979" s="678">
        <v>44082</v>
      </c>
      <c r="BC979" s="428" t="s">
        <v>95</v>
      </c>
      <c r="BD979" s="422" t="s">
        <v>7243</v>
      </c>
      <c r="BE979" s="22"/>
      <c r="BF979" s="22"/>
      <c r="BG979" s="235"/>
      <c r="BH979" s="194"/>
      <c r="BI979" s="235"/>
      <c r="BJ979" s="159"/>
      <c r="BK979" s="159"/>
      <c r="BL979" s="196"/>
      <c r="BM979" s="384"/>
      <c r="BN979" s="541"/>
      <c r="BO979" s="449"/>
      <c r="BP979" s="392"/>
      <c r="BQ979" s="243"/>
      <c r="BR979" s="243"/>
      <c r="BS979" s="235"/>
      <c r="BT979" s="235"/>
      <c r="BU979" s="235"/>
      <c r="BV979" s="235"/>
      <c r="BW979" s="244"/>
      <c r="BX979" s="245"/>
      <c r="BY979" s="233"/>
      <c r="BZ979" s="234"/>
    </row>
    <row r="980" spans="1:78" ht="54">
      <c r="A980" s="502">
        <v>976</v>
      </c>
      <c r="B980" s="706" t="s">
        <v>10346</v>
      </c>
      <c r="C980" s="687" t="s">
        <v>10381</v>
      </c>
      <c r="D980" s="706" t="s">
        <v>9634</v>
      </c>
      <c r="E980" s="16">
        <v>44270</v>
      </c>
      <c r="F980" s="689">
        <v>44270</v>
      </c>
      <c r="G980" s="706" t="s">
        <v>10382</v>
      </c>
      <c r="H980" s="693" t="s">
        <v>10383</v>
      </c>
      <c r="I980" s="693" t="s">
        <v>85</v>
      </c>
      <c r="J980" s="16">
        <v>44314</v>
      </c>
      <c r="K980" s="689">
        <v>44314</v>
      </c>
      <c r="L980" s="706" t="s">
        <v>10379</v>
      </c>
      <c r="M980" s="693" t="s">
        <v>63</v>
      </c>
      <c r="N980" s="693" t="s">
        <v>79</v>
      </c>
      <c r="O980" s="16">
        <v>44375</v>
      </c>
      <c r="P980" s="689">
        <v>44375</v>
      </c>
      <c r="Q980" s="706" t="s">
        <v>10539</v>
      </c>
      <c r="R980" s="693" t="s">
        <v>63</v>
      </c>
      <c r="S980" s="893" t="s">
        <v>10541</v>
      </c>
      <c r="T980" s="233"/>
      <c r="U980" s="234"/>
      <c r="V980" s="235"/>
      <c r="W980" s="236"/>
      <c r="X980" s="249"/>
      <c r="Y980" s="233"/>
      <c r="Z980" s="234"/>
      <c r="AA980" s="235"/>
      <c r="AB980" s="236"/>
      <c r="AC980" s="249"/>
      <c r="AD980" s="233"/>
      <c r="AE980" s="234"/>
      <c r="AF980" s="235"/>
      <c r="AG980" s="236"/>
      <c r="AH980" s="249"/>
      <c r="AI980" s="237"/>
      <c r="AJ980" s="234"/>
      <c r="AK980" s="235"/>
      <c r="AL980" s="236"/>
      <c r="AM980" s="249"/>
      <c r="AN980" s="422"/>
      <c r="AO980" s="508"/>
      <c r="AP980" s="421"/>
      <c r="AQ980" s="194" t="s">
        <v>10347</v>
      </c>
      <c r="AR980" s="428" t="s">
        <v>79</v>
      </c>
      <c r="AS980" s="426" t="s">
        <v>67</v>
      </c>
      <c r="AT980" s="426" t="s">
        <v>67</v>
      </c>
      <c r="AU980" s="126" t="s">
        <v>10380</v>
      </c>
      <c r="AV980" s="148"/>
      <c r="AW980" s="126" t="s">
        <v>94</v>
      </c>
      <c r="AX980" s="423">
        <v>44260</v>
      </c>
      <c r="AY980" s="420"/>
      <c r="AZ980" s="428"/>
      <c r="BA980" s="420"/>
      <c r="BB980" s="678">
        <v>44260</v>
      </c>
      <c r="BC980" s="428" t="s">
        <v>71</v>
      </c>
      <c r="BD980" s="422"/>
      <c r="BE980" s="22"/>
      <c r="BF980" s="22"/>
      <c r="BG980" s="235"/>
      <c r="BH980" s="194"/>
      <c r="BI980" s="235"/>
      <c r="BJ980" s="159"/>
      <c r="BK980" s="159"/>
      <c r="BL980" s="196"/>
      <c r="BM980" s="384"/>
      <c r="BN980" s="541"/>
      <c r="BO980" s="449"/>
      <c r="BP980" s="392"/>
      <c r="BQ980" s="243"/>
      <c r="BR980" s="243"/>
      <c r="BS980" s="235"/>
      <c r="BT980" s="235"/>
      <c r="BU980" s="235"/>
      <c r="BV980" s="235"/>
      <c r="BW980" s="244"/>
      <c r="BX980" s="245"/>
      <c r="BY980" s="233"/>
      <c r="BZ980" s="234"/>
    </row>
    <row r="981" spans="1:78" ht="67.5">
      <c r="A981" s="502">
        <v>977</v>
      </c>
      <c r="B981" s="813" t="s">
        <v>10185</v>
      </c>
      <c r="C981" s="687">
        <v>4789616</v>
      </c>
      <c r="D981" s="706" t="s">
        <v>2446</v>
      </c>
      <c r="E981" s="16">
        <v>44330</v>
      </c>
      <c r="F981" s="689">
        <v>44330</v>
      </c>
      <c r="G981" s="693" t="s">
        <v>10384</v>
      </c>
      <c r="H981" s="693" t="s">
        <v>576</v>
      </c>
      <c r="I981" s="27" t="s">
        <v>2395</v>
      </c>
      <c r="J981" s="16" t="s">
        <v>10561</v>
      </c>
      <c r="K981" s="689">
        <v>44378</v>
      </c>
      <c r="L981" s="706" t="s">
        <v>271</v>
      </c>
      <c r="M981" s="693" t="s">
        <v>576</v>
      </c>
      <c r="N981" s="27" t="s">
        <v>10560</v>
      </c>
      <c r="O981" s="16">
        <v>44411</v>
      </c>
      <c r="P981" s="689">
        <v>44409</v>
      </c>
      <c r="Q981" s="960" t="s">
        <v>10619</v>
      </c>
      <c r="R981" s="693" t="s">
        <v>5</v>
      </c>
      <c r="S981" s="693" t="s">
        <v>79</v>
      </c>
      <c r="T981" s="233"/>
      <c r="U981" s="234"/>
      <c r="V981" s="235"/>
      <c r="W981" s="236"/>
      <c r="X981" s="249"/>
      <c r="Y981" s="233"/>
      <c r="Z981" s="234"/>
      <c r="AA981" s="235"/>
      <c r="AB981" s="236"/>
      <c r="AC981" s="249"/>
      <c r="AD981" s="233"/>
      <c r="AE981" s="234"/>
      <c r="AF981" s="235"/>
      <c r="AG981" s="236"/>
      <c r="AH981" s="249"/>
      <c r="AI981" s="237"/>
      <c r="AJ981" s="234"/>
      <c r="AK981" s="235"/>
      <c r="AL981" s="236"/>
      <c r="AM981" s="249"/>
      <c r="AN981" s="422"/>
      <c r="AO981" s="508"/>
      <c r="AP981" s="421"/>
      <c r="AQ981" s="427" t="s">
        <v>10385</v>
      </c>
      <c r="AR981" s="428" t="s">
        <v>2395</v>
      </c>
      <c r="AS981" s="426">
        <v>38716</v>
      </c>
      <c r="AT981" s="426">
        <v>40862</v>
      </c>
      <c r="AU981" s="422"/>
      <c r="AV981" s="422"/>
      <c r="AW981" s="421" t="s">
        <v>69</v>
      </c>
      <c r="AX981" s="428" t="s">
        <v>2250</v>
      </c>
      <c r="AY981" s="420">
        <v>43132</v>
      </c>
      <c r="AZ981" s="428" t="s">
        <v>576</v>
      </c>
      <c r="BA981" s="420">
        <v>44112</v>
      </c>
      <c r="BB981" s="678">
        <v>44224</v>
      </c>
      <c r="BC981" s="428" t="s">
        <v>95</v>
      </c>
      <c r="BD981" s="422" t="s">
        <v>7243</v>
      </c>
      <c r="BE981" s="22"/>
      <c r="BF981" s="22"/>
      <c r="BG981" s="235"/>
      <c r="BH981" s="194"/>
      <c r="BI981" s="235"/>
      <c r="BJ981" s="159"/>
      <c r="BK981" s="159"/>
      <c r="BL981" s="196"/>
      <c r="BM981" s="384"/>
      <c r="BN981" s="541"/>
      <c r="BO981" s="449"/>
      <c r="BP981" s="392"/>
      <c r="BQ981" s="243"/>
      <c r="BR981" s="243"/>
      <c r="BS981" s="235"/>
      <c r="BT981" s="235"/>
      <c r="BU981" s="235"/>
      <c r="BV981" s="235"/>
      <c r="BW981" s="244"/>
      <c r="BX981" s="245"/>
      <c r="BY981" s="233"/>
      <c r="BZ981" s="234"/>
    </row>
    <row r="982" spans="1:78" ht="40.5">
      <c r="A982" s="96">
        <v>978</v>
      </c>
      <c r="B982" s="258" t="s">
        <v>10391</v>
      </c>
      <c r="C982" s="142">
        <v>93445300</v>
      </c>
      <c r="D982" s="424" t="s">
        <v>2446</v>
      </c>
      <c r="E982" s="147">
        <v>44259</v>
      </c>
      <c r="F982" s="21">
        <v>44259</v>
      </c>
      <c r="G982" s="428" t="s">
        <v>10392</v>
      </c>
      <c r="H982" s="26" t="s">
        <v>5</v>
      </c>
      <c r="I982" s="26" t="s">
        <v>79</v>
      </c>
      <c r="J982" s="147"/>
      <c r="K982" s="21"/>
      <c r="L982" s="428"/>
      <c r="M982" s="26"/>
      <c r="N982" s="423"/>
      <c r="O982" s="147"/>
      <c r="P982" s="21"/>
      <c r="Q982" s="424"/>
      <c r="R982" s="26"/>
      <c r="S982" s="26"/>
      <c r="T982" s="233"/>
      <c r="U982" s="234"/>
      <c r="V982" s="235"/>
      <c r="W982" s="236"/>
      <c r="X982" s="249"/>
      <c r="Y982" s="233"/>
      <c r="Z982" s="234"/>
      <c r="AA982" s="235"/>
      <c r="AB982" s="236"/>
      <c r="AC982" s="249"/>
      <c r="AD982" s="233"/>
      <c r="AE982" s="234"/>
      <c r="AF982" s="235"/>
      <c r="AG982" s="236"/>
      <c r="AH982" s="249"/>
      <c r="AI982" s="237"/>
      <c r="AJ982" s="234"/>
      <c r="AK982" s="235"/>
      <c r="AL982" s="236"/>
      <c r="AM982" s="249"/>
      <c r="AN982" s="422"/>
      <c r="AO982" s="508"/>
      <c r="AP982" s="421"/>
      <c r="AQ982" s="427" t="s">
        <v>10393</v>
      </c>
      <c r="AR982" s="428" t="s">
        <v>79</v>
      </c>
      <c r="AS982" s="426">
        <v>39073</v>
      </c>
      <c r="AT982" s="426">
        <v>40862</v>
      </c>
      <c r="AU982" s="422"/>
      <c r="AV982" s="422"/>
      <c r="AW982" s="421" t="s">
        <v>69</v>
      </c>
      <c r="AX982" s="428" t="s">
        <v>10394</v>
      </c>
      <c r="AY982" s="420">
        <v>43453</v>
      </c>
      <c r="AZ982" s="428" t="s">
        <v>652</v>
      </c>
      <c r="BA982" s="420">
        <v>44082</v>
      </c>
      <c r="BB982" s="678">
        <v>44102</v>
      </c>
      <c r="BC982" s="428" t="s">
        <v>95</v>
      </c>
      <c r="BD982" s="422" t="s">
        <v>7243</v>
      </c>
      <c r="BE982" s="22"/>
      <c r="BF982" s="22"/>
      <c r="BG982" s="235"/>
      <c r="BH982" s="194"/>
      <c r="BI982" s="235"/>
      <c r="BJ982" s="159"/>
      <c r="BK982" s="159"/>
      <c r="BL982" s="196"/>
      <c r="BM982" s="384"/>
      <c r="BN982" s="541"/>
      <c r="BO982" s="449"/>
      <c r="BP982" s="392"/>
      <c r="BQ982" s="243"/>
      <c r="BR982" s="243"/>
      <c r="BS982" s="235"/>
      <c r="BT982" s="235"/>
      <c r="BU982" s="235"/>
      <c r="BV982" s="235"/>
      <c r="BW982" s="244"/>
      <c r="BX982" s="245"/>
      <c r="BY982" s="233"/>
      <c r="BZ982" s="234"/>
    </row>
    <row r="983" spans="1:78" ht="40.5" customHeight="1">
      <c r="A983" s="96">
        <v>979</v>
      </c>
      <c r="B983" s="258" t="s">
        <v>10079</v>
      </c>
      <c r="C983" s="142">
        <v>86007567</v>
      </c>
      <c r="D983" s="424" t="s">
        <v>677</v>
      </c>
      <c r="E983" s="147">
        <v>44278</v>
      </c>
      <c r="F983" s="21">
        <v>44278</v>
      </c>
      <c r="G983" s="428" t="s">
        <v>10411</v>
      </c>
      <c r="H983" s="26" t="s">
        <v>5</v>
      </c>
      <c r="I983" s="26" t="s">
        <v>79</v>
      </c>
      <c r="J983" s="147"/>
      <c r="K983" s="21"/>
      <c r="L983" s="428"/>
      <c r="M983" s="26"/>
      <c r="N983" s="423"/>
      <c r="O983" s="147"/>
      <c r="P983" s="21"/>
      <c r="Q983" s="424"/>
      <c r="R983" s="26"/>
      <c r="S983" s="26"/>
      <c r="T983" s="233"/>
      <c r="U983" s="234"/>
      <c r="V983" s="235"/>
      <c r="W983" s="236"/>
      <c r="X983" s="249"/>
      <c r="Y983" s="233"/>
      <c r="Z983" s="234"/>
      <c r="AA983" s="235"/>
      <c r="AB983" s="236"/>
      <c r="AC983" s="249"/>
      <c r="AD983" s="233"/>
      <c r="AE983" s="234"/>
      <c r="AF983" s="235"/>
      <c r="AG983" s="236"/>
      <c r="AH983" s="249"/>
      <c r="AI983" s="237"/>
      <c r="AJ983" s="234"/>
      <c r="AK983" s="235"/>
      <c r="AL983" s="236"/>
      <c r="AM983" s="249"/>
      <c r="AN983" s="422"/>
      <c r="AO983" s="508"/>
      <c r="AP983" s="421"/>
      <c r="AQ983" s="427" t="s">
        <v>10412</v>
      </c>
      <c r="AR983" s="428" t="s">
        <v>79</v>
      </c>
      <c r="AS983" s="426">
        <v>38468</v>
      </c>
      <c r="AT983" s="426">
        <v>40862</v>
      </c>
      <c r="AU983" s="422" t="s">
        <v>10413</v>
      </c>
      <c r="AV983" s="422"/>
      <c r="AW983" s="421" t="s">
        <v>69</v>
      </c>
      <c r="AX983" s="428" t="s">
        <v>10414</v>
      </c>
      <c r="AY983" s="420">
        <v>42947</v>
      </c>
      <c r="AZ983" s="428" t="s">
        <v>736</v>
      </c>
      <c r="BA983" s="420">
        <v>44232</v>
      </c>
      <c r="BB983" s="678">
        <v>44245</v>
      </c>
      <c r="BC983" s="428" t="s">
        <v>95</v>
      </c>
      <c r="BD983" s="422" t="s">
        <v>7243</v>
      </c>
      <c r="BE983" s="22"/>
      <c r="BF983" s="22"/>
      <c r="BG983" s="235"/>
      <c r="BH983" s="194"/>
      <c r="BI983" s="235"/>
      <c r="BJ983" s="159"/>
      <c r="BK983" s="159"/>
      <c r="BL983" s="196"/>
      <c r="BM983" s="384"/>
      <c r="BN983" s="541"/>
      <c r="BO983" s="449"/>
      <c r="BP983" s="392"/>
      <c r="BQ983" s="243"/>
      <c r="BR983" s="243"/>
      <c r="BS983" s="235"/>
      <c r="BT983" s="235"/>
      <c r="BU983" s="235"/>
      <c r="BV983" s="235"/>
      <c r="BW983" s="244"/>
      <c r="BX983" s="245"/>
      <c r="BY983" s="233"/>
      <c r="BZ983" s="234"/>
    </row>
    <row r="984" spans="1:78" ht="40.5">
      <c r="A984" s="96">
        <v>980</v>
      </c>
      <c r="B984" s="258" t="s">
        <v>6058</v>
      </c>
      <c r="C984" s="142"/>
      <c r="D984" s="424" t="s">
        <v>906</v>
      </c>
      <c r="E984" s="147">
        <v>44291</v>
      </c>
      <c r="F984" s="21">
        <v>44291</v>
      </c>
      <c r="G984" s="428" t="s">
        <v>10430</v>
      </c>
      <c r="H984" s="26" t="s">
        <v>5</v>
      </c>
      <c r="I984" s="26" t="s">
        <v>79</v>
      </c>
      <c r="J984" s="147"/>
      <c r="K984" s="21"/>
      <c r="L984" s="428"/>
      <c r="M984" s="26"/>
      <c r="N984" s="423"/>
      <c r="O984" s="147"/>
      <c r="P984" s="21"/>
      <c r="Q984" s="424"/>
      <c r="R984" s="26"/>
      <c r="S984" s="26"/>
      <c r="T984" s="233"/>
      <c r="U984" s="234"/>
      <c r="V984" s="235"/>
      <c r="W984" s="236"/>
      <c r="X984" s="249"/>
      <c r="Y984" s="233"/>
      <c r="Z984" s="234"/>
      <c r="AA984" s="235"/>
      <c r="AB984" s="236"/>
      <c r="AC984" s="249"/>
      <c r="AD984" s="233"/>
      <c r="AE984" s="234"/>
      <c r="AF984" s="235"/>
      <c r="AG984" s="236"/>
      <c r="AH984" s="249"/>
      <c r="AI984" s="237"/>
      <c r="AJ984" s="234"/>
      <c r="AK984" s="235"/>
      <c r="AL984" s="236"/>
      <c r="AM984" s="249"/>
      <c r="AN984" s="422"/>
      <c r="AO984" s="508"/>
      <c r="AP984" s="421"/>
      <c r="AQ984" s="427" t="s">
        <v>10431</v>
      </c>
      <c r="AR984" s="428" t="s">
        <v>79</v>
      </c>
      <c r="AS984" s="426"/>
      <c r="AT984" s="426"/>
      <c r="AU984" s="422" t="s">
        <v>10372</v>
      </c>
      <c r="AV984" s="422"/>
      <c r="AW984" s="421"/>
      <c r="AX984" s="428" t="s">
        <v>94</v>
      </c>
      <c r="AY984" s="420">
        <v>43951</v>
      </c>
      <c r="AZ984" s="428"/>
      <c r="BA984" s="420"/>
      <c r="BB984" s="678"/>
      <c r="BC984" s="428"/>
      <c r="BD984" s="422"/>
      <c r="BE984" s="22"/>
      <c r="BF984" s="22"/>
      <c r="BG984" s="235"/>
      <c r="BH984" s="194"/>
      <c r="BI984" s="235"/>
      <c r="BJ984" s="159"/>
      <c r="BK984" s="159"/>
      <c r="BL984" s="196"/>
      <c r="BM984" s="384"/>
      <c r="BN984" s="541"/>
      <c r="BO984" s="449"/>
      <c r="BP984" s="392"/>
      <c r="BQ984" s="243"/>
      <c r="BR984" s="243"/>
      <c r="BS984" s="235"/>
      <c r="BT984" s="235"/>
      <c r="BU984" s="235"/>
      <c r="BV984" s="235"/>
      <c r="BW984" s="244"/>
      <c r="BX984" s="245"/>
      <c r="BY984" s="233"/>
      <c r="BZ984" s="234"/>
    </row>
    <row r="985" spans="1:78" ht="40.5">
      <c r="A985" s="502">
        <v>981</v>
      </c>
      <c r="B985" s="813" t="s">
        <v>10434</v>
      </c>
      <c r="C985" s="687"/>
      <c r="D985" s="706" t="s">
        <v>3313</v>
      </c>
      <c r="E985" s="16">
        <v>44292</v>
      </c>
      <c r="F985" s="689">
        <v>44292</v>
      </c>
      <c r="G985" s="706" t="s">
        <v>10435</v>
      </c>
      <c r="H985" s="693" t="s">
        <v>5</v>
      </c>
      <c r="I985" s="693" t="s">
        <v>79</v>
      </c>
      <c r="J985" s="16">
        <v>44376</v>
      </c>
      <c r="K985" s="689">
        <v>44376</v>
      </c>
      <c r="L985" s="706" t="s">
        <v>10543</v>
      </c>
      <c r="M985" s="693" t="s">
        <v>5</v>
      </c>
      <c r="N985" s="27" t="s">
        <v>85</v>
      </c>
      <c r="O985" s="147"/>
      <c r="P985" s="21"/>
      <c r="Q985" s="424"/>
      <c r="R985" s="26"/>
      <c r="S985" s="26"/>
      <c r="T985" s="233"/>
      <c r="U985" s="234"/>
      <c r="V985" s="235"/>
      <c r="W985" s="236"/>
      <c r="X985" s="249"/>
      <c r="Y985" s="233"/>
      <c r="Z985" s="234"/>
      <c r="AA985" s="235"/>
      <c r="AB985" s="236"/>
      <c r="AC985" s="249"/>
      <c r="AD985" s="233"/>
      <c r="AE985" s="234"/>
      <c r="AF985" s="235"/>
      <c r="AG985" s="236"/>
      <c r="AH985" s="249"/>
      <c r="AI985" s="237"/>
      <c r="AJ985" s="234"/>
      <c r="AK985" s="235"/>
      <c r="AL985" s="236"/>
      <c r="AM985" s="249"/>
      <c r="AN985" s="422"/>
      <c r="AO985" s="508"/>
      <c r="AP985" s="421"/>
      <c r="AQ985" s="427" t="s">
        <v>10436</v>
      </c>
      <c r="AR985" s="428" t="s">
        <v>79</v>
      </c>
      <c r="AS985" s="426">
        <v>37773</v>
      </c>
      <c r="AT985" s="426">
        <v>40442</v>
      </c>
      <c r="AU985" s="422"/>
      <c r="AV985" s="422"/>
      <c r="AW985" s="421" t="s">
        <v>69</v>
      </c>
      <c r="AX985" s="428" t="s">
        <v>10437</v>
      </c>
      <c r="AY985" s="420">
        <v>43224</v>
      </c>
      <c r="AZ985" s="428" t="s">
        <v>652</v>
      </c>
      <c r="BA985" s="420">
        <v>44075</v>
      </c>
      <c r="BB985" s="678">
        <v>44181</v>
      </c>
      <c r="BC985" s="428" t="s">
        <v>95</v>
      </c>
      <c r="BD985" s="422" t="s">
        <v>7243</v>
      </c>
      <c r="BE985" s="22"/>
      <c r="BF985" s="22"/>
      <c r="BG985" s="235"/>
      <c r="BH985" s="194"/>
      <c r="BI985" s="235"/>
      <c r="BJ985" s="159"/>
      <c r="BK985" s="159"/>
      <c r="BL985" s="196"/>
      <c r="BM985" s="384"/>
      <c r="BN985" s="541"/>
      <c r="BO985" s="449"/>
      <c r="BP985" s="392"/>
      <c r="BQ985" s="243"/>
      <c r="BR985" s="243"/>
      <c r="BS985" s="235"/>
      <c r="BT985" s="235"/>
      <c r="BU985" s="235"/>
      <c r="BV985" s="235"/>
      <c r="BW985" s="244"/>
      <c r="BX985" s="245"/>
      <c r="BY985" s="233"/>
      <c r="BZ985" s="234"/>
    </row>
    <row r="986" spans="1:78" ht="27">
      <c r="A986" s="96">
        <v>982</v>
      </c>
      <c r="B986" s="258" t="s">
        <v>10445</v>
      </c>
      <c r="C986" s="142">
        <v>6391453</v>
      </c>
      <c r="D986" s="424" t="s">
        <v>1153</v>
      </c>
      <c r="E986" s="147">
        <v>44295</v>
      </c>
      <c r="F986" s="21">
        <v>44295</v>
      </c>
      <c r="G986" s="428" t="s">
        <v>10446</v>
      </c>
      <c r="H986" s="26" t="s">
        <v>5</v>
      </c>
      <c r="I986" s="26" t="s">
        <v>79</v>
      </c>
      <c r="J986" s="147"/>
      <c r="K986" s="21"/>
      <c r="L986" s="428"/>
      <c r="M986" s="26"/>
      <c r="N986" s="423"/>
      <c r="O986" s="147"/>
      <c r="P986" s="21"/>
      <c r="Q986" s="424"/>
      <c r="R986" s="26"/>
      <c r="S986" s="26"/>
      <c r="T986" s="233"/>
      <c r="U986" s="234"/>
      <c r="V986" s="235"/>
      <c r="W986" s="236"/>
      <c r="X986" s="249"/>
      <c r="Y986" s="233"/>
      <c r="Z986" s="234"/>
      <c r="AA986" s="235"/>
      <c r="AB986" s="236"/>
      <c r="AC986" s="249"/>
      <c r="AD986" s="233"/>
      <c r="AE986" s="234"/>
      <c r="AF986" s="235"/>
      <c r="AG986" s="236"/>
      <c r="AH986" s="249"/>
      <c r="AI986" s="237"/>
      <c r="AJ986" s="234"/>
      <c r="AK986" s="235"/>
      <c r="AL986" s="236"/>
      <c r="AM986" s="249"/>
      <c r="AN986" s="422"/>
      <c r="AO986" s="508"/>
      <c r="AP986" s="421"/>
      <c r="AQ986" s="427" t="s">
        <v>10447</v>
      </c>
      <c r="AR986" s="428" t="s">
        <v>79</v>
      </c>
      <c r="AS986" s="426">
        <v>39814</v>
      </c>
      <c r="AT986" s="426">
        <v>40633</v>
      </c>
      <c r="AU986" s="422"/>
      <c r="AV986" s="422"/>
      <c r="AW986" s="421" t="s">
        <v>69</v>
      </c>
      <c r="AX986" s="428" t="s">
        <v>4665</v>
      </c>
      <c r="AY986" s="420">
        <v>43553</v>
      </c>
      <c r="AZ986" s="428"/>
      <c r="BA986" s="420"/>
      <c r="BB986" s="678">
        <v>43592</v>
      </c>
      <c r="BC986" s="428" t="s">
        <v>95</v>
      </c>
      <c r="BD986" s="422" t="s">
        <v>7243</v>
      </c>
      <c r="BE986" s="22"/>
      <c r="BF986" s="22"/>
      <c r="BG986" s="235"/>
      <c r="BH986" s="194"/>
      <c r="BI986" s="235"/>
      <c r="BJ986" s="159"/>
      <c r="BK986" s="159"/>
      <c r="BL986" s="196"/>
      <c r="BM986" s="384"/>
      <c r="BN986" s="541"/>
      <c r="BO986" s="449"/>
      <c r="BP986" s="392"/>
      <c r="BQ986" s="243"/>
      <c r="BR986" s="243"/>
      <c r="BS986" s="235"/>
      <c r="BT986" s="235"/>
      <c r="BU986" s="235"/>
      <c r="BV986" s="235"/>
      <c r="BW986" s="244"/>
      <c r="BX986" s="245"/>
      <c r="BY986" s="233"/>
      <c r="BZ986" s="234"/>
    </row>
    <row r="987" spans="1:78" ht="40.5">
      <c r="A987" s="96">
        <v>983</v>
      </c>
      <c r="B987" s="258" t="s">
        <v>10451</v>
      </c>
      <c r="C987" s="142">
        <v>4235703</v>
      </c>
      <c r="D987" s="424" t="s">
        <v>10453</v>
      </c>
      <c r="E987" s="147">
        <v>44301</v>
      </c>
      <c r="F987" s="21">
        <v>44301</v>
      </c>
      <c r="G987" s="428" t="s">
        <v>10452</v>
      </c>
      <c r="H987" s="26" t="s">
        <v>5</v>
      </c>
      <c r="I987" s="26" t="s">
        <v>79</v>
      </c>
      <c r="J987" s="147"/>
      <c r="K987" s="21"/>
      <c r="L987" s="428"/>
      <c r="M987" s="26"/>
      <c r="N987" s="423"/>
      <c r="O987" s="147"/>
      <c r="P987" s="21"/>
      <c r="Q987" s="424"/>
      <c r="R987" s="26"/>
      <c r="S987" s="26"/>
      <c r="T987" s="233"/>
      <c r="U987" s="234"/>
      <c r="V987" s="235"/>
      <c r="W987" s="236"/>
      <c r="X987" s="249"/>
      <c r="Y987" s="233"/>
      <c r="Z987" s="234"/>
      <c r="AA987" s="235"/>
      <c r="AB987" s="236"/>
      <c r="AC987" s="249"/>
      <c r="AD987" s="233"/>
      <c r="AE987" s="234"/>
      <c r="AF987" s="235"/>
      <c r="AG987" s="236"/>
      <c r="AH987" s="249"/>
      <c r="AI987" s="237"/>
      <c r="AJ987" s="234"/>
      <c r="AK987" s="235"/>
      <c r="AL987" s="236"/>
      <c r="AM987" s="249"/>
      <c r="AN987" s="422"/>
      <c r="AO987" s="508"/>
      <c r="AP987" s="421"/>
      <c r="AQ987" s="427" t="s">
        <v>10454</v>
      </c>
      <c r="AR987" s="428" t="s">
        <v>79</v>
      </c>
      <c r="AS987" s="426">
        <v>41478</v>
      </c>
      <c r="AT987" s="426"/>
      <c r="AU987" s="422"/>
      <c r="AV987" s="422"/>
      <c r="AW987" s="421" t="s">
        <v>69</v>
      </c>
      <c r="AX987" s="428" t="s">
        <v>10455</v>
      </c>
      <c r="AY987" s="420"/>
      <c r="AZ987" s="428" t="s">
        <v>627</v>
      </c>
      <c r="BA987" s="420">
        <v>43721</v>
      </c>
      <c r="BB987" s="678"/>
      <c r="BC987" s="428"/>
      <c r="BD987" s="422"/>
      <c r="BE987" s="22"/>
      <c r="BF987" s="22"/>
      <c r="BG987" s="235"/>
      <c r="BH987" s="194"/>
      <c r="BI987" s="235"/>
      <c r="BJ987" s="159"/>
      <c r="BK987" s="159"/>
      <c r="BL987" s="196"/>
      <c r="BM987" s="384"/>
      <c r="BN987" s="541"/>
      <c r="BO987" s="449"/>
      <c r="BP987" s="392"/>
      <c r="BQ987" s="243"/>
      <c r="BR987" s="243"/>
      <c r="BS987" s="235"/>
      <c r="BT987" s="235"/>
      <c r="BU987" s="235"/>
      <c r="BV987" s="235"/>
      <c r="BW987" s="244"/>
      <c r="BX987" s="245"/>
      <c r="BY987" s="233"/>
      <c r="BZ987" s="234"/>
    </row>
    <row r="988" spans="1:78" ht="40.5">
      <c r="A988" s="96">
        <v>984</v>
      </c>
      <c r="B988" s="258" t="s">
        <v>10456</v>
      </c>
      <c r="C988" s="142">
        <v>71223217</v>
      </c>
      <c r="D988" s="424" t="s">
        <v>333</v>
      </c>
      <c r="E988" s="147">
        <v>44308</v>
      </c>
      <c r="F988" s="21">
        <v>44308</v>
      </c>
      <c r="G988" s="428" t="s">
        <v>10457</v>
      </c>
      <c r="H988" s="26" t="s">
        <v>5</v>
      </c>
      <c r="I988" s="26" t="s">
        <v>79</v>
      </c>
      <c r="J988" s="147"/>
      <c r="K988" s="21"/>
      <c r="L988" s="428"/>
      <c r="M988" s="26"/>
      <c r="N988" s="423"/>
      <c r="O988" s="147"/>
      <c r="P988" s="21"/>
      <c r="Q988" s="424"/>
      <c r="R988" s="26"/>
      <c r="S988" s="26"/>
      <c r="T988" s="233"/>
      <c r="U988" s="234"/>
      <c r="V988" s="235"/>
      <c r="W988" s="236"/>
      <c r="X988" s="249"/>
      <c r="Y988" s="233"/>
      <c r="Z988" s="234"/>
      <c r="AA988" s="235"/>
      <c r="AB988" s="236"/>
      <c r="AC988" s="249"/>
      <c r="AD988" s="233"/>
      <c r="AE988" s="234"/>
      <c r="AF988" s="235"/>
      <c r="AG988" s="236"/>
      <c r="AH988" s="249"/>
      <c r="AI988" s="237"/>
      <c r="AJ988" s="234"/>
      <c r="AK988" s="235"/>
      <c r="AL988" s="236"/>
      <c r="AM988" s="249"/>
      <c r="AN988" s="422"/>
      <c r="AO988" s="508"/>
      <c r="AP988" s="421"/>
      <c r="AQ988" s="427" t="s">
        <v>10458</v>
      </c>
      <c r="AR988" s="428" t="s">
        <v>79</v>
      </c>
      <c r="AS988" s="426">
        <v>37987</v>
      </c>
      <c r="AT988" s="426">
        <v>40724</v>
      </c>
      <c r="AU988" s="422"/>
      <c r="AV988" s="422"/>
      <c r="AW988" s="421" t="s">
        <v>69</v>
      </c>
      <c r="AX988" s="428" t="s">
        <v>10459</v>
      </c>
      <c r="AY988" s="420">
        <v>42786</v>
      </c>
      <c r="AZ988" s="428" t="s">
        <v>409</v>
      </c>
      <c r="BA988" s="420">
        <v>44460</v>
      </c>
      <c r="BB988" s="678">
        <v>44106</v>
      </c>
      <c r="BC988" s="428"/>
      <c r="BD988" s="422"/>
      <c r="BE988" s="22"/>
      <c r="BF988" s="22"/>
      <c r="BG988" s="235"/>
      <c r="BH988" s="194"/>
      <c r="BI988" s="235"/>
      <c r="BJ988" s="159"/>
      <c r="BK988" s="159"/>
      <c r="BL988" s="196"/>
      <c r="BM988" s="384"/>
      <c r="BN988" s="541"/>
      <c r="BO988" s="449"/>
      <c r="BP988" s="392"/>
      <c r="BQ988" s="243"/>
      <c r="BR988" s="243"/>
      <c r="BS988" s="235"/>
      <c r="BT988" s="235"/>
      <c r="BU988" s="235"/>
      <c r="BV988" s="235"/>
      <c r="BW988" s="244"/>
      <c r="BX988" s="245"/>
      <c r="BY988" s="233"/>
      <c r="BZ988" s="234"/>
    </row>
    <row r="989" spans="1:78" ht="54">
      <c r="A989" s="96">
        <v>985</v>
      </c>
      <c r="B989" s="258" t="s">
        <v>10476</v>
      </c>
      <c r="C989" s="142">
        <v>16862777</v>
      </c>
      <c r="D989" s="424" t="s">
        <v>747</v>
      </c>
      <c r="E989" s="147">
        <v>44326</v>
      </c>
      <c r="F989" s="21">
        <v>44326</v>
      </c>
      <c r="G989" s="428" t="s">
        <v>10477</v>
      </c>
      <c r="H989" s="26" t="s">
        <v>5</v>
      </c>
      <c r="I989" s="26" t="s">
        <v>79</v>
      </c>
      <c r="J989" s="147"/>
      <c r="K989" s="21"/>
      <c r="L989" s="428"/>
      <c r="M989" s="26"/>
      <c r="N989" s="423"/>
      <c r="O989" s="147"/>
      <c r="P989" s="21"/>
      <c r="Q989" s="424"/>
      <c r="R989" s="26"/>
      <c r="S989" s="26"/>
      <c r="T989" s="233"/>
      <c r="U989" s="234"/>
      <c r="V989" s="235"/>
      <c r="W989" s="236"/>
      <c r="X989" s="249"/>
      <c r="Y989" s="233"/>
      <c r="Z989" s="234"/>
      <c r="AA989" s="235"/>
      <c r="AB989" s="236"/>
      <c r="AC989" s="249"/>
      <c r="AD989" s="233"/>
      <c r="AE989" s="234"/>
      <c r="AF989" s="235"/>
      <c r="AG989" s="236"/>
      <c r="AH989" s="249"/>
      <c r="AI989" s="237"/>
      <c r="AJ989" s="234"/>
      <c r="AK989" s="235"/>
      <c r="AL989" s="236"/>
      <c r="AM989" s="249"/>
      <c r="AN989" s="422"/>
      <c r="AO989" s="508"/>
      <c r="AP989" s="421"/>
      <c r="AQ989" s="427" t="s">
        <v>9989</v>
      </c>
      <c r="AR989" s="428" t="s">
        <v>79</v>
      </c>
      <c r="AS989" s="426">
        <v>39264</v>
      </c>
      <c r="AT989" s="426">
        <v>40724</v>
      </c>
      <c r="AU989" s="422"/>
      <c r="AV989" s="422"/>
      <c r="AW989" s="421" t="s">
        <v>69</v>
      </c>
      <c r="AX989" s="428" t="s">
        <v>10478</v>
      </c>
      <c r="AY989" s="420">
        <v>43081</v>
      </c>
      <c r="AZ989" s="428" t="s">
        <v>2417</v>
      </c>
      <c r="BA989" s="420">
        <v>43810</v>
      </c>
      <c r="BB989" s="678">
        <v>43899</v>
      </c>
      <c r="BC989" s="428" t="s">
        <v>95</v>
      </c>
      <c r="BD989" s="422" t="s">
        <v>7243</v>
      </c>
      <c r="BE989" s="22"/>
      <c r="BF989" s="22"/>
      <c r="BG989" s="235"/>
      <c r="BH989" s="194"/>
      <c r="BI989" s="235"/>
      <c r="BJ989" s="159"/>
      <c r="BK989" s="159"/>
      <c r="BL989" s="196"/>
      <c r="BM989" s="384"/>
      <c r="BN989" s="541"/>
      <c r="BO989" s="449"/>
      <c r="BP989" s="392"/>
      <c r="BQ989" s="243"/>
      <c r="BR989" s="243"/>
      <c r="BS989" s="235"/>
      <c r="BT989" s="235"/>
      <c r="BU989" s="235"/>
      <c r="BV989" s="235"/>
      <c r="BW989" s="244"/>
      <c r="BX989" s="245"/>
      <c r="BY989" s="233"/>
      <c r="BZ989" s="234"/>
    </row>
    <row r="990" spans="1:78" ht="54">
      <c r="A990" s="502">
        <v>986</v>
      </c>
      <c r="B990" s="813" t="s">
        <v>10498</v>
      </c>
      <c r="C990" s="687">
        <v>828002664</v>
      </c>
      <c r="D990" s="706" t="s">
        <v>10500</v>
      </c>
      <c r="E990" s="16">
        <v>44348</v>
      </c>
      <c r="F990" s="689">
        <v>44348</v>
      </c>
      <c r="G990" s="706" t="s">
        <v>10499</v>
      </c>
      <c r="H990" s="693" t="s">
        <v>5</v>
      </c>
      <c r="I990" s="693" t="s">
        <v>79</v>
      </c>
      <c r="J990" s="16">
        <v>44377</v>
      </c>
      <c r="K990" s="689">
        <v>44348</v>
      </c>
      <c r="L990" s="706" t="s">
        <v>10523</v>
      </c>
      <c r="M990" s="693" t="s">
        <v>10524</v>
      </c>
      <c r="N990" s="27" t="s">
        <v>10525</v>
      </c>
      <c r="O990" s="147"/>
      <c r="P990" s="21"/>
      <c r="Q990" s="424"/>
      <c r="R990" s="26"/>
      <c r="S990" s="26"/>
      <c r="T990" s="233"/>
      <c r="U990" s="234"/>
      <c r="V990" s="235"/>
      <c r="W990" s="236"/>
      <c r="X990" s="249"/>
      <c r="Y990" s="233"/>
      <c r="Z990" s="234"/>
      <c r="AA990" s="235"/>
      <c r="AB990" s="236"/>
      <c r="AC990" s="249"/>
      <c r="AD990" s="233"/>
      <c r="AE990" s="234"/>
      <c r="AF990" s="235"/>
      <c r="AG990" s="236"/>
      <c r="AH990" s="249"/>
      <c r="AI990" s="237"/>
      <c r="AJ990" s="234"/>
      <c r="AK990" s="235"/>
      <c r="AL990" s="236"/>
      <c r="AM990" s="249"/>
      <c r="AN990" s="422"/>
      <c r="AO990" s="508"/>
      <c r="AP990" s="421"/>
      <c r="AQ990" s="427" t="s">
        <v>10501</v>
      </c>
      <c r="AR990" s="428" t="s">
        <v>79</v>
      </c>
      <c r="AS990" s="426" t="s">
        <v>67</v>
      </c>
      <c r="AT990" s="426" t="s">
        <v>67</v>
      </c>
      <c r="AU990" s="422"/>
      <c r="AV990" s="422"/>
      <c r="AW990" s="422" t="s">
        <v>92</v>
      </c>
      <c r="AX990" s="428" t="s">
        <v>10502</v>
      </c>
      <c r="AY990" s="420">
        <v>40809</v>
      </c>
      <c r="AZ990" s="428" t="s">
        <v>10503</v>
      </c>
      <c r="BA990" s="420">
        <v>43276</v>
      </c>
      <c r="BB990" s="678">
        <v>43417</v>
      </c>
      <c r="BC990" s="428" t="s">
        <v>561</v>
      </c>
      <c r="BD990" s="422"/>
      <c r="BE990" s="22"/>
      <c r="BF990" s="22"/>
      <c r="BG990" s="235"/>
      <c r="BH990" s="194"/>
      <c r="BI990" s="235"/>
      <c r="BJ990" s="159"/>
      <c r="BK990" s="159"/>
      <c r="BL990" s="196"/>
      <c r="BM990" s="384"/>
      <c r="BN990" s="541"/>
      <c r="BO990" s="449"/>
      <c r="BP990" s="392"/>
      <c r="BQ990" s="243"/>
      <c r="BR990" s="243"/>
      <c r="BS990" s="235"/>
      <c r="BT990" s="235"/>
      <c r="BU990" s="235"/>
      <c r="BV990" s="235"/>
      <c r="BW990" s="244"/>
      <c r="BX990" s="245"/>
      <c r="BY990" s="233"/>
      <c r="BZ990" s="234"/>
    </row>
    <row r="991" spans="1:78" ht="54">
      <c r="A991" s="502">
        <v>987</v>
      </c>
      <c r="B991" s="813" t="s">
        <v>10504</v>
      </c>
      <c r="C991" s="687">
        <v>79970032</v>
      </c>
      <c r="D991" s="706" t="s">
        <v>2446</v>
      </c>
      <c r="E991" s="16">
        <v>44350</v>
      </c>
      <c r="F991" s="689">
        <v>44350</v>
      </c>
      <c r="G991" s="706" t="s">
        <v>10505</v>
      </c>
      <c r="H991" s="693" t="s">
        <v>5</v>
      </c>
      <c r="I991" s="693" t="s">
        <v>79</v>
      </c>
      <c r="J991" s="147"/>
      <c r="K991" s="21"/>
      <c r="L991" s="428"/>
      <c r="M991" s="26"/>
      <c r="N991" s="423"/>
      <c r="O991" s="147"/>
      <c r="P991" s="21"/>
      <c r="Q991" s="424"/>
      <c r="R991" s="26"/>
      <c r="S991" s="26"/>
      <c r="T991" s="233"/>
      <c r="U991" s="234"/>
      <c r="V991" s="235"/>
      <c r="W991" s="236"/>
      <c r="X991" s="249"/>
      <c r="Y991" s="233"/>
      <c r="Z991" s="234"/>
      <c r="AA991" s="235"/>
      <c r="AB991" s="236"/>
      <c r="AC991" s="249"/>
      <c r="AD991" s="233"/>
      <c r="AE991" s="234"/>
      <c r="AF991" s="235"/>
      <c r="AG991" s="236"/>
      <c r="AH991" s="249"/>
      <c r="AI991" s="237"/>
      <c r="AJ991" s="234"/>
      <c r="AK991" s="235"/>
      <c r="AL991" s="236"/>
      <c r="AM991" s="249"/>
      <c r="AN991" s="422"/>
      <c r="AO991" s="508"/>
      <c r="AP991" s="421"/>
      <c r="AQ991" s="427" t="s">
        <v>10506</v>
      </c>
      <c r="AR991" s="428" t="s">
        <v>79</v>
      </c>
      <c r="AS991" s="426">
        <v>38777</v>
      </c>
      <c r="AT991" s="426">
        <v>40862</v>
      </c>
      <c r="AU991" s="422"/>
      <c r="AV991" s="422"/>
      <c r="AW991" s="421" t="s">
        <v>69</v>
      </c>
      <c r="AX991" s="428" t="s">
        <v>10507</v>
      </c>
      <c r="AY991" s="420">
        <v>43564</v>
      </c>
      <c r="AZ991" s="428" t="s">
        <v>2417</v>
      </c>
      <c r="BA991" s="420">
        <v>43796</v>
      </c>
      <c r="BB991" s="678">
        <v>44273</v>
      </c>
      <c r="BC991" s="428" t="s">
        <v>95</v>
      </c>
      <c r="BD991" s="422"/>
      <c r="BE991" s="22"/>
      <c r="BF991" s="22"/>
      <c r="BG991" s="235"/>
      <c r="BH991" s="194"/>
      <c r="BI991" s="235"/>
      <c r="BJ991" s="159"/>
      <c r="BK991" s="159"/>
      <c r="BL991" s="196"/>
      <c r="BM991" s="384"/>
      <c r="BN991" s="541"/>
      <c r="BO991" s="449"/>
      <c r="BP991" s="392"/>
      <c r="BQ991" s="243"/>
      <c r="BR991" s="243"/>
      <c r="BS991" s="235"/>
      <c r="BT991" s="235"/>
      <c r="BU991" s="235"/>
      <c r="BV991" s="235"/>
      <c r="BW991" s="244"/>
      <c r="BX991" s="245"/>
      <c r="BY991" s="233"/>
      <c r="BZ991" s="234"/>
    </row>
    <row r="992" spans="1:78" ht="40.5">
      <c r="A992" s="502">
        <v>988</v>
      </c>
      <c r="B992" s="813" t="s">
        <v>10509</v>
      </c>
      <c r="C992" s="687">
        <v>43153950</v>
      </c>
      <c r="D992" s="706" t="s">
        <v>10512</v>
      </c>
      <c r="E992" s="16">
        <v>44355</v>
      </c>
      <c r="F992" s="689">
        <v>44355</v>
      </c>
      <c r="G992" s="706" t="s">
        <v>10510</v>
      </c>
      <c r="H992" s="693" t="s">
        <v>5</v>
      </c>
      <c r="I992" s="693" t="s">
        <v>79</v>
      </c>
      <c r="J992" s="147"/>
      <c r="K992" s="21"/>
      <c r="L992" s="428"/>
      <c r="M992" s="26"/>
      <c r="N992" s="423"/>
      <c r="O992" s="147"/>
      <c r="P992" s="21"/>
      <c r="Q992" s="424"/>
      <c r="R992" s="26"/>
      <c r="S992" s="26"/>
      <c r="T992" s="233"/>
      <c r="U992" s="234"/>
      <c r="V992" s="235"/>
      <c r="W992" s="236"/>
      <c r="X992" s="249"/>
      <c r="Y992" s="233"/>
      <c r="Z992" s="234"/>
      <c r="AA992" s="235"/>
      <c r="AB992" s="236"/>
      <c r="AC992" s="249"/>
      <c r="AD992" s="233"/>
      <c r="AE992" s="234"/>
      <c r="AF992" s="235"/>
      <c r="AG992" s="236"/>
      <c r="AH992" s="249"/>
      <c r="AI992" s="237"/>
      <c r="AJ992" s="234"/>
      <c r="AK992" s="235"/>
      <c r="AL992" s="236"/>
      <c r="AM992" s="249"/>
      <c r="AN992" s="422"/>
      <c r="AO992" s="508"/>
      <c r="AP992" s="421"/>
      <c r="AQ992" s="427" t="s">
        <v>10511</v>
      </c>
      <c r="AR992" s="428" t="s">
        <v>79</v>
      </c>
      <c r="AS992" s="426" t="s">
        <v>67</v>
      </c>
      <c r="AT992" s="426" t="s">
        <v>67</v>
      </c>
      <c r="AU992" s="422"/>
      <c r="AV992" s="422"/>
      <c r="AW992" s="421" t="s">
        <v>69</v>
      </c>
      <c r="AX992" s="428" t="s">
        <v>10513</v>
      </c>
      <c r="AY992" s="420">
        <v>43893</v>
      </c>
      <c r="AZ992" s="428" t="s">
        <v>67</v>
      </c>
      <c r="BA992" s="428" t="s">
        <v>67</v>
      </c>
      <c r="BB992" s="678">
        <v>44048</v>
      </c>
      <c r="BC992" s="428" t="s">
        <v>561</v>
      </c>
      <c r="BD992" s="422" t="s">
        <v>7243</v>
      </c>
      <c r="BE992" s="22"/>
      <c r="BF992" s="22"/>
      <c r="BG992" s="235"/>
      <c r="BH992" s="194"/>
      <c r="BI992" s="235"/>
      <c r="BJ992" s="159"/>
      <c r="BK992" s="159"/>
      <c r="BL992" s="196"/>
      <c r="BM992" s="384"/>
      <c r="BN992" s="541"/>
      <c r="BO992" s="449"/>
      <c r="BP992" s="392"/>
      <c r="BQ992" s="243"/>
      <c r="BR992" s="243"/>
      <c r="BS992" s="235"/>
      <c r="BT992" s="235"/>
      <c r="BU992" s="235"/>
      <c r="BV992" s="235"/>
      <c r="BW992" s="244"/>
      <c r="BX992" s="245"/>
      <c r="BY992" s="233"/>
      <c r="BZ992" s="234"/>
    </row>
    <row r="993" spans="1:78" ht="40.5">
      <c r="A993" s="502">
        <v>989</v>
      </c>
      <c r="B993" s="813" t="s">
        <v>10517</v>
      </c>
      <c r="C993" s="687">
        <v>80896330</v>
      </c>
      <c r="D993" s="706" t="s">
        <v>167</v>
      </c>
      <c r="E993" s="16">
        <v>44358</v>
      </c>
      <c r="F993" s="689">
        <v>44358</v>
      </c>
      <c r="G993" s="706" t="s">
        <v>10518</v>
      </c>
      <c r="H993" s="693" t="s">
        <v>5</v>
      </c>
      <c r="I993" s="693" t="s">
        <v>79</v>
      </c>
      <c r="J993" s="147"/>
      <c r="K993" s="21"/>
      <c r="L993" s="428"/>
      <c r="M993" s="26"/>
      <c r="N993" s="423"/>
      <c r="O993" s="147"/>
      <c r="P993" s="21"/>
      <c r="Q993" s="424"/>
      <c r="R993" s="26"/>
      <c r="S993" s="26"/>
      <c r="T993" s="233"/>
      <c r="U993" s="234"/>
      <c r="V993" s="235"/>
      <c r="W993" s="236"/>
      <c r="X993" s="249"/>
      <c r="Y993" s="233"/>
      <c r="Z993" s="234"/>
      <c r="AA993" s="235"/>
      <c r="AB993" s="236"/>
      <c r="AC993" s="249"/>
      <c r="AD993" s="233"/>
      <c r="AE993" s="234"/>
      <c r="AF993" s="235"/>
      <c r="AG993" s="236"/>
      <c r="AH993" s="249"/>
      <c r="AI993" s="237"/>
      <c r="AJ993" s="234"/>
      <c r="AK993" s="235"/>
      <c r="AL993" s="236"/>
      <c r="AM993" s="249"/>
      <c r="AN993" s="422"/>
      <c r="AO993" s="508"/>
      <c r="AP993" s="421"/>
      <c r="AQ993" s="427" t="s">
        <v>10519</v>
      </c>
      <c r="AR993" s="428" t="s">
        <v>79</v>
      </c>
      <c r="AS993" s="426"/>
      <c r="AT993" s="426"/>
      <c r="AU993" s="422"/>
      <c r="AV993" s="422"/>
      <c r="AW993" s="421" t="s">
        <v>69</v>
      </c>
      <c r="AX993" s="428" t="s">
        <v>10520</v>
      </c>
      <c r="AY993" s="420">
        <v>43553</v>
      </c>
      <c r="AZ993" s="428" t="s">
        <v>94</v>
      </c>
      <c r="BA993" s="420">
        <v>43971</v>
      </c>
      <c r="BB993" s="678">
        <v>44040</v>
      </c>
      <c r="BC993" s="428"/>
      <c r="BD993" s="422"/>
      <c r="BE993" s="22"/>
      <c r="BF993" s="22"/>
      <c r="BG993" s="235"/>
      <c r="BH993" s="194"/>
      <c r="BI993" s="235"/>
      <c r="BJ993" s="159"/>
      <c r="BK993" s="159"/>
      <c r="BL993" s="196"/>
      <c r="BM993" s="384"/>
      <c r="BN993" s="541"/>
      <c r="BO993" s="449"/>
      <c r="BP993" s="392"/>
      <c r="BQ993" s="243"/>
      <c r="BR993" s="243"/>
      <c r="BS993" s="235"/>
      <c r="BT993" s="235"/>
      <c r="BU993" s="235"/>
      <c r="BV993" s="235"/>
      <c r="BW993" s="244"/>
      <c r="BX993" s="245"/>
      <c r="BY993" s="233"/>
      <c r="BZ993" s="234"/>
    </row>
    <row r="994" spans="1:78" ht="15">
      <c r="A994" s="502">
        <v>990</v>
      </c>
      <c r="B994" s="813" t="s">
        <v>10551</v>
      </c>
      <c r="C994" s="687">
        <v>79420272</v>
      </c>
      <c r="D994" s="706"/>
      <c r="E994" s="16"/>
      <c r="F994" s="689"/>
      <c r="G994" s="706"/>
      <c r="H994" s="693"/>
      <c r="I994" s="27"/>
      <c r="J994" s="147"/>
      <c r="K994" s="21"/>
      <c r="L994" s="428"/>
      <c r="M994" s="26"/>
      <c r="N994" s="423"/>
      <c r="O994" s="147"/>
      <c r="P994" s="21"/>
      <c r="Q994" s="424"/>
      <c r="R994" s="26"/>
      <c r="S994" s="26"/>
      <c r="T994" s="233"/>
      <c r="U994" s="234"/>
      <c r="V994" s="235"/>
      <c r="W994" s="236"/>
      <c r="X994" s="249"/>
      <c r="Y994" s="233"/>
      <c r="Z994" s="234"/>
      <c r="AA994" s="235"/>
      <c r="AB994" s="236"/>
      <c r="AC994" s="249"/>
      <c r="AD994" s="233"/>
      <c r="AE994" s="234"/>
      <c r="AF994" s="235"/>
      <c r="AG994" s="236"/>
      <c r="AH994" s="249"/>
      <c r="AI994" s="237"/>
      <c r="AJ994" s="234"/>
      <c r="AK994" s="235"/>
      <c r="AL994" s="236"/>
      <c r="AM994" s="249"/>
      <c r="AN994" s="422"/>
      <c r="AO994" s="508"/>
      <c r="AP994" s="421"/>
      <c r="AQ994" s="427"/>
      <c r="AR994" s="428"/>
      <c r="AS994" s="426"/>
      <c r="AT994" s="426"/>
      <c r="AU994" s="422"/>
      <c r="AV994" s="422"/>
      <c r="AW994" s="421"/>
      <c r="AX994" s="428"/>
      <c r="AY994" s="420"/>
      <c r="AZ994" s="428"/>
      <c r="BA994" s="420"/>
      <c r="BB994" s="678"/>
      <c r="BC994" s="428"/>
      <c r="BD994" s="422"/>
      <c r="BE994" s="22"/>
      <c r="BF994" s="22"/>
      <c r="BG994" s="235"/>
      <c r="BH994" s="194"/>
      <c r="BI994" s="235"/>
      <c r="BJ994" s="159"/>
      <c r="BK994" s="159"/>
      <c r="BL994" s="196"/>
      <c r="BM994" s="384"/>
      <c r="BN994" s="541"/>
      <c r="BO994" s="449"/>
      <c r="BP994" s="392"/>
      <c r="BQ994" s="243"/>
      <c r="BR994" s="243"/>
      <c r="BS994" s="235"/>
      <c r="BT994" s="235"/>
      <c r="BU994" s="235"/>
      <c r="BV994" s="235"/>
      <c r="BW994" s="244"/>
      <c r="BX994" s="245"/>
      <c r="BY994" s="233"/>
      <c r="BZ994" s="234"/>
    </row>
    <row r="995" spans="1:78" ht="40.5">
      <c r="A995" s="502">
        <v>991</v>
      </c>
      <c r="B995" s="813" t="s">
        <v>10552</v>
      </c>
      <c r="C995" s="687"/>
      <c r="D995" s="706" t="s">
        <v>8638</v>
      </c>
      <c r="E995" s="16">
        <v>44383</v>
      </c>
      <c r="F995" s="689">
        <v>44383</v>
      </c>
      <c r="G995" s="706" t="s">
        <v>10553</v>
      </c>
      <c r="H995" s="693" t="s">
        <v>5</v>
      </c>
      <c r="I995" s="27" t="s">
        <v>1189</v>
      </c>
      <c r="J995" s="147"/>
      <c r="K995" s="21"/>
      <c r="L995" s="428"/>
      <c r="M995" s="26"/>
      <c r="N995" s="423"/>
      <c r="O995" s="147"/>
      <c r="P995" s="21"/>
      <c r="Q995" s="424"/>
      <c r="R995" s="26"/>
      <c r="S995" s="26"/>
      <c r="T995" s="233"/>
      <c r="U995" s="234"/>
      <c r="V995" s="235"/>
      <c r="W995" s="236"/>
      <c r="X995" s="249"/>
      <c r="Y995" s="233"/>
      <c r="Z995" s="234"/>
      <c r="AA995" s="235"/>
      <c r="AB995" s="236"/>
      <c r="AC995" s="249"/>
      <c r="AD995" s="233"/>
      <c r="AE995" s="234"/>
      <c r="AF995" s="235"/>
      <c r="AG995" s="236"/>
      <c r="AH995" s="249"/>
      <c r="AI995" s="237"/>
      <c r="AJ995" s="234"/>
      <c r="AK995" s="235"/>
      <c r="AL995" s="236"/>
      <c r="AM995" s="249"/>
      <c r="AN995" s="422"/>
      <c r="AO995" s="508"/>
      <c r="AP995" s="421"/>
      <c r="AQ995" s="427"/>
      <c r="AR995" s="428"/>
      <c r="AS995" s="426"/>
      <c r="AT995" s="426"/>
      <c r="AU995" s="422"/>
      <c r="AV995" s="422"/>
      <c r="AW995" s="421"/>
      <c r="AX995" s="428"/>
      <c r="AY995" s="420"/>
      <c r="AZ995" s="428"/>
      <c r="BA995" s="420"/>
      <c r="BB995" s="678"/>
      <c r="BC995" s="428"/>
      <c r="BD995" s="422"/>
      <c r="BE995" s="22"/>
      <c r="BF995" s="22"/>
      <c r="BG995" s="235"/>
      <c r="BH995" s="194"/>
      <c r="BI995" s="235"/>
      <c r="BJ995" s="159"/>
      <c r="BK995" s="159"/>
      <c r="BL995" s="196"/>
      <c r="BM995" s="384"/>
      <c r="BN995" s="541"/>
      <c r="BO995" s="449"/>
      <c r="BP995" s="392"/>
      <c r="BQ995" s="243"/>
      <c r="BR995" s="243"/>
      <c r="BS995" s="235"/>
      <c r="BT995" s="235"/>
      <c r="BU995" s="235"/>
      <c r="BV995" s="235"/>
      <c r="BW995" s="244"/>
      <c r="BX995" s="245"/>
      <c r="BY995" s="233"/>
      <c r="BZ995" s="234"/>
    </row>
    <row r="996" spans="1:78" ht="94.5">
      <c r="A996" s="96">
        <v>992</v>
      </c>
      <c r="B996" s="258" t="s">
        <v>10252</v>
      </c>
      <c r="C996" s="142">
        <v>91493608</v>
      </c>
      <c r="D996" s="424" t="s">
        <v>10575</v>
      </c>
      <c r="E996" s="147">
        <v>44405</v>
      </c>
      <c r="F996" s="21">
        <v>44378</v>
      </c>
      <c r="G996" s="913" t="s">
        <v>10581</v>
      </c>
      <c r="H996" s="912" t="s">
        <v>94</v>
      </c>
      <c r="I996" s="911" t="s">
        <v>10582</v>
      </c>
      <c r="J996" s="147"/>
      <c r="K996" s="21"/>
      <c r="L996" s="428"/>
      <c r="M996" s="26"/>
      <c r="N996" s="423"/>
      <c r="O996" s="147"/>
      <c r="P996" s="21"/>
      <c r="Q996" s="424"/>
      <c r="R996" s="26"/>
      <c r="S996" s="26"/>
      <c r="T996" s="233"/>
      <c r="U996" s="234"/>
      <c r="V996" s="235"/>
      <c r="W996" s="236"/>
      <c r="X996" s="249"/>
      <c r="Y996" s="233"/>
      <c r="Z996" s="234"/>
      <c r="AA996" s="235"/>
      <c r="AB996" s="236"/>
      <c r="AC996" s="249"/>
      <c r="AD996" s="233"/>
      <c r="AE996" s="234"/>
      <c r="AF996" s="235"/>
      <c r="AG996" s="236"/>
      <c r="AH996" s="249"/>
      <c r="AI996" s="237"/>
      <c r="AJ996" s="234"/>
      <c r="AK996" s="235"/>
      <c r="AL996" s="236"/>
      <c r="AM996" s="249"/>
      <c r="AN996" s="422"/>
      <c r="AO996" s="508"/>
      <c r="AP996" s="421"/>
      <c r="AQ996" s="427" t="s">
        <v>10580</v>
      </c>
      <c r="AR996" s="428"/>
      <c r="AS996" s="426"/>
      <c r="AT996" s="426"/>
      <c r="AU996" s="422"/>
      <c r="AV996" s="422"/>
      <c r="AW996" s="421" t="s">
        <v>69</v>
      </c>
      <c r="AX996" s="428" t="s">
        <v>10576</v>
      </c>
      <c r="AY996" s="420">
        <v>42655</v>
      </c>
      <c r="AZ996" s="428" t="s">
        <v>10577</v>
      </c>
      <c r="BA996" s="420">
        <v>44335</v>
      </c>
      <c r="BB996" s="678">
        <v>44362</v>
      </c>
      <c r="BC996" s="428" t="s">
        <v>10578</v>
      </c>
      <c r="BD996" s="422" t="s">
        <v>10579</v>
      </c>
      <c r="BE996" s="22"/>
      <c r="BF996" s="22"/>
      <c r="BG996" s="235"/>
      <c r="BH996" s="194"/>
      <c r="BI996" s="235"/>
      <c r="BJ996" s="159"/>
      <c r="BK996" s="159"/>
      <c r="BL996" s="196"/>
      <c r="BM996" s="384"/>
      <c r="BN996" s="541"/>
      <c r="BO996" s="449"/>
      <c r="BP996" s="392"/>
      <c r="BQ996" s="243"/>
      <c r="BR996" s="243"/>
      <c r="BS996" s="235"/>
      <c r="BT996" s="235"/>
      <c r="BU996" s="235"/>
      <c r="BV996" s="235"/>
      <c r="BW996" s="244"/>
      <c r="BX996" s="245"/>
      <c r="BY996" s="233"/>
      <c r="BZ996" s="234"/>
    </row>
    <row r="997" spans="1:78" ht="94.5">
      <c r="A997" s="96">
        <v>993</v>
      </c>
      <c r="B997" s="258" t="s">
        <v>10583</v>
      </c>
      <c r="C997" s="142"/>
      <c r="D997" s="424"/>
      <c r="E997" s="147">
        <v>44399</v>
      </c>
      <c r="F997" s="21">
        <v>44378</v>
      </c>
      <c r="G997" s="26" t="s">
        <v>10591</v>
      </c>
      <c r="H997" s="26" t="s">
        <v>576</v>
      </c>
      <c r="I997" s="911" t="s">
        <v>10582</v>
      </c>
      <c r="J997" s="147">
        <v>44442</v>
      </c>
      <c r="K997" s="21">
        <v>44440</v>
      </c>
      <c r="L997" s="26" t="s">
        <v>10648</v>
      </c>
      <c r="M997" s="26" t="s">
        <v>10610</v>
      </c>
      <c r="N997" s="423" t="s">
        <v>10611</v>
      </c>
      <c r="O997" s="147"/>
      <c r="P997" s="21"/>
      <c r="Q997" s="424"/>
      <c r="R997" s="26"/>
      <c r="S997" s="26"/>
      <c r="T997" s="233"/>
      <c r="U997" s="234"/>
      <c r="V997" s="235"/>
      <c r="W997" s="236"/>
      <c r="X997" s="249"/>
      <c r="Y997" s="233"/>
      <c r="Z997" s="234"/>
      <c r="AA997" s="235"/>
      <c r="AB997" s="236"/>
      <c r="AC997" s="249"/>
      <c r="AD997" s="233"/>
      <c r="AE997" s="234"/>
      <c r="AF997" s="235"/>
      <c r="AG997" s="236"/>
      <c r="AH997" s="249"/>
      <c r="AI997" s="237"/>
      <c r="AJ997" s="234"/>
      <c r="AK997" s="235"/>
      <c r="AL997" s="236"/>
      <c r="AM997" s="249"/>
      <c r="AN997" s="422"/>
      <c r="AO997" s="508"/>
      <c r="AP997" s="421"/>
      <c r="AQ997" s="427" t="s">
        <v>10584</v>
      </c>
      <c r="AR997" s="428"/>
      <c r="AS997" s="426"/>
      <c r="AT997" s="426"/>
      <c r="AU997" s="422"/>
      <c r="AV997" s="422"/>
      <c r="AW997" s="421" t="s">
        <v>69</v>
      </c>
      <c r="AX997" s="428" t="s">
        <v>10586</v>
      </c>
      <c r="AY997" s="420">
        <v>42661</v>
      </c>
      <c r="AZ997" s="428" t="s">
        <v>10585</v>
      </c>
      <c r="BA997" s="420">
        <v>44198</v>
      </c>
      <c r="BB997" s="678">
        <v>44344</v>
      </c>
      <c r="BC997" s="428" t="s">
        <v>10578</v>
      </c>
      <c r="BD997" s="422" t="s">
        <v>10579</v>
      </c>
      <c r="BE997" s="22"/>
      <c r="BF997" s="22"/>
      <c r="BG997" s="235"/>
      <c r="BH997" s="194"/>
      <c r="BI997" s="235"/>
      <c r="BJ997" s="159"/>
      <c r="BK997" s="159"/>
      <c r="BL997" s="196"/>
      <c r="BM997" s="384"/>
      <c r="BN997" s="541"/>
      <c r="BO997" s="449"/>
      <c r="BP997" s="392"/>
      <c r="BQ997" s="243"/>
      <c r="BR997" s="243"/>
      <c r="BS997" s="235"/>
      <c r="BT997" s="235"/>
      <c r="BU997" s="235"/>
      <c r="BV997" s="235"/>
      <c r="BW997" s="244"/>
      <c r="BX997" s="245"/>
      <c r="BY997" s="233"/>
      <c r="BZ997" s="234"/>
    </row>
    <row r="998" spans="1:78" ht="94.5">
      <c r="A998" s="96">
        <v>994</v>
      </c>
      <c r="B998" s="915" t="s">
        <v>10587</v>
      </c>
      <c r="C998" s="916"/>
      <c r="D998" s="917" t="s">
        <v>677</v>
      </c>
      <c r="E998" s="918">
        <v>44399</v>
      </c>
      <c r="F998" s="919">
        <v>44378</v>
      </c>
      <c r="G998" s="913" t="s">
        <v>10590</v>
      </c>
      <c r="H998" s="920" t="s">
        <v>576</v>
      </c>
      <c r="I998" s="921" t="s">
        <v>5420</v>
      </c>
      <c r="J998" s="958">
        <v>44442</v>
      </c>
      <c r="K998" s="21" t="s">
        <v>10605</v>
      </c>
      <c r="L998" s="147" t="s">
        <v>10612</v>
      </c>
      <c r="M998" s="26" t="s">
        <v>10610</v>
      </c>
      <c r="N998" s="423" t="s">
        <v>10611</v>
      </c>
      <c r="O998" s="147"/>
      <c r="P998" s="21"/>
      <c r="Q998" s="424"/>
      <c r="R998" s="26"/>
      <c r="S998" s="26"/>
      <c r="T998" s="233"/>
      <c r="U998" s="234"/>
      <c r="V998" s="235"/>
      <c r="W998" s="236"/>
      <c r="X998" s="249"/>
      <c r="Y998" s="233"/>
      <c r="Z998" s="234"/>
      <c r="AA998" s="235"/>
      <c r="AB998" s="236"/>
      <c r="AC998" s="249"/>
      <c r="AD998" s="233"/>
      <c r="AE998" s="234"/>
      <c r="AF998" s="235"/>
      <c r="AG998" s="236"/>
      <c r="AH998" s="249"/>
      <c r="AI998" s="237"/>
      <c r="AJ998" s="234"/>
      <c r="AK998" s="235"/>
      <c r="AL998" s="236"/>
      <c r="AM998" s="249"/>
      <c r="AN998" s="422"/>
      <c r="AO998" s="508">
        <v>44442</v>
      </c>
      <c r="AP998" s="421"/>
      <c r="AQ998" s="427" t="s">
        <v>10588</v>
      </c>
      <c r="AR998" s="428"/>
      <c r="AS998" s="426"/>
      <c r="AT998" s="426"/>
      <c r="AU998" s="422"/>
      <c r="AV998" s="422"/>
      <c r="AW998" s="421" t="s">
        <v>69</v>
      </c>
      <c r="AX998" s="428" t="s">
        <v>10586</v>
      </c>
      <c r="AY998" s="420">
        <v>42661</v>
      </c>
      <c r="AZ998" s="428" t="s">
        <v>10589</v>
      </c>
      <c r="BA998" s="420">
        <v>44224</v>
      </c>
      <c r="BB998" s="678">
        <v>44344</v>
      </c>
      <c r="BC998" s="428" t="s">
        <v>10578</v>
      </c>
      <c r="BD998" s="422" t="s">
        <v>10579</v>
      </c>
      <c r="BE998" s="22"/>
      <c r="BF998" s="22"/>
      <c r="BG998" s="235"/>
      <c r="BH998" s="194"/>
      <c r="BI998" s="235"/>
      <c r="BJ998" s="159"/>
      <c r="BK998" s="159"/>
      <c r="BL998" s="196"/>
      <c r="BM998" s="384"/>
      <c r="BN998" s="541"/>
      <c r="BO998" s="449"/>
      <c r="BP998" s="392"/>
      <c r="BQ998" s="243"/>
      <c r="BR998" s="243"/>
      <c r="BS998" s="235"/>
      <c r="BT998" s="235"/>
      <c r="BU998" s="235"/>
      <c r="BV998" s="235"/>
      <c r="BW998" s="244"/>
      <c r="BX998" s="245"/>
      <c r="BY998" s="233"/>
      <c r="BZ998" s="234"/>
    </row>
    <row r="999" spans="1:78" ht="324" customHeight="1">
      <c r="A999" s="96">
        <v>995</v>
      </c>
      <c r="B999" s="928" t="s">
        <v>10592</v>
      </c>
      <c r="C999" s="953">
        <v>76029000</v>
      </c>
      <c r="D999" s="954"/>
      <c r="E999" s="956">
        <v>44419</v>
      </c>
      <c r="F999" s="957">
        <v>44409</v>
      </c>
      <c r="G999" s="955" t="s">
        <v>10596</v>
      </c>
      <c r="H999" s="929" t="s">
        <v>10597</v>
      </c>
      <c r="I999" s="929" t="s">
        <v>5420</v>
      </c>
      <c r="J999" s="930"/>
      <c r="K999" s="107"/>
      <c r="L999" s="110"/>
      <c r="M999" s="115"/>
      <c r="N999" s="106"/>
      <c r="O999" s="930"/>
      <c r="P999" s="107"/>
      <c r="Q999" s="110"/>
      <c r="R999" s="115"/>
      <c r="S999" s="115"/>
      <c r="T999" s="931"/>
      <c r="U999" s="932"/>
      <c r="V999" s="933"/>
      <c r="W999" s="934"/>
      <c r="X999" s="935"/>
      <c r="Y999" s="931"/>
      <c r="Z999" s="932"/>
      <c r="AA999" s="933"/>
      <c r="AB999" s="934"/>
      <c r="AC999" s="935"/>
      <c r="AD999" s="931"/>
      <c r="AE999" s="932"/>
      <c r="AF999" s="933"/>
      <c r="AG999" s="934"/>
      <c r="AH999" s="935"/>
      <c r="AI999" s="936"/>
      <c r="AJ999" s="932"/>
      <c r="AK999" s="933"/>
      <c r="AL999" s="934"/>
      <c r="AM999" s="935"/>
      <c r="AN999" s="105"/>
      <c r="AO999" s="937"/>
      <c r="AP999" s="938"/>
      <c r="AQ999" s="949" t="s">
        <v>10593</v>
      </c>
      <c r="AR999" s="110"/>
      <c r="AS999" s="937"/>
      <c r="AT999" s="937"/>
      <c r="AU999" s="105"/>
      <c r="AV999" s="105"/>
      <c r="AW999" s="950" t="s">
        <v>69</v>
      </c>
      <c r="AX999" s="951" t="s">
        <v>10595</v>
      </c>
      <c r="AY999" s="952">
        <v>43062</v>
      </c>
      <c r="AZ999" s="951" t="s">
        <v>2250</v>
      </c>
      <c r="BA999" s="952">
        <v>44322</v>
      </c>
      <c r="BB999" s="930"/>
      <c r="BC999" s="110" t="s">
        <v>10578</v>
      </c>
      <c r="BD999" s="105" t="s">
        <v>10594</v>
      </c>
      <c r="BE999" s="108"/>
      <c r="BF999" s="108"/>
      <c r="BG999" s="933"/>
      <c r="BH999" s="939"/>
      <c r="BI999" s="933"/>
      <c r="BJ999" s="940"/>
      <c r="BK999" s="940"/>
      <c r="BL999" s="941"/>
      <c r="BM999" s="942"/>
      <c r="BN999" s="943"/>
      <c r="BO999" s="944"/>
      <c r="BP999" s="945"/>
      <c r="BQ999" s="946"/>
      <c r="BR999" s="946"/>
      <c r="BS999" s="933"/>
      <c r="BT999" s="933"/>
      <c r="BU999" s="933"/>
      <c r="BV999" s="933"/>
      <c r="BW999" s="947"/>
      <c r="BX999" s="948"/>
      <c r="BY999" s="931"/>
      <c r="BZ999" s="932"/>
    </row>
    <row r="1000" spans="1:78" ht="162" customHeight="1">
      <c r="A1000" s="96">
        <v>996</v>
      </c>
      <c r="B1000" s="586" t="s">
        <v>10598</v>
      </c>
      <c r="C1000" s="914"/>
      <c r="D1000" s="922"/>
      <c r="E1000" s="923"/>
      <c r="F1000" s="924"/>
      <c r="G1000" s="925"/>
      <c r="H1000" s="926" t="s">
        <v>10599</v>
      </c>
      <c r="I1000" s="927" t="s">
        <v>5420</v>
      </c>
      <c r="J1000" s="147"/>
      <c r="K1000" s="21"/>
      <c r="L1000" s="428"/>
      <c r="M1000" s="26"/>
      <c r="N1000" s="423"/>
      <c r="O1000" s="147"/>
      <c r="P1000" s="21"/>
      <c r="Q1000" s="424"/>
      <c r="R1000" s="26"/>
      <c r="S1000" s="26"/>
      <c r="T1000" s="233"/>
      <c r="U1000" s="234"/>
      <c r="V1000" s="235"/>
      <c r="W1000" s="236"/>
      <c r="X1000" s="249"/>
      <c r="Y1000" s="233"/>
      <c r="Z1000" s="234"/>
      <c r="AA1000" s="235"/>
      <c r="AB1000" s="236"/>
      <c r="AC1000" s="249"/>
      <c r="AD1000" s="233"/>
      <c r="AE1000" s="234"/>
      <c r="AF1000" s="235"/>
      <c r="AG1000" s="236"/>
      <c r="AH1000" s="249"/>
      <c r="AI1000" s="237"/>
      <c r="AJ1000" s="234"/>
      <c r="AK1000" s="235"/>
      <c r="AL1000" s="236"/>
      <c r="AM1000" s="249"/>
      <c r="AN1000" s="422"/>
      <c r="AO1000" s="508"/>
      <c r="AP1000" s="421"/>
      <c r="AQ1000" s="427" t="s">
        <v>10600</v>
      </c>
      <c r="AR1000" s="428"/>
      <c r="AS1000" s="426"/>
      <c r="AT1000" s="426"/>
      <c r="AU1000" s="422"/>
      <c r="AV1000" s="422"/>
      <c r="AW1000" s="422" t="s">
        <v>69</v>
      </c>
      <c r="AX1000" s="428" t="s">
        <v>10601</v>
      </c>
      <c r="AY1000" s="420">
        <v>41597</v>
      </c>
      <c r="AZ1000" s="428" t="s">
        <v>10602</v>
      </c>
      <c r="BA1000" s="420">
        <v>44315</v>
      </c>
      <c r="BB1000" s="678">
        <v>44411</v>
      </c>
      <c r="BC1000" s="428" t="s">
        <v>10578</v>
      </c>
      <c r="BD1000" s="422" t="s">
        <v>10603</v>
      </c>
      <c r="BE1000" s="22"/>
      <c r="BF1000" s="22"/>
      <c r="BG1000" s="235"/>
      <c r="BH1000" s="194"/>
      <c r="BI1000" s="235"/>
      <c r="BJ1000" s="159"/>
      <c r="BK1000" s="159"/>
      <c r="BL1000" s="196"/>
      <c r="BM1000" s="384"/>
      <c r="BN1000" s="541"/>
      <c r="BO1000" s="449"/>
      <c r="BP1000" s="392"/>
      <c r="BQ1000" s="243"/>
      <c r="BR1000" s="243"/>
      <c r="BS1000" s="235"/>
      <c r="BT1000" s="235"/>
      <c r="BU1000" s="235"/>
      <c r="BV1000" s="235"/>
      <c r="BW1000" s="244"/>
      <c r="BX1000" s="245"/>
      <c r="BY1000" s="233"/>
      <c r="BZ1000" s="234"/>
    </row>
    <row r="1001" spans="1:78" ht="67.5">
      <c r="A1001" s="96">
        <v>997</v>
      </c>
      <c r="B1001" s="258" t="s">
        <v>5521</v>
      </c>
      <c r="C1001" s="142">
        <v>79914104</v>
      </c>
      <c r="D1001" s="424" t="s">
        <v>906</v>
      </c>
      <c r="E1001" s="147">
        <v>44442</v>
      </c>
      <c r="F1001" s="21" t="s">
        <v>10605</v>
      </c>
      <c r="G1001" s="428" t="s">
        <v>10604</v>
      </c>
      <c r="H1001" s="26" t="s">
        <v>10599</v>
      </c>
      <c r="I1001" s="927" t="s">
        <v>5420</v>
      </c>
      <c r="J1001" s="147"/>
      <c r="K1001" s="21"/>
      <c r="L1001" s="428"/>
      <c r="M1001" s="26"/>
      <c r="N1001" s="423"/>
      <c r="O1001" s="147"/>
      <c r="P1001" s="21"/>
      <c r="Q1001" s="424"/>
      <c r="R1001" s="26"/>
      <c r="S1001" s="26"/>
      <c r="T1001" s="233"/>
      <c r="U1001" s="234"/>
      <c r="V1001" s="235"/>
      <c r="W1001" s="236"/>
      <c r="X1001" s="249"/>
      <c r="Y1001" s="233"/>
      <c r="Z1001" s="234"/>
      <c r="AA1001" s="235"/>
      <c r="AB1001" s="236"/>
      <c r="AC1001" s="249"/>
      <c r="AD1001" s="233"/>
      <c r="AE1001" s="234"/>
      <c r="AF1001" s="235"/>
      <c r="AG1001" s="236"/>
      <c r="AH1001" s="249"/>
      <c r="AI1001" s="237"/>
      <c r="AJ1001" s="234"/>
      <c r="AK1001" s="235"/>
      <c r="AL1001" s="236"/>
      <c r="AM1001" s="249"/>
      <c r="AN1001" s="422"/>
      <c r="AO1001" s="508"/>
      <c r="AP1001" s="421"/>
      <c r="AQ1001" s="427" t="s">
        <v>10606</v>
      </c>
      <c r="AR1001" s="428"/>
      <c r="AS1001" s="426"/>
      <c r="AT1001" s="426"/>
      <c r="AU1001" s="422"/>
      <c r="AV1001" s="422"/>
      <c r="AW1001" s="422" t="s">
        <v>69</v>
      </c>
      <c r="AX1001" s="428" t="s">
        <v>10608</v>
      </c>
      <c r="AY1001" s="420">
        <v>43516</v>
      </c>
      <c r="AZ1001" s="428" t="s">
        <v>10607</v>
      </c>
      <c r="BA1001" s="420">
        <v>44384</v>
      </c>
      <c r="BB1001" s="678">
        <v>44431</v>
      </c>
      <c r="BC1001" s="428" t="s">
        <v>10578</v>
      </c>
      <c r="BD1001" s="422" t="s">
        <v>10609</v>
      </c>
      <c r="BE1001" s="22"/>
      <c r="BF1001" s="22"/>
      <c r="BG1001" s="235"/>
      <c r="BH1001" s="194"/>
      <c r="BI1001" s="235"/>
      <c r="BJ1001" s="159"/>
      <c r="BK1001" s="159"/>
      <c r="BL1001" s="196"/>
      <c r="BM1001" s="384"/>
      <c r="BN1001" s="541"/>
      <c r="BO1001" s="449"/>
      <c r="BP1001" s="392"/>
      <c r="BQ1001" s="243"/>
      <c r="BR1001" s="243"/>
      <c r="BS1001" s="235"/>
      <c r="BT1001" s="235"/>
      <c r="BU1001" s="235"/>
      <c r="BV1001" s="235"/>
      <c r="BW1001" s="244"/>
      <c r="BX1001" s="245"/>
      <c r="BY1001" s="233"/>
      <c r="BZ1001" s="234"/>
    </row>
    <row r="1002" spans="1:78" ht="30">
      <c r="A1002" s="96">
        <v>998</v>
      </c>
      <c r="B1002" s="258" t="s">
        <v>10616</v>
      </c>
      <c r="C1002" s="142"/>
      <c r="D1002" s="424" t="s">
        <v>3549</v>
      </c>
      <c r="E1002" s="147">
        <v>44386</v>
      </c>
      <c r="F1002" s="21">
        <v>44378</v>
      </c>
      <c r="G1002" s="959" t="s">
        <v>10617</v>
      </c>
      <c r="H1002" s="26" t="s">
        <v>5</v>
      </c>
      <c r="I1002" s="423" t="s">
        <v>79</v>
      </c>
      <c r="J1002" s="147"/>
      <c r="K1002" s="21"/>
      <c r="L1002" s="428"/>
      <c r="M1002" s="26"/>
      <c r="N1002" s="423"/>
      <c r="O1002" s="147"/>
      <c r="P1002" s="21"/>
      <c r="Q1002" s="424"/>
      <c r="R1002" s="26"/>
      <c r="S1002" s="26"/>
      <c r="T1002" s="233"/>
      <c r="U1002" s="234"/>
      <c r="V1002" s="235"/>
      <c r="W1002" s="236"/>
      <c r="X1002" s="249"/>
      <c r="Y1002" s="233"/>
      <c r="Z1002" s="234"/>
      <c r="AA1002" s="235"/>
      <c r="AB1002" s="236"/>
      <c r="AC1002" s="249"/>
      <c r="AD1002" s="233"/>
      <c r="AE1002" s="234"/>
      <c r="AF1002" s="235"/>
      <c r="AG1002" s="236"/>
      <c r="AH1002" s="249"/>
      <c r="AI1002" s="237"/>
      <c r="AJ1002" s="234"/>
      <c r="AK1002" s="235"/>
      <c r="AL1002" s="236"/>
      <c r="AM1002" s="249"/>
      <c r="AN1002" s="422"/>
      <c r="AO1002" s="508"/>
      <c r="AP1002" s="421"/>
      <c r="AQ1002" s="427"/>
      <c r="AR1002" s="428"/>
      <c r="AS1002" s="426"/>
      <c r="AT1002" s="426"/>
      <c r="AU1002" s="422"/>
      <c r="AV1002" s="422"/>
      <c r="AW1002" s="421"/>
      <c r="AX1002" s="428"/>
      <c r="AY1002" s="420"/>
      <c r="AZ1002" s="428"/>
      <c r="BA1002" s="420"/>
      <c r="BB1002" s="678"/>
      <c r="BC1002" s="428"/>
      <c r="BD1002" s="422"/>
      <c r="BE1002" s="22"/>
      <c r="BF1002" s="22"/>
      <c r="BG1002" s="235"/>
      <c r="BH1002" s="194"/>
      <c r="BI1002" s="235"/>
      <c r="BJ1002" s="159"/>
      <c r="BK1002" s="159"/>
      <c r="BL1002" s="196"/>
      <c r="BM1002" s="384"/>
      <c r="BN1002" s="541"/>
      <c r="BO1002" s="449"/>
      <c r="BP1002" s="392"/>
      <c r="BQ1002" s="243"/>
      <c r="BR1002" s="243"/>
      <c r="BS1002" s="235"/>
      <c r="BT1002" s="235"/>
      <c r="BU1002" s="235"/>
      <c r="BV1002" s="235"/>
      <c r="BW1002" s="244"/>
      <c r="BX1002" s="245"/>
      <c r="BY1002" s="233"/>
      <c r="BZ1002" s="234"/>
    </row>
    <row r="1003" spans="1:78" ht="30">
      <c r="A1003" s="96">
        <v>999</v>
      </c>
      <c r="B1003" s="961" t="s">
        <v>10620</v>
      </c>
      <c r="C1003" s="142"/>
      <c r="D1003" s="424" t="s">
        <v>3252</v>
      </c>
      <c r="E1003" s="147">
        <v>44413</v>
      </c>
      <c r="F1003" s="21">
        <v>44409</v>
      </c>
      <c r="G1003" s="959" t="s">
        <v>10621</v>
      </c>
      <c r="H1003" s="26" t="s">
        <v>5</v>
      </c>
      <c r="I1003" s="423" t="s">
        <v>79</v>
      </c>
      <c r="J1003" s="147"/>
      <c r="K1003" s="21"/>
      <c r="L1003" s="428"/>
      <c r="M1003" s="26"/>
      <c r="N1003" s="423"/>
      <c r="O1003" s="147"/>
      <c r="P1003" s="21"/>
      <c r="Q1003" s="424"/>
      <c r="R1003" s="26"/>
      <c r="S1003" s="26"/>
      <c r="T1003" s="233"/>
      <c r="U1003" s="234"/>
      <c r="V1003" s="235"/>
      <c r="W1003" s="236"/>
      <c r="X1003" s="249"/>
      <c r="Y1003" s="233"/>
      <c r="Z1003" s="234"/>
      <c r="AA1003" s="235"/>
      <c r="AB1003" s="236"/>
      <c r="AC1003" s="249"/>
      <c r="AD1003" s="233"/>
      <c r="AE1003" s="234"/>
      <c r="AF1003" s="235"/>
      <c r="AG1003" s="236"/>
      <c r="AH1003" s="249"/>
      <c r="AI1003" s="237"/>
      <c r="AJ1003" s="234"/>
      <c r="AK1003" s="235"/>
      <c r="AL1003" s="236"/>
      <c r="AM1003" s="249"/>
      <c r="AN1003" s="422"/>
      <c r="AO1003" s="508"/>
      <c r="AP1003" s="421"/>
      <c r="AQ1003" s="427"/>
      <c r="AR1003" s="428"/>
      <c r="AS1003" s="426"/>
      <c r="AT1003" s="426"/>
      <c r="AU1003" s="422"/>
      <c r="AV1003" s="422"/>
      <c r="AW1003" s="421"/>
      <c r="AX1003" s="428"/>
      <c r="AY1003" s="420"/>
      <c r="AZ1003" s="428"/>
      <c r="BA1003" s="420"/>
      <c r="BB1003" s="678"/>
      <c r="BC1003" s="428"/>
      <c r="BD1003" s="422"/>
      <c r="BE1003" s="22"/>
      <c r="BF1003" s="22"/>
      <c r="BG1003" s="235"/>
      <c r="BH1003" s="194"/>
      <c r="BI1003" s="235"/>
      <c r="BJ1003" s="159"/>
      <c r="BK1003" s="159"/>
      <c r="BL1003" s="196"/>
      <c r="BM1003" s="384"/>
      <c r="BN1003" s="541"/>
      <c r="BO1003" s="449"/>
      <c r="BP1003" s="392"/>
      <c r="BQ1003" s="243"/>
      <c r="BR1003" s="243"/>
      <c r="BS1003" s="235"/>
      <c r="BT1003" s="235"/>
      <c r="BU1003" s="235"/>
      <c r="BV1003" s="235"/>
      <c r="BW1003" s="244"/>
      <c r="BX1003" s="245"/>
      <c r="BY1003" s="233"/>
      <c r="BZ1003" s="234"/>
    </row>
    <row r="1004" spans="1:78" ht="30">
      <c r="A1004" s="96">
        <v>1000</v>
      </c>
      <c r="B1004" s="961" t="s">
        <v>10622</v>
      </c>
      <c r="C1004" s="142"/>
      <c r="D1004" s="424" t="s">
        <v>10623</v>
      </c>
      <c r="E1004" s="147">
        <v>44414</v>
      </c>
      <c r="F1004" s="21">
        <v>44409</v>
      </c>
      <c r="G1004" s="959" t="s">
        <v>10624</v>
      </c>
      <c r="H1004" s="26" t="s">
        <v>5</v>
      </c>
      <c r="I1004" s="423" t="s">
        <v>79</v>
      </c>
      <c r="J1004" s="147"/>
      <c r="K1004" s="21"/>
      <c r="L1004" s="428"/>
      <c r="M1004" s="26"/>
      <c r="N1004" s="423"/>
      <c r="O1004" s="147"/>
      <c r="P1004" s="21"/>
      <c r="Q1004" s="424"/>
      <c r="R1004" s="26"/>
      <c r="S1004" s="26"/>
      <c r="T1004" s="233"/>
      <c r="U1004" s="234"/>
      <c r="V1004" s="235"/>
      <c r="W1004" s="236"/>
      <c r="X1004" s="249"/>
      <c r="Y1004" s="233"/>
      <c r="Z1004" s="234"/>
      <c r="AA1004" s="235"/>
      <c r="AB1004" s="236"/>
      <c r="AC1004" s="249"/>
      <c r="AD1004" s="233"/>
      <c r="AE1004" s="234"/>
      <c r="AF1004" s="235"/>
      <c r="AG1004" s="236"/>
      <c r="AH1004" s="249"/>
      <c r="AI1004" s="237"/>
      <c r="AJ1004" s="234"/>
      <c r="AK1004" s="235"/>
      <c r="AL1004" s="236"/>
      <c r="AM1004" s="249"/>
      <c r="AN1004" s="422"/>
      <c r="AO1004" s="508"/>
      <c r="AP1004" s="421"/>
      <c r="AQ1004" s="427"/>
      <c r="AR1004" s="428"/>
      <c r="AS1004" s="426"/>
      <c r="AT1004" s="426"/>
      <c r="AU1004" s="422"/>
      <c r="AV1004" s="422"/>
      <c r="AW1004" s="421"/>
      <c r="AX1004" s="428"/>
      <c r="AY1004" s="420"/>
      <c r="AZ1004" s="428"/>
      <c r="BA1004" s="420"/>
      <c r="BB1004" s="678"/>
      <c r="BC1004" s="428"/>
      <c r="BD1004" s="422"/>
      <c r="BE1004" s="22"/>
      <c r="BF1004" s="22"/>
      <c r="BG1004" s="235"/>
      <c r="BH1004" s="194"/>
      <c r="BI1004" s="235"/>
      <c r="BJ1004" s="159"/>
      <c r="BK1004" s="159"/>
      <c r="BL1004" s="196"/>
      <c r="BM1004" s="384"/>
      <c r="BN1004" s="541"/>
      <c r="BO1004" s="449"/>
      <c r="BP1004" s="392"/>
      <c r="BQ1004" s="243"/>
      <c r="BR1004" s="243"/>
      <c r="BS1004" s="235"/>
      <c r="BT1004" s="235"/>
      <c r="BU1004" s="235"/>
      <c r="BV1004" s="235"/>
      <c r="BW1004" s="244"/>
      <c r="BX1004" s="245"/>
      <c r="BY1004" s="233"/>
      <c r="BZ1004" s="234"/>
    </row>
    <row r="1005" spans="1:78" ht="30">
      <c r="A1005" s="96">
        <v>1001</v>
      </c>
      <c r="B1005" s="961" t="s">
        <v>10625</v>
      </c>
      <c r="C1005" s="961">
        <v>94456646</v>
      </c>
      <c r="D1005" s="424" t="s">
        <v>1153</v>
      </c>
      <c r="E1005" s="147">
        <v>44421</v>
      </c>
      <c r="F1005" s="21">
        <v>44409</v>
      </c>
      <c r="G1005" s="959" t="s">
        <v>10626</v>
      </c>
      <c r="H1005" s="26" t="s">
        <v>5</v>
      </c>
      <c r="I1005" s="423" t="s">
        <v>79</v>
      </c>
      <c r="J1005" s="147"/>
      <c r="K1005" s="21"/>
      <c r="L1005" s="428"/>
      <c r="M1005" s="26"/>
      <c r="N1005" s="423"/>
      <c r="O1005" s="147"/>
      <c r="P1005" s="21"/>
      <c r="Q1005" s="424"/>
      <c r="R1005" s="26"/>
      <c r="S1005" s="26"/>
      <c r="T1005" s="233"/>
      <c r="U1005" s="234"/>
      <c r="V1005" s="235"/>
      <c r="W1005" s="236"/>
      <c r="X1005" s="249"/>
      <c r="Y1005" s="233"/>
      <c r="Z1005" s="234"/>
      <c r="AA1005" s="235"/>
      <c r="AB1005" s="236"/>
      <c r="AC1005" s="249"/>
      <c r="AD1005" s="233"/>
      <c r="AE1005" s="234"/>
      <c r="AF1005" s="235"/>
      <c r="AG1005" s="236"/>
      <c r="AH1005" s="249"/>
      <c r="AI1005" s="237"/>
      <c r="AJ1005" s="234"/>
      <c r="AK1005" s="235"/>
      <c r="AL1005" s="236"/>
      <c r="AM1005" s="249"/>
      <c r="AN1005" s="422"/>
      <c r="AO1005" s="508"/>
      <c r="AP1005" s="421"/>
      <c r="AQ1005" s="427"/>
      <c r="AR1005" s="428"/>
      <c r="AS1005" s="426"/>
      <c r="AT1005" s="426"/>
      <c r="AU1005" s="422"/>
      <c r="AV1005" s="422"/>
      <c r="AW1005" s="421"/>
      <c r="AX1005" s="428"/>
      <c r="AY1005" s="420"/>
      <c r="AZ1005" s="428"/>
      <c r="BA1005" s="420"/>
      <c r="BB1005" s="678"/>
      <c r="BC1005" s="428"/>
      <c r="BD1005" s="422"/>
      <c r="BE1005" s="22"/>
      <c r="BF1005" s="22"/>
      <c r="BG1005" s="235"/>
      <c r="BH1005" s="194"/>
      <c r="BI1005" s="235"/>
      <c r="BJ1005" s="159"/>
      <c r="BK1005" s="159"/>
      <c r="BL1005" s="196"/>
      <c r="BM1005" s="384"/>
      <c r="BN1005" s="541"/>
      <c r="BO1005" s="449"/>
      <c r="BP1005" s="392"/>
      <c r="BQ1005" s="243"/>
      <c r="BR1005" s="243"/>
      <c r="BS1005" s="235"/>
      <c r="BT1005" s="235"/>
      <c r="BU1005" s="235"/>
      <c r="BV1005" s="235"/>
      <c r="BW1005" s="244"/>
      <c r="BX1005" s="245"/>
      <c r="BY1005" s="233"/>
      <c r="BZ1005" s="234"/>
    </row>
    <row r="1006" spans="1:78" ht="40.5">
      <c r="A1006" s="96">
        <v>1002</v>
      </c>
      <c r="B1006" s="258" t="s">
        <v>10631</v>
      </c>
      <c r="C1006" s="961">
        <v>6199910</v>
      </c>
      <c r="D1006" s="424" t="s">
        <v>10632</v>
      </c>
      <c r="E1006" s="147">
        <v>44428</v>
      </c>
      <c r="F1006" s="21">
        <v>44409</v>
      </c>
      <c r="G1006" s="959" t="s">
        <v>10633</v>
      </c>
      <c r="H1006" s="26" t="s">
        <v>5</v>
      </c>
      <c r="I1006" s="423" t="s">
        <v>79</v>
      </c>
      <c r="J1006" s="147"/>
      <c r="K1006" s="21"/>
      <c r="L1006" s="428"/>
      <c r="M1006" s="26"/>
      <c r="N1006" s="423"/>
      <c r="O1006" s="147"/>
      <c r="P1006" s="21"/>
      <c r="Q1006" s="424"/>
      <c r="R1006" s="26"/>
      <c r="S1006" s="26"/>
      <c r="T1006" s="233"/>
      <c r="U1006" s="234"/>
      <c r="V1006" s="235"/>
      <c r="W1006" s="236"/>
      <c r="X1006" s="249"/>
      <c r="Y1006" s="233"/>
      <c r="Z1006" s="234"/>
      <c r="AA1006" s="235"/>
      <c r="AB1006" s="236"/>
      <c r="AC1006" s="249"/>
      <c r="AD1006" s="233"/>
      <c r="AE1006" s="234"/>
      <c r="AF1006" s="235"/>
      <c r="AG1006" s="236"/>
      <c r="AH1006" s="249"/>
      <c r="AI1006" s="237"/>
      <c r="AJ1006" s="234"/>
      <c r="AK1006" s="235"/>
      <c r="AL1006" s="236"/>
      <c r="AM1006" s="249"/>
      <c r="AN1006" s="422"/>
      <c r="AO1006" s="508"/>
      <c r="AP1006" s="421"/>
      <c r="AQ1006" s="427"/>
      <c r="AR1006" s="428"/>
      <c r="AS1006" s="426"/>
      <c r="AT1006" s="426"/>
      <c r="AU1006" s="422"/>
      <c r="AV1006" s="422"/>
      <c r="AW1006" s="421"/>
      <c r="AX1006" s="428"/>
      <c r="AY1006" s="420"/>
      <c r="AZ1006" s="428"/>
      <c r="BA1006" s="420"/>
      <c r="BB1006" s="678"/>
      <c r="BC1006" s="428"/>
      <c r="BD1006" s="422"/>
      <c r="BE1006" s="22"/>
      <c r="BF1006" s="22"/>
      <c r="BG1006" s="235"/>
      <c r="BH1006" s="194"/>
      <c r="BI1006" s="235"/>
      <c r="BJ1006" s="159"/>
      <c r="BK1006" s="159"/>
      <c r="BL1006" s="196"/>
      <c r="BM1006" s="384"/>
      <c r="BN1006" s="541"/>
      <c r="BO1006" s="449"/>
      <c r="BP1006" s="392"/>
      <c r="BQ1006" s="243"/>
      <c r="BR1006" s="243"/>
      <c r="BS1006" s="235"/>
      <c r="BT1006" s="235"/>
      <c r="BU1006" s="235"/>
      <c r="BV1006" s="235"/>
      <c r="BW1006" s="244"/>
      <c r="BX1006" s="245"/>
      <c r="BY1006" s="233"/>
      <c r="BZ1006" s="234"/>
    </row>
    <row r="1007" spans="1:78" ht="40.5">
      <c r="A1007" s="96">
        <v>1003</v>
      </c>
      <c r="B1007" s="961" t="s">
        <v>10634</v>
      </c>
      <c r="C1007" s="961">
        <v>94529061</v>
      </c>
      <c r="D1007" s="424" t="s">
        <v>10632</v>
      </c>
      <c r="E1007" s="147">
        <v>44428</v>
      </c>
      <c r="F1007" s="21">
        <v>44409</v>
      </c>
      <c r="G1007" s="959" t="s">
        <v>10635</v>
      </c>
      <c r="H1007" s="26" t="s">
        <v>5</v>
      </c>
      <c r="I1007" s="423" t="s">
        <v>79</v>
      </c>
      <c r="J1007" s="147">
        <v>44550</v>
      </c>
      <c r="K1007" s="21">
        <v>44531</v>
      </c>
      <c r="L1007" s="428" t="s">
        <v>10715</v>
      </c>
      <c r="M1007" s="26" t="s">
        <v>5</v>
      </c>
      <c r="N1007" s="423" t="s">
        <v>85</v>
      </c>
      <c r="O1007" s="147"/>
      <c r="P1007" s="21"/>
      <c r="Q1007" s="424"/>
      <c r="R1007" s="26"/>
      <c r="S1007" s="26"/>
      <c r="T1007" s="233"/>
      <c r="U1007" s="234"/>
      <c r="V1007" s="235"/>
      <c r="W1007" s="236"/>
      <c r="X1007" s="249"/>
      <c r="Y1007" s="233"/>
      <c r="Z1007" s="234"/>
      <c r="AA1007" s="235"/>
      <c r="AB1007" s="236"/>
      <c r="AC1007" s="249"/>
      <c r="AD1007" s="233"/>
      <c r="AE1007" s="234"/>
      <c r="AF1007" s="235"/>
      <c r="AG1007" s="236"/>
      <c r="AH1007" s="249"/>
      <c r="AI1007" s="237"/>
      <c r="AJ1007" s="234"/>
      <c r="AK1007" s="235"/>
      <c r="AL1007" s="236"/>
      <c r="AM1007" s="249"/>
      <c r="AN1007" s="422"/>
      <c r="AO1007" s="508"/>
      <c r="AP1007" s="421"/>
      <c r="AQ1007" s="427"/>
      <c r="AR1007" s="428"/>
      <c r="AS1007" s="426"/>
      <c r="AT1007" s="426"/>
      <c r="AU1007" s="422"/>
      <c r="AV1007" s="422"/>
      <c r="AW1007" s="421"/>
      <c r="AX1007" s="428"/>
      <c r="AY1007" s="420"/>
      <c r="AZ1007" s="428"/>
      <c r="BA1007" s="420"/>
      <c r="BB1007" s="678"/>
      <c r="BC1007" s="428"/>
      <c r="BD1007" s="422"/>
      <c r="BE1007" s="22"/>
      <c r="BF1007" s="22"/>
      <c r="BG1007" s="235"/>
      <c r="BH1007" s="194"/>
      <c r="BI1007" s="235"/>
      <c r="BJ1007" s="159"/>
      <c r="BK1007" s="159"/>
      <c r="BL1007" s="196"/>
      <c r="BM1007" s="384"/>
      <c r="BN1007" s="541"/>
      <c r="BO1007" s="449"/>
      <c r="BP1007" s="392"/>
      <c r="BQ1007" s="243"/>
      <c r="BR1007" s="243"/>
      <c r="BS1007" s="235"/>
      <c r="BT1007" s="235"/>
      <c r="BU1007" s="235"/>
      <c r="BV1007" s="235"/>
      <c r="BW1007" s="244"/>
      <c r="BX1007" s="245"/>
      <c r="BY1007" s="233"/>
      <c r="BZ1007" s="234"/>
    </row>
    <row r="1008" spans="1:78" ht="30">
      <c r="A1008" s="96">
        <v>1004</v>
      </c>
      <c r="B1008" s="961" t="s">
        <v>10639</v>
      </c>
      <c r="C1008" s="961">
        <v>37727212</v>
      </c>
      <c r="D1008" s="424" t="s">
        <v>10453</v>
      </c>
      <c r="E1008" s="147">
        <v>44392</v>
      </c>
      <c r="F1008" s="640">
        <v>44378</v>
      </c>
      <c r="G1008" s="959" t="s">
        <v>10640</v>
      </c>
      <c r="H1008" s="26" t="s">
        <v>5</v>
      </c>
      <c r="I1008" s="423" t="s">
        <v>79</v>
      </c>
      <c r="J1008" s="147"/>
      <c r="K1008" s="21"/>
      <c r="L1008" s="428"/>
      <c r="M1008" s="26"/>
      <c r="N1008" s="423"/>
      <c r="O1008" s="147"/>
      <c r="P1008" s="21"/>
      <c r="Q1008" s="424"/>
      <c r="R1008" s="26"/>
      <c r="S1008" s="26"/>
      <c r="T1008" s="233"/>
      <c r="U1008" s="234"/>
      <c r="V1008" s="235"/>
      <c r="W1008" s="236"/>
      <c r="X1008" s="249"/>
      <c r="Y1008" s="233"/>
      <c r="Z1008" s="234"/>
      <c r="AA1008" s="235"/>
      <c r="AB1008" s="236"/>
      <c r="AC1008" s="249"/>
      <c r="AD1008" s="233"/>
      <c r="AE1008" s="234"/>
      <c r="AF1008" s="235"/>
      <c r="AG1008" s="236"/>
      <c r="AH1008" s="249"/>
      <c r="AI1008" s="237"/>
      <c r="AJ1008" s="234"/>
      <c r="AK1008" s="235"/>
      <c r="AL1008" s="236"/>
      <c r="AM1008" s="249"/>
      <c r="AN1008" s="422"/>
      <c r="AO1008" s="508"/>
      <c r="AP1008" s="421"/>
      <c r="AQ1008" s="427"/>
      <c r="AR1008" s="428"/>
      <c r="AS1008" s="426"/>
      <c r="AT1008" s="426"/>
      <c r="AU1008" s="422"/>
      <c r="AV1008" s="422"/>
      <c r="AW1008" s="421"/>
      <c r="AX1008" s="428"/>
      <c r="AY1008" s="420"/>
      <c r="AZ1008" s="428"/>
      <c r="BA1008" s="420"/>
      <c r="BB1008" s="678"/>
      <c r="BC1008" s="428"/>
      <c r="BD1008" s="422"/>
      <c r="BE1008" s="22"/>
      <c r="BF1008" s="22"/>
      <c r="BG1008" s="235"/>
      <c r="BH1008" s="194"/>
      <c r="BI1008" s="235"/>
      <c r="BJ1008" s="159"/>
      <c r="BK1008" s="159"/>
      <c r="BL1008" s="196"/>
      <c r="BM1008" s="384"/>
      <c r="BN1008" s="541"/>
      <c r="BO1008" s="449"/>
      <c r="BP1008" s="392"/>
      <c r="BQ1008" s="243"/>
      <c r="BR1008" s="243"/>
      <c r="BS1008" s="235"/>
      <c r="BT1008" s="235"/>
      <c r="BU1008" s="235"/>
      <c r="BV1008" s="235"/>
      <c r="BW1008" s="244"/>
      <c r="BX1008" s="245"/>
      <c r="BY1008" s="233"/>
      <c r="BZ1008" s="234"/>
    </row>
    <row r="1009" spans="1:78" ht="27">
      <c r="A1009" s="96">
        <v>1005</v>
      </c>
      <c r="B1009" s="258" t="s">
        <v>10663</v>
      </c>
      <c r="C1009" s="142"/>
      <c r="D1009" s="424"/>
      <c r="E1009" s="147">
        <v>44438</v>
      </c>
      <c r="F1009" s="21">
        <v>44409</v>
      </c>
      <c r="G1009" s="964" t="s">
        <v>10662</v>
      </c>
      <c r="H1009" s="26" t="s">
        <v>625</v>
      </c>
      <c r="I1009" s="423" t="s">
        <v>5420</v>
      </c>
      <c r="J1009" s="147"/>
      <c r="K1009" s="21"/>
      <c r="L1009" s="428"/>
      <c r="M1009" s="26"/>
      <c r="N1009" s="423"/>
      <c r="O1009" s="147"/>
      <c r="P1009" s="21"/>
      <c r="Q1009" s="424"/>
      <c r="R1009" s="26"/>
      <c r="S1009" s="26"/>
      <c r="T1009" s="233"/>
      <c r="U1009" s="234"/>
      <c r="V1009" s="235"/>
      <c r="W1009" s="236"/>
      <c r="X1009" s="249"/>
      <c r="Y1009" s="233"/>
      <c r="Z1009" s="234"/>
      <c r="AA1009" s="235"/>
      <c r="AB1009" s="236"/>
      <c r="AC1009" s="249"/>
      <c r="AD1009" s="233"/>
      <c r="AE1009" s="234"/>
      <c r="AF1009" s="235"/>
      <c r="AG1009" s="236"/>
      <c r="AH1009" s="249"/>
      <c r="AI1009" s="237"/>
      <c r="AJ1009" s="234"/>
      <c r="AK1009" s="235"/>
      <c r="AL1009" s="236"/>
      <c r="AM1009" s="249"/>
      <c r="AN1009" s="422"/>
      <c r="AO1009" s="508"/>
      <c r="AP1009" s="421"/>
      <c r="AQ1009" s="427"/>
      <c r="AR1009" s="428"/>
      <c r="AS1009" s="426"/>
      <c r="AT1009" s="426"/>
      <c r="AU1009" s="422"/>
      <c r="AV1009" s="422"/>
      <c r="AW1009" s="421"/>
      <c r="AX1009" s="428"/>
      <c r="AY1009" s="420"/>
      <c r="AZ1009" s="428"/>
      <c r="BA1009" s="420"/>
      <c r="BB1009" s="678"/>
      <c r="BC1009" s="428"/>
      <c r="BD1009" s="422"/>
      <c r="BE1009" s="22"/>
      <c r="BF1009" s="22"/>
      <c r="BG1009" s="235"/>
      <c r="BH1009" s="194"/>
      <c r="BI1009" s="235"/>
      <c r="BJ1009" s="159"/>
      <c r="BK1009" s="159"/>
      <c r="BL1009" s="196"/>
      <c r="BM1009" s="384"/>
      <c r="BN1009" s="541"/>
      <c r="BO1009" s="449"/>
      <c r="BP1009" s="392"/>
      <c r="BQ1009" s="243"/>
      <c r="BR1009" s="243"/>
      <c r="BS1009" s="235"/>
      <c r="BT1009" s="235"/>
      <c r="BU1009" s="235"/>
      <c r="BV1009" s="235"/>
      <c r="BW1009" s="244"/>
      <c r="BX1009" s="245"/>
      <c r="BY1009" s="233"/>
      <c r="BZ1009" s="234"/>
    </row>
    <row r="1010" spans="1:78" ht="30">
      <c r="A1010" s="96">
        <v>1006</v>
      </c>
      <c r="B1010" s="961" t="s">
        <v>10675</v>
      </c>
      <c r="C1010" s="142"/>
      <c r="D1010" s="424" t="s">
        <v>3645</v>
      </c>
      <c r="E1010" s="966">
        <v>44511</v>
      </c>
      <c r="F1010" s="21">
        <v>44501</v>
      </c>
      <c r="G1010" s="959" t="s">
        <v>10676</v>
      </c>
      <c r="H1010" s="26" t="s">
        <v>5</v>
      </c>
      <c r="I1010" s="423" t="s">
        <v>79</v>
      </c>
      <c r="J1010" s="147"/>
      <c r="K1010" s="21"/>
      <c r="L1010" s="428"/>
      <c r="M1010" s="26"/>
      <c r="N1010" s="423"/>
      <c r="O1010" s="147"/>
      <c r="P1010" s="21"/>
      <c r="Q1010" s="424"/>
      <c r="R1010" s="26"/>
      <c r="S1010" s="26"/>
      <c r="T1010" s="233"/>
      <c r="U1010" s="234"/>
      <c r="V1010" s="235"/>
      <c r="W1010" s="236"/>
      <c r="X1010" s="249"/>
      <c r="Y1010" s="233"/>
      <c r="Z1010" s="234"/>
      <c r="AA1010" s="235"/>
      <c r="AB1010" s="236"/>
      <c r="AC1010" s="249"/>
      <c r="AD1010" s="233"/>
      <c r="AE1010" s="234"/>
      <c r="AF1010" s="235"/>
      <c r="AG1010" s="236"/>
      <c r="AH1010" s="249"/>
      <c r="AI1010" s="237"/>
      <c r="AJ1010" s="234"/>
      <c r="AK1010" s="235"/>
      <c r="AL1010" s="236"/>
      <c r="AM1010" s="249"/>
      <c r="AN1010" s="422"/>
      <c r="AO1010" s="508"/>
      <c r="AP1010" s="421"/>
      <c r="AQ1010" s="427"/>
      <c r="AR1010" s="428"/>
      <c r="AS1010" s="426"/>
      <c r="AT1010" s="426"/>
      <c r="AU1010" s="422"/>
      <c r="AV1010" s="422"/>
      <c r="AW1010" s="421"/>
      <c r="AX1010" s="428"/>
      <c r="AY1010" s="420"/>
      <c r="AZ1010" s="428"/>
      <c r="BA1010" s="420"/>
      <c r="BB1010" s="678"/>
      <c r="BC1010" s="428"/>
      <c r="BD1010" s="422"/>
      <c r="BE1010" s="22"/>
      <c r="BF1010" s="22"/>
      <c r="BG1010" s="235"/>
      <c r="BH1010" s="194"/>
      <c r="BI1010" s="235"/>
      <c r="BJ1010" s="159"/>
      <c r="BK1010" s="159"/>
      <c r="BL1010" s="196"/>
      <c r="BM1010" s="384"/>
      <c r="BN1010" s="541"/>
      <c r="BO1010" s="449"/>
      <c r="BP1010" s="392"/>
      <c r="BQ1010" s="243"/>
      <c r="BR1010" s="243"/>
      <c r="BS1010" s="235"/>
      <c r="BT1010" s="235"/>
      <c r="BU1010" s="235"/>
      <c r="BV1010" s="235"/>
      <c r="BW1010" s="244"/>
      <c r="BX1010" s="245"/>
      <c r="BY1010" s="233"/>
      <c r="BZ1010" s="234"/>
    </row>
    <row r="1011" spans="1:78" ht="30">
      <c r="A1011" s="96">
        <v>1007</v>
      </c>
      <c r="B1011" s="961" t="s">
        <v>10684</v>
      </c>
      <c r="C1011" s="142"/>
      <c r="D1011" s="424" t="s">
        <v>10685</v>
      </c>
      <c r="E1011" s="958">
        <v>44516</v>
      </c>
      <c r="F1011" s="21">
        <v>44501</v>
      </c>
      <c r="G1011" s="959" t="s">
        <v>10686</v>
      </c>
      <c r="H1011" s="26" t="s">
        <v>5</v>
      </c>
      <c r="I1011" s="423" t="s">
        <v>79</v>
      </c>
      <c r="J1011" s="147"/>
      <c r="K1011" s="21"/>
      <c r="L1011" s="428"/>
      <c r="M1011" s="26"/>
      <c r="N1011" s="423"/>
      <c r="O1011" s="147"/>
      <c r="P1011" s="21"/>
      <c r="Q1011" s="424"/>
      <c r="R1011" s="26"/>
      <c r="S1011" s="26"/>
      <c r="T1011" s="233"/>
      <c r="U1011" s="234"/>
      <c r="V1011" s="235"/>
      <c r="W1011" s="236"/>
      <c r="X1011" s="249"/>
      <c r="Y1011" s="233"/>
      <c r="Z1011" s="234"/>
      <c r="AA1011" s="235"/>
      <c r="AB1011" s="236"/>
      <c r="AC1011" s="249"/>
      <c r="AD1011" s="233"/>
      <c r="AE1011" s="234"/>
      <c r="AF1011" s="235"/>
      <c r="AG1011" s="236"/>
      <c r="AH1011" s="249"/>
      <c r="AI1011" s="237"/>
      <c r="AJ1011" s="234"/>
      <c r="AK1011" s="235"/>
      <c r="AL1011" s="236"/>
      <c r="AM1011" s="249"/>
      <c r="AN1011" s="422"/>
      <c r="AO1011" s="508"/>
      <c r="AP1011" s="421"/>
      <c r="AQ1011" s="427"/>
      <c r="AR1011" s="428"/>
      <c r="AS1011" s="426"/>
      <c r="AT1011" s="426"/>
      <c r="AU1011" s="422"/>
      <c r="AV1011" s="422"/>
      <c r="AW1011" s="421"/>
      <c r="AX1011" s="428"/>
      <c r="AY1011" s="420"/>
      <c r="AZ1011" s="428"/>
      <c r="BA1011" s="420"/>
      <c r="BB1011" s="678"/>
      <c r="BC1011" s="428"/>
      <c r="BD1011" s="422"/>
      <c r="BE1011" s="22"/>
      <c r="BF1011" s="22"/>
      <c r="BG1011" s="235"/>
      <c r="BH1011" s="194"/>
      <c r="BI1011" s="235"/>
      <c r="BJ1011" s="159"/>
      <c r="BK1011" s="159"/>
      <c r="BL1011" s="196"/>
      <c r="BM1011" s="384"/>
      <c r="BN1011" s="541"/>
      <c r="BO1011" s="449"/>
      <c r="BP1011" s="392"/>
      <c r="BQ1011" s="243"/>
      <c r="BR1011" s="243"/>
      <c r="BS1011" s="235"/>
      <c r="BT1011" s="235"/>
      <c r="BU1011" s="235"/>
      <c r="BV1011" s="235"/>
      <c r="BW1011" s="244"/>
      <c r="BX1011" s="245"/>
      <c r="BY1011" s="233"/>
      <c r="BZ1011" s="234"/>
    </row>
    <row r="1012" spans="1:78" ht="40.5">
      <c r="A1012" s="96">
        <v>1008</v>
      </c>
      <c r="B1012" s="686" t="s">
        <v>5293</v>
      </c>
      <c r="C1012" s="687">
        <v>4080920</v>
      </c>
      <c r="D1012" s="688" t="s">
        <v>906</v>
      </c>
      <c r="E1012" s="147">
        <v>44524</v>
      </c>
      <c r="F1012" s="21">
        <v>44501</v>
      </c>
      <c r="G1012" s="959" t="s">
        <v>10695</v>
      </c>
      <c r="H1012" s="26" t="s">
        <v>5</v>
      </c>
      <c r="I1012" s="423" t="s">
        <v>79</v>
      </c>
      <c r="J1012" s="147"/>
      <c r="K1012" s="21"/>
      <c r="L1012" s="428"/>
      <c r="M1012" s="26"/>
      <c r="N1012" s="423"/>
      <c r="O1012" s="147"/>
      <c r="P1012" s="21"/>
      <c r="Q1012" s="424"/>
      <c r="R1012" s="26"/>
      <c r="S1012" s="26"/>
      <c r="T1012" s="233"/>
      <c r="U1012" s="234"/>
      <c r="V1012" s="235"/>
      <c r="W1012" s="236"/>
      <c r="X1012" s="249"/>
      <c r="Y1012" s="233"/>
      <c r="Z1012" s="234"/>
      <c r="AA1012" s="235"/>
      <c r="AB1012" s="236"/>
      <c r="AC1012" s="249"/>
      <c r="AD1012" s="233"/>
      <c r="AE1012" s="234"/>
      <c r="AF1012" s="235"/>
      <c r="AG1012" s="236"/>
      <c r="AH1012" s="249"/>
      <c r="AI1012" s="237"/>
      <c r="AJ1012" s="234"/>
      <c r="AK1012" s="235"/>
      <c r="AL1012" s="236"/>
      <c r="AM1012" s="249"/>
      <c r="AN1012" s="422"/>
      <c r="AO1012" s="508"/>
      <c r="AP1012" s="421"/>
      <c r="AQ1012" s="427"/>
      <c r="AR1012" s="428"/>
      <c r="AS1012" s="426"/>
      <c r="AT1012" s="426"/>
      <c r="AU1012" s="422"/>
      <c r="AV1012" s="422"/>
      <c r="AW1012" s="421"/>
      <c r="AX1012" s="428"/>
      <c r="AY1012" s="420"/>
      <c r="AZ1012" s="428"/>
      <c r="BA1012" s="420"/>
      <c r="BB1012" s="678"/>
      <c r="BC1012" s="428"/>
      <c r="BD1012" s="422"/>
      <c r="BE1012" s="22"/>
      <c r="BF1012" s="22"/>
      <c r="BG1012" s="235"/>
      <c r="BH1012" s="194"/>
      <c r="BI1012" s="235"/>
      <c r="BJ1012" s="159"/>
      <c r="BK1012" s="159"/>
      <c r="BL1012" s="196"/>
      <c r="BM1012" s="384"/>
      <c r="BN1012" s="541"/>
      <c r="BO1012" s="449"/>
      <c r="BP1012" s="392"/>
      <c r="BQ1012" s="243"/>
      <c r="BR1012" s="243"/>
      <c r="BS1012" s="235"/>
      <c r="BT1012" s="235"/>
      <c r="BU1012" s="235"/>
      <c r="BV1012" s="235"/>
      <c r="BW1012" s="244"/>
      <c r="BX1012" s="245"/>
      <c r="BY1012" s="233"/>
      <c r="BZ1012" s="234"/>
    </row>
    <row r="1013" spans="1:78" ht="27">
      <c r="A1013" s="96">
        <v>1009</v>
      </c>
      <c r="B1013" s="258" t="s">
        <v>10697</v>
      </c>
      <c r="C1013" s="142"/>
      <c r="D1013" s="424"/>
      <c r="E1013" s="147">
        <v>44474</v>
      </c>
      <c r="F1013" s="21">
        <v>44470</v>
      </c>
      <c r="G1013" s="428" t="s">
        <v>10696</v>
      </c>
      <c r="H1013" s="26" t="s">
        <v>576</v>
      </c>
      <c r="I1013" s="423" t="s">
        <v>5420</v>
      </c>
      <c r="J1013" s="147"/>
      <c r="K1013" s="21"/>
      <c r="L1013" s="428"/>
      <c r="M1013" s="26"/>
      <c r="N1013" s="423"/>
      <c r="O1013" s="147"/>
      <c r="P1013" s="21"/>
      <c r="Q1013" s="424"/>
      <c r="R1013" s="26"/>
      <c r="S1013" s="26"/>
      <c r="T1013" s="233"/>
      <c r="U1013" s="234"/>
      <c r="V1013" s="235"/>
      <c r="W1013" s="236"/>
      <c r="X1013" s="249"/>
      <c r="Y1013" s="233"/>
      <c r="Z1013" s="234"/>
      <c r="AA1013" s="235"/>
      <c r="AB1013" s="236"/>
      <c r="AC1013" s="249"/>
      <c r="AD1013" s="233"/>
      <c r="AE1013" s="234"/>
      <c r="AF1013" s="235"/>
      <c r="AG1013" s="236"/>
      <c r="AH1013" s="249"/>
      <c r="AI1013" s="237"/>
      <c r="AJ1013" s="234"/>
      <c r="AK1013" s="235"/>
      <c r="AL1013" s="236"/>
      <c r="AM1013" s="249"/>
      <c r="AN1013" s="422"/>
      <c r="AO1013" s="508"/>
      <c r="AP1013" s="421"/>
      <c r="AQ1013" s="427"/>
      <c r="AR1013" s="428"/>
      <c r="AS1013" s="426"/>
      <c r="AT1013" s="426"/>
      <c r="AU1013" s="422"/>
      <c r="AV1013" s="422"/>
      <c r="AW1013" s="421"/>
      <c r="AX1013" s="428"/>
      <c r="AY1013" s="420"/>
      <c r="AZ1013" s="428"/>
      <c r="BA1013" s="420"/>
      <c r="BB1013" s="678"/>
      <c r="BC1013" s="428"/>
      <c r="BD1013" s="422"/>
      <c r="BE1013" s="22"/>
      <c r="BF1013" s="22"/>
      <c r="BG1013" s="235"/>
      <c r="BH1013" s="194"/>
      <c r="BI1013" s="235"/>
      <c r="BJ1013" s="159"/>
      <c r="BK1013" s="159"/>
      <c r="BL1013" s="196"/>
      <c r="BM1013" s="384"/>
      <c r="BN1013" s="541"/>
      <c r="BO1013" s="449"/>
      <c r="BP1013" s="392"/>
      <c r="BQ1013" s="243"/>
      <c r="BR1013" s="243"/>
      <c r="BS1013" s="235"/>
      <c r="BT1013" s="235"/>
      <c r="BU1013" s="235"/>
      <c r="BV1013" s="235"/>
      <c r="BW1013" s="244"/>
      <c r="BX1013" s="245"/>
      <c r="BY1013" s="233"/>
      <c r="BZ1013" s="234"/>
    </row>
    <row r="1014" spans="1:78" ht="30">
      <c r="A1014" s="96">
        <v>1010</v>
      </c>
      <c r="B1014" s="258" t="s">
        <v>10699</v>
      </c>
      <c r="C1014" s="142">
        <v>79429051</v>
      </c>
      <c r="D1014" s="978" t="s">
        <v>167</v>
      </c>
      <c r="E1014" s="424" t="s">
        <v>10701</v>
      </c>
      <c r="F1014" s="147">
        <v>44470</v>
      </c>
      <c r="G1014" s="428" t="s">
        <v>10698</v>
      </c>
      <c r="H1014" s="26"/>
      <c r="I1014" s="423" t="s">
        <v>5420</v>
      </c>
      <c r="J1014" s="147">
        <v>44531</v>
      </c>
      <c r="K1014" s="21">
        <v>44531</v>
      </c>
      <c r="L1014" s="959" t="s">
        <v>10703</v>
      </c>
      <c r="M1014" s="26" t="s">
        <v>5</v>
      </c>
      <c r="N1014" s="423" t="s">
        <v>79</v>
      </c>
      <c r="O1014" s="147"/>
      <c r="P1014" s="21"/>
      <c r="Q1014" s="424"/>
      <c r="R1014" s="26"/>
      <c r="S1014" s="26"/>
      <c r="T1014" s="233"/>
      <c r="U1014" s="234"/>
      <c r="V1014" s="235"/>
      <c r="W1014" s="236"/>
      <c r="X1014" s="249"/>
      <c r="Y1014" s="233"/>
      <c r="Z1014" s="234"/>
      <c r="AA1014" s="235"/>
      <c r="AB1014" s="236"/>
      <c r="AC1014" s="249"/>
      <c r="AD1014" s="233"/>
      <c r="AE1014" s="234"/>
      <c r="AF1014" s="235"/>
      <c r="AG1014" s="236"/>
      <c r="AH1014" s="249"/>
      <c r="AI1014" s="237"/>
      <c r="AJ1014" s="234"/>
      <c r="AK1014" s="235"/>
      <c r="AL1014" s="236"/>
      <c r="AM1014" s="249"/>
      <c r="AN1014" s="422"/>
      <c r="AO1014" s="508"/>
      <c r="AP1014" s="421"/>
      <c r="AQ1014" s="427" t="s">
        <v>10700</v>
      </c>
      <c r="AR1014" s="428"/>
      <c r="AS1014" s="426"/>
      <c r="AT1014" s="426"/>
      <c r="AU1014" s="422"/>
      <c r="AV1014" s="422"/>
      <c r="AW1014" s="421"/>
      <c r="AX1014" s="428"/>
      <c r="AY1014" s="420"/>
      <c r="AZ1014" s="428"/>
      <c r="BA1014" s="420"/>
      <c r="BB1014" s="678"/>
      <c r="BC1014" s="428"/>
      <c r="BD1014" s="422"/>
      <c r="BE1014" s="22"/>
      <c r="BF1014" s="22"/>
      <c r="BG1014" s="235"/>
      <c r="BH1014" s="194"/>
      <c r="BI1014" s="235"/>
      <c r="BJ1014" s="159"/>
      <c r="BK1014" s="159"/>
      <c r="BL1014" s="196"/>
      <c r="BM1014" s="384"/>
      <c r="BN1014" s="541"/>
      <c r="BO1014" s="449"/>
      <c r="BP1014" s="392"/>
      <c r="BQ1014" s="243"/>
      <c r="BR1014" s="243"/>
      <c r="BS1014" s="235"/>
      <c r="BT1014" s="235"/>
      <c r="BU1014" s="235"/>
      <c r="BV1014" s="235"/>
      <c r="BW1014" s="244"/>
      <c r="BX1014" s="245"/>
      <c r="BY1014" s="233"/>
      <c r="BZ1014" s="234"/>
    </row>
    <row r="1015" spans="1:78" ht="40.5">
      <c r="A1015" s="96">
        <v>1011</v>
      </c>
      <c r="B1015" s="258" t="s">
        <v>4179</v>
      </c>
      <c r="C1015" s="142"/>
      <c r="D1015" s="424" t="s">
        <v>906</v>
      </c>
      <c r="E1015" s="963">
        <v>44529</v>
      </c>
      <c r="F1015" s="21">
        <v>44501</v>
      </c>
      <c r="G1015" s="959" t="s">
        <v>10702</v>
      </c>
      <c r="H1015" s="26" t="s">
        <v>5</v>
      </c>
      <c r="I1015" s="423" t="s">
        <v>79</v>
      </c>
      <c r="J1015" s="147"/>
      <c r="K1015" s="21"/>
      <c r="L1015" s="428"/>
      <c r="M1015" s="26"/>
      <c r="N1015" s="423"/>
      <c r="O1015" s="147"/>
      <c r="P1015" s="21"/>
      <c r="Q1015" s="424"/>
      <c r="R1015" s="26"/>
      <c r="S1015" s="26"/>
      <c r="T1015" s="233"/>
      <c r="U1015" s="234"/>
      <c r="V1015" s="235"/>
      <c r="W1015" s="236"/>
      <c r="X1015" s="249"/>
      <c r="Y1015" s="233"/>
      <c r="Z1015" s="234"/>
      <c r="AA1015" s="235"/>
      <c r="AB1015" s="236"/>
      <c r="AC1015" s="249"/>
      <c r="AD1015" s="233"/>
      <c r="AE1015" s="234"/>
      <c r="AF1015" s="235"/>
      <c r="AG1015" s="236"/>
      <c r="AH1015" s="249"/>
      <c r="AI1015" s="237"/>
      <c r="AJ1015" s="234"/>
      <c r="AK1015" s="235"/>
      <c r="AL1015" s="236"/>
      <c r="AM1015" s="249"/>
      <c r="AN1015" s="422"/>
      <c r="AO1015" s="508"/>
      <c r="AP1015" s="421"/>
      <c r="AQ1015" s="427"/>
      <c r="AR1015" s="428"/>
      <c r="AS1015" s="426"/>
      <c r="AT1015" s="426"/>
      <c r="AU1015" s="422"/>
      <c r="AV1015" s="422"/>
      <c r="AW1015" s="421"/>
      <c r="AX1015" s="428"/>
      <c r="AY1015" s="420"/>
      <c r="AZ1015" s="428"/>
      <c r="BA1015" s="420"/>
      <c r="BB1015" s="678"/>
      <c r="BC1015" s="428"/>
      <c r="BD1015" s="422"/>
      <c r="BE1015" s="22"/>
      <c r="BF1015" s="22"/>
      <c r="BG1015" s="235"/>
      <c r="BH1015" s="194"/>
      <c r="BI1015" s="235"/>
      <c r="BJ1015" s="159"/>
      <c r="BK1015" s="159"/>
      <c r="BL1015" s="196"/>
      <c r="BM1015" s="384"/>
      <c r="BN1015" s="541"/>
      <c r="BO1015" s="449"/>
      <c r="BP1015" s="392"/>
      <c r="BQ1015" s="243"/>
      <c r="BR1015" s="243"/>
      <c r="BS1015" s="235"/>
      <c r="BT1015" s="235"/>
      <c r="BU1015" s="235"/>
      <c r="BV1015" s="235"/>
      <c r="BW1015" s="244"/>
      <c r="BX1015" s="245"/>
      <c r="BY1015" s="233"/>
      <c r="BZ1015" s="234"/>
    </row>
    <row r="1016" spans="1:78" ht="30">
      <c r="A1016" s="96">
        <v>1012</v>
      </c>
      <c r="B1016" s="258" t="s">
        <v>10699</v>
      </c>
      <c r="C1016" s="142">
        <v>79429051</v>
      </c>
      <c r="D1016" s="424" t="s">
        <v>167</v>
      </c>
      <c r="E1016" s="963">
        <v>44531</v>
      </c>
      <c r="F1016" s="21">
        <v>44531</v>
      </c>
      <c r="G1016" s="960" t="s">
        <v>10703</v>
      </c>
      <c r="H1016" s="26" t="s">
        <v>5</v>
      </c>
      <c r="I1016" s="423" t="s">
        <v>79</v>
      </c>
      <c r="J1016" s="147"/>
      <c r="K1016" s="21"/>
      <c r="L1016" s="428"/>
      <c r="M1016" s="26"/>
      <c r="N1016" s="423"/>
      <c r="O1016" s="147"/>
      <c r="P1016" s="21"/>
      <c r="Q1016" s="424"/>
      <c r="R1016" s="26"/>
      <c r="S1016" s="26"/>
      <c r="T1016" s="233"/>
      <c r="U1016" s="234"/>
      <c r="V1016" s="235"/>
      <c r="W1016" s="236"/>
      <c r="X1016" s="249"/>
      <c r="Y1016" s="233"/>
      <c r="Z1016" s="234"/>
      <c r="AA1016" s="235"/>
      <c r="AB1016" s="236"/>
      <c r="AC1016" s="249"/>
      <c r="AD1016" s="233"/>
      <c r="AE1016" s="234"/>
      <c r="AF1016" s="235"/>
      <c r="AG1016" s="236"/>
      <c r="AH1016" s="249"/>
      <c r="AI1016" s="237"/>
      <c r="AJ1016" s="234"/>
      <c r="AK1016" s="235"/>
      <c r="AL1016" s="236"/>
      <c r="AM1016" s="249"/>
      <c r="AN1016" s="422"/>
      <c r="AO1016" s="508"/>
      <c r="AP1016" s="421"/>
      <c r="AQ1016" s="427"/>
      <c r="AR1016" s="428"/>
      <c r="AS1016" s="426"/>
      <c r="AT1016" s="426"/>
      <c r="AU1016" s="422"/>
      <c r="AV1016" s="422"/>
      <c r="AW1016" s="421"/>
      <c r="AX1016" s="428"/>
      <c r="AY1016" s="420"/>
      <c r="AZ1016" s="428"/>
      <c r="BA1016" s="420"/>
      <c r="BB1016" s="678"/>
      <c r="BC1016" s="428"/>
      <c r="BD1016" s="422"/>
      <c r="BE1016" s="22"/>
      <c r="BF1016" s="22"/>
      <c r="BG1016" s="235"/>
      <c r="BH1016" s="194"/>
      <c r="BI1016" s="235"/>
      <c r="BJ1016" s="159"/>
      <c r="BK1016" s="159"/>
      <c r="BL1016" s="196"/>
      <c r="BM1016" s="384"/>
      <c r="BN1016" s="541"/>
      <c r="BO1016" s="449"/>
      <c r="BP1016" s="392"/>
      <c r="BQ1016" s="243"/>
      <c r="BR1016" s="243"/>
      <c r="BS1016" s="235"/>
      <c r="BT1016" s="235"/>
      <c r="BU1016" s="235"/>
      <c r="BV1016" s="235"/>
      <c r="BW1016" s="244"/>
      <c r="BX1016" s="245"/>
      <c r="BY1016" s="233"/>
      <c r="BZ1016" s="234"/>
    </row>
    <row r="1017" spans="1:78" ht="40.5">
      <c r="A1017" s="96">
        <v>1013</v>
      </c>
      <c r="B1017" s="258" t="s">
        <v>10713</v>
      </c>
      <c r="C1017" s="142">
        <v>16539644</v>
      </c>
      <c r="D1017" s="424" t="s">
        <v>10632</v>
      </c>
      <c r="E1017" s="963">
        <v>44550</v>
      </c>
      <c r="F1017" s="21">
        <v>44531</v>
      </c>
      <c r="G1017" s="959" t="s">
        <v>10714</v>
      </c>
      <c r="H1017" s="26" t="s">
        <v>5</v>
      </c>
      <c r="I1017" s="423" t="s">
        <v>79</v>
      </c>
      <c r="J1017" s="147"/>
      <c r="K1017" s="21"/>
      <c r="L1017" s="428"/>
      <c r="M1017" s="26"/>
      <c r="N1017" s="423"/>
      <c r="O1017" s="147"/>
      <c r="P1017" s="21"/>
      <c r="Q1017" s="424"/>
      <c r="R1017" s="26"/>
      <c r="S1017" s="26"/>
      <c r="T1017" s="233"/>
      <c r="U1017" s="234"/>
      <c r="V1017" s="235"/>
      <c r="W1017" s="236"/>
      <c r="X1017" s="249"/>
      <c r="Y1017" s="233"/>
      <c r="Z1017" s="234"/>
      <c r="AA1017" s="235"/>
      <c r="AB1017" s="236"/>
      <c r="AC1017" s="249"/>
      <c r="AD1017" s="233"/>
      <c r="AE1017" s="234"/>
      <c r="AF1017" s="235"/>
      <c r="AG1017" s="236"/>
      <c r="AH1017" s="249"/>
      <c r="AI1017" s="237"/>
      <c r="AJ1017" s="234"/>
      <c r="AK1017" s="235"/>
      <c r="AL1017" s="236"/>
      <c r="AM1017" s="249"/>
      <c r="AN1017" s="422"/>
      <c r="AO1017" s="508"/>
      <c r="AP1017" s="421"/>
      <c r="AQ1017" s="427"/>
      <c r="AR1017" s="428"/>
      <c r="AS1017" s="426"/>
      <c r="AT1017" s="426"/>
      <c r="AU1017" s="422"/>
      <c r="AV1017" s="422"/>
      <c r="AW1017" s="421"/>
      <c r="AX1017" s="428"/>
      <c r="AY1017" s="420"/>
      <c r="AZ1017" s="428"/>
      <c r="BA1017" s="420"/>
      <c r="BB1017" s="678"/>
      <c r="BC1017" s="428"/>
      <c r="BD1017" s="422"/>
      <c r="BE1017" s="22"/>
      <c r="BF1017" s="22"/>
      <c r="BG1017" s="235"/>
      <c r="BH1017" s="194"/>
      <c r="BI1017" s="235"/>
      <c r="BJ1017" s="159"/>
      <c r="BK1017" s="159"/>
      <c r="BL1017" s="196"/>
      <c r="BM1017" s="384"/>
      <c r="BN1017" s="541"/>
      <c r="BO1017" s="449"/>
      <c r="BP1017" s="392"/>
      <c r="BQ1017" s="243"/>
      <c r="BR1017" s="243"/>
      <c r="BS1017" s="235"/>
      <c r="BT1017" s="235"/>
      <c r="BU1017" s="235"/>
      <c r="BV1017" s="235"/>
      <c r="BW1017" s="244"/>
      <c r="BX1017" s="245"/>
      <c r="BY1017" s="233"/>
      <c r="BZ1017" s="234"/>
    </row>
    <row r="1018" spans="1:78" ht="27">
      <c r="A1018" s="96">
        <v>1014</v>
      </c>
      <c r="B1018" s="258" t="s">
        <v>10741</v>
      </c>
      <c r="C1018" s="142"/>
      <c r="D1018" s="424"/>
      <c r="E1018" s="147">
        <v>44595</v>
      </c>
      <c r="F1018" s="21">
        <v>44595</v>
      </c>
      <c r="G1018" s="428" t="s">
        <v>10742</v>
      </c>
      <c r="H1018" s="26" t="s">
        <v>576</v>
      </c>
      <c r="I1018" s="423" t="s">
        <v>10743</v>
      </c>
      <c r="J1018" s="147"/>
      <c r="K1018" s="21"/>
      <c r="L1018" s="428"/>
      <c r="M1018" s="26"/>
      <c r="N1018" s="423"/>
      <c r="O1018" s="147"/>
      <c r="P1018" s="21"/>
      <c r="Q1018" s="424"/>
      <c r="R1018" s="26"/>
      <c r="S1018" s="26"/>
      <c r="T1018" s="233"/>
      <c r="U1018" s="234"/>
      <c r="V1018" s="235"/>
      <c r="W1018" s="236"/>
      <c r="X1018" s="249"/>
      <c r="Y1018" s="233"/>
      <c r="Z1018" s="234"/>
      <c r="AA1018" s="235"/>
      <c r="AB1018" s="236"/>
      <c r="AC1018" s="249"/>
      <c r="AD1018" s="233"/>
      <c r="AE1018" s="234"/>
      <c r="AF1018" s="235"/>
      <c r="AG1018" s="236"/>
      <c r="AH1018" s="249"/>
      <c r="AI1018" s="237"/>
      <c r="AJ1018" s="234"/>
      <c r="AK1018" s="235"/>
      <c r="AL1018" s="236"/>
      <c r="AM1018" s="249"/>
      <c r="AN1018" s="422"/>
      <c r="AO1018" s="508"/>
      <c r="AP1018" s="421"/>
      <c r="AQ1018" s="427"/>
      <c r="AR1018" s="428"/>
      <c r="AS1018" s="426"/>
      <c r="AT1018" s="426"/>
      <c r="AU1018" s="422"/>
      <c r="AV1018" s="422"/>
      <c r="AW1018" s="421"/>
      <c r="AX1018" s="428"/>
      <c r="AY1018" s="420"/>
      <c r="AZ1018" s="428"/>
      <c r="BA1018" s="420"/>
      <c r="BB1018" s="678"/>
      <c r="BC1018" s="428"/>
      <c r="BD1018" s="422"/>
      <c r="BE1018" s="22"/>
      <c r="BF1018" s="22"/>
      <c r="BG1018" s="235"/>
      <c r="BH1018" s="194"/>
      <c r="BI1018" s="235"/>
      <c r="BJ1018" s="159"/>
      <c r="BK1018" s="159"/>
      <c r="BL1018" s="196"/>
      <c r="BM1018" s="384"/>
      <c r="BN1018" s="541"/>
      <c r="BO1018" s="449"/>
      <c r="BP1018" s="392"/>
      <c r="BQ1018" s="243"/>
      <c r="BR1018" s="243"/>
      <c r="BS1018" s="235"/>
      <c r="BT1018" s="235"/>
      <c r="BU1018" s="235"/>
      <c r="BV1018" s="235"/>
      <c r="BW1018" s="244"/>
      <c r="BX1018" s="245"/>
      <c r="BY1018" s="233"/>
      <c r="BZ1018" s="234"/>
    </row>
    <row r="1019" spans="1:78" ht="24">
      <c r="A1019" s="607">
        <v>1015</v>
      </c>
      <c r="B1019" s="608" t="s">
        <v>10744</v>
      </c>
      <c r="C1019" s="609"/>
      <c r="D1019" s="247"/>
      <c r="E1019" s="610">
        <v>44578</v>
      </c>
      <c r="F1019" s="234">
        <v>44578</v>
      </c>
      <c r="G1019" s="611" t="s">
        <v>10745</v>
      </c>
      <c r="H1019" s="236" t="s">
        <v>576</v>
      </c>
      <c r="I1019" s="249" t="s">
        <v>5420</v>
      </c>
      <c r="J1019" s="233"/>
      <c r="K1019" s="234"/>
      <c r="L1019" s="235"/>
      <c r="M1019" s="236"/>
      <c r="N1019" s="249"/>
      <c r="O1019" s="233"/>
      <c r="P1019" s="234"/>
      <c r="Q1019" s="235"/>
      <c r="R1019" s="236"/>
      <c r="S1019" s="249"/>
      <c r="T1019" s="233"/>
      <c r="U1019" s="234"/>
      <c r="V1019" s="235"/>
      <c r="W1019" s="236"/>
      <c r="X1019" s="249"/>
      <c r="Y1019" s="233"/>
      <c r="Z1019" s="234"/>
      <c r="AA1019" s="235"/>
      <c r="AB1019" s="236"/>
      <c r="AC1019" s="249"/>
      <c r="AD1019" s="233"/>
      <c r="AE1019" s="234"/>
      <c r="AF1019" s="235"/>
      <c r="AG1019" s="236"/>
      <c r="AH1019" s="249"/>
      <c r="AI1019" s="237"/>
      <c r="AJ1019" s="234"/>
      <c r="AK1019" s="235"/>
      <c r="AL1019" s="236"/>
      <c r="AM1019" s="249"/>
      <c r="AN1019" s="238"/>
      <c r="AO1019" s="483"/>
      <c r="AP1019" s="239"/>
      <c r="AQ1019" s="235"/>
      <c r="AR1019" s="236"/>
      <c r="AS1019" s="233"/>
      <c r="AT1019" s="233"/>
      <c r="AU1019" s="236"/>
      <c r="AV1019" s="236"/>
      <c r="AW1019" s="236"/>
      <c r="AX1019" s="249"/>
      <c r="AY1019" s="233"/>
      <c r="AZ1019" s="236"/>
      <c r="BA1019" s="233"/>
      <c r="BB1019" s="683"/>
      <c r="BC1019" s="249"/>
      <c r="BD1019" s="249"/>
      <c r="BE1019" s="236"/>
      <c r="BF1019" s="235"/>
      <c r="BG1019" s="235"/>
      <c r="BH1019" s="235"/>
      <c r="BI1019" s="235"/>
      <c r="BJ1019" s="241"/>
      <c r="BK1019" s="241"/>
      <c r="BL1019" s="242"/>
      <c r="BM1019" s="233"/>
      <c r="BN1019" s="234"/>
      <c r="BO1019" s="449"/>
      <c r="BP1019" s="392"/>
      <c r="BQ1019" s="243"/>
      <c r="BR1019" s="243"/>
      <c r="BS1019" s="235"/>
      <c r="BT1019" s="235"/>
      <c r="BU1019" s="235"/>
      <c r="BV1019" s="235"/>
      <c r="BW1019" s="244"/>
      <c r="BX1019" s="245"/>
      <c r="BY1019" s="233"/>
      <c r="BZ1019" s="234"/>
    </row>
    <row r="1020" spans="1:78" ht="15">
      <c r="A1020" s="585"/>
      <c r="B1020" s="586"/>
      <c r="C1020" s="587"/>
      <c r="D1020" s="588"/>
      <c r="E1020" s="589"/>
      <c r="F1020" s="590"/>
      <c r="G1020" s="591"/>
      <c r="H1020" s="592"/>
      <c r="I1020" s="592"/>
      <c r="J1020" s="593"/>
      <c r="K1020" s="590"/>
      <c r="L1020" s="594"/>
      <c r="M1020" s="595"/>
      <c r="N1020" s="592"/>
      <c r="O1020" s="593"/>
      <c r="P1020" s="590"/>
      <c r="Q1020" s="594"/>
      <c r="R1020" s="595"/>
      <c r="S1020" s="592"/>
      <c r="T1020" s="593"/>
      <c r="U1020" s="590"/>
      <c r="V1020" s="594"/>
      <c r="W1020" s="595"/>
      <c r="X1020" s="592"/>
      <c r="Y1020" s="593"/>
      <c r="Z1020" s="590"/>
      <c r="AA1020" s="594"/>
      <c r="AB1020" s="595"/>
      <c r="AC1020" s="592"/>
      <c r="AD1020" s="593"/>
      <c r="AE1020" s="590"/>
      <c r="AF1020" s="594"/>
      <c r="AG1020" s="595"/>
      <c r="AH1020" s="592"/>
      <c r="AI1020" s="596"/>
      <c r="AJ1020" s="590"/>
      <c r="AK1020" s="594"/>
      <c r="AL1020" s="595"/>
      <c r="AM1020" s="592"/>
      <c r="AN1020" s="597"/>
      <c r="AO1020" s="598"/>
      <c r="AP1020" s="599"/>
      <c r="AQ1020" s="594"/>
      <c r="AR1020" s="595"/>
      <c r="AS1020" s="593"/>
      <c r="AT1020" s="593"/>
      <c r="AU1020" s="595"/>
      <c r="AV1020" s="595"/>
      <c r="AW1020" s="595"/>
      <c r="AX1020" s="592"/>
      <c r="AY1020" s="593"/>
      <c r="AZ1020" s="595"/>
      <c r="BA1020" s="593"/>
      <c r="BB1020" s="684"/>
      <c r="BC1020" s="592"/>
      <c r="BD1020" s="592"/>
      <c r="BE1020" s="595"/>
      <c r="BF1020" s="594"/>
      <c r="BG1020" s="594"/>
      <c r="BH1020" s="594"/>
      <c r="BI1020" s="594"/>
      <c r="BJ1020" s="600"/>
      <c r="BK1020" s="600"/>
      <c r="BL1020" s="601"/>
      <c r="BM1020" s="593"/>
      <c r="BN1020" s="590"/>
      <c r="BO1020" s="602"/>
      <c r="BP1020" s="603"/>
      <c r="BQ1020" s="604"/>
      <c r="BR1020" s="604"/>
      <c r="BS1020" s="594"/>
      <c r="BT1020" s="594"/>
      <c r="BU1020" s="594"/>
      <c r="BV1020" s="594"/>
      <c r="BW1020" s="605"/>
      <c r="BX1020" s="606"/>
      <c r="BY1020" s="593"/>
      <c r="BZ1020" s="590"/>
    </row>
    <row r="1021" spans="1:78" ht="15">
      <c r="A1021" s="979" t="s">
        <v>8100</v>
      </c>
      <c r="B1021" s="979"/>
      <c r="C1021" s="979"/>
      <c r="D1021" s="979"/>
      <c r="E1021" s="979"/>
      <c r="F1021" s="979"/>
      <c r="G1021" s="979"/>
      <c r="H1021" s="979"/>
      <c r="I1021" s="979"/>
      <c r="J1021" s="979"/>
      <c r="K1021" s="979"/>
      <c r="L1021" s="979"/>
      <c r="M1021" s="979"/>
      <c r="N1021" s="979"/>
      <c r="O1021" s="979"/>
      <c r="P1021" s="979"/>
      <c r="Q1021" s="979"/>
      <c r="R1021" s="979"/>
      <c r="S1021" s="979"/>
      <c r="T1021" s="979"/>
      <c r="U1021" s="979"/>
      <c r="V1021" s="979"/>
      <c r="W1021" s="979"/>
      <c r="X1021" s="979"/>
      <c r="Y1021" s="979"/>
      <c r="Z1021" s="979"/>
      <c r="AA1021" s="979"/>
      <c r="AB1021" s="979" t="s">
        <v>6773</v>
      </c>
      <c r="AC1021" s="979"/>
      <c r="AD1021" s="979"/>
      <c r="AE1021" s="979"/>
      <c r="AF1021" s="979"/>
      <c r="AG1021" s="979"/>
      <c r="AH1021" s="979"/>
      <c r="AI1021" s="979"/>
      <c r="AJ1021" s="979"/>
      <c r="AK1021" s="979"/>
      <c r="AL1021" s="979"/>
      <c r="AM1021" s="979"/>
      <c r="AN1021" s="979"/>
      <c r="AO1021" s="980"/>
      <c r="AP1021" s="979"/>
      <c r="AQ1021" s="979"/>
      <c r="AR1021" s="979"/>
      <c r="AS1021" s="979"/>
      <c r="AT1021" s="979"/>
      <c r="AU1021" s="979"/>
      <c r="AV1021" s="979"/>
      <c r="AW1021" s="979"/>
      <c r="AX1021" s="979"/>
      <c r="AY1021" s="979"/>
      <c r="AZ1021" s="979"/>
      <c r="BA1021" s="979"/>
      <c r="BB1021" s="981"/>
      <c r="BC1021" s="979"/>
      <c r="BD1021" s="979"/>
      <c r="BE1021" s="979"/>
      <c r="BF1021" s="979"/>
      <c r="BG1021" s="979"/>
      <c r="BH1021" s="979"/>
      <c r="BI1021" s="979"/>
      <c r="BJ1021" s="979"/>
      <c r="BK1021" s="979"/>
      <c r="BL1021" s="979"/>
      <c r="BM1021" s="979"/>
      <c r="BN1021" s="979"/>
      <c r="BO1021" s="979"/>
      <c r="BP1021" s="979"/>
      <c r="BQ1021" s="979"/>
      <c r="BR1021" s="979"/>
      <c r="BS1021" s="979"/>
      <c r="BT1021" s="979"/>
      <c r="BU1021" s="979"/>
      <c r="BV1021" s="979"/>
      <c r="BW1021" s="979"/>
      <c r="BX1021" s="979"/>
      <c r="BY1021" s="979"/>
      <c r="BZ1021" s="979"/>
    </row>
    <row r="1022" spans="1:78" ht="17.25" thickBot="1">
      <c r="BX1022" s="260"/>
    </row>
    <row r="1023" spans="1:78">
      <c r="A1023" s="998" t="s">
        <v>6774</v>
      </c>
      <c r="B1023" s="999"/>
      <c r="C1023" s="999"/>
      <c r="D1023" s="999"/>
      <c r="E1023" s="999" t="s">
        <v>6775</v>
      </c>
      <c r="F1023" s="999"/>
      <c r="G1023" s="999"/>
      <c r="H1023" s="999"/>
      <c r="I1023" s="989" t="s">
        <v>79</v>
      </c>
      <c r="J1023" s="990"/>
      <c r="K1023" s="990"/>
      <c r="L1023" s="990"/>
      <c r="M1023" s="989" t="s">
        <v>6776</v>
      </c>
      <c r="N1023" s="990"/>
      <c r="O1023" s="990"/>
      <c r="P1023" s="990"/>
      <c r="Q1023" s="991"/>
      <c r="BX1023" s="260"/>
    </row>
    <row r="1024" spans="1:78">
      <c r="A1024" s="261" t="s">
        <v>6777</v>
      </c>
      <c r="B1024" s="992" t="s">
        <v>6778</v>
      </c>
      <c r="C1024" s="992"/>
      <c r="D1024" s="992"/>
      <c r="E1024" s="262" t="s">
        <v>6779</v>
      </c>
      <c r="F1024" s="992" t="s">
        <v>6780</v>
      </c>
      <c r="G1024" s="992"/>
      <c r="H1024" s="992"/>
      <c r="I1024" s="372" t="s">
        <v>6779</v>
      </c>
      <c r="J1024" s="992"/>
      <c r="K1024" s="992"/>
      <c r="L1024" s="993"/>
      <c r="M1024" s="262" t="s">
        <v>6779</v>
      </c>
      <c r="N1024" s="993" t="s">
        <v>6781</v>
      </c>
      <c r="O1024" s="994"/>
      <c r="P1024" s="994"/>
      <c r="Q1024" s="995"/>
      <c r="BX1024" s="260"/>
    </row>
    <row r="1025" spans="1:76" ht="51.75" thickBot="1">
      <c r="A1025" s="263" t="s">
        <v>6782</v>
      </c>
      <c r="B1025" s="996" t="s">
        <v>6783</v>
      </c>
      <c r="C1025" s="996"/>
      <c r="D1025" s="996"/>
      <c r="E1025" s="264" t="s">
        <v>6782</v>
      </c>
      <c r="F1025" s="996" t="s">
        <v>6784</v>
      </c>
      <c r="G1025" s="996"/>
      <c r="H1025" s="996"/>
      <c r="I1025" s="373" t="s">
        <v>6782</v>
      </c>
      <c r="J1025" s="996"/>
      <c r="K1025" s="996"/>
      <c r="L1025" s="997"/>
      <c r="M1025" s="264" t="s">
        <v>6782</v>
      </c>
      <c r="N1025" s="376" t="s">
        <v>6785</v>
      </c>
      <c r="O1025" s="265"/>
      <c r="P1025" s="265"/>
      <c r="Q1025" s="266"/>
      <c r="BX1025" s="260"/>
    </row>
    <row r="1026" spans="1:76" ht="15">
      <c r="I1026"/>
      <c r="N1026"/>
      <c r="S1026"/>
      <c r="X1026"/>
      <c r="AC1026"/>
      <c r="AH1026"/>
      <c r="AM1026"/>
      <c r="AO1026" s="526"/>
      <c r="BO1026" s="493"/>
      <c r="BP1026"/>
    </row>
  </sheetData>
  <autoFilter ref="A4:UI1018" xr:uid="{B08F58B1-0575-4262-A224-21CA00343C94}"/>
  <mergeCells count="18">
    <mergeCell ref="B1025:D1025"/>
    <mergeCell ref="F1025:H1025"/>
    <mergeCell ref="J1025:L1025"/>
    <mergeCell ref="A1023:D1023"/>
    <mergeCell ref="E1023:H1023"/>
    <mergeCell ref="I1023:L1023"/>
    <mergeCell ref="M1023:Q1023"/>
    <mergeCell ref="B1024:D1024"/>
    <mergeCell ref="F1024:H1024"/>
    <mergeCell ref="J1024:L1024"/>
    <mergeCell ref="N1024:Q1024"/>
    <mergeCell ref="A1021:AA1021"/>
    <mergeCell ref="AB1021:BZ1021"/>
    <mergeCell ref="A1:C3"/>
    <mergeCell ref="D1:BW1"/>
    <mergeCell ref="BX1:BZ3"/>
    <mergeCell ref="D2:BW2"/>
    <mergeCell ref="D3:BW3"/>
  </mergeCells>
  <conditionalFormatting sqref="C400">
    <cfRule type="containsBlanks" dxfId="2" priority="7" stopIfTrue="1">
      <formula>LEN(TRIM(C400))=0</formula>
    </cfRule>
  </conditionalFormatting>
  <conditionalFormatting sqref="C687">
    <cfRule type="containsBlanks" dxfId="1" priority="6" stopIfTrue="1">
      <formula>LEN(TRIM(C687))=0</formula>
    </cfRule>
  </conditionalFormatting>
  <conditionalFormatting sqref="BJ771">
    <cfRule type="containsBlanks" dxfId="0" priority="5" stopIfTrue="1">
      <formula>LEN(TRIM(BJ771))=0</formula>
    </cfRule>
  </conditionalFormatting>
  <dataValidations disablePrompts="1" count="4">
    <dataValidation type="whole" allowBlank="1" showInputMessage="1" showErrorMessage="1" errorTitle="Valor errado..." error="Articulo 262 Ley 1819 de 2016._x000a__x000a_El monto debe ser superior a 1680 UVT (53.523.120 pesos para la vigencia 2017)_x000a_" prompt="Digite el valor de la sentencia sin puntos,comas o caracteres. Este campo es de número entero y debe superar las 1.680 UVT (53,523,120 Pesos para la vigencia 2017), Ley 1819 de 2016, Articulo 262_x000a__x000a_Observación: Todas las Celdas deben ser diligenciadas..!!!" sqref="BJ771" xr:uid="{885AA41C-1877-458D-95F9-C6587608ED18}">
      <formula1>53523121</formula1>
      <formula2>1E+35</formula2>
    </dataValidation>
    <dataValidation type="custom" showInputMessage="1" showErrorMessage="1" error="El campo anterior&quot;Fecha de la providencia o Auto de Conciliacion&quot; es obligatorio Y NO PUEDE SER MAYOR al campo &quot;Fecha ejecutoria de la providencia o Auto de Conciliacion&quot;, por favor revise." prompt="Este campo es de formato general digite la fecha.(dd/mm/aa) de la ejecutoria de la Providencia. Ej. 29/03/12_x000a__x000a_Observación: Todas las Celdas deben ser diligenciadas..!!!" sqref="BB731" xr:uid="{7AFBF0DB-A825-483A-88E0-1833BBB21F16}">
      <formula1>AND((BA731&lt;=BB731),(BA731&lt;&gt;""))</formula1>
    </dataValidation>
    <dataValidation type="custom" showInputMessage="1" showErrorMessage="1" error="El campo anterior &quot;Tipo de Documento&quot; es obligatorio, por favor diligencielo...!!!!" prompt="Digite el Número de identificación del beneficiario sin puntos, comas o caracteres._x000a__x000a_Observación: Todas las Celdas deben ser diligenciadas..!!!" sqref="C400 C687" xr:uid="{04CB83F4-A2CE-43C5-A5D1-C9BF3C66A693}">
      <formula1>AND(B400&lt;&gt;"")</formula1>
    </dataValidation>
    <dataValidation type="custom" showInputMessage="1" showErrorMessage="1" error="El campo anterior &quot;Direccion de Notificacion&quot; es obligatorio, por favor diligencielo...!!!!" prompt="Digite apellidos y nombres o razon social del beneficiario._x000a__x000a_Observación: Todas las Celdas deben ser diligenciadas..!!!" sqref="B888" xr:uid="{DC4B3669-E8EF-4894-8F58-55607958DD2E}">
      <formula1>AND(A888&lt;&gt;"")</formula1>
    </dataValidation>
  </dataValidations>
  <hyperlinks>
    <hyperlink ref="BO60" r:id="rId1" xr:uid="{81A5B5E6-CD1B-4F26-9552-56DC554A4B8B}"/>
    <hyperlink ref="BO590" r:id="rId2" xr:uid="{5CE1CB5E-E037-461D-B2D3-0EB9B6561105}"/>
    <hyperlink ref="BO602" r:id="rId3" xr:uid="{F737A700-FB4F-472E-AE9A-73F05B1686C6}"/>
    <hyperlink ref="G137" r:id="rId4" display="EXT15-00004085" xr:uid="{1D646ABA-0058-400E-8995-B1466119FC2D}"/>
    <hyperlink ref="BO175" r:id="rId5" xr:uid="{68A70053-5F23-4209-8E71-A0F7D06F78BB}"/>
    <hyperlink ref="BO168" r:id="rId6" xr:uid="{3976EB02-8865-4C8C-B639-361B1C268202}"/>
    <hyperlink ref="BO256" r:id="rId7" xr:uid="{9980C18D-E828-4312-A858-02CB6828D089}"/>
    <hyperlink ref="BO226" r:id="rId8" xr:uid="{3EFBE4A7-54D9-4568-B941-71DE2967DAFF}"/>
    <hyperlink ref="BO583" r:id="rId9" xr:uid="{7B8FB738-29F3-4B56-8F02-8918D2677BC4}"/>
    <hyperlink ref="BO746" r:id="rId10" xr:uid="{9C2AEC5B-D60F-4E4C-A543-907A4FE33570}"/>
    <hyperlink ref="BO45" r:id="rId11" xr:uid="{28D9A8D6-F855-4332-A14C-227A3296763A}"/>
    <hyperlink ref="BO124" r:id="rId12" xr:uid="{F5D3A94B-BB34-4D37-B390-7BADA8B4DA42}"/>
    <hyperlink ref="BO76" r:id="rId13" xr:uid="{2E58AB79-8C9F-42C9-9DCA-79F10E2C9816}"/>
    <hyperlink ref="BO95" r:id="rId14" xr:uid="{A784FDDE-7F5C-4F20-AAEE-940AC40C3D93}"/>
    <hyperlink ref="BO123" r:id="rId15" xr:uid="{7791AD9B-5BCF-4FB3-834D-3A03FE8E0886}"/>
    <hyperlink ref="BO356" r:id="rId16" xr:uid="{D8C176E0-8B3B-4065-8927-E682926C085C}"/>
    <hyperlink ref="BO182" r:id="rId17" xr:uid="{2508336F-FCAD-4142-ABDD-A5A98D158C71}"/>
    <hyperlink ref="BO155" r:id="rId18" xr:uid="{E63428B7-B02C-4DD6-9977-60EEDE75C291}"/>
    <hyperlink ref="BO159" r:id="rId19" xr:uid="{518B2B5B-C625-47B0-BAD6-93139C153BA3}"/>
    <hyperlink ref="BO171" r:id="rId20" xr:uid="{7ED5CB7D-B49C-415F-930C-3520E5D052F0}"/>
    <hyperlink ref="BO128" r:id="rId21" xr:uid="{55EF1331-720E-4016-8874-DD1A46467CDF}"/>
    <hyperlink ref="BO142" r:id="rId22" xr:uid="{7BA45DAD-7F78-407C-AD16-CCD4B5AF1BE4}"/>
    <hyperlink ref="BO596" r:id="rId23" xr:uid="{99144B68-1A7F-4390-A819-CE0EE6B03E7F}"/>
    <hyperlink ref="BO419" r:id="rId24" display="marcela.torres@tytconsultores.com.co " xr:uid="{1A956A02-4B20-4536-9096-20536D00F976}"/>
    <hyperlink ref="BO207" r:id="rId25" xr:uid="{83ED203B-8D8C-497C-BF7E-DD2E29B567C1}"/>
    <hyperlink ref="BO91" r:id="rId26" xr:uid="{152D9BCE-63AC-445B-A398-30B9AAB0D8A6}"/>
    <hyperlink ref="BO201" r:id="rId27" xr:uid="{5E5D81C8-D4EB-41CA-808B-3661528911EA}"/>
    <hyperlink ref="BO217" r:id="rId28" xr:uid="{2501313D-7B5C-432F-8374-DDBE4B3BAC42}"/>
    <hyperlink ref="BO126" r:id="rId29" xr:uid="{46DAC396-7FA0-43FC-A9D4-1BC28086E41B}"/>
    <hyperlink ref="BO88" r:id="rId30" xr:uid="{505F6651-491C-482E-9E0A-2D615043F2FE}"/>
    <hyperlink ref="BO208" r:id="rId31" xr:uid="{6AD83216-2EE1-4C4B-8DC0-C88B570CD379}"/>
    <hyperlink ref="BO59" r:id="rId32" xr:uid="{665A92CE-21A9-4486-A775-D811FA441D60}"/>
    <hyperlink ref="BO214" r:id="rId33" xr:uid="{D9A63937-58DB-42A2-8944-25433BCDD82B}"/>
    <hyperlink ref="BO163" r:id="rId34" xr:uid="{3171811C-6AAC-4AEE-8AAB-AF29FB5C7653}"/>
    <hyperlink ref="BO200" r:id="rId35" xr:uid="{CCFEF2A5-C70C-4B4F-A0FB-FF9C42B627E0}"/>
    <hyperlink ref="BO426" r:id="rId36" xr:uid="{76D030D6-F19F-4559-96DD-0D1BD01B3BA1}"/>
    <hyperlink ref="BO258" r:id="rId37" xr:uid="{0F478099-A23E-486F-81C3-0DFD865D12F7}"/>
    <hyperlink ref="BO78" r:id="rId38" xr:uid="{1B0B8CE4-1BD6-4027-8CA8-6C9734A5D601}"/>
    <hyperlink ref="BO157" r:id="rId39" xr:uid="{B4A5D204-1F54-40EA-8B49-5047D2513A7D}"/>
    <hyperlink ref="BO228" r:id="rId40" xr:uid="{D93F7DF0-B328-4DB9-BFF2-A69E8B146F6A}"/>
    <hyperlink ref="BO81" r:id="rId41" xr:uid="{237CECD9-64BD-4C5C-BBBB-53E76F34184E}"/>
    <hyperlink ref="BO56" r:id="rId42" xr:uid="{DAAC9D6E-C887-43B5-BAA2-78B6E021FD4F}"/>
    <hyperlink ref="BO420" r:id="rId43" xr:uid="{3227F68F-3FA7-4A2A-BD5A-5AA935C01D2F}"/>
    <hyperlink ref="BO121" r:id="rId44" xr:uid="{2AE8BEE9-3421-4D1D-A50D-E712263BFA00}"/>
    <hyperlink ref="BO486" r:id="rId45" xr:uid="{1B2D9E5C-009D-481F-BDD1-27BC1EBA8157}"/>
    <hyperlink ref="BO104" r:id="rId46" xr:uid="{AC850FB2-7519-4516-A054-A391B3F361F0}"/>
    <hyperlink ref="BO165" r:id="rId47" xr:uid="{6B5B41C4-55D9-432B-A5DB-4046F040CBB5}"/>
    <hyperlink ref="BO64" r:id="rId48" xr:uid="{9D7A7D8E-6AD9-4ABD-BF44-D50956B77FA5}"/>
    <hyperlink ref="BO41" r:id="rId49" xr:uid="{4EB8C438-66E6-48E5-BD62-77E08D73CB9B}"/>
    <hyperlink ref="BO54" r:id="rId50" xr:uid="{00CD626C-D92A-4251-AD8E-A9B9B1A26190}"/>
    <hyperlink ref="BO181" r:id="rId51" xr:uid="{A50286C9-EEE4-4144-9CC2-6B50F6D8D5D2}"/>
    <hyperlink ref="BO125" r:id="rId52" xr:uid="{063A2700-A187-4814-8A23-CB973B1C782F}"/>
    <hyperlink ref="BO85" r:id="rId53" xr:uid="{53318C3E-C9D2-4396-A0F5-7ED348BD8C05}"/>
    <hyperlink ref="BO137" r:id="rId54" display="SENTENCIAJUSTA@HOTMAIL.COM_x000a_26/01/18_x000a_" xr:uid="{FEC3A6FD-F48C-407C-A36E-4FBE02835A92}"/>
    <hyperlink ref="BO139" r:id="rId55" xr:uid="{E57D71AA-E63E-4A2B-BC79-6DFE3D30DFCD}"/>
    <hyperlink ref="BO176" r:id="rId56" xr:uid="{BC98E92F-D4CD-4FA2-95A6-2803D492F641}"/>
    <hyperlink ref="BO110" r:id="rId57" xr:uid="{79ADFFE5-8DEA-4322-8E36-B7CA04F35F72}"/>
    <hyperlink ref="BO102" r:id="rId58" xr:uid="{2374AA43-3CEF-4087-8011-26808A713573}"/>
    <hyperlink ref="BO90" r:id="rId59" xr:uid="{58DF2EB5-A605-4461-86AF-6DF2A3255EC4}"/>
    <hyperlink ref="BO96" r:id="rId60" xr:uid="{B3A5C030-DE2F-4FB5-8BBD-B6C3820B98F5}"/>
    <hyperlink ref="BO202" r:id="rId61" xr:uid="{90C55D00-4F77-4301-B87D-EF4DAD033970}"/>
    <hyperlink ref="BO108" r:id="rId62" xr:uid="{F421E756-6DEB-4F41-8A1A-7101F48DD85E}"/>
    <hyperlink ref="BO101" r:id="rId63" xr:uid="{23382C32-2521-4612-B2D0-D3D140F00D89}"/>
    <hyperlink ref="BO429" r:id="rId64" xr:uid="{59524C7A-5437-44A4-AF86-FB7ED7F9647F}"/>
    <hyperlink ref="BO98" r:id="rId65" xr:uid="{D34544DE-E869-482E-A709-7031AAC74D89}"/>
    <hyperlink ref="BO235" r:id="rId66" xr:uid="{E92123B4-0D07-43DE-98B3-E70B85E77E48}"/>
    <hyperlink ref="BO36" r:id="rId67" xr:uid="{ADF3C5B6-7EEA-41F6-86BD-39C9D21674D4}"/>
    <hyperlink ref="BO100" r:id="rId68" xr:uid="{00864AA2-346F-456E-83C4-512E5D6CF5FE}"/>
    <hyperlink ref="BO144" r:id="rId69" xr:uid="{3B301405-7746-4FD9-B659-0DC37682E183}"/>
    <hyperlink ref="BO180" r:id="rId70" xr:uid="{37B2FD2E-8B05-4605-B368-0ADA1B1E45BF}"/>
    <hyperlink ref="BO138" r:id="rId71" xr:uid="{05A6072E-787C-4B98-BB88-7A700C227C1E}"/>
    <hyperlink ref="BO143" r:id="rId72" xr:uid="{04679391-95C5-4D6E-B5BD-5DD76448C95E}"/>
    <hyperlink ref="BO116" r:id="rId73" xr:uid="{4EF72809-BA79-444C-A3E6-5C7A619B0778}"/>
    <hyperlink ref="BO55" r:id="rId74" xr:uid="{5CEA7FED-18FC-49D8-B587-7DFF1A64EDC8}"/>
    <hyperlink ref="BO34" r:id="rId75" xr:uid="{B7DB8766-DC6D-43DA-9862-DE3A0D0AB61C}"/>
    <hyperlink ref="BO427" r:id="rId76" xr:uid="{DAAF75DE-2C04-4E13-8E03-F977B267B3CB}"/>
    <hyperlink ref="BO150" r:id="rId77" xr:uid="{C868D674-5380-46AB-8355-467697F1E658}"/>
    <hyperlink ref="BO75" r:id="rId78" xr:uid="{DD4E9715-0219-4532-9730-4444EF1B6631}"/>
    <hyperlink ref="BO212" r:id="rId79" xr:uid="{5FA76094-2128-46C2-B2EA-6D9B46ADEE92}"/>
    <hyperlink ref="BO127" r:id="rId80" xr:uid="{296757DE-AFE3-4F0F-BB1B-27A87A30BA7D}"/>
    <hyperlink ref="BO153" r:id="rId81" xr:uid="{4926A202-2357-44DD-A014-ACB56A460F33}"/>
    <hyperlink ref="BO473" r:id="rId82" xr:uid="{5B9F7127-9763-41F2-833A-A3EA9AF87DC4}"/>
    <hyperlink ref="BO262" r:id="rId83" xr:uid="{0BCAD27D-D133-4295-9542-924B34CE386C}"/>
    <hyperlink ref="BO106" r:id="rId84" xr:uid="{C4652116-C529-4620-A90D-B993AF8F9D2C}"/>
    <hyperlink ref="BO103" r:id="rId85" xr:uid="{E90303D8-FD35-4F68-9BBF-1916ED90A295}"/>
    <hyperlink ref="BO266" r:id="rId86" xr:uid="{4465E7F0-1A2C-4137-BFA6-F8A9A392C197}"/>
    <hyperlink ref="BO109" r:id="rId87" xr:uid="{06617844-81EE-4E0F-99CE-4B1B207641DE}"/>
    <hyperlink ref="BO69" r:id="rId88" xr:uid="{F9D03F59-9C21-4E7F-B3FB-4CD8E91F8043}"/>
    <hyperlink ref="BO73" r:id="rId89" xr:uid="{0EF1BF0D-C22C-42DD-8C2A-6FDBA3520578}"/>
    <hyperlink ref="BO26" r:id="rId90" xr:uid="{F0D42C79-0EA1-4802-AFDD-A866AB2AA810}"/>
    <hyperlink ref="BO80" r:id="rId91" xr:uid="{26476DF6-FECD-464D-96C5-5AA78CD5D13F}"/>
    <hyperlink ref="BO404" r:id="rId92" display="correapinedaclaudia@hotmail.com_x000a_15/06/2018_x000a_" xr:uid="{BB360750-9B41-4855-9D20-AB86B482860E}"/>
    <hyperlink ref="BO87" r:id="rId93" xr:uid="{EB874673-D23D-4A19-AF80-8471FD7CA57D}"/>
    <hyperlink ref="BO178" r:id="rId94" xr:uid="{112CF421-754B-487C-A539-C1FB13DF6ABE}"/>
    <hyperlink ref="BO215" r:id="rId95" xr:uid="{92F64E41-6DFB-4F12-986F-1CC652684B9A}"/>
    <hyperlink ref="BO357" r:id="rId96" xr:uid="{8872BFE3-D051-47E9-8394-9AFF4054709D}"/>
    <hyperlink ref="BO424" r:id="rId97" xr:uid="{5A3FD160-1361-44C6-ABA0-700E0FC97352}"/>
    <hyperlink ref="BO388" r:id="rId98" xr:uid="{65FE0F37-CE5B-4F6A-AF30-CC5604709D42}"/>
    <hyperlink ref="BO385" r:id="rId99" xr:uid="{68DF0F4D-2C1B-417A-844A-72CC8AECEB04}"/>
    <hyperlink ref="BO391" r:id="rId100" xr:uid="{7D97C2D1-EA6E-4E4C-A346-1344802A4933}"/>
    <hyperlink ref="BO384" r:id="rId101" xr:uid="{534F87EA-5D55-4991-8AB9-1F1C2ADC0828}"/>
    <hyperlink ref="BO405" r:id="rId102" xr:uid="{300D57E9-A2E1-43AE-AB10-169608E17D7C}"/>
    <hyperlink ref="BO414" r:id="rId103" xr:uid="{9DD169BB-48FA-4B7B-AE06-8C38E67A117C}"/>
    <hyperlink ref="BO417" r:id="rId104" xr:uid="{9B41381B-215E-4987-A8CA-57335CED8AF8}"/>
    <hyperlink ref="BO423" r:id="rId105" xr:uid="{BCBEB70C-DDF0-45CE-AB91-7FBFC9ECB4C3}"/>
    <hyperlink ref="BO453" r:id="rId106" xr:uid="{598FBEC5-2521-478C-94F7-78BDC07E2F60}"/>
    <hyperlink ref="BO509" r:id="rId107" xr:uid="{614963E7-4C04-407D-9A86-E92C0D790514}"/>
    <hyperlink ref="BO339" r:id="rId108" xr:uid="{48E93587-3703-4425-9A4B-CBA75B032A03}"/>
    <hyperlink ref="BO394" r:id="rId109" xr:uid="{B3BAF7AB-2799-4E18-9132-4076D57C33BF}"/>
    <hyperlink ref="BO451" r:id="rId110" xr:uid="{013E9A64-9807-486A-B9F6-A614BAF3AC42}"/>
    <hyperlink ref="BO458" r:id="rId111" xr:uid="{90476111-4B06-4933-AE83-B13D029475F9}"/>
    <hyperlink ref="BO464" r:id="rId112" xr:uid="{3D23F6D3-E8E2-4118-8A53-6BC58DEC5537}"/>
    <hyperlink ref="BO465" r:id="rId113" xr:uid="{E7784B89-CAF1-460A-96B1-499D5A5513F8}"/>
    <hyperlink ref="BO472" r:id="rId114" xr:uid="{9B714A0E-9A28-4A7D-8E94-8D4CB1D37639}"/>
    <hyperlink ref="BO476" r:id="rId115" xr:uid="{C0D8DCDC-214D-4B48-BD01-034541A6E813}"/>
    <hyperlink ref="BO469" r:id="rId116" xr:uid="{B12733D7-D278-43F9-B8AF-2DA2C23358C8}"/>
    <hyperlink ref="BO441" r:id="rId117" xr:uid="{39B86D9C-CC4B-4D4C-98FF-B6ABCEF788B5}"/>
    <hyperlink ref="BO463" r:id="rId118" xr:uid="{230C3F12-C13D-4F34-89A2-5C71558ECDA3}"/>
    <hyperlink ref="BO511" r:id="rId119" xr:uid="{37FC5A40-D7F4-493F-91E4-7F02CE6756C0}"/>
    <hyperlink ref="BO482" r:id="rId120" xr:uid="{867F3501-B891-4A04-BC21-7E34FDE75CDE}"/>
    <hyperlink ref="BO428" r:id="rId121" xr:uid="{312F706C-CA71-4549-BC0C-9707287B19D7}"/>
    <hyperlink ref="BO407" r:id="rId122" xr:uid="{E1C3D7A2-6B81-4171-B088-47D31B15F6E6}"/>
    <hyperlink ref="BO455" r:id="rId123" xr:uid="{EE2443B7-D5D8-46A4-82F1-67AFB59A6ED9}"/>
    <hyperlink ref="BO437" r:id="rId124" xr:uid="{58A64A5B-53F9-4E3B-B2BD-025297794948}"/>
    <hyperlink ref="BO383" r:id="rId125" xr:uid="{BAA2B8C2-6368-45B6-8CD2-7CBE33CDDF9D}"/>
    <hyperlink ref="BO467" r:id="rId126" xr:uid="{0AAA6BC8-F925-4987-A356-1E8DE3A8EDF6}"/>
    <hyperlink ref="BO457" r:id="rId127" xr:uid="{8C1A301A-AB2F-4EA5-9C82-A97892A3318C}"/>
    <hyperlink ref="BO413" r:id="rId128" xr:uid="{5D94706D-D783-4C24-99B8-284C3FA8F717}"/>
    <hyperlink ref="BO401" r:id="rId129" xr:uid="{0BFEC193-DB7A-4C86-9205-C53100DBB559}"/>
    <hyperlink ref="BO436" r:id="rId130" xr:uid="{3A86C65D-D13C-402C-A3D8-7111DAA951E8}"/>
    <hyperlink ref="BO422" r:id="rId131" xr:uid="{3A1889BB-5B97-401E-AD75-24E5A3AC2C33}"/>
    <hyperlink ref="BO442" r:id="rId132" xr:uid="{4AC577D0-C1A2-4A61-8323-1C2C39E412AE}"/>
    <hyperlink ref="BO440" r:id="rId133" xr:uid="{E356BB91-0E20-422E-B29B-F66AADCD3345}"/>
    <hyperlink ref="BO409" r:id="rId134" xr:uid="{E3E2FB84-EF40-4CE4-B97E-4D4ED91E0D44}"/>
    <hyperlink ref="BO459" r:id="rId135" xr:uid="{AB98B43A-49A3-4F96-850A-16931EA9BFAD}"/>
    <hyperlink ref="BO508" r:id="rId136" xr:uid="{F01E616D-F7A6-4896-B1C6-6968D5CB4950}"/>
    <hyperlink ref="BO395" r:id="rId137" xr:uid="{2E812D56-0B44-4EC6-A864-5187E3C114CA}"/>
    <hyperlink ref="BO397" r:id="rId138" xr:uid="{BEE27B12-90DC-433F-B44E-8D9B082F1920}"/>
    <hyperlink ref="BO411" r:id="rId139" xr:uid="{CEF5C90F-BA46-4F0B-AD81-653B3DAF038E}"/>
    <hyperlink ref="BO456" r:id="rId140" xr:uid="{B06B9C67-F2FB-49F5-BA29-A70DCC7BD029}"/>
    <hyperlink ref="BO452" r:id="rId141" xr:uid="{CAA306B3-36F4-4013-A85B-5D5C2BCEDA91}"/>
    <hyperlink ref="BO408" r:id="rId142" xr:uid="{D0FF9C3B-5FF3-4144-BB86-D9D75C1E6AA4}"/>
    <hyperlink ref="BO398" r:id="rId143" xr:uid="{0A82C968-D186-4515-8AD2-CE57FE4E667E}"/>
    <hyperlink ref="BO462" r:id="rId144" xr:uid="{1A41C967-3023-4DBD-85AE-1B304564FA2C}"/>
    <hyperlink ref="BO289" r:id="rId145" xr:uid="{FD35B61E-F9EC-43D7-84B6-4E938970F389}"/>
    <hyperlink ref="BO352" r:id="rId146" xr:uid="{FDD48234-6FA3-468E-9BC2-F8A5393D180A}"/>
    <hyperlink ref="BO345" r:id="rId147" xr:uid="{6F7F845A-FB63-498E-8A7A-B8F8188311E7}"/>
    <hyperlink ref="BO350" r:id="rId148" xr:uid="{2553987F-40EA-4BB9-9A7E-8C8BF54A23F7}"/>
    <hyperlink ref="BO349" r:id="rId149" xr:uid="{E071EE86-265D-4E55-915F-C0A4AD971C07}"/>
    <hyperlink ref="BO348" r:id="rId150" xr:uid="{872533BB-AB23-4AA8-9C0F-0D6DC61C91D1}"/>
    <hyperlink ref="BO274" r:id="rId151" xr:uid="{9B7511E3-1152-4D25-A172-9413402F3BC8}"/>
    <hyperlink ref="BO276" r:id="rId152" xr:uid="{67C7E775-72A7-4570-995B-A0A94BF7B46C}"/>
    <hyperlink ref="BO286" r:id="rId153" xr:uid="{F1ABD27B-8DC0-4756-992A-99F51271E41D}"/>
    <hyperlink ref="BO273" r:id="rId154" xr:uid="{8E2FC0D2-0C77-4C53-8607-2AEBA4FF7FF3}"/>
    <hyperlink ref="BO284" r:id="rId155" xr:uid="{29E5350A-4F04-4AED-BD16-5BCA6204A522}"/>
    <hyperlink ref="BO275" r:id="rId156" xr:uid="{6C8E8CF4-FCEE-4706-B433-43BCDD8DD717}"/>
    <hyperlink ref="BO376" r:id="rId157" xr:uid="{70C0A175-F0EC-4911-B0D2-4A6BFAAB0F25}"/>
    <hyperlink ref="BO358" r:id="rId158" xr:uid="{45A760DA-9CE3-4E1A-80DB-CCBEF4F40D99}"/>
    <hyperlink ref="BO374" r:id="rId159" xr:uid="{854C4D97-8A8A-4553-B5A8-6368A3E22766}"/>
    <hyperlink ref="BO454" r:id="rId160" xr:uid="{C5E2B5E7-BA44-4497-B3FC-DDF5A66E9277}"/>
    <hyperlink ref="BO387" r:id="rId161" xr:uid="{3C27F315-4A0D-4EC0-B572-32311D396FF1}"/>
    <hyperlink ref="BO410" r:id="rId162" xr:uid="{0DBB721A-3E7F-4206-8DA5-24CDC76FB581}"/>
    <hyperlink ref="BO412" r:id="rId163" xr:uid="{8FDB33F0-20D8-4D98-AB1E-912DFF557963}"/>
    <hyperlink ref="BO415" r:id="rId164" xr:uid="{81508DA5-36B4-467B-B05E-C1888093A685}"/>
    <hyperlink ref="BO402" r:id="rId165" xr:uid="{929ABA63-58E0-4078-9DD9-6A822F2CF982}"/>
    <hyperlink ref="BO496" r:id="rId166" xr:uid="{C89C7E09-99C3-45E0-8736-1F755BB5057D}"/>
    <hyperlink ref="BO460" r:id="rId167" xr:uid="{8EC43D4E-4F40-469F-BB69-B7CA4E448DAB}"/>
    <hyperlink ref="BO396" r:id="rId168" xr:uid="{41D7BC2D-6D2D-40D3-84B5-980C0567CBC6}"/>
    <hyperlink ref="BO447" r:id="rId169" xr:uid="{D93B787C-0B78-4D8C-8B75-E7ABB1804838}"/>
    <hyperlink ref="BO375" r:id="rId170" xr:uid="{ADE7983D-6B64-4B92-8B55-F53ADC68751F}"/>
    <hyperlink ref="BO307" r:id="rId171" xr:uid="{E15C4465-DF00-482B-897C-BD6CFDC42ED7}"/>
    <hyperlink ref="BO287" r:id="rId172" xr:uid="{2ED5CB4A-5BCB-4318-87F9-CDC8CD3E268E}"/>
    <hyperlink ref="BO430" r:id="rId173" xr:uid="{07DF90F8-27B5-48E5-BE53-55330D3047BC}"/>
    <hyperlink ref="BO92" r:id="rId174" xr:uid="{FBC20540-8B73-47D6-A048-D537313041B9}"/>
    <hyperlink ref="BO131" r:id="rId175" xr:uid="{123E1D58-A7C8-43D0-A14F-3A907AD7990D}"/>
    <hyperlink ref="BO403" r:id="rId176" xr:uid="{FBCC9855-5584-4EC2-98A4-9A8D9595F7A4}"/>
    <hyperlink ref="BO353" r:id="rId177" xr:uid="{3904259B-CB67-4845-A899-B741C9BE9318}"/>
    <hyperlink ref="BO309" r:id="rId178" xr:uid="{284FA3B4-ACE5-4F77-AA0B-88D61C46EA1B}"/>
    <hyperlink ref="BO344" r:id="rId179" xr:uid="{90EED920-FB1F-4D18-B3FC-0942E177B2CB}"/>
    <hyperlink ref="BO354" r:id="rId180" xr:uid="{B02792AA-6DC3-4E0C-995D-863FEC8E64EE}"/>
    <hyperlink ref="BO294" r:id="rId181" xr:uid="{94FB0B0C-4629-460C-906E-7817F230BBAD}"/>
    <hyperlink ref="BO332" r:id="rId182" xr:uid="{2790081D-3E87-4D03-8A22-F58BEFBACD1B}"/>
    <hyperlink ref="BO330" r:id="rId183" xr:uid="{82D64A17-297E-48CC-B581-B4C768DB8572}"/>
    <hyperlink ref="BO346" r:id="rId184" xr:uid="{41FBA362-E686-4070-9CF9-F53F49BD7107}"/>
    <hyperlink ref="BO343" r:id="rId185" xr:uid="{95AFEEA6-CDEB-47E4-BBF7-8D9486CB7C20}"/>
    <hyperlink ref="BO335" r:id="rId186" xr:uid="{BACA4A8E-80B5-42A6-915E-400AC135440F}"/>
    <hyperlink ref="BO334" r:id="rId187" xr:uid="{DA2391AA-76F0-4684-9B7E-9F031037066B}"/>
    <hyperlink ref="BO380" r:id="rId188" xr:uid="{07E0C5F4-A6B8-4F0B-85F8-62852C46231A}"/>
    <hyperlink ref="BO355" r:id="rId189" xr:uid="{A8BB6EFE-3BCE-4FEF-BAC5-6365AF438566}"/>
    <hyperlink ref="BO433" r:id="rId190" xr:uid="{760F2208-E9A2-4BE7-A733-8C853FD7AFFE}"/>
    <hyperlink ref="BO502" r:id="rId191" xr:uid="{8CB510DD-B0E7-4C38-A37C-FADE494EFC54}"/>
    <hyperlink ref="BO400" r:id="rId192" xr:uid="{618E2B29-940C-4FFF-AEFD-A73752BB3AC3}"/>
    <hyperlink ref="BO480" r:id="rId193" xr:uid="{45F90E15-B5A9-4F85-B728-807866F1E529}"/>
    <hyperlink ref="BO494" r:id="rId194" xr:uid="{227E86B4-7E8D-43D2-888A-0BCC55DAEC68}"/>
    <hyperlink ref="BO478" r:id="rId195" xr:uid="{1285A2D2-A61D-424E-922D-0012E266D56D}"/>
    <hyperlink ref="BO439" r:id="rId196" xr:uid="{5C3730A8-D8B3-4339-8F90-1656A9294314}"/>
    <hyperlink ref="BO506" r:id="rId197" xr:uid="{24439AE8-FC2B-447D-8288-F165AC8B90DF}"/>
    <hyperlink ref="BO503" r:id="rId198" xr:uid="{7D21B468-042A-47F0-963C-04AEB9BEB0F4}"/>
    <hyperlink ref="BO488" r:id="rId199" xr:uid="{12DFED30-C89F-4C02-AD54-BCA4FFD25810}"/>
    <hyperlink ref="BO495" r:id="rId200" xr:uid="{DACAE98F-A8A7-4A18-BC95-2BB6DE6432CB}"/>
    <hyperlink ref="BO512" r:id="rId201" xr:uid="{7C180F9F-8A72-4AC6-ADA9-490AD3D03B07}"/>
    <hyperlink ref="BO393" r:id="rId202" xr:uid="{00F7CAB5-EBD9-4C30-81F8-8A800D3E87D7}"/>
    <hyperlink ref="BO489" r:id="rId203" xr:uid="{B686F5E7-4D11-410E-8F73-B0C6C54EDFFF}"/>
    <hyperlink ref="BO490" r:id="rId204" xr:uid="{194EB811-98FF-4A2D-BF4A-223479C84306}"/>
    <hyperlink ref="BO444" r:id="rId205" xr:uid="{AA3D0F98-1C01-4826-BC2D-B08EF070D48C}"/>
    <hyperlink ref="BO416" r:id="rId206" xr:uid="{B0EB42B2-C211-4FDE-B713-FDF760DE10BF}"/>
    <hyperlink ref="BO492" r:id="rId207" xr:uid="{0167CE59-5AED-477F-BD3E-0A8EA037CB09}"/>
    <hyperlink ref="BO493" r:id="rId208" xr:uid="{D72EC82F-9DC5-472F-B6BB-F6D73EBB8A60}"/>
    <hyperlink ref="BO498" r:id="rId209" xr:uid="{D2D0BCB9-EB2D-4476-A88B-89BEB221335A}"/>
    <hyperlink ref="BO479" r:id="rId210" xr:uid="{5F05A8CA-8020-4E7C-BD22-75F9F0E54840}"/>
    <hyperlink ref="BO450" r:id="rId211" xr:uid="{CC356D27-3577-49DD-B32A-DA7617E129F9}"/>
    <hyperlink ref="BO364" r:id="rId212" xr:uid="{17A0DE6C-4885-4EB6-92C6-28EA8489AF80}"/>
    <hyperlink ref="BO425" r:id="rId213" xr:uid="{975CAE9E-4682-48FA-A022-289BA90C3D9F}"/>
    <hyperlink ref="BO461" r:id="rId214" xr:uid="{0BB14DD5-CA34-43C6-9401-62C074F2C4B5}"/>
    <hyperlink ref="BO435" r:id="rId215" xr:uid="{A5A073AF-91FB-4CAA-AAB1-212C11535F1F}"/>
    <hyperlink ref="BO448" r:id="rId216" xr:uid="{BFF348BB-F7EC-438A-8057-430CE88A8FA6}"/>
    <hyperlink ref="BO351" r:id="rId217" xr:uid="{F631E3CA-2E05-4E97-94D6-28F382DB6F4A}"/>
    <hyperlink ref="BO390" r:id="rId218" xr:uid="{232DA2CD-258F-4DCA-A7E9-8451248D1E1B}"/>
    <hyperlink ref="BO474" r:id="rId219" xr:uid="{D422CA4A-4E41-4D23-A578-47B81B637E00}"/>
    <hyperlink ref="BO449" r:id="rId220" xr:uid="{F63EEDAF-EC4F-45A2-8430-FF29AE97FC21}"/>
    <hyperlink ref="BO378" r:id="rId221" xr:uid="{7C414B02-2392-42D2-B944-2BDC0AD4D645}"/>
    <hyperlink ref="BO510" r:id="rId222" xr:uid="{7C38ED9E-00BC-4F5F-B380-FB9508B7245B}"/>
    <hyperlink ref="BO475" r:id="rId223" xr:uid="{C2EE6626-8353-4D6D-A3DC-25199F533C3C}"/>
    <hyperlink ref="BO438" r:id="rId224" xr:uid="{C2B6A047-7179-48A2-867F-60A772272DFB}"/>
    <hyperlink ref="BO501" r:id="rId225" xr:uid="{DB1D6645-8EB5-4328-A566-137AB05A798A}"/>
    <hyperlink ref="BO504" r:id="rId226" xr:uid="{A22A9A94-60D5-4EF7-8F67-03BC1088F9A6}"/>
    <hyperlink ref="BO471" r:id="rId227" xr:uid="{0BF0EA62-D631-4F26-9D3C-09BC7C96FB0E}"/>
    <hyperlink ref="BO418" r:id="rId228" xr:uid="{2DE3115D-8BD6-4CBB-AC24-FB04AF0BECB4}"/>
    <hyperlink ref="BO499" r:id="rId229" xr:uid="{56A0778A-3A6C-4D67-B93E-904385E18A98}"/>
    <hyperlink ref="BO500" r:id="rId230" xr:uid="{69B1F70D-26BC-4858-9697-ED25944C9A3C}"/>
    <hyperlink ref="BO497" r:id="rId231" xr:uid="{1BEECE0E-EBBA-4B05-B70F-E539BB1E3D3F}"/>
    <hyperlink ref="BO507" r:id="rId232" xr:uid="{DB5BA29B-6CCC-480C-A9AC-E31A00EE810D}"/>
    <hyperlink ref="BO443" r:id="rId233" xr:uid="{41D18A9C-54EE-4FCB-917D-2DE6736C4BEE}"/>
    <hyperlink ref="BO446" r:id="rId234" xr:uid="{165CAA13-4BA2-4EC3-ADD0-B5552F73F274}"/>
    <hyperlink ref="BO445" r:id="rId235" xr:uid="{7F9BAE1C-3699-48F5-9F20-2A38EA01C883}"/>
    <hyperlink ref="BO505" r:id="rId236" xr:uid="{548ABA67-3356-46E2-87D8-47B47841E82A}"/>
    <hyperlink ref="BO466" r:id="rId237" xr:uid="{853131B9-0C4A-425A-92FB-7AB546C88797}"/>
    <hyperlink ref="BO468" r:id="rId238" xr:uid="{EA952B7E-7193-4951-84B6-96D4BD808737}"/>
    <hyperlink ref="BO470" r:id="rId239" xr:uid="{70ADBF49-9203-48A8-BB48-0975A694D6B2}"/>
    <hyperlink ref="BO484" r:id="rId240" xr:uid="{D316B54B-CE5B-42BE-953C-1B1C835CCEFE}"/>
    <hyperlink ref="BO487" r:id="rId241" xr:uid="{720A2653-01E0-4DA3-8F53-6851640A6D1E}"/>
    <hyperlink ref="BO399" r:id="rId242" xr:uid="{82471E84-EB1A-4DB7-A6D6-33290777FDAC}"/>
    <hyperlink ref="BO28" r:id="rId243" display="abogadoerwinvera@hotmail.com" xr:uid="{2ECACFA6-2EE5-40CD-BFF1-66F48E8ADFF4}"/>
    <hyperlink ref="BO29" r:id="rId244" xr:uid="{A05FF654-B7D7-4FA3-98AF-0D18B9F7B10D}"/>
    <hyperlink ref="BO43" r:id="rId245" xr:uid="{A858B775-5C79-4078-9BCE-6A27604D1DE9}"/>
    <hyperlink ref="BO70" r:id="rId246" xr:uid="{DD169D57-93D3-4BD8-AD25-B1552561E160}"/>
    <hyperlink ref="BO434" r:id="rId247" xr:uid="{353EC7C7-1DB3-40FD-8F8B-366ED041D9A4}"/>
    <hyperlink ref="BO514" r:id="rId248" xr:uid="{47FA316D-236E-45F5-8FCC-6D89B7AF9575}"/>
    <hyperlink ref="BO140" r:id="rId249" xr:uid="{171E2EA0-FBB0-4057-AAA8-A58AFDA1751F}"/>
    <hyperlink ref="BO84" r:id="rId250" xr:uid="{234CD585-D743-42A8-8068-8A48C7EB36E3}"/>
    <hyperlink ref="BO244" r:id="rId251" xr:uid="{08D3704F-4E8C-4A78-A1A1-A96C57B6AC26}"/>
    <hyperlink ref="BO197" r:id="rId252" xr:uid="{1AC5AD3A-BBE7-4FB4-8F83-B6663F883FB7}"/>
    <hyperlink ref="BO47" r:id="rId253" xr:uid="{93A2D1FA-513F-4A64-9317-7D45E1C84008}"/>
    <hyperlink ref="BO179" r:id="rId254" xr:uid="{3CA6F5FC-5C31-4093-86B6-899FD6D8CB1B}"/>
    <hyperlink ref="BO6" r:id="rId255" xr:uid="{D5B4FC71-FAC3-482F-9AEA-9BAE31832429}"/>
    <hyperlink ref="BO49" r:id="rId256" xr:uid="{D1E6F5D3-330E-4983-89DD-BC45E70D2113}"/>
    <hyperlink ref="BO160" r:id="rId257" xr:uid="{D3F1422D-3388-485E-8B9C-BCDEA6C4EA89}"/>
    <hyperlink ref="BO264" r:id="rId258" xr:uid="{4D33F1EB-35A3-4744-A012-7F35A84091BE}"/>
    <hyperlink ref="BO105" r:id="rId259" xr:uid="{BCB0FB35-D6D8-4B66-8EC0-D676055BFF82}"/>
    <hyperlink ref="BO129" r:id="rId260" xr:uid="{5FE1820F-8341-4097-BF26-D8611B6BB408}"/>
    <hyperlink ref="BO31" r:id="rId261" xr:uid="{1E6DBAA2-4225-4C11-BEFF-2847104B8884}"/>
    <hyperlink ref="BO203" r:id="rId262" xr:uid="{E2043C83-0AA5-408B-86F9-DDDD427AC744}"/>
    <hyperlink ref="BO190" r:id="rId263" xr:uid="{9125EF7B-FD9D-4D1B-B705-2D001F5DC078}"/>
    <hyperlink ref="BO205" r:id="rId264" xr:uid="{F353EF4A-FEA4-46DD-A3DF-9D631DAB1743}"/>
    <hyperlink ref="BO174" r:id="rId265" xr:uid="{0DC19072-A921-4FF6-8598-2BA27C7C00E1}"/>
    <hyperlink ref="BO42" r:id="rId266" xr:uid="{20158732-A8A9-41FF-B67F-4F8B95DDBFAD}"/>
    <hyperlink ref="BO485" r:id="rId267" xr:uid="{5F37D46A-8CAB-4A2E-838F-8FAF73ED00A3}"/>
    <hyperlink ref="BO206" r:id="rId268" xr:uid="{F1BBA7D3-C9DD-496C-97F2-AD12C8B69B04}"/>
    <hyperlink ref="BO149" r:id="rId269" xr:uid="{FFC53AA3-11EB-43DA-B270-CA3339A0968B}"/>
    <hyperlink ref="BO133" r:id="rId270" xr:uid="{E3723FB8-B967-4AEE-A46B-619DFB163640}"/>
    <hyperlink ref="BO195" r:id="rId271" xr:uid="{8266D8BB-2C0F-40FB-8A7A-E411E35073F8}"/>
    <hyperlink ref="BO483" r:id="rId272" xr:uid="{EB609F57-C5A7-4745-ABC0-39110044456B}"/>
    <hyperlink ref="BO113" r:id="rId273" display="aofigomezg@yahoo.es_x000a_15-05-2019" xr:uid="{6B461265-FD9E-4465-9795-C485AD505F23}"/>
  </hyperlinks>
  <pageMargins left="0.7" right="0.7" top="0.75" bottom="0.75" header="0.3" footer="0.3"/>
  <pageSetup orientation="portrait" r:id="rId274"/>
  <drawing r:id="rId27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598B74-3A7B-4134-B5D7-5D383603B8D6}">
  <dimension ref="A1:C19"/>
  <sheetViews>
    <sheetView workbookViewId="0">
      <selection activeCell="B2" sqref="B2"/>
    </sheetView>
  </sheetViews>
  <sheetFormatPr baseColWidth="10" defaultRowHeight="15"/>
  <cols>
    <col min="2" max="2" width="28.140625" customWidth="1"/>
    <col min="3" max="3" width="79.85546875" customWidth="1"/>
  </cols>
  <sheetData>
    <row r="1" spans="1:3" ht="19.5" thickBot="1">
      <c r="A1" s="1000" t="s">
        <v>6786</v>
      </c>
      <c r="B1" s="1001"/>
      <c r="C1" s="267" t="s">
        <v>6787</v>
      </c>
    </row>
    <row r="2" spans="1:3" ht="23.25" customHeight="1" thickBot="1">
      <c r="A2" s="446"/>
      <c r="B2" s="447"/>
      <c r="C2" s="268" t="s">
        <v>66</v>
      </c>
    </row>
    <row r="3" spans="1:3" ht="23.25" customHeight="1" thickBot="1">
      <c r="A3" s="269"/>
      <c r="B3" s="445"/>
      <c r="C3" s="268" t="s">
        <v>6788</v>
      </c>
    </row>
    <row r="4" spans="1:3" ht="23.25" customHeight="1" thickBot="1">
      <c r="A4" s="270"/>
      <c r="B4" s="271"/>
      <c r="C4" s="272" t="s">
        <v>6789</v>
      </c>
    </row>
    <row r="5" spans="1:3" ht="23.25" customHeight="1" thickBot="1">
      <c r="A5" s="269"/>
      <c r="B5" s="271"/>
      <c r="C5" s="272" t="s">
        <v>8040</v>
      </c>
    </row>
    <row r="6" spans="1:3" ht="23.25" customHeight="1" thickBot="1">
      <c r="A6" s="273"/>
      <c r="B6" s="274"/>
      <c r="C6" s="272" t="s">
        <v>6790</v>
      </c>
    </row>
    <row r="7" spans="1:3" ht="24" customHeight="1" thickBot="1">
      <c r="A7" s="269"/>
      <c r="B7" s="275"/>
      <c r="C7" s="272" t="s">
        <v>8041</v>
      </c>
    </row>
    <row r="8" spans="1:3" ht="24" customHeight="1" thickBot="1">
      <c r="A8" s="276"/>
      <c r="B8" s="277"/>
      <c r="C8" s="272" t="s">
        <v>6791</v>
      </c>
    </row>
    <row r="9" spans="1:3" ht="24.75" customHeight="1" thickBot="1">
      <c r="A9" s="278"/>
      <c r="B9" s="279"/>
      <c r="C9" s="280" t="s">
        <v>8042</v>
      </c>
    </row>
    <row r="10" spans="1:3" ht="24" customHeight="1" thickBot="1">
      <c r="A10" s="281"/>
      <c r="B10" s="282"/>
      <c r="C10" s="280" t="s">
        <v>6792</v>
      </c>
    </row>
    <row r="11" spans="1:3" ht="23.25" customHeight="1" thickBot="1">
      <c r="A11" s="283"/>
      <c r="B11" s="284"/>
      <c r="C11" s="280" t="s">
        <v>6793</v>
      </c>
    </row>
    <row r="12" spans="1:3" ht="23.25" customHeight="1" thickBot="1">
      <c r="A12" s="269"/>
      <c r="B12" s="285"/>
      <c r="C12" s="280" t="s">
        <v>8043</v>
      </c>
    </row>
    <row r="13" spans="1:3" ht="24" customHeight="1" thickBot="1">
      <c r="A13" s="286"/>
      <c r="B13" s="287"/>
      <c r="C13" s="272" t="s">
        <v>6794</v>
      </c>
    </row>
    <row r="14" spans="1:3" ht="24.75" customHeight="1" thickBot="1">
      <c r="A14" s="269"/>
      <c r="B14" s="288"/>
      <c r="C14" s="280" t="s">
        <v>8044</v>
      </c>
    </row>
    <row r="15" spans="1:3" ht="24" customHeight="1" thickBot="1">
      <c r="A15" s="816"/>
      <c r="B15" s="817"/>
      <c r="C15" s="280" t="s">
        <v>6795</v>
      </c>
    </row>
    <row r="16" spans="1:3" ht="24" customHeight="1">
      <c r="A16" s="815"/>
      <c r="B16" s="385"/>
      <c r="C16" s="280" t="s">
        <v>6796</v>
      </c>
    </row>
    <row r="17" spans="1:3" ht="21.75" customHeight="1">
      <c r="A17" s="386"/>
      <c r="B17" s="386"/>
      <c r="C17" s="280" t="s">
        <v>7415</v>
      </c>
    </row>
    <row r="18" spans="1:3" ht="25.5" customHeight="1">
      <c r="A18" s="664"/>
      <c r="B18" s="664"/>
      <c r="C18" s="280" t="s">
        <v>9344</v>
      </c>
    </row>
    <row r="19" spans="1:3" ht="24" customHeight="1">
      <c r="A19" s="1002"/>
      <c r="B19" s="1003"/>
      <c r="C19" s="818" t="s">
        <v>9886</v>
      </c>
    </row>
  </sheetData>
  <mergeCells count="2">
    <mergeCell ref="A1:B1"/>
    <mergeCell ref="A19:B19"/>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663BAF-AEF0-4130-899E-E2FA208D9AA5}">
  <dimension ref="A1:I2954"/>
  <sheetViews>
    <sheetView zoomScaleNormal="100" workbookViewId="0">
      <pane ySplit="1" topLeftCell="A2331" activePane="bottomLeft" state="frozen"/>
      <selection pane="bottomLeft" activeCell="E2337" sqref="E2337"/>
    </sheetView>
  </sheetViews>
  <sheetFormatPr baseColWidth="10" defaultColWidth="15.42578125" defaultRowHeight="15"/>
  <cols>
    <col min="1" max="1" width="0.140625" style="493" customWidth="1"/>
    <col min="2" max="2" width="15.42578125" style="638"/>
    <col min="3" max="3" width="15.42578125" style="640"/>
  </cols>
  <sheetData>
    <row r="1" spans="1:6" ht="56.25" customHeight="1">
      <c r="A1" s="492" t="s">
        <v>6797</v>
      </c>
      <c r="B1" s="613" t="s">
        <v>6798</v>
      </c>
      <c r="C1" s="639" t="s">
        <v>6799</v>
      </c>
      <c r="D1" s="289" t="s">
        <v>6800</v>
      </c>
      <c r="E1" s="289" t="s">
        <v>6801</v>
      </c>
      <c r="F1" s="289" t="s">
        <v>10</v>
      </c>
    </row>
    <row r="2" spans="1:6" ht="27">
      <c r="B2" s="614">
        <v>41522</v>
      </c>
      <c r="C2" s="40">
        <v>41518</v>
      </c>
      <c r="D2" s="46" t="s">
        <v>569</v>
      </c>
      <c r="E2" s="34" t="s">
        <v>63</v>
      </c>
      <c r="F2" s="34" t="s">
        <v>570</v>
      </c>
    </row>
    <row r="3" spans="1:6" ht="27">
      <c r="B3" s="614">
        <v>41656</v>
      </c>
      <c r="C3" s="38">
        <v>41656</v>
      </c>
      <c r="D3" s="39" t="s">
        <v>568</v>
      </c>
      <c r="E3" s="34" t="s">
        <v>63</v>
      </c>
      <c r="F3" s="34" t="s">
        <v>79</v>
      </c>
    </row>
    <row r="4" spans="1:6">
      <c r="B4" s="615">
        <v>41677</v>
      </c>
      <c r="C4" s="300">
        <v>41671</v>
      </c>
      <c r="D4" s="301" t="s">
        <v>62</v>
      </c>
      <c r="E4" s="297" t="s">
        <v>63</v>
      </c>
      <c r="F4" s="297" t="s">
        <v>64</v>
      </c>
    </row>
    <row r="5" spans="1:6" ht="27">
      <c r="B5" s="614">
        <v>41689</v>
      </c>
      <c r="C5" s="38">
        <v>41671</v>
      </c>
      <c r="D5" s="39" t="s">
        <v>571</v>
      </c>
      <c r="E5" s="34" t="s">
        <v>63</v>
      </c>
      <c r="F5" s="34" t="s">
        <v>572</v>
      </c>
    </row>
    <row r="6" spans="1:6">
      <c r="B6" s="615">
        <v>41835</v>
      </c>
      <c r="C6" s="300">
        <v>41821</v>
      </c>
      <c r="D6" s="301" t="s">
        <v>1166</v>
      </c>
      <c r="E6" s="297" t="s">
        <v>171</v>
      </c>
      <c r="F6" s="297" t="s">
        <v>1167</v>
      </c>
    </row>
    <row r="7" spans="1:6" ht="27">
      <c r="B7" s="615">
        <v>41842</v>
      </c>
      <c r="C7" s="300">
        <v>41821</v>
      </c>
      <c r="D7" s="301" t="s">
        <v>285</v>
      </c>
      <c r="E7" s="297" t="s">
        <v>198</v>
      </c>
      <c r="F7" s="297" t="s">
        <v>196</v>
      </c>
    </row>
    <row r="8" spans="1:6">
      <c r="B8" s="615">
        <v>41845</v>
      </c>
      <c r="C8" s="300">
        <v>41821</v>
      </c>
      <c r="D8" s="301" t="s">
        <v>100</v>
      </c>
      <c r="E8" s="297" t="s">
        <v>63</v>
      </c>
      <c r="F8" s="297" t="s">
        <v>101</v>
      </c>
    </row>
    <row r="9" spans="1:6">
      <c r="B9" s="615">
        <v>41850</v>
      </c>
      <c r="C9" s="300">
        <v>41821</v>
      </c>
      <c r="D9" s="301" t="s">
        <v>119</v>
      </c>
      <c r="E9" s="297" t="s">
        <v>5</v>
      </c>
      <c r="F9" s="297" t="s">
        <v>101</v>
      </c>
    </row>
    <row r="10" spans="1:6">
      <c r="B10" s="615">
        <v>41851</v>
      </c>
      <c r="C10" s="300">
        <v>41821</v>
      </c>
      <c r="D10" s="301" t="s">
        <v>129</v>
      </c>
      <c r="E10" s="297" t="s">
        <v>5</v>
      </c>
      <c r="F10" s="297" t="s">
        <v>101</v>
      </c>
    </row>
    <row r="11" spans="1:6">
      <c r="B11" s="615">
        <v>41856</v>
      </c>
      <c r="C11" s="300">
        <v>41852</v>
      </c>
      <c r="D11" s="301" t="s">
        <v>139</v>
      </c>
      <c r="E11" s="297" t="s">
        <v>63</v>
      </c>
      <c r="F11" s="297" t="s">
        <v>101</v>
      </c>
    </row>
    <row r="12" spans="1:6">
      <c r="B12" s="614">
        <v>41859</v>
      </c>
      <c r="C12" s="38">
        <v>41852</v>
      </c>
      <c r="D12" s="39" t="s">
        <v>146</v>
      </c>
      <c r="E12" s="34" t="s">
        <v>5</v>
      </c>
      <c r="F12" s="34" t="s">
        <v>101</v>
      </c>
    </row>
    <row r="13" spans="1:6">
      <c r="B13" s="615">
        <v>41864</v>
      </c>
      <c r="C13" s="300">
        <v>41852</v>
      </c>
      <c r="D13" s="301" t="s">
        <v>168</v>
      </c>
      <c r="E13" s="297" t="s">
        <v>5</v>
      </c>
      <c r="F13" s="297" t="s">
        <v>101</v>
      </c>
    </row>
    <row r="14" spans="1:6" ht="27">
      <c r="B14" s="615">
        <v>41871</v>
      </c>
      <c r="C14" s="300">
        <v>41852</v>
      </c>
      <c r="D14" s="301" t="s">
        <v>182</v>
      </c>
      <c r="E14" s="297" t="s">
        <v>171</v>
      </c>
      <c r="F14" s="297" t="s">
        <v>183</v>
      </c>
    </row>
    <row r="15" spans="1:6" ht="27">
      <c r="B15" s="615">
        <v>41871</v>
      </c>
      <c r="C15" s="300">
        <v>41852</v>
      </c>
      <c r="D15" s="301" t="s">
        <v>194</v>
      </c>
      <c r="E15" s="297" t="s">
        <v>195</v>
      </c>
      <c r="F15" s="297" t="s">
        <v>196</v>
      </c>
    </row>
    <row r="16" spans="1:6" ht="27">
      <c r="B16" s="615">
        <v>41873</v>
      </c>
      <c r="C16" s="300">
        <v>41852</v>
      </c>
      <c r="D16" s="301" t="s">
        <v>206</v>
      </c>
      <c r="E16" s="297" t="s">
        <v>198</v>
      </c>
      <c r="F16" s="297" t="s">
        <v>196</v>
      </c>
    </row>
    <row r="17" spans="2:6" ht="27">
      <c r="B17" s="615">
        <v>41873</v>
      </c>
      <c r="C17" s="300">
        <v>41852</v>
      </c>
      <c r="D17" s="301" t="s">
        <v>215</v>
      </c>
      <c r="E17" s="297" t="s">
        <v>195</v>
      </c>
      <c r="F17" s="297" t="s">
        <v>196</v>
      </c>
    </row>
    <row r="18" spans="2:6" ht="27">
      <c r="B18" s="615">
        <v>41877</v>
      </c>
      <c r="C18" s="300">
        <v>41852</v>
      </c>
      <c r="D18" s="301" t="s">
        <v>225</v>
      </c>
      <c r="E18" s="297" t="s">
        <v>195</v>
      </c>
      <c r="F18" s="297" t="s">
        <v>196</v>
      </c>
    </row>
    <row r="19" spans="2:6">
      <c r="B19" s="615">
        <v>41878</v>
      </c>
      <c r="C19" s="300">
        <v>41852</v>
      </c>
      <c r="D19" s="301" t="s">
        <v>6802</v>
      </c>
      <c r="E19" s="297" t="s">
        <v>5</v>
      </c>
      <c r="F19" s="297" t="s">
        <v>131</v>
      </c>
    </row>
    <row r="20" spans="2:6">
      <c r="B20" s="616">
        <v>41880</v>
      </c>
      <c r="C20" s="21">
        <v>41852</v>
      </c>
      <c r="D20" s="22" t="s">
        <v>235</v>
      </c>
      <c r="E20" s="17" t="s">
        <v>236</v>
      </c>
      <c r="F20" s="17" t="s">
        <v>183</v>
      </c>
    </row>
    <row r="21" spans="2:6">
      <c r="B21" s="615">
        <v>41883</v>
      </c>
      <c r="C21" s="300">
        <v>41883</v>
      </c>
      <c r="D21" s="301" t="s">
        <v>325</v>
      </c>
      <c r="E21" s="297" t="s">
        <v>5</v>
      </c>
      <c r="F21" s="297" t="s">
        <v>131</v>
      </c>
    </row>
    <row r="22" spans="2:6" ht="40.5">
      <c r="B22" s="617">
        <v>41883</v>
      </c>
      <c r="C22" s="78">
        <v>41883</v>
      </c>
      <c r="D22" s="79" t="s">
        <v>6803</v>
      </c>
      <c r="E22" s="75" t="s">
        <v>576</v>
      </c>
      <c r="F22" s="75" t="s">
        <v>6804</v>
      </c>
    </row>
    <row r="23" spans="2:6" ht="40.5">
      <c r="B23" s="615">
        <v>41884</v>
      </c>
      <c r="C23" s="300">
        <v>41883</v>
      </c>
      <c r="D23" s="301" t="s">
        <v>243</v>
      </c>
      <c r="E23" s="297" t="s">
        <v>198</v>
      </c>
      <c r="F23" s="297" t="s">
        <v>196</v>
      </c>
    </row>
    <row r="24" spans="2:6" ht="27">
      <c r="B24" s="615">
        <v>41884</v>
      </c>
      <c r="C24" s="300">
        <v>41883</v>
      </c>
      <c r="D24" s="301" t="s">
        <v>258</v>
      </c>
      <c r="E24" s="297" t="s">
        <v>195</v>
      </c>
      <c r="F24" s="297" t="s">
        <v>196</v>
      </c>
    </row>
    <row r="25" spans="2:6" ht="27">
      <c r="B25" s="615">
        <v>41884</v>
      </c>
      <c r="C25" s="300">
        <v>41883</v>
      </c>
      <c r="D25" s="301" t="s">
        <v>270</v>
      </c>
      <c r="E25" s="297" t="s">
        <v>198</v>
      </c>
      <c r="F25" s="297" t="s">
        <v>196</v>
      </c>
    </row>
    <row r="26" spans="2:6" ht="27">
      <c r="B26" s="615">
        <v>41885</v>
      </c>
      <c r="C26" s="300">
        <v>41883</v>
      </c>
      <c r="D26" s="301" t="s">
        <v>269</v>
      </c>
      <c r="E26" s="297" t="s">
        <v>198</v>
      </c>
      <c r="F26" s="297" t="s">
        <v>196</v>
      </c>
    </row>
    <row r="27" spans="2:6">
      <c r="B27" s="618">
        <v>41885</v>
      </c>
      <c r="C27" s="61">
        <v>41699</v>
      </c>
      <c r="D27" s="62" t="s">
        <v>6805</v>
      </c>
      <c r="E27" s="58" t="s">
        <v>171</v>
      </c>
      <c r="F27" s="58" t="s">
        <v>6806</v>
      </c>
    </row>
    <row r="28" spans="2:6">
      <c r="B28" s="615">
        <v>41886</v>
      </c>
      <c r="C28" s="300">
        <v>41883</v>
      </c>
      <c r="D28" s="301" t="s">
        <v>6807</v>
      </c>
      <c r="E28" s="297" t="s">
        <v>5</v>
      </c>
      <c r="F28" s="297" t="s">
        <v>101</v>
      </c>
    </row>
    <row r="29" spans="2:6" ht="27">
      <c r="B29" s="619">
        <v>41887</v>
      </c>
      <c r="C29" s="146">
        <v>41887</v>
      </c>
      <c r="D29" s="145" t="s">
        <v>6528</v>
      </c>
      <c r="E29" s="141" t="s">
        <v>198</v>
      </c>
      <c r="F29" s="141" t="s">
        <v>6529</v>
      </c>
    </row>
    <row r="30" spans="2:6" ht="27">
      <c r="B30" s="615">
        <v>41891</v>
      </c>
      <c r="C30" s="300">
        <v>41883</v>
      </c>
      <c r="D30" s="301" t="s">
        <v>299</v>
      </c>
      <c r="E30" s="297" t="s">
        <v>195</v>
      </c>
      <c r="F30" s="297" t="s">
        <v>196</v>
      </c>
    </row>
    <row r="31" spans="2:6" ht="27">
      <c r="B31" s="615">
        <v>41891</v>
      </c>
      <c r="C31" s="300">
        <v>41883</v>
      </c>
      <c r="D31" s="301" t="s">
        <v>299</v>
      </c>
      <c r="E31" s="297" t="s">
        <v>195</v>
      </c>
      <c r="F31" s="297" t="s">
        <v>196</v>
      </c>
    </row>
    <row r="32" spans="2:6">
      <c r="B32" s="615">
        <v>41891</v>
      </c>
      <c r="C32" s="300">
        <v>41883</v>
      </c>
      <c r="D32" s="301" t="s">
        <v>226</v>
      </c>
      <c r="E32" s="297" t="s">
        <v>198</v>
      </c>
      <c r="F32" s="297" t="s">
        <v>183</v>
      </c>
    </row>
    <row r="33" spans="2:6">
      <c r="B33" s="618">
        <v>41891</v>
      </c>
      <c r="C33" s="61">
        <v>41883</v>
      </c>
      <c r="D33" s="62" t="s">
        <v>4270</v>
      </c>
      <c r="E33" s="58" t="s">
        <v>171</v>
      </c>
      <c r="F33" s="58" t="s">
        <v>4220</v>
      </c>
    </row>
    <row r="34" spans="2:6" ht="27">
      <c r="B34" s="615">
        <v>41892</v>
      </c>
      <c r="C34" s="300">
        <v>41883</v>
      </c>
      <c r="D34" s="301" t="s">
        <v>271</v>
      </c>
      <c r="E34" s="297" t="s">
        <v>171</v>
      </c>
      <c r="F34" s="297" t="s">
        <v>183</v>
      </c>
    </row>
    <row r="35" spans="2:6" ht="27">
      <c r="B35" s="615">
        <v>41893</v>
      </c>
      <c r="C35" s="300">
        <v>41883</v>
      </c>
      <c r="D35" s="301" t="s">
        <v>6808</v>
      </c>
      <c r="E35" s="297" t="s">
        <v>195</v>
      </c>
      <c r="F35" s="297" t="s">
        <v>196</v>
      </c>
    </row>
    <row r="36" spans="2:6" ht="27">
      <c r="B36" s="615">
        <v>41893</v>
      </c>
      <c r="C36" s="300">
        <v>41883</v>
      </c>
      <c r="D36" s="301" t="s">
        <v>6809</v>
      </c>
      <c r="E36" s="297" t="s">
        <v>198</v>
      </c>
      <c r="F36" s="297" t="s">
        <v>196</v>
      </c>
    </row>
    <row r="37" spans="2:6" ht="27">
      <c r="B37" s="618">
        <v>41893</v>
      </c>
      <c r="C37" s="63">
        <v>41883</v>
      </c>
      <c r="D37" s="62" t="s">
        <v>4186</v>
      </c>
      <c r="E37" s="58" t="s">
        <v>171</v>
      </c>
      <c r="F37" s="58" t="s">
        <v>4187</v>
      </c>
    </row>
    <row r="38" spans="2:6" ht="27">
      <c r="B38" s="615">
        <v>41897</v>
      </c>
      <c r="C38" s="300">
        <v>41897</v>
      </c>
      <c r="D38" s="301" t="s">
        <v>197</v>
      </c>
      <c r="E38" s="297" t="s">
        <v>198</v>
      </c>
      <c r="F38" s="297" t="s">
        <v>196</v>
      </c>
    </row>
    <row r="39" spans="2:6" ht="27">
      <c r="B39" s="615">
        <v>41901</v>
      </c>
      <c r="C39" s="300">
        <v>41883</v>
      </c>
      <c r="D39" s="301" t="s">
        <v>348</v>
      </c>
      <c r="E39" s="297" t="s">
        <v>195</v>
      </c>
      <c r="F39" s="297" t="s">
        <v>196</v>
      </c>
    </row>
    <row r="40" spans="2:6">
      <c r="B40" s="617">
        <v>41902</v>
      </c>
      <c r="C40" s="78">
        <v>41883</v>
      </c>
      <c r="D40" s="79" t="s">
        <v>6810</v>
      </c>
      <c r="E40" s="75" t="s">
        <v>195</v>
      </c>
      <c r="F40" s="75" t="s">
        <v>6355</v>
      </c>
    </row>
    <row r="41" spans="2:6">
      <c r="B41" s="618">
        <v>41905</v>
      </c>
      <c r="C41" s="61">
        <v>41883</v>
      </c>
      <c r="D41" s="62" t="s">
        <v>3692</v>
      </c>
      <c r="E41" s="58" t="s">
        <v>195</v>
      </c>
      <c r="F41" s="58" t="s">
        <v>1864</v>
      </c>
    </row>
    <row r="42" spans="2:6" ht="27">
      <c r="B42" s="615">
        <v>41907</v>
      </c>
      <c r="C42" s="300">
        <v>41883</v>
      </c>
      <c r="D42" s="301" t="s">
        <v>259</v>
      </c>
      <c r="E42" s="297" t="s">
        <v>198</v>
      </c>
      <c r="F42" s="297" t="s">
        <v>196</v>
      </c>
    </row>
    <row r="43" spans="2:6">
      <c r="B43" s="615">
        <v>41908</v>
      </c>
      <c r="C43" s="300">
        <v>41883</v>
      </c>
      <c r="D43" s="301" t="s">
        <v>373</v>
      </c>
      <c r="E43" s="297" t="s">
        <v>5</v>
      </c>
      <c r="F43" s="297" t="s">
        <v>101</v>
      </c>
    </row>
    <row r="44" spans="2:6">
      <c r="B44" s="615">
        <v>41908</v>
      </c>
      <c r="C44" s="300">
        <v>41883</v>
      </c>
      <c r="D44" s="301" t="s">
        <v>383</v>
      </c>
      <c r="E44" s="297" t="s">
        <v>5</v>
      </c>
      <c r="F44" s="297" t="s">
        <v>101</v>
      </c>
    </row>
    <row r="45" spans="2:6">
      <c r="B45" s="617">
        <v>41908</v>
      </c>
      <c r="C45" s="78">
        <v>41883</v>
      </c>
      <c r="D45" s="79" t="s">
        <v>6811</v>
      </c>
      <c r="E45" s="75" t="s">
        <v>171</v>
      </c>
      <c r="F45" s="75" t="s">
        <v>582</v>
      </c>
    </row>
    <row r="46" spans="2:6">
      <c r="B46" s="615">
        <v>41911</v>
      </c>
      <c r="C46" s="300">
        <v>41883</v>
      </c>
      <c r="D46" s="301" t="s">
        <v>6812</v>
      </c>
      <c r="E46" s="297" t="s">
        <v>5</v>
      </c>
      <c r="F46" s="297" t="s">
        <v>101</v>
      </c>
    </row>
    <row r="47" spans="2:6">
      <c r="B47" s="617">
        <v>41912</v>
      </c>
      <c r="C47" s="78">
        <v>41883</v>
      </c>
      <c r="D47" s="79" t="s">
        <v>6813</v>
      </c>
      <c r="E47" s="75" t="s">
        <v>195</v>
      </c>
      <c r="F47" s="75" t="s">
        <v>4662</v>
      </c>
    </row>
    <row r="48" spans="2:6">
      <c r="B48" s="615">
        <v>41913</v>
      </c>
      <c r="C48" s="300">
        <v>41913</v>
      </c>
      <c r="D48" s="301" t="s">
        <v>6814</v>
      </c>
      <c r="E48" s="297" t="s">
        <v>5</v>
      </c>
      <c r="F48" s="297" t="s">
        <v>101</v>
      </c>
    </row>
    <row r="49" spans="2:6">
      <c r="B49" s="615">
        <v>41915</v>
      </c>
      <c r="C49" s="300">
        <v>41913</v>
      </c>
      <c r="D49" s="301" t="s">
        <v>711</v>
      </c>
      <c r="E49" s="297" t="s">
        <v>195</v>
      </c>
      <c r="F49" s="297" t="s">
        <v>386</v>
      </c>
    </row>
    <row r="50" spans="2:6">
      <c r="B50" s="615">
        <v>41918</v>
      </c>
      <c r="C50" s="300">
        <v>41913</v>
      </c>
      <c r="D50" s="301" t="s">
        <v>416</v>
      </c>
      <c r="E50" s="297" t="s">
        <v>5</v>
      </c>
      <c r="F50" s="297" t="s">
        <v>101</v>
      </c>
    </row>
    <row r="51" spans="2:6">
      <c r="B51" s="615">
        <v>41918.597222222219</v>
      </c>
      <c r="C51" s="300">
        <v>41913</v>
      </c>
      <c r="D51" s="301" t="s">
        <v>436</v>
      </c>
      <c r="E51" s="297" t="s">
        <v>63</v>
      </c>
      <c r="F51" s="297" t="s">
        <v>101</v>
      </c>
    </row>
    <row r="52" spans="2:6">
      <c r="B52" s="615">
        <v>41920</v>
      </c>
      <c r="C52" s="300">
        <v>41920</v>
      </c>
      <c r="D52" s="301" t="s">
        <v>3726</v>
      </c>
      <c r="E52" s="297" t="s">
        <v>171</v>
      </c>
      <c r="F52" s="297" t="s">
        <v>777</v>
      </c>
    </row>
    <row r="53" spans="2:6">
      <c r="B53" s="618">
        <v>41921</v>
      </c>
      <c r="C53" s="61">
        <v>41913</v>
      </c>
      <c r="D53" s="62" t="s">
        <v>5547</v>
      </c>
      <c r="E53" s="58" t="s">
        <v>195</v>
      </c>
      <c r="F53" s="58" t="s">
        <v>1864</v>
      </c>
    </row>
    <row r="54" spans="2:6">
      <c r="B54" s="615">
        <v>41927</v>
      </c>
      <c r="C54" s="300">
        <v>41913</v>
      </c>
      <c r="D54" s="301" t="s">
        <v>441</v>
      </c>
      <c r="E54" s="297" t="s">
        <v>5</v>
      </c>
      <c r="F54" s="297" t="s">
        <v>101</v>
      </c>
    </row>
    <row r="55" spans="2:6">
      <c r="B55" s="618">
        <v>41928</v>
      </c>
      <c r="C55" s="61">
        <v>41913</v>
      </c>
      <c r="D55" s="62" t="s">
        <v>5769</v>
      </c>
      <c r="E55" s="58" t="s">
        <v>171</v>
      </c>
      <c r="F55" s="58" t="s">
        <v>5770</v>
      </c>
    </row>
    <row r="56" spans="2:6">
      <c r="B56" s="615">
        <v>41932</v>
      </c>
      <c r="C56" s="300">
        <v>41913</v>
      </c>
      <c r="D56" s="301" t="s">
        <v>6815</v>
      </c>
      <c r="E56" s="297" t="s">
        <v>195</v>
      </c>
      <c r="F56" s="297" t="s">
        <v>386</v>
      </c>
    </row>
    <row r="57" spans="2:6">
      <c r="B57" s="615">
        <v>41934</v>
      </c>
      <c r="C57" s="300">
        <v>41913</v>
      </c>
      <c r="D57" s="301" t="s">
        <v>448</v>
      </c>
      <c r="E57" s="297" t="s">
        <v>5</v>
      </c>
      <c r="F57" s="297" t="s">
        <v>101</v>
      </c>
    </row>
    <row r="58" spans="2:6">
      <c r="B58" s="618">
        <v>41934</v>
      </c>
      <c r="C58" s="63">
        <v>41913</v>
      </c>
      <c r="D58" s="62" t="s">
        <v>5548</v>
      </c>
      <c r="E58" s="58" t="s">
        <v>195</v>
      </c>
      <c r="F58" s="58" t="s">
        <v>1864</v>
      </c>
    </row>
    <row r="59" spans="2:6" ht="27">
      <c r="B59" s="618">
        <v>41935</v>
      </c>
      <c r="C59" s="61">
        <v>41913</v>
      </c>
      <c r="D59" s="62" t="s">
        <v>6062</v>
      </c>
      <c r="E59" s="58" t="s">
        <v>195</v>
      </c>
      <c r="F59" s="58" t="s">
        <v>4744</v>
      </c>
    </row>
    <row r="60" spans="2:6" ht="27">
      <c r="B60" s="615">
        <v>41935</v>
      </c>
      <c r="C60" s="300">
        <v>41913</v>
      </c>
      <c r="D60" s="301" t="s">
        <v>4743</v>
      </c>
      <c r="E60" s="297" t="s">
        <v>195</v>
      </c>
      <c r="F60" s="297" t="s">
        <v>4744</v>
      </c>
    </row>
    <row r="61" spans="2:6">
      <c r="B61" s="615">
        <v>41936</v>
      </c>
      <c r="C61" s="300">
        <v>41913</v>
      </c>
      <c r="D61" s="301" t="s">
        <v>476</v>
      </c>
      <c r="E61" s="297" t="s">
        <v>5</v>
      </c>
      <c r="F61" s="297" t="s">
        <v>101</v>
      </c>
    </row>
    <row r="62" spans="2:6">
      <c r="B62" s="615">
        <v>41936</v>
      </c>
      <c r="C62" s="300">
        <v>41913</v>
      </c>
      <c r="D62" s="301" t="s">
        <v>476</v>
      </c>
      <c r="E62" s="297" t="s">
        <v>5</v>
      </c>
      <c r="F62" s="297" t="s">
        <v>101</v>
      </c>
    </row>
    <row r="63" spans="2:6">
      <c r="B63" s="615">
        <v>41936</v>
      </c>
      <c r="C63" s="300">
        <v>41913</v>
      </c>
      <c r="D63" s="301" t="s">
        <v>476</v>
      </c>
      <c r="E63" s="297" t="s">
        <v>5</v>
      </c>
      <c r="F63" s="297" t="s">
        <v>101</v>
      </c>
    </row>
    <row r="64" spans="2:6">
      <c r="B64" s="615">
        <v>41936</v>
      </c>
      <c r="C64" s="300">
        <v>41913</v>
      </c>
      <c r="D64" s="301" t="s">
        <v>476</v>
      </c>
      <c r="E64" s="297" t="s">
        <v>5</v>
      </c>
      <c r="F64" s="297" t="s">
        <v>101</v>
      </c>
    </row>
    <row r="65" spans="2:6">
      <c r="B65" s="617">
        <v>41940</v>
      </c>
      <c r="C65" s="78">
        <v>41913</v>
      </c>
      <c r="D65" s="79" t="s">
        <v>6816</v>
      </c>
      <c r="E65" s="75" t="s">
        <v>625</v>
      </c>
      <c r="F65" s="75" t="s">
        <v>1854</v>
      </c>
    </row>
    <row r="66" spans="2:6">
      <c r="B66" s="618">
        <v>41942</v>
      </c>
      <c r="C66" s="61">
        <v>41913</v>
      </c>
      <c r="D66" s="62" t="s">
        <v>6817</v>
      </c>
      <c r="E66" s="58" t="s">
        <v>171</v>
      </c>
      <c r="F66" s="58" t="s">
        <v>1167</v>
      </c>
    </row>
    <row r="67" spans="2:6" ht="27">
      <c r="B67" s="615">
        <v>41943</v>
      </c>
      <c r="C67" s="302">
        <v>41913</v>
      </c>
      <c r="D67" s="301" t="s">
        <v>3847</v>
      </c>
      <c r="E67" s="297" t="s">
        <v>198</v>
      </c>
      <c r="F67" s="297" t="s">
        <v>1491</v>
      </c>
    </row>
    <row r="68" spans="2:6" ht="27">
      <c r="B68" s="615">
        <v>41943</v>
      </c>
      <c r="C68" s="300">
        <v>41943</v>
      </c>
      <c r="D68" s="301" t="s">
        <v>4745</v>
      </c>
      <c r="E68" s="297" t="s">
        <v>198</v>
      </c>
      <c r="F68" s="297" t="s">
        <v>4744</v>
      </c>
    </row>
    <row r="69" spans="2:6" ht="27">
      <c r="B69" s="617">
        <v>41948</v>
      </c>
      <c r="C69" s="78">
        <v>41944</v>
      </c>
      <c r="D69" s="79" t="s">
        <v>3785</v>
      </c>
      <c r="E69" s="75" t="s">
        <v>208</v>
      </c>
      <c r="F69" s="75" t="s">
        <v>3786</v>
      </c>
    </row>
    <row r="70" spans="2:6">
      <c r="B70" s="618">
        <v>41949</v>
      </c>
      <c r="C70" s="63">
        <v>41944</v>
      </c>
      <c r="D70" s="62" t="s">
        <v>3693</v>
      </c>
      <c r="E70" s="58" t="s">
        <v>171</v>
      </c>
      <c r="F70" s="58" t="s">
        <v>1864</v>
      </c>
    </row>
    <row r="71" spans="2:6">
      <c r="B71" s="617">
        <v>41949</v>
      </c>
      <c r="C71" s="78">
        <v>41944</v>
      </c>
      <c r="D71" s="79" t="s">
        <v>6818</v>
      </c>
      <c r="E71" s="75" t="s">
        <v>198</v>
      </c>
      <c r="F71" s="75" t="s">
        <v>1864</v>
      </c>
    </row>
    <row r="72" spans="2:6" ht="27">
      <c r="B72" s="618">
        <v>41950</v>
      </c>
      <c r="C72" s="61">
        <v>41944</v>
      </c>
      <c r="D72" s="62" t="s">
        <v>6063</v>
      </c>
      <c r="E72" s="58" t="s">
        <v>198</v>
      </c>
      <c r="F72" s="58" t="s">
        <v>6064</v>
      </c>
    </row>
    <row r="73" spans="2:6">
      <c r="B73" s="617">
        <v>41954</v>
      </c>
      <c r="C73" s="78">
        <v>41944</v>
      </c>
      <c r="D73" s="79" t="s">
        <v>6819</v>
      </c>
      <c r="E73" s="75" t="s">
        <v>625</v>
      </c>
      <c r="F73" s="75" t="s">
        <v>2223</v>
      </c>
    </row>
    <row r="74" spans="2:6">
      <c r="B74" s="617">
        <v>41956</v>
      </c>
      <c r="C74" s="78">
        <v>41944</v>
      </c>
      <c r="D74" s="79" t="s">
        <v>6820</v>
      </c>
      <c r="E74" s="75" t="s">
        <v>625</v>
      </c>
      <c r="F74" s="75" t="s">
        <v>2223</v>
      </c>
    </row>
    <row r="75" spans="2:6">
      <c r="B75" s="615">
        <v>41961</v>
      </c>
      <c r="C75" s="300">
        <v>41944</v>
      </c>
      <c r="D75" s="301" t="s">
        <v>519</v>
      </c>
      <c r="E75" s="297" t="s">
        <v>5</v>
      </c>
      <c r="F75" s="297" t="s">
        <v>101</v>
      </c>
    </row>
    <row r="76" spans="2:6">
      <c r="B76" s="615">
        <v>41961</v>
      </c>
      <c r="C76" s="300">
        <v>41944</v>
      </c>
      <c r="D76" s="301" t="s">
        <v>527</v>
      </c>
      <c r="E76" s="297" t="s">
        <v>5</v>
      </c>
      <c r="F76" s="297" t="s">
        <v>101</v>
      </c>
    </row>
    <row r="77" spans="2:6">
      <c r="B77" s="618">
        <v>41961</v>
      </c>
      <c r="C77" s="61">
        <v>41944</v>
      </c>
      <c r="D77" s="62" t="s">
        <v>3694</v>
      </c>
      <c r="E77" s="58" t="s">
        <v>171</v>
      </c>
      <c r="F77" s="58" t="s">
        <v>1864</v>
      </c>
    </row>
    <row r="78" spans="2:6" ht="27">
      <c r="B78" s="615">
        <v>41962</v>
      </c>
      <c r="C78" s="300">
        <v>41944</v>
      </c>
      <c r="D78" s="301" t="s">
        <v>538</v>
      </c>
      <c r="E78" s="297" t="s">
        <v>195</v>
      </c>
      <c r="F78" s="297" t="s">
        <v>153</v>
      </c>
    </row>
    <row r="79" spans="2:6" ht="27">
      <c r="B79" s="615">
        <v>41975</v>
      </c>
      <c r="C79" s="300">
        <v>41974</v>
      </c>
      <c r="D79" s="301" t="s">
        <v>5615</v>
      </c>
      <c r="E79" s="297" t="s">
        <v>195</v>
      </c>
      <c r="F79" s="297" t="s">
        <v>551</v>
      </c>
    </row>
    <row r="80" spans="2:6" ht="40.5">
      <c r="B80" s="614">
        <v>41975</v>
      </c>
      <c r="C80" s="38">
        <v>41974</v>
      </c>
      <c r="D80" s="39" t="s">
        <v>147</v>
      </c>
      <c r="E80" s="34" t="s">
        <v>5</v>
      </c>
      <c r="F80" s="34" t="s">
        <v>148</v>
      </c>
    </row>
    <row r="81" spans="2:6">
      <c r="B81" s="620">
        <v>41975</v>
      </c>
      <c r="C81" s="21">
        <v>41975</v>
      </c>
      <c r="D81" s="22" t="s">
        <v>102</v>
      </c>
      <c r="E81" s="20" t="s">
        <v>6821</v>
      </c>
      <c r="F81" s="20" t="s">
        <v>104</v>
      </c>
    </row>
    <row r="82" spans="2:6">
      <c r="B82" s="615">
        <v>41982</v>
      </c>
      <c r="C82" s="300">
        <v>41974</v>
      </c>
      <c r="D82" s="301" t="s">
        <v>520</v>
      </c>
      <c r="E82" s="297"/>
      <c r="F82" s="297"/>
    </row>
    <row r="83" spans="2:6">
      <c r="B83" s="618">
        <v>41984</v>
      </c>
      <c r="C83" s="61">
        <v>41974</v>
      </c>
      <c r="D83" s="62" t="s">
        <v>4291</v>
      </c>
      <c r="E83" s="58" t="s">
        <v>195</v>
      </c>
      <c r="F83" s="58" t="s">
        <v>4292</v>
      </c>
    </row>
    <row r="84" spans="2:6">
      <c r="B84" s="615">
        <v>41985</v>
      </c>
      <c r="C84" s="300">
        <v>41974</v>
      </c>
      <c r="D84" s="308" t="s">
        <v>546</v>
      </c>
      <c r="E84" s="303" t="s">
        <v>63</v>
      </c>
      <c r="F84" s="303" t="s">
        <v>101</v>
      </c>
    </row>
    <row r="85" spans="2:6">
      <c r="B85" s="617">
        <v>41987</v>
      </c>
      <c r="C85" s="78">
        <v>41974</v>
      </c>
      <c r="D85" s="79" t="s">
        <v>3767</v>
      </c>
      <c r="E85" s="75" t="s">
        <v>1493</v>
      </c>
      <c r="F85" s="75" t="s">
        <v>1167</v>
      </c>
    </row>
    <row r="86" spans="2:6" ht="27">
      <c r="B86" s="615">
        <v>41989</v>
      </c>
      <c r="C86" s="300">
        <v>41989</v>
      </c>
      <c r="D86" s="301" t="s">
        <v>780</v>
      </c>
      <c r="E86" s="297" t="s">
        <v>171</v>
      </c>
      <c r="F86" s="297" t="s">
        <v>781</v>
      </c>
    </row>
    <row r="87" spans="2:6" ht="27">
      <c r="B87" s="616">
        <v>41990</v>
      </c>
      <c r="C87" s="21">
        <v>41990</v>
      </c>
      <c r="D87" s="22" t="s">
        <v>5087</v>
      </c>
      <c r="E87" s="17" t="s">
        <v>195</v>
      </c>
      <c r="F87" s="17" t="s">
        <v>336</v>
      </c>
    </row>
    <row r="88" spans="2:6" ht="27">
      <c r="B88" s="618">
        <v>41990</v>
      </c>
      <c r="C88" s="61">
        <v>41974</v>
      </c>
      <c r="D88" s="62" t="s">
        <v>4032</v>
      </c>
      <c r="E88" s="58" t="s">
        <v>4033</v>
      </c>
      <c r="F88" s="58" t="s">
        <v>4034</v>
      </c>
    </row>
    <row r="89" spans="2:6" ht="27">
      <c r="B89" s="614">
        <v>41991</v>
      </c>
      <c r="C89" s="38">
        <v>41974</v>
      </c>
      <c r="D89" s="39" t="s">
        <v>565</v>
      </c>
      <c r="E89" s="34" t="s">
        <v>566</v>
      </c>
      <c r="F89" s="34" t="s">
        <v>567</v>
      </c>
    </row>
    <row r="90" spans="2:6">
      <c r="B90" s="615">
        <v>41991</v>
      </c>
      <c r="C90" s="300">
        <v>41974</v>
      </c>
      <c r="D90" s="301" t="s">
        <v>565</v>
      </c>
      <c r="E90" s="297" t="s">
        <v>566</v>
      </c>
      <c r="F90" s="297"/>
    </row>
    <row r="91" spans="2:6" ht="27">
      <c r="B91" s="615">
        <v>41991</v>
      </c>
      <c r="C91" s="300">
        <v>41974</v>
      </c>
      <c r="D91" s="301" t="s">
        <v>565</v>
      </c>
      <c r="E91" s="297" t="s">
        <v>566</v>
      </c>
      <c r="F91" s="297" t="s">
        <v>592</v>
      </c>
    </row>
    <row r="92" spans="2:6" ht="40.5">
      <c r="B92" s="615">
        <v>41991</v>
      </c>
      <c r="C92" s="300">
        <v>41974</v>
      </c>
      <c r="D92" s="301" t="s">
        <v>565</v>
      </c>
      <c r="E92" s="297" t="s">
        <v>566</v>
      </c>
      <c r="F92" s="297" t="s">
        <v>6822</v>
      </c>
    </row>
    <row r="93" spans="2:6">
      <c r="B93" s="615">
        <v>41991</v>
      </c>
      <c r="C93" s="300">
        <v>41974</v>
      </c>
      <c r="D93" s="301" t="s">
        <v>565</v>
      </c>
      <c r="E93" s="297" t="s">
        <v>566</v>
      </c>
      <c r="F93" s="297"/>
    </row>
    <row r="94" spans="2:6">
      <c r="B94" s="615">
        <v>41991</v>
      </c>
      <c r="C94" s="300">
        <v>41974</v>
      </c>
      <c r="D94" s="301" t="s">
        <v>78</v>
      </c>
      <c r="E94" s="297" t="s">
        <v>5</v>
      </c>
      <c r="F94" s="297" t="s">
        <v>101</v>
      </c>
    </row>
    <row r="95" spans="2:6">
      <c r="B95" s="615">
        <v>41991</v>
      </c>
      <c r="C95" s="300">
        <v>41974</v>
      </c>
      <c r="D95" s="301" t="s">
        <v>565</v>
      </c>
      <c r="E95" s="297" t="s">
        <v>566</v>
      </c>
      <c r="F95" s="297"/>
    </row>
    <row r="96" spans="2:6">
      <c r="B96" s="616">
        <v>41991</v>
      </c>
      <c r="C96" s="21">
        <v>41974</v>
      </c>
      <c r="D96" s="22" t="s">
        <v>565</v>
      </c>
      <c r="E96" s="17" t="s">
        <v>566</v>
      </c>
      <c r="F96" s="17"/>
    </row>
    <row r="97" spans="2:6">
      <c r="B97" s="615">
        <v>41991</v>
      </c>
      <c r="C97" s="300">
        <v>41974</v>
      </c>
      <c r="D97" s="301" t="s">
        <v>565</v>
      </c>
      <c r="E97" s="297" t="s">
        <v>566</v>
      </c>
      <c r="F97" s="297"/>
    </row>
    <row r="98" spans="2:6">
      <c r="B98" s="615">
        <v>41991</v>
      </c>
      <c r="C98" s="300">
        <v>41974</v>
      </c>
      <c r="D98" s="301" t="s">
        <v>565</v>
      </c>
      <c r="E98" s="297" t="s">
        <v>566</v>
      </c>
      <c r="F98" s="297"/>
    </row>
    <row r="99" spans="2:6">
      <c r="B99" s="615">
        <v>41991</v>
      </c>
      <c r="C99" s="300">
        <v>41974</v>
      </c>
      <c r="D99" s="301" t="s">
        <v>565</v>
      </c>
      <c r="E99" s="297" t="s">
        <v>566</v>
      </c>
      <c r="F99" s="297"/>
    </row>
    <row r="100" spans="2:6" ht="27">
      <c r="B100" s="615">
        <v>41991</v>
      </c>
      <c r="C100" s="300">
        <v>41974</v>
      </c>
      <c r="D100" s="301" t="s">
        <v>565</v>
      </c>
      <c r="E100" s="297" t="s">
        <v>566</v>
      </c>
      <c r="F100" s="297" t="s">
        <v>336</v>
      </c>
    </row>
    <row r="101" spans="2:6">
      <c r="B101" s="615">
        <v>41991</v>
      </c>
      <c r="C101" s="300">
        <v>41974</v>
      </c>
      <c r="D101" s="301" t="s">
        <v>565</v>
      </c>
      <c r="E101" s="297" t="s">
        <v>566</v>
      </c>
      <c r="F101" s="297"/>
    </row>
    <row r="102" spans="2:6">
      <c r="B102" s="615">
        <v>41991</v>
      </c>
      <c r="C102" s="300">
        <v>41974</v>
      </c>
      <c r="D102" s="301" t="s">
        <v>565</v>
      </c>
      <c r="E102" s="297" t="s">
        <v>566</v>
      </c>
      <c r="F102" s="297"/>
    </row>
    <row r="103" spans="2:6">
      <c r="B103" s="615">
        <v>41991</v>
      </c>
      <c r="C103" s="300">
        <v>41974</v>
      </c>
      <c r="D103" s="301" t="s">
        <v>565</v>
      </c>
      <c r="E103" s="297" t="s">
        <v>566</v>
      </c>
      <c r="F103" s="297"/>
    </row>
    <row r="104" spans="2:6">
      <c r="B104" s="615">
        <v>41992</v>
      </c>
      <c r="C104" s="300">
        <v>41974</v>
      </c>
      <c r="D104" s="301" t="s">
        <v>748</v>
      </c>
      <c r="E104" s="297" t="s">
        <v>5</v>
      </c>
      <c r="F104" s="297" t="s">
        <v>101</v>
      </c>
    </row>
    <row r="105" spans="2:6" ht="27">
      <c r="B105" s="620">
        <v>41992</v>
      </c>
      <c r="C105" s="21">
        <v>41992</v>
      </c>
      <c r="D105" s="22" t="s">
        <v>105</v>
      </c>
      <c r="E105" s="20" t="s">
        <v>5</v>
      </c>
      <c r="F105" s="20" t="s">
        <v>85</v>
      </c>
    </row>
    <row r="106" spans="2:6">
      <c r="B106" s="615">
        <v>41995</v>
      </c>
      <c r="C106" s="300">
        <v>41974</v>
      </c>
      <c r="D106" s="301" t="s">
        <v>759</v>
      </c>
      <c r="E106" s="297" t="s">
        <v>5</v>
      </c>
      <c r="F106" s="297" t="s">
        <v>101</v>
      </c>
    </row>
    <row r="107" spans="2:6">
      <c r="B107" s="617">
        <v>41995</v>
      </c>
      <c r="C107" s="78">
        <v>41974</v>
      </c>
      <c r="D107" s="79" t="s">
        <v>6823</v>
      </c>
      <c r="E107" s="75" t="s">
        <v>171</v>
      </c>
      <c r="F107" s="75" t="s">
        <v>1864</v>
      </c>
    </row>
    <row r="108" spans="2:6" ht="27">
      <c r="B108" s="615">
        <v>41996</v>
      </c>
      <c r="C108" s="300">
        <v>41974</v>
      </c>
      <c r="D108" s="301" t="s">
        <v>1490</v>
      </c>
      <c r="E108" s="297" t="s">
        <v>198</v>
      </c>
      <c r="F108" s="297" t="s">
        <v>1491</v>
      </c>
    </row>
    <row r="109" spans="2:6">
      <c r="B109" s="615">
        <v>42006</v>
      </c>
      <c r="C109" s="300">
        <v>42005</v>
      </c>
      <c r="D109" s="301" t="s">
        <v>3848</v>
      </c>
      <c r="E109" s="297" t="s">
        <v>195</v>
      </c>
      <c r="F109" s="297" t="s">
        <v>3849</v>
      </c>
    </row>
    <row r="110" spans="2:6">
      <c r="B110" s="615">
        <v>42011</v>
      </c>
      <c r="C110" s="300">
        <v>42005</v>
      </c>
      <c r="D110" s="301" t="s">
        <v>773</v>
      </c>
      <c r="E110" s="297" t="s">
        <v>5</v>
      </c>
      <c r="F110" s="297" t="s">
        <v>101</v>
      </c>
    </row>
    <row r="111" spans="2:6">
      <c r="B111" s="615">
        <v>42012</v>
      </c>
      <c r="C111" s="300">
        <v>42005</v>
      </c>
      <c r="D111" s="301" t="s">
        <v>6824</v>
      </c>
      <c r="E111" s="297" t="s">
        <v>5</v>
      </c>
      <c r="F111" s="297" t="s">
        <v>101</v>
      </c>
    </row>
    <row r="112" spans="2:6">
      <c r="B112" s="615">
        <v>42012</v>
      </c>
      <c r="C112" s="300">
        <v>42005</v>
      </c>
      <c r="D112" s="301" t="s">
        <v>1292</v>
      </c>
      <c r="E112" s="297" t="s">
        <v>5</v>
      </c>
      <c r="F112" s="297" t="s">
        <v>101</v>
      </c>
    </row>
    <row r="113" spans="2:6">
      <c r="B113" s="618">
        <v>42020</v>
      </c>
      <c r="C113" s="61">
        <v>42005</v>
      </c>
      <c r="D113" s="62" t="s">
        <v>3837</v>
      </c>
      <c r="E113" s="58" t="s">
        <v>171</v>
      </c>
      <c r="F113" s="58" t="s">
        <v>1864</v>
      </c>
    </row>
    <row r="114" spans="2:6">
      <c r="B114" s="615">
        <v>42024</v>
      </c>
      <c r="C114" s="300">
        <v>42005</v>
      </c>
      <c r="D114" s="301" t="s">
        <v>812</v>
      </c>
      <c r="E114" s="297" t="s">
        <v>5</v>
      </c>
      <c r="F114" s="297" t="s">
        <v>101</v>
      </c>
    </row>
    <row r="115" spans="2:6">
      <c r="B115" s="618">
        <v>42030</v>
      </c>
      <c r="C115" s="61">
        <v>42005</v>
      </c>
      <c r="D115" s="62" t="s">
        <v>6825</v>
      </c>
      <c r="E115" s="58" t="s">
        <v>195</v>
      </c>
      <c r="F115" s="58" t="s">
        <v>6826</v>
      </c>
    </row>
    <row r="116" spans="2:6">
      <c r="B116" s="615">
        <v>42034</v>
      </c>
      <c r="C116" s="300">
        <v>42005</v>
      </c>
      <c r="D116" s="301" t="s">
        <v>825</v>
      </c>
      <c r="E116" s="297" t="s">
        <v>5</v>
      </c>
      <c r="F116" s="297" t="s">
        <v>101</v>
      </c>
    </row>
    <row r="117" spans="2:6">
      <c r="B117" s="615">
        <v>42037</v>
      </c>
      <c r="C117" s="300">
        <v>42036</v>
      </c>
      <c r="D117" s="301" t="s">
        <v>184</v>
      </c>
      <c r="E117" s="297" t="s">
        <v>5</v>
      </c>
      <c r="F117" s="297" t="s">
        <v>101</v>
      </c>
    </row>
    <row r="118" spans="2:6">
      <c r="B118" s="615">
        <v>42038</v>
      </c>
      <c r="C118" s="300">
        <v>42036</v>
      </c>
      <c r="D118" s="301" t="s">
        <v>6827</v>
      </c>
      <c r="E118" s="297" t="s">
        <v>5</v>
      </c>
      <c r="F118" s="297" t="s">
        <v>101</v>
      </c>
    </row>
    <row r="119" spans="2:6">
      <c r="B119" s="615">
        <v>42039</v>
      </c>
      <c r="C119" s="300">
        <v>42036</v>
      </c>
      <c r="D119" s="301" t="s">
        <v>843</v>
      </c>
      <c r="E119" s="297" t="s">
        <v>5</v>
      </c>
      <c r="F119" s="297" t="s">
        <v>101</v>
      </c>
    </row>
    <row r="120" spans="2:6">
      <c r="B120" s="615">
        <v>42044</v>
      </c>
      <c r="C120" s="300">
        <v>42036</v>
      </c>
      <c r="D120" s="301" t="s">
        <v>863</v>
      </c>
      <c r="E120" s="297" t="s">
        <v>5</v>
      </c>
      <c r="F120" s="297" t="s">
        <v>101</v>
      </c>
    </row>
    <row r="121" spans="2:6">
      <c r="B121" s="614">
        <v>42044</v>
      </c>
      <c r="C121" s="38">
        <v>42036</v>
      </c>
      <c r="D121" s="39" t="s">
        <v>6828</v>
      </c>
      <c r="E121" s="34" t="s">
        <v>5</v>
      </c>
      <c r="F121" s="34" t="s">
        <v>101</v>
      </c>
    </row>
    <row r="122" spans="2:6">
      <c r="B122" s="615">
        <v>42044</v>
      </c>
      <c r="C122" s="300">
        <v>42036</v>
      </c>
      <c r="D122" s="301" t="s">
        <v>6829</v>
      </c>
      <c r="E122" s="297" t="s">
        <v>5</v>
      </c>
      <c r="F122" s="297" t="s">
        <v>101</v>
      </c>
    </row>
    <row r="123" spans="2:6" ht="27">
      <c r="B123" s="615">
        <v>42045</v>
      </c>
      <c r="C123" s="300">
        <v>42036</v>
      </c>
      <c r="D123" s="301" t="s">
        <v>271</v>
      </c>
      <c r="E123" s="297" t="s">
        <v>171</v>
      </c>
      <c r="F123" s="297" t="s">
        <v>183</v>
      </c>
    </row>
    <row r="124" spans="2:6" ht="27">
      <c r="B124" s="615">
        <v>42045</v>
      </c>
      <c r="C124" s="300">
        <v>42036</v>
      </c>
      <c r="D124" s="301" t="s">
        <v>271</v>
      </c>
      <c r="E124" s="297" t="s">
        <v>171</v>
      </c>
      <c r="F124" s="297" t="s">
        <v>183</v>
      </c>
    </row>
    <row r="125" spans="2:6" ht="27">
      <c r="B125" s="615">
        <v>42045</v>
      </c>
      <c r="C125" s="300">
        <v>42036</v>
      </c>
      <c r="D125" s="301" t="s">
        <v>271</v>
      </c>
      <c r="E125" s="297" t="s">
        <v>171</v>
      </c>
      <c r="F125" s="297" t="s">
        <v>183</v>
      </c>
    </row>
    <row r="126" spans="2:6">
      <c r="B126" s="615">
        <v>42045</v>
      </c>
      <c r="C126" s="300">
        <v>42036</v>
      </c>
      <c r="D126" s="301" t="s">
        <v>916</v>
      </c>
      <c r="E126" s="297" t="s">
        <v>5</v>
      </c>
      <c r="F126" s="297" t="s">
        <v>101</v>
      </c>
    </row>
    <row r="127" spans="2:6">
      <c r="B127" s="615">
        <v>42045</v>
      </c>
      <c r="C127" s="300">
        <v>42036</v>
      </c>
      <c r="D127" s="301" t="s">
        <v>925</v>
      </c>
      <c r="E127" s="297" t="s">
        <v>5</v>
      </c>
      <c r="F127" s="297" t="s">
        <v>101</v>
      </c>
    </row>
    <row r="128" spans="2:6">
      <c r="B128" s="615">
        <v>42045</v>
      </c>
      <c r="C128" s="300">
        <v>42036</v>
      </c>
      <c r="D128" s="301" t="s">
        <v>935</v>
      </c>
      <c r="E128" s="297" t="s">
        <v>5</v>
      </c>
      <c r="F128" s="297" t="s">
        <v>101</v>
      </c>
    </row>
    <row r="129" spans="2:6">
      <c r="B129" s="615">
        <v>42045</v>
      </c>
      <c r="C129" s="300">
        <v>42036</v>
      </c>
      <c r="D129" s="301" t="s">
        <v>657</v>
      </c>
      <c r="E129" s="297"/>
      <c r="F129" s="297"/>
    </row>
    <row r="130" spans="2:6">
      <c r="B130" s="615">
        <v>42045</v>
      </c>
      <c r="C130" s="302">
        <v>42036</v>
      </c>
      <c r="D130" s="301" t="s">
        <v>260</v>
      </c>
      <c r="E130" s="297" t="s">
        <v>63</v>
      </c>
      <c r="F130" s="297" t="s">
        <v>101</v>
      </c>
    </row>
    <row r="131" spans="2:6" ht="27">
      <c r="B131" s="615">
        <v>42047</v>
      </c>
      <c r="C131" s="300">
        <v>42036</v>
      </c>
      <c r="D131" s="301" t="s">
        <v>1187</v>
      </c>
      <c r="E131" s="297" t="s">
        <v>5</v>
      </c>
      <c r="F131" s="297" t="s">
        <v>85</v>
      </c>
    </row>
    <row r="132" spans="2:6" ht="27">
      <c r="B132" s="618">
        <v>42047</v>
      </c>
      <c r="C132" s="61">
        <v>42036</v>
      </c>
      <c r="D132" s="62" t="s">
        <v>6830</v>
      </c>
      <c r="E132" s="58" t="s">
        <v>1997</v>
      </c>
      <c r="F132" s="58" t="s">
        <v>6831</v>
      </c>
    </row>
    <row r="133" spans="2:6">
      <c r="B133" s="615">
        <v>42051</v>
      </c>
      <c r="C133" s="300">
        <v>42036</v>
      </c>
      <c r="D133" s="301" t="s">
        <v>943</v>
      </c>
      <c r="E133" s="297" t="s">
        <v>5</v>
      </c>
      <c r="F133" s="297" t="s">
        <v>101</v>
      </c>
    </row>
    <row r="134" spans="2:6">
      <c r="B134" s="618">
        <v>42052</v>
      </c>
      <c r="C134" s="61">
        <v>42036</v>
      </c>
      <c r="D134" s="62" t="s">
        <v>951</v>
      </c>
      <c r="E134" s="58" t="s">
        <v>5</v>
      </c>
      <c r="F134" s="58" t="s">
        <v>101</v>
      </c>
    </row>
    <row r="135" spans="2:6">
      <c r="B135" s="618">
        <v>42053</v>
      </c>
      <c r="C135" s="61">
        <v>42036</v>
      </c>
      <c r="D135" s="62" t="s">
        <v>6832</v>
      </c>
      <c r="E135" s="58" t="s">
        <v>195</v>
      </c>
      <c r="F135" s="58" t="s">
        <v>386</v>
      </c>
    </row>
    <row r="136" spans="2:6">
      <c r="B136" s="615">
        <v>42054</v>
      </c>
      <c r="C136" s="300">
        <v>42036</v>
      </c>
      <c r="D136" s="301" t="s">
        <v>961</v>
      </c>
      <c r="E136" s="297" t="s">
        <v>5</v>
      </c>
      <c r="F136" s="297" t="s">
        <v>101</v>
      </c>
    </row>
    <row r="137" spans="2:6" ht="27">
      <c r="B137" s="618">
        <v>42054</v>
      </c>
      <c r="C137" s="61">
        <v>42036</v>
      </c>
      <c r="D137" s="62" t="s">
        <v>4073</v>
      </c>
      <c r="E137" s="58" t="s">
        <v>195</v>
      </c>
      <c r="F137" s="58" t="s">
        <v>4074</v>
      </c>
    </row>
    <row r="138" spans="2:6" ht="27">
      <c r="B138" s="618">
        <v>42054</v>
      </c>
      <c r="C138" s="61">
        <v>42036</v>
      </c>
      <c r="D138" s="62" t="s">
        <v>4221</v>
      </c>
      <c r="E138" s="58" t="s">
        <v>195</v>
      </c>
      <c r="F138" s="58" t="s">
        <v>4074</v>
      </c>
    </row>
    <row r="139" spans="2:6">
      <c r="B139" s="615">
        <v>42055</v>
      </c>
      <c r="C139" s="300">
        <v>42036</v>
      </c>
      <c r="D139" s="301" t="s">
        <v>978</v>
      </c>
      <c r="E139" s="297" t="s">
        <v>5</v>
      </c>
      <c r="F139" s="297" t="s">
        <v>101</v>
      </c>
    </row>
    <row r="140" spans="2:6">
      <c r="B140" s="615">
        <v>42060</v>
      </c>
      <c r="C140" s="300">
        <v>42036</v>
      </c>
      <c r="D140" s="301" t="s">
        <v>995</v>
      </c>
      <c r="E140" s="297" t="s">
        <v>195</v>
      </c>
      <c r="F140" s="297" t="s">
        <v>183</v>
      </c>
    </row>
    <row r="141" spans="2:6" ht="27">
      <c r="B141" s="618">
        <v>42060</v>
      </c>
      <c r="C141" s="61">
        <v>42036</v>
      </c>
      <c r="D141" s="62" t="s">
        <v>5441</v>
      </c>
      <c r="E141" s="58" t="s">
        <v>195</v>
      </c>
      <c r="F141" s="58" t="s">
        <v>4074</v>
      </c>
    </row>
    <row r="142" spans="2:6" ht="27">
      <c r="B142" s="618">
        <v>42060</v>
      </c>
      <c r="C142" s="61">
        <v>42036</v>
      </c>
      <c r="D142" s="62" t="s">
        <v>4293</v>
      </c>
      <c r="E142" s="58" t="s">
        <v>195</v>
      </c>
      <c r="F142" s="58" t="s">
        <v>4074</v>
      </c>
    </row>
    <row r="143" spans="2:6" ht="27">
      <c r="B143" s="618">
        <v>42060</v>
      </c>
      <c r="C143" s="61">
        <v>42036</v>
      </c>
      <c r="D143" s="62" t="s">
        <v>6833</v>
      </c>
      <c r="E143" s="58" t="s">
        <v>195</v>
      </c>
      <c r="F143" s="58" t="s">
        <v>6834</v>
      </c>
    </row>
    <row r="144" spans="2:6">
      <c r="B144" s="616">
        <v>42060</v>
      </c>
      <c r="C144" s="21">
        <v>42036</v>
      </c>
      <c r="D144" s="22" t="s">
        <v>6835</v>
      </c>
      <c r="E144" s="17" t="s">
        <v>195</v>
      </c>
      <c r="F144" s="17" t="s">
        <v>1864</v>
      </c>
    </row>
    <row r="145" spans="2:6">
      <c r="B145" s="615">
        <v>42065</v>
      </c>
      <c r="C145" s="300">
        <v>42064</v>
      </c>
      <c r="D145" s="301" t="s">
        <v>668</v>
      </c>
      <c r="E145" s="297" t="s">
        <v>5</v>
      </c>
      <c r="F145" s="297" t="s">
        <v>101</v>
      </c>
    </row>
    <row r="146" spans="2:6" ht="27">
      <c r="B146" s="618">
        <v>42066</v>
      </c>
      <c r="C146" s="61">
        <v>42064</v>
      </c>
      <c r="D146" s="62" t="s">
        <v>4441</v>
      </c>
      <c r="E146" s="58" t="s">
        <v>576</v>
      </c>
      <c r="F146" s="58" t="s">
        <v>1854</v>
      </c>
    </row>
    <row r="147" spans="2:6">
      <c r="B147" s="618">
        <v>42067</v>
      </c>
      <c r="C147" s="61">
        <v>42064</v>
      </c>
      <c r="D147" s="62" t="s">
        <v>3470</v>
      </c>
      <c r="E147" s="58" t="s">
        <v>171</v>
      </c>
      <c r="F147" s="58" t="s">
        <v>3471</v>
      </c>
    </row>
    <row r="148" spans="2:6" ht="27">
      <c r="B148" s="620">
        <v>42067</v>
      </c>
      <c r="C148" s="21">
        <v>42067</v>
      </c>
      <c r="D148" s="22" t="s">
        <v>106</v>
      </c>
      <c r="E148" s="20" t="s">
        <v>286</v>
      </c>
      <c r="F148" s="20" t="s">
        <v>107</v>
      </c>
    </row>
    <row r="149" spans="2:6">
      <c r="B149" s="615">
        <v>42068</v>
      </c>
      <c r="C149" s="300">
        <v>42064</v>
      </c>
      <c r="D149" s="301" t="s">
        <v>1010</v>
      </c>
      <c r="E149" s="297" t="s">
        <v>5</v>
      </c>
      <c r="F149" s="297" t="s">
        <v>101</v>
      </c>
    </row>
    <row r="150" spans="2:6" ht="27">
      <c r="B150" s="615">
        <v>42068</v>
      </c>
      <c r="C150" s="300">
        <v>42064</v>
      </c>
      <c r="D150" s="301" t="s">
        <v>1020</v>
      </c>
      <c r="E150" s="297" t="s">
        <v>286</v>
      </c>
      <c r="F150" s="297" t="s">
        <v>101</v>
      </c>
    </row>
    <row r="151" spans="2:6" ht="27">
      <c r="B151" s="615">
        <v>42068</v>
      </c>
      <c r="C151" s="300">
        <v>42064</v>
      </c>
      <c r="D151" s="301" t="s">
        <v>1028</v>
      </c>
      <c r="E151" s="297" t="s">
        <v>5</v>
      </c>
      <c r="F151" s="297" t="s">
        <v>101</v>
      </c>
    </row>
    <row r="152" spans="2:6" ht="27">
      <c r="B152" s="615">
        <v>42068</v>
      </c>
      <c r="C152" s="300">
        <v>42064</v>
      </c>
      <c r="D152" s="301" t="s">
        <v>1037</v>
      </c>
      <c r="E152" s="297" t="s">
        <v>5</v>
      </c>
      <c r="F152" s="297" t="s">
        <v>101</v>
      </c>
    </row>
    <row r="153" spans="2:6">
      <c r="B153" s="615">
        <v>42068</v>
      </c>
      <c r="C153" s="300">
        <v>42064</v>
      </c>
      <c r="D153" s="301" t="s">
        <v>900</v>
      </c>
      <c r="E153" s="297" t="s">
        <v>5</v>
      </c>
      <c r="F153" s="297" t="s">
        <v>101</v>
      </c>
    </row>
    <row r="154" spans="2:6">
      <c r="B154" s="615">
        <v>42072</v>
      </c>
      <c r="C154" s="300">
        <v>42064</v>
      </c>
      <c r="D154" s="301" t="s">
        <v>1045</v>
      </c>
      <c r="E154" s="297" t="s">
        <v>5</v>
      </c>
      <c r="F154" s="297" t="s">
        <v>101</v>
      </c>
    </row>
    <row r="155" spans="2:6" ht="40.5">
      <c r="B155" s="619">
        <v>42072</v>
      </c>
      <c r="C155" s="146">
        <v>42072</v>
      </c>
      <c r="D155" s="145" t="s">
        <v>6535</v>
      </c>
      <c r="E155" s="25" t="s">
        <v>6536</v>
      </c>
      <c r="F155" s="17" t="s">
        <v>2395</v>
      </c>
    </row>
    <row r="156" spans="2:6">
      <c r="B156" s="617">
        <v>42072</v>
      </c>
      <c r="C156" s="78">
        <v>42064</v>
      </c>
      <c r="D156" s="79" t="s">
        <v>6836</v>
      </c>
      <c r="E156" s="75" t="s">
        <v>625</v>
      </c>
      <c r="F156" s="75" t="s">
        <v>4238</v>
      </c>
    </row>
    <row r="157" spans="2:6" ht="27">
      <c r="B157" s="615">
        <v>42073</v>
      </c>
      <c r="C157" s="300">
        <v>42064</v>
      </c>
      <c r="D157" s="301" t="s">
        <v>1068</v>
      </c>
      <c r="E157" s="297"/>
      <c r="F157" s="297"/>
    </row>
    <row r="158" spans="2:6">
      <c r="B158" s="615">
        <v>42073</v>
      </c>
      <c r="C158" s="300">
        <v>42064</v>
      </c>
      <c r="D158" s="301" t="s">
        <v>1080</v>
      </c>
      <c r="E158" s="297" t="s">
        <v>5</v>
      </c>
      <c r="F158" s="297" t="s">
        <v>101</v>
      </c>
    </row>
    <row r="159" spans="2:6">
      <c r="B159" s="615">
        <v>42073</v>
      </c>
      <c r="C159" s="300">
        <v>42064</v>
      </c>
      <c r="D159" s="301" t="s">
        <v>417</v>
      </c>
      <c r="E159" s="297" t="s">
        <v>5</v>
      </c>
      <c r="F159" s="297" t="s">
        <v>418</v>
      </c>
    </row>
    <row r="160" spans="2:6">
      <c r="B160" s="615">
        <v>42073</v>
      </c>
      <c r="C160" s="302">
        <v>42064</v>
      </c>
      <c r="D160" s="301" t="s">
        <v>419</v>
      </c>
      <c r="E160" s="297" t="s">
        <v>420</v>
      </c>
      <c r="F160" s="297" t="s">
        <v>421</v>
      </c>
    </row>
    <row r="161" spans="2:6">
      <c r="B161" s="618">
        <v>42079</v>
      </c>
      <c r="C161" s="61">
        <v>42064</v>
      </c>
      <c r="D161" s="62" t="s">
        <v>3472</v>
      </c>
      <c r="E161" s="58" t="s">
        <v>195</v>
      </c>
      <c r="F161" s="58" t="s">
        <v>1864</v>
      </c>
    </row>
    <row r="162" spans="2:6">
      <c r="B162" s="614">
        <v>42082</v>
      </c>
      <c r="C162" s="38">
        <v>42064</v>
      </c>
      <c r="D162" s="39" t="s">
        <v>1101</v>
      </c>
      <c r="E162" s="34" t="s">
        <v>171</v>
      </c>
      <c r="F162" s="34" t="s">
        <v>183</v>
      </c>
    </row>
    <row r="163" spans="2:6" ht="40.5">
      <c r="B163" s="618">
        <v>42082</v>
      </c>
      <c r="C163" s="61">
        <v>42064</v>
      </c>
      <c r="D163" s="62" t="s">
        <v>5605</v>
      </c>
      <c r="E163" s="58" t="s">
        <v>2395</v>
      </c>
      <c r="F163" s="58" t="s">
        <v>5606</v>
      </c>
    </row>
    <row r="164" spans="2:6" ht="27">
      <c r="B164" s="617">
        <v>42083</v>
      </c>
      <c r="C164" s="78">
        <v>42064</v>
      </c>
      <c r="D164" s="79" t="s">
        <v>6837</v>
      </c>
      <c r="E164" s="75" t="s">
        <v>171</v>
      </c>
      <c r="F164" s="75" t="s">
        <v>336</v>
      </c>
    </row>
    <row r="165" spans="2:6">
      <c r="B165" s="615">
        <v>42087</v>
      </c>
      <c r="C165" s="300">
        <v>42064</v>
      </c>
      <c r="D165" s="301" t="s">
        <v>1107</v>
      </c>
      <c r="E165" s="297"/>
      <c r="F165" s="297"/>
    </row>
    <row r="166" spans="2:6">
      <c r="B166" s="617">
        <v>42087</v>
      </c>
      <c r="C166" s="78">
        <v>42064</v>
      </c>
      <c r="D166" s="79" t="s">
        <v>668</v>
      </c>
      <c r="E166" s="75" t="s">
        <v>5</v>
      </c>
      <c r="F166" s="75" t="s">
        <v>101</v>
      </c>
    </row>
    <row r="167" spans="2:6">
      <c r="B167" s="615">
        <v>42087</v>
      </c>
      <c r="C167" s="300">
        <v>42064</v>
      </c>
      <c r="D167" s="301" t="s">
        <v>668</v>
      </c>
      <c r="E167" s="297" t="s">
        <v>63</v>
      </c>
      <c r="F167" s="297" t="s">
        <v>101</v>
      </c>
    </row>
    <row r="168" spans="2:6">
      <c r="B168" s="615">
        <v>42088</v>
      </c>
      <c r="C168" s="300">
        <v>42064</v>
      </c>
      <c r="D168" s="301" t="s">
        <v>668</v>
      </c>
      <c r="E168" s="297" t="s">
        <v>63</v>
      </c>
      <c r="F168" s="297" t="s">
        <v>101</v>
      </c>
    </row>
    <row r="169" spans="2:6">
      <c r="B169" s="615">
        <v>42089</v>
      </c>
      <c r="C169" s="300">
        <v>42064</v>
      </c>
      <c r="D169" s="301" t="s">
        <v>749</v>
      </c>
      <c r="E169" s="297"/>
      <c r="F169" s="297"/>
    </row>
    <row r="170" spans="2:6">
      <c r="B170" s="617">
        <v>42089</v>
      </c>
      <c r="C170" s="78">
        <v>42064</v>
      </c>
      <c r="D170" s="79" t="s">
        <v>3511</v>
      </c>
      <c r="E170" s="75" t="s">
        <v>195</v>
      </c>
      <c r="F170" s="75" t="s">
        <v>3512</v>
      </c>
    </row>
    <row r="171" spans="2:6">
      <c r="B171" s="615">
        <v>42094</v>
      </c>
      <c r="C171" s="300">
        <v>42064</v>
      </c>
      <c r="D171" s="301" t="s">
        <v>1154</v>
      </c>
      <c r="E171" s="297" t="s">
        <v>5</v>
      </c>
      <c r="F171" s="297" t="s">
        <v>101</v>
      </c>
    </row>
    <row r="172" spans="2:6" ht="27">
      <c r="B172" s="615">
        <v>42104</v>
      </c>
      <c r="C172" s="300">
        <v>42095</v>
      </c>
      <c r="D172" s="301" t="s">
        <v>678</v>
      </c>
      <c r="E172" s="297" t="s">
        <v>679</v>
      </c>
      <c r="F172" s="297" t="s">
        <v>680</v>
      </c>
    </row>
    <row r="173" spans="2:6" ht="40.5">
      <c r="B173" s="615">
        <v>42104</v>
      </c>
      <c r="C173" s="300">
        <v>42095</v>
      </c>
      <c r="D173" s="301" t="s">
        <v>4002</v>
      </c>
      <c r="E173" s="297" t="s">
        <v>625</v>
      </c>
      <c r="F173" s="297" t="s">
        <v>4003</v>
      </c>
    </row>
    <row r="174" spans="2:6">
      <c r="B174" s="615">
        <v>42109</v>
      </c>
      <c r="C174" s="300">
        <v>42095</v>
      </c>
      <c r="D174" s="301" t="s">
        <v>996</v>
      </c>
      <c r="E174" s="297" t="s">
        <v>171</v>
      </c>
      <c r="F174" s="297" t="s">
        <v>183</v>
      </c>
    </row>
    <row r="175" spans="2:6">
      <c r="B175" s="615">
        <v>42109</v>
      </c>
      <c r="C175" s="300">
        <v>42095</v>
      </c>
      <c r="D175" s="301" t="s">
        <v>1168</v>
      </c>
      <c r="E175" s="297" t="s">
        <v>195</v>
      </c>
      <c r="F175" s="297" t="s">
        <v>183</v>
      </c>
    </row>
    <row r="176" spans="2:6" ht="27">
      <c r="B176" s="617">
        <v>42110</v>
      </c>
      <c r="C176" s="78">
        <v>42095</v>
      </c>
      <c r="D176" s="79" t="s">
        <v>6838</v>
      </c>
      <c r="E176" s="75" t="s">
        <v>171</v>
      </c>
      <c r="F176" s="75" t="s">
        <v>6839</v>
      </c>
    </row>
    <row r="177" spans="2:6">
      <c r="B177" s="615">
        <v>42114</v>
      </c>
      <c r="C177" s="300">
        <v>42095</v>
      </c>
      <c r="D177" s="301" t="s">
        <v>1186</v>
      </c>
      <c r="E177" s="297" t="s">
        <v>195</v>
      </c>
      <c r="F177" s="297" t="s">
        <v>101</v>
      </c>
    </row>
    <row r="178" spans="2:6" ht="27">
      <c r="B178" s="615">
        <v>42114</v>
      </c>
      <c r="C178" s="300">
        <v>42095</v>
      </c>
      <c r="D178" s="301" t="s">
        <v>962</v>
      </c>
      <c r="E178" s="297" t="s">
        <v>195</v>
      </c>
      <c r="F178" s="297" t="s">
        <v>336</v>
      </c>
    </row>
    <row r="179" spans="2:6">
      <c r="B179" s="615">
        <v>42115</v>
      </c>
      <c r="C179" s="300">
        <v>42095</v>
      </c>
      <c r="D179" s="301" t="s">
        <v>1197</v>
      </c>
      <c r="E179" s="297" t="s">
        <v>5</v>
      </c>
      <c r="F179" s="297" t="s">
        <v>101</v>
      </c>
    </row>
    <row r="180" spans="2:6">
      <c r="B180" s="615">
        <v>42115</v>
      </c>
      <c r="C180" s="300">
        <v>42095</v>
      </c>
      <c r="D180" s="301" t="s">
        <v>1209</v>
      </c>
      <c r="E180" s="297" t="s">
        <v>5</v>
      </c>
      <c r="F180" s="297" t="s">
        <v>101</v>
      </c>
    </row>
    <row r="181" spans="2:6">
      <c r="B181" s="617">
        <v>42116</v>
      </c>
      <c r="C181" s="78">
        <v>42095</v>
      </c>
      <c r="D181" s="79" t="s">
        <v>1227</v>
      </c>
      <c r="E181" s="75" t="s">
        <v>5</v>
      </c>
      <c r="F181" s="75" t="s">
        <v>101</v>
      </c>
    </row>
    <row r="182" spans="2:6">
      <c r="B182" s="618">
        <v>42117</v>
      </c>
      <c r="C182" s="61">
        <v>42095</v>
      </c>
      <c r="D182" s="62" t="s">
        <v>6840</v>
      </c>
      <c r="E182" s="58" t="s">
        <v>195</v>
      </c>
      <c r="F182" s="58" t="s">
        <v>1854</v>
      </c>
    </row>
    <row r="183" spans="2:6" ht="27">
      <c r="B183" s="618">
        <v>42118</v>
      </c>
      <c r="C183" s="61">
        <v>42095</v>
      </c>
      <c r="D183" s="62" t="s">
        <v>4442</v>
      </c>
      <c r="E183" s="58" t="s">
        <v>576</v>
      </c>
      <c r="F183" s="58" t="s">
        <v>582</v>
      </c>
    </row>
    <row r="184" spans="2:6">
      <c r="B184" s="615">
        <v>42119</v>
      </c>
      <c r="C184" s="300">
        <v>42095</v>
      </c>
      <c r="D184" s="301" t="s">
        <v>1237</v>
      </c>
      <c r="E184" s="297"/>
      <c r="F184" s="297"/>
    </row>
    <row r="185" spans="2:6">
      <c r="B185" s="614">
        <v>42121</v>
      </c>
      <c r="C185" s="38">
        <v>42095</v>
      </c>
      <c r="D185" s="39" t="s">
        <v>6841</v>
      </c>
      <c r="E185" s="34"/>
      <c r="F185" s="34"/>
    </row>
    <row r="186" spans="2:6">
      <c r="B186" s="614">
        <v>42121</v>
      </c>
      <c r="C186" s="38">
        <v>42121</v>
      </c>
      <c r="D186" s="39" t="s">
        <v>1258</v>
      </c>
      <c r="E186" s="34"/>
      <c r="F186" s="34"/>
    </row>
    <row r="187" spans="2:6">
      <c r="B187" s="615">
        <v>42122</v>
      </c>
      <c r="C187" s="300">
        <v>42095</v>
      </c>
      <c r="D187" s="301" t="s">
        <v>1267</v>
      </c>
      <c r="E187" s="297" t="s">
        <v>195</v>
      </c>
      <c r="F187" s="297" t="s">
        <v>101</v>
      </c>
    </row>
    <row r="188" spans="2:6" ht="27">
      <c r="B188" s="615">
        <v>42122</v>
      </c>
      <c r="C188" s="300">
        <v>42095</v>
      </c>
      <c r="D188" s="301" t="s">
        <v>1282</v>
      </c>
      <c r="E188" s="297" t="s">
        <v>195</v>
      </c>
      <c r="F188" s="297" t="s">
        <v>336</v>
      </c>
    </row>
    <row r="189" spans="2:6">
      <c r="B189" s="615">
        <v>42122</v>
      </c>
      <c r="C189" s="300">
        <v>42095</v>
      </c>
      <c r="D189" s="301" t="s">
        <v>1319</v>
      </c>
      <c r="E189" s="297" t="s">
        <v>195</v>
      </c>
      <c r="F189" s="297" t="s">
        <v>183</v>
      </c>
    </row>
    <row r="190" spans="2:6">
      <c r="B190" s="615">
        <v>42122</v>
      </c>
      <c r="C190" s="300">
        <v>42095</v>
      </c>
      <c r="D190" s="301" t="s">
        <v>733</v>
      </c>
      <c r="E190" s="297"/>
      <c r="F190" s="297"/>
    </row>
    <row r="191" spans="2:6" ht="27">
      <c r="B191" s="615">
        <v>42122</v>
      </c>
      <c r="C191" s="300">
        <v>42095</v>
      </c>
      <c r="D191" s="301" t="s">
        <v>1293</v>
      </c>
      <c r="E191" s="297" t="s">
        <v>195</v>
      </c>
      <c r="F191" s="297" t="s">
        <v>336</v>
      </c>
    </row>
    <row r="192" spans="2:6" ht="27">
      <c r="B192" s="616">
        <v>42122</v>
      </c>
      <c r="C192" s="21">
        <v>42095</v>
      </c>
      <c r="D192" s="22" t="s">
        <v>5092</v>
      </c>
      <c r="E192" s="17" t="s">
        <v>171</v>
      </c>
      <c r="F192" s="17" t="s">
        <v>1393</v>
      </c>
    </row>
    <row r="193" spans="2:6" ht="27">
      <c r="B193" s="616">
        <v>42122</v>
      </c>
      <c r="C193" s="21">
        <v>42095</v>
      </c>
      <c r="D193" s="22" t="s">
        <v>6842</v>
      </c>
      <c r="E193" s="17" t="s">
        <v>171</v>
      </c>
      <c r="F193" s="17" t="s">
        <v>1393</v>
      </c>
    </row>
    <row r="194" spans="2:6" ht="27">
      <c r="B194" s="615">
        <v>42123</v>
      </c>
      <c r="C194" s="300">
        <v>42095</v>
      </c>
      <c r="D194" s="301" t="s">
        <v>709</v>
      </c>
      <c r="E194" s="297" t="s">
        <v>195</v>
      </c>
      <c r="F194" s="297" t="s">
        <v>680</v>
      </c>
    </row>
    <row r="195" spans="2:6">
      <c r="B195" s="615">
        <v>42124</v>
      </c>
      <c r="C195" s="300">
        <v>42095</v>
      </c>
      <c r="D195" s="301" t="s">
        <v>207</v>
      </c>
      <c r="E195" s="297" t="s">
        <v>208</v>
      </c>
      <c r="F195" s="297" t="s">
        <v>101</v>
      </c>
    </row>
    <row r="196" spans="2:6">
      <c r="B196" s="615">
        <v>42125</v>
      </c>
      <c r="C196" s="300">
        <v>42125</v>
      </c>
      <c r="D196" s="301" t="s">
        <v>1337</v>
      </c>
      <c r="E196" s="297" t="s">
        <v>5</v>
      </c>
      <c r="F196" s="297" t="s">
        <v>101</v>
      </c>
    </row>
    <row r="197" spans="2:6">
      <c r="B197" s="615">
        <v>42128</v>
      </c>
      <c r="C197" s="300">
        <v>42128</v>
      </c>
      <c r="D197" s="301" t="s">
        <v>1108</v>
      </c>
      <c r="E197" s="297"/>
      <c r="F197" s="297"/>
    </row>
    <row r="198" spans="2:6">
      <c r="B198" s="615">
        <v>42129</v>
      </c>
      <c r="C198" s="300">
        <v>42125</v>
      </c>
      <c r="D198" s="301" t="s">
        <v>1347</v>
      </c>
      <c r="E198" s="297" t="s">
        <v>5</v>
      </c>
      <c r="F198" s="297" t="s">
        <v>101</v>
      </c>
    </row>
    <row r="199" spans="2:6" ht="27">
      <c r="B199" s="615">
        <v>42129</v>
      </c>
      <c r="C199" s="300">
        <v>42125</v>
      </c>
      <c r="D199" s="301" t="s">
        <v>1369</v>
      </c>
      <c r="E199" s="297" t="s">
        <v>5</v>
      </c>
      <c r="F199" s="297" t="s">
        <v>101</v>
      </c>
    </row>
    <row r="200" spans="2:6" ht="27">
      <c r="B200" s="615">
        <v>42129</v>
      </c>
      <c r="C200" s="300">
        <v>42125</v>
      </c>
      <c r="D200" s="301" t="s">
        <v>384</v>
      </c>
      <c r="E200" s="297" t="s">
        <v>5</v>
      </c>
      <c r="F200" s="297" t="s">
        <v>336</v>
      </c>
    </row>
    <row r="201" spans="2:6" ht="27">
      <c r="B201" s="615">
        <v>42129</v>
      </c>
      <c r="C201" s="300">
        <v>42125</v>
      </c>
      <c r="D201" s="301" t="s">
        <v>396</v>
      </c>
      <c r="E201" s="297" t="s">
        <v>5</v>
      </c>
      <c r="F201" s="297" t="s">
        <v>336</v>
      </c>
    </row>
    <row r="202" spans="2:6" ht="27">
      <c r="B202" s="615">
        <v>42131</v>
      </c>
      <c r="C202" s="300">
        <v>42125</v>
      </c>
      <c r="D202" s="301" t="s">
        <v>4661</v>
      </c>
      <c r="E202" s="297" t="s">
        <v>576</v>
      </c>
      <c r="F202" s="297" t="s">
        <v>4662</v>
      </c>
    </row>
    <row r="203" spans="2:6">
      <c r="B203" s="618">
        <v>42132</v>
      </c>
      <c r="C203" s="61">
        <v>42125</v>
      </c>
      <c r="D203" s="62" t="s">
        <v>6843</v>
      </c>
      <c r="E203" s="58" t="s">
        <v>171</v>
      </c>
      <c r="F203" s="58" t="s">
        <v>582</v>
      </c>
    </row>
    <row r="204" spans="2:6" ht="27">
      <c r="B204" s="615">
        <v>42135</v>
      </c>
      <c r="C204" s="300">
        <v>42125</v>
      </c>
      <c r="D204" s="301" t="s">
        <v>1357</v>
      </c>
      <c r="E204" s="297" t="s">
        <v>5</v>
      </c>
      <c r="F204" s="297" t="s">
        <v>101</v>
      </c>
    </row>
    <row r="205" spans="2:6" ht="40.5">
      <c r="B205" s="618">
        <v>42136</v>
      </c>
      <c r="C205" s="61">
        <v>42125</v>
      </c>
      <c r="D205" s="62" t="s">
        <v>271</v>
      </c>
      <c r="E205" s="58" t="s">
        <v>171</v>
      </c>
      <c r="F205" s="58" t="s">
        <v>5104</v>
      </c>
    </row>
    <row r="206" spans="2:6">
      <c r="B206" s="615">
        <v>42139</v>
      </c>
      <c r="C206" s="300">
        <v>42036</v>
      </c>
      <c r="D206" s="301" t="s">
        <v>1391</v>
      </c>
      <c r="E206" s="297" t="s">
        <v>5</v>
      </c>
      <c r="F206" s="297" t="s">
        <v>101</v>
      </c>
    </row>
    <row r="207" spans="2:6">
      <c r="B207" s="615">
        <v>42143</v>
      </c>
      <c r="C207" s="300">
        <v>42125</v>
      </c>
      <c r="D207" s="301" t="s">
        <v>1411</v>
      </c>
      <c r="E207" s="297" t="s">
        <v>63</v>
      </c>
      <c r="F207" s="297" t="s">
        <v>101</v>
      </c>
    </row>
    <row r="208" spans="2:6">
      <c r="B208" s="617">
        <v>42143</v>
      </c>
      <c r="C208" s="78">
        <v>42125</v>
      </c>
      <c r="D208" s="79" t="s">
        <v>1424</v>
      </c>
      <c r="E208" s="75" t="s">
        <v>171</v>
      </c>
      <c r="F208" s="75" t="s">
        <v>183</v>
      </c>
    </row>
    <row r="209" spans="2:6">
      <c r="B209" s="615">
        <v>42143</v>
      </c>
      <c r="C209" s="300">
        <v>42125</v>
      </c>
      <c r="D209" s="301" t="s">
        <v>1432</v>
      </c>
      <c r="E209" s="297" t="s">
        <v>5</v>
      </c>
      <c r="F209" s="297" t="s">
        <v>101</v>
      </c>
    </row>
    <row r="210" spans="2:6">
      <c r="B210" s="615">
        <v>42143</v>
      </c>
      <c r="C210" s="300">
        <v>42125</v>
      </c>
      <c r="D210" s="301" t="s">
        <v>1424</v>
      </c>
      <c r="E210" s="297" t="s">
        <v>171</v>
      </c>
      <c r="F210" s="297" t="s">
        <v>183</v>
      </c>
    </row>
    <row r="211" spans="2:6" ht="27">
      <c r="B211" s="617">
        <v>42143</v>
      </c>
      <c r="C211" s="78">
        <v>42125</v>
      </c>
      <c r="D211" s="79" t="s">
        <v>1126</v>
      </c>
      <c r="E211" s="75" t="s">
        <v>208</v>
      </c>
      <c r="F211" s="75" t="s">
        <v>336</v>
      </c>
    </row>
    <row r="212" spans="2:6">
      <c r="B212" s="615">
        <v>42145</v>
      </c>
      <c r="C212" s="300">
        <v>42125</v>
      </c>
      <c r="D212" s="301" t="s">
        <v>1457</v>
      </c>
      <c r="E212" s="297" t="s">
        <v>625</v>
      </c>
      <c r="F212" s="297" t="s">
        <v>183</v>
      </c>
    </row>
    <row r="213" spans="2:6">
      <c r="B213" s="615">
        <v>42146</v>
      </c>
      <c r="C213" s="300">
        <v>42125</v>
      </c>
      <c r="D213" s="301" t="s">
        <v>1472</v>
      </c>
      <c r="E213" s="297" t="s">
        <v>625</v>
      </c>
      <c r="F213" s="297" t="s">
        <v>183</v>
      </c>
    </row>
    <row r="214" spans="2:6">
      <c r="B214" s="615">
        <v>42149</v>
      </c>
      <c r="C214" s="300">
        <v>42149</v>
      </c>
      <c r="D214" s="301" t="s">
        <v>1517</v>
      </c>
      <c r="E214" s="297"/>
      <c r="F214" s="297"/>
    </row>
    <row r="215" spans="2:6">
      <c r="B215" s="615">
        <v>42150</v>
      </c>
      <c r="C215" s="300">
        <v>42125</v>
      </c>
      <c r="D215" s="301" t="s">
        <v>1492</v>
      </c>
      <c r="E215" s="297" t="s">
        <v>1493</v>
      </c>
      <c r="F215" s="297" t="s">
        <v>183</v>
      </c>
    </row>
    <row r="216" spans="2:6">
      <c r="B216" s="617">
        <v>42152</v>
      </c>
      <c r="C216" s="78">
        <v>42125</v>
      </c>
      <c r="D216" s="79" t="s">
        <v>1508</v>
      </c>
      <c r="E216" s="75" t="s">
        <v>5</v>
      </c>
      <c r="F216" s="75" t="s">
        <v>101</v>
      </c>
    </row>
    <row r="217" spans="2:6" ht="27">
      <c r="B217" s="617">
        <v>42152</v>
      </c>
      <c r="C217" s="78">
        <v>42125</v>
      </c>
      <c r="D217" s="79" t="s">
        <v>3894</v>
      </c>
      <c r="E217" s="75" t="s">
        <v>625</v>
      </c>
      <c r="F217" s="75" t="s">
        <v>3895</v>
      </c>
    </row>
    <row r="218" spans="2:6">
      <c r="B218" s="615">
        <v>42152</v>
      </c>
      <c r="C218" s="300">
        <v>42125</v>
      </c>
      <c r="D218" s="301" t="s">
        <v>261</v>
      </c>
      <c r="E218" s="297" t="s">
        <v>63</v>
      </c>
      <c r="F218" s="297" t="s">
        <v>131</v>
      </c>
    </row>
    <row r="219" spans="2:6" ht="27">
      <c r="B219" s="617">
        <v>42152</v>
      </c>
      <c r="C219" s="78">
        <v>42152</v>
      </c>
      <c r="D219" s="79" t="s">
        <v>1509</v>
      </c>
      <c r="E219" s="75" t="s">
        <v>198</v>
      </c>
      <c r="F219" s="75" t="s">
        <v>336</v>
      </c>
    </row>
    <row r="220" spans="2:6" ht="27">
      <c r="B220" s="615">
        <v>42155</v>
      </c>
      <c r="C220" s="300">
        <v>42125</v>
      </c>
      <c r="D220" s="301" t="s">
        <v>1516</v>
      </c>
      <c r="E220" s="297"/>
      <c r="F220" s="297"/>
    </row>
    <row r="221" spans="2:6">
      <c r="B221" s="615">
        <v>42156</v>
      </c>
      <c r="C221" s="300">
        <v>42156</v>
      </c>
      <c r="D221" s="301" t="s">
        <v>813</v>
      </c>
      <c r="E221" s="297"/>
      <c r="F221" s="297"/>
    </row>
    <row r="222" spans="2:6" ht="40.5">
      <c r="B222" s="617">
        <v>42159</v>
      </c>
      <c r="C222" s="78">
        <v>42156</v>
      </c>
      <c r="D222" s="79" t="s">
        <v>1526</v>
      </c>
      <c r="E222" s="75" t="s">
        <v>625</v>
      </c>
      <c r="F222" s="75" t="s">
        <v>183</v>
      </c>
    </row>
    <row r="223" spans="2:6" ht="40.5">
      <c r="B223" s="617">
        <v>42159</v>
      </c>
      <c r="C223" s="78">
        <v>42156</v>
      </c>
      <c r="D223" s="79" t="s">
        <v>1543</v>
      </c>
      <c r="E223" s="75" t="s">
        <v>171</v>
      </c>
      <c r="F223" s="75" t="s">
        <v>1544</v>
      </c>
    </row>
    <row r="224" spans="2:6" ht="27">
      <c r="B224" s="615">
        <v>42160</v>
      </c>
      <c r="C224" s="300">
        <v>42156</v>
      </c>
      <c r="D224" s="301" t="s">
        <v>1552</v>
      </c>
      <c r="E224" s="297"/>
      <c r="F224" s="297"/>
    </row>
    <row r="225" spans="2:6">
      <c r="B225" s="615">
        <v>42160</v>
      </c>
      <c r="C225" s="302">
        <v>42156</v>
      </c>
      <c r="D225" s="301" t="s">
        <v>1169</v>
      </c>
      <c r="E225" s="297" t="s">
        <v>208</v>
      </c>
      <c r="F225" s="297" t="s">
        <v>1170</v>
      </c>
    </row>
    <row r="226" spans="2:6">
      <c r="B226" s="615">
        <v>42164</v>
      </c>
      <c r="C226" s="300">
        <v>42156</v>
      </c>
      <c r="D226" s="301" t="s">
        <v>1568</v>
      </c>
      <c r="E226" s="297" t="s">
        <v>5</v>
      </c>
      <c r="F226" s="297" t="s">
        <v>101</v>
      </c>
    </row>
    <row r="227" spans="2:6">
      <c r="B227" s="615">
        <v>42164</v>
      </c>
      <c r="C227" s="300">
        <v>42156</v>
      </c>
      <c r="D227" s="301" t="s">
        <v>1590</v>
      </c>
      <c r="E227" s="297" t="s">
        <v>5</v>
      </c>
      <c r="F227" s="297" t="s">
        <v>101</v>
      </c>
    </row>
    <row r="228" spans="2:6" ht="27">
      <c r="B228" s="617">
        <v>42164</v>
      </c>
      <c r="C228" s="80">
        <v>42156</v>
      </c>
      <c r="D228" s="79" t="s">
        <v>3896</v>
      </c>
      <c r="E228" s="75" t="s">
        <v>625</v>
      </c>
      <c r="F228" s="75" t="s">
        <v>1393</v>
      </c>
    </row>
    <row r="229" spans="2:6">
      <c r="B229" s="615">
        <v>42165</v>
      </c>
      <c r="C229" s="300">
        <v>42156</v>
      </c>
      <c r="D229" s="301" t="s">
        <v>1603</v>
      </c>
      <c r="E229" s="297" t="s">
        <v>5</v>
      </c>
      <c r="F229" s="297" t="s">
        <v>101</v>
      </c>
    </row>
    <row r="230" spans="2:6">
      <c r="B230" s="615">
        <v>42165</v>
      </c>
      <c r="C230" s="300">
        <v>42165</v>
      </c>
      <c r="D230" s="301" t="s">
        <v>1553</v>
      </c>
      <c r="E230" s="297"/>
      <c r="F230" s="297"/>
    </row>
    <row r="231" spans="2:6">
      <c r="B231" s="615">
        <v>42166</v>
      </c>
      <c r="C231" s="300">
        <v>42156</v>
      </c>
      <c r="D231" s="301" t="s">
        <v>833</v>
      </c>
      <c r="E231" s="297"/>
      <c r="F231" s="297"/>
    </row>
    <row r="232" spans="2:6">
      <c r="B232" s="615">
        <v>42167</v>
      </c>
      <c r="C232" s="300">
        <v>42156</v>
      </c>
      <c r="D232" s="301" t="s">
        <v>1613</v>
      </c>
      <c r="E232" s="297" t="s">
        <v>5</v>
      </c>
      <c r="F232" s="297" t="s">
        <v>101</v>
      </c>
    </row>
    <row r="233" spans="2:6">
      <c r="B233" s="614">
        <v>42167</v>
      </c>
      <c r="C233" s="38">
        <v>42156</v>
      </c>
      <c r="D233" s="39" t="s">
        <v>1797</v>
      </c>
      <c r="E233" s="34" t="s">
        <v>625</v>
      </c>
      <c r="F233" s="34" t="s">
        <v>183</v>
      </c>
    </row>
    <row r="234" spans="2:6" ht="40.5">
      <c r="B234" s="615">
        <v>42171</v>
      </c>
      <c r="C234" s="300">
        <v>42156</v>
      </c>
      <c r="D234" s="301" t="s">
        <v>1620</v>
      </c>
      <c r="E234" s="297" t="s">
        <v>171</v>
      </c>
      <c r="F234" s="297" t="s">
        <v>336</v>
      </c>
    </row>
    <row r="235" spans="2:6" ht="27">
      <c r="B235" s="617">
        <v>42171</v>
      </c>
      <c r="C235" s="78">
        <v>42156</v>
      </c>
      <c r="D235" s="79" t="s">
        <v>1637</v>
      </c>
      <c r="E235" s="75" t="s">
        <v>1480</v>
      </c>
      <c r="F235" s="75" t="s">
        <v>131</v>
      </c>
    </row>
    <row r="236" spans="2:6" ht="27">
      <c r="B236" s="615">
        <v>42171</v>
      </c>
      <c r="C236" s="300">
        <v>42171</v>
      </c>
      <c r="D236" s="301" t="s">
        <v>1238</v>
      </c>
      <c r="E236" s="297"/>
      <c r="F236" s="297" t="s">
        <v>79</v>
      </c>
    </row>
    <row r="237" spans="2:6">
      <c r="B237" s="617">
        <v>42171</v>
      </c>
      <c r="C237" s="80">
        <v>42156</v>
      </c>
      <c r="D237" s="79" t="s">
        <v>3877</v>
      </c>
      <c r="E237" s="75" t="s">
        <v>171</v>
      </c>
      <c r="F237" s="75" t="s">
        <v>3248</v>
      </c>
    </row>
    <row r="238" spans="2:6">
      <c r="B238" s="618">
        <v>42172</v>
      </c>
      <c r="C238" s="63">
        <v>42156</v>
      </c>
      <c r="D238" s="62" t="s">
        <v>4426</v>
      </c>
      <c r="E238" s="58" t="s">
        <v>195</v>
      </c>
      <c r="F238" s="58" t="s">
        <v>1864</v>
      </c>
    </row>
    <row r="239" spans="2:6" ht="27">
      <c r="B239" s="616">
        <v>42176</v>
      </c>
      <c r="C239" s="21">
        <v>42156</v>
      </c>
      <c r="D239" s="22" t="s">
        <v>5088</v>
      </c>
      <c r="E239" s="17" t="s">
        <v>1997</v>
      </c>
      <c r="F239" s="17" t="s">
        <v>5089</v>
      </c>
    </row>
    <row r="240" spans="2:6">
      <c r="B240" s="618">
        <v>42177</v>
      </c>
      <c r="C240" s="63">
        <v>42156</v>
      </c>
      <c r="D240" s="62" t="s">
        <v>5440</v>
      </c>
      <c r="E240" s="58" t="s">
        <v>171</v>
      </c>
      <c r="F240" s="58" t="s">
        <v>421</v>
      </c>
    </row>
    <row r="241" spans="2:6" ht="27">
      <c r="B241" s="618">
        <v>42177</v>
      </c>
      <c r="C241" s="61">
        <v>42156</v>
      </c>
      <c r="D241" s="62" t="s">
        <v>6844</v>
      </c>
      <c r="E241" s="58" t="s">
        <v>171</v>
      </c>
      <c r="F241" s="58" t="s">
        <v>6845</v>
      </c>
    </row>
    <row r="242" spans="2:6" ht="40.5">
      <c r="B242" s="618">
        <v>42177</v>
      </c>
      <c r="C242" s="61">
        <v>42156</v>
      </c>
      <c r="D242" s="62" t="s">
        <v>6846</v>
      </c>
      <c r="E242" s="58" t="s">
        <v>171</v>
      </c>
      <c r="F242" s="58" t="s">
        <v>6847</v>
      </c>
    </row>
    <row r="243" spans="2:6" ht="27">
      <c r="B243" s="618">
        <v>42179</v>
      </c>
      <c r="C243" s="61">
        <v>42156</v>
      </c>
      <c r="D243" s="62" t="s">
        <v>1648</v>
      </c>
      <c r="E243" s="58"/>
      <c r="F243" s="58"/>
    </row>
    <row r="244" spans="2:6" ht="27">
      <c r="B244" s="615">
        <v>42179</v>
      </c>
      <c r="C244" s="300">
        <v>42156</v>
      </c>
      <c r="D244" s="301" t="s">
        <v>1654</v>
      </c>
      <c r="E244" s="297" t="s">
        <v>195</v>
      </c>
      <c r="F244" s="297" t="s">
        <v>336</v>
      </c>
    </row>
    <row r="245" spans="2:6">
      <c r="B245" s="615">
        <v>42181</v>
      </c>
      <c r="C245" s="300">
        <v>42156</v>
      </c>
      <c r="D245" s="301" t="s">
        <v>1670</v>
      </c>
      <c r="E245" s="297" t="s">
        <v>63</v>
      </c>
      <c r="F245" s="297" t="s">
        <v>101</v>
      </c>
    </row>
    <row r="246" spans="2:6">
      <c r="B246" s="615">
        <v>42181</v>
      </c>
      <c r="C246" s="300">
        <v>42156</v>
      </c>
      <c r="D246" s="301" t="s">
        <v>1686</v>
      </c>
      <c r="E246" s="297" t="s">
        <v>63</v>
      </c>
      <c r="F246" s="297" t="s">
        <v>101</v>
      </c>
    </row>
    <row r="247" spans="2:6" ht="27">
      <c r="B247" s="615">
        <v>42186</v>
      </c>
      <c r="C247" s="302">
        <v>42186</v>
      </c>
      <c r="D247" s="302" t="s">
        <v>78</v>
      </c>
      <c r="E247" s="301" t="s">
        <v>5</v>
      </c>
      <c r="F247" s="297" t="s">
        <v>336</v>
      </c>
    </row>
    <row r="248" spans="2:6">
      <c r="B248" s="615">
        <v>42187</v>
      </c>
      <c r="C248" s="300">
        <v>42186</v>
      </c>
      <c r="D248" s="301" t="s">
        <v>1716</v>
      </c>
      <c r="E248" s="297" t="s">
        <v>63</v>
      </c>
      <c r="F248" s="297" t="s">
        <v>101</v>
      </c>
    </row>
    <row r="249" spans="2:6">
      <c r="B249" s="615">
        <v>42187</v>
      </c>
      <c r="C249" s="300">
        <v>42186</v>
      </c>
      <c r="D249" s="301" t="s">
        <v>1726</v>
      </c>
      <c r="E249" s="297" t="s">
        <v>5</v>
      </c>
      <c r="F249" s="297" t="s">
        <v>101</v>
      </c>
    </row>
    <row r="250" spans="2:6">
      <c r="B250" s="617">
        <v>42187</v>
      </c>
      <c r="C250" s="78">
        <v>42186</v>
      </c>
      <c r="D250" s="79" t="s">
        <v>1740</v>
      </c>
      <c r="E250" s="75" t="s">
        <v>171</v>
      </c>
      <c r="F250" s="75" t="s">
        <v>183</v>
      </c>
    </row>
    <row r="251" spans="2:6">
      <c r="B251" s="615">
        <v>42187</v>
      </c>
      <c r="C251" s="300">
        <v>42186</v>
      </c>
      <c r="D251" s="301" t="s">
        <v>844</v>
      </c>
      <c r="E251" s="297" t="s">
        <v>503</v>
      </c>
      <c r="F251" s="297" t="s">
        <v>183</v>
      </c>
    </row>
    <row r="252" spans="2:6" ht="27">
      <c r="B252" s="615">
        <v>42188</v>
      </c>
      <c r="C252" s="300">
        <v>42186</v>
      </c>
      <c r="D252" s="301" t="s">
        <v>1750</v>
      </c>
      <c r="E252" s="297" t="s">
        <v>195</v>
      </c>
      <c r="F252" s="297" t="s">
        <v>1751</v>
      </c>
    </row>
    <row r="253" spans="2:6">
      <c r="B253" s="615">
        <v>42191</v>
      </c>
      <c r="C253" s="300">
        <v>42186</v>
      </c>
      <c r="D253" s="301" t="s">
        <v>1764</v>
      </c>
      <c r="E253" s="297" t="s">
        <v>171</v>
      </c>
      <c r="F253" s="297" t="s">
        <v>183</v>
      </c>
    </row>
    <row r="254" spans="2:6" ht="27">
      <c r="B254" s="615">
        <v>42193</v>
      </c>
      <c r="C254" s="300">
        <v>42186</v>
      </c>
      <c r="D254" s="301" t="s">
        <v>1774</v>
      </c>
      <c r="E254" s="297" t="s">
        <v>195</v>
      </c>
      <c r="F254" s="297" t="s">
        <v>336</v>
      </c>
    </row>
    <row r="255" spans="2:6">
      <c r="B255" s="615">
        <v>42193</v>
      </c>
      <c r="C255" s="300">
        <v>42193</v>
      </c>
      <c r="D255" s="301" t="s">
        <v>3725</v>
      </c>
      <c r="E255" s="297" t="s">
        <v>171</v>
      </c>
      <c r="F255" s="297" t="s">
        <v>777</v>
      </c>
    </row>
    <row r="256" spans="2:6">
      <c r="B256" s="617">
        <v>42194</v>
      </c>
      <c r="C256" s="78">
        <v>42186</v>
      </c>
      <c r="D256" s="79" t="s">
        <v>1785</v>
      </c>
      <c r="E256" s="75" t="s">
        <v>5</v>
      </c>
      <c r="F256" s="75" t="s">
        <v>101</v>
      </c>
    </row>
    <row r="257" spans="2:6">
      <c r="B257" s="615">
        <v>42194</v>
      </c>
      <c r="C257" s="300">
        <v>42186</v>
      </c>
      <c r="D257" s="301" t="s">
        <v>1458</v>
      </c>
      <c r="E257" s="297" t="s">
        <v>5</v>
      </c>
      <c r="F257" s="297" t="s">
        <v>101</v>
      </c>
    </row>
    <row r="258" spans="2:6" ht="27">
      <c r="B258" s="615">
        <v>42194</v>
      </c>
      <c r="C258" s="302">
        <v>42186</v>
      </c>
      <c r="D258" s="301" t="s">
        <v>712</v>
      </c>
      <c r="E258" s="297" t="s">
        <v>5</v>
      </c>
      <c r="F258" s="297" t="s">
        <v>107</v>
      </c>
    </row>
    <row r="259" spans="2:6" ht="27">
      <c r="B259" s="615">
        <v>42194</v>
      </c>
      <c r="C259" s="300">
        <v>42186</v>
      </c>
      <c r="D259" s="301" t="s">
        <v>712</v>
      </c>
      <c r="E259" s="297" t="s">
        <v>195</v>
      </c>
      <c r="F259" s="297" t="s">
        <v>713</v>
      </c>
    </row>
    <row r="260" spans="2:6" ht="27">
      <c r="B260" s="615">
        <v>42194</v>
      </c>
      <c r="C260" s="300">
        <v>42186</v>
      </c>
      <c r="D260" s="301" t="s">
        <v>712</v>
      </c>
      <c r="E260" s="297" t="s">
        <v>195</v>
      </c>
      <c r="F260" s="297" t="s">
        <v>713</v>
      </c>
    </row>
    <row r="261" spans="2:6" ht="40.5">
      <c r="B261" s="614">
        <v>42195</v>
      </c>
      <c r="C261" s="38">
        <v>42186</v>
      </c>
      <c r="D261" s="39" t="s">
        <v>6848</v>
      </c>
      <c r="E261" s="34" t="s">
        <v>171</v>
      </c>
      <c r="F261" s="34" t="s">
        <v>1544</v>
      </c>
    </row>
    <row r="262" spans="2:6" ht="27">
      <c r="B262" s="615">
        <v>42195</v>
      </c>
      <c r="C262" s="302">
        <v>42186</v>
      </c>
      <c r="D262" s="301" t="s">
        <v>1494</v>
      </c>
      <c r="E262" s="297" t="s">
        <v>625</v>
      </c>
      <c r="F262" s="297" t="s">
        <v>1495</v>
      </c>
    </row>
    <row r="263" spans="2:6">
      <c r="B263" s="615">
        <v>42199</v>
      </c>
      <c r="C263" s="300">
        <v>42186</v>
      </c>
      <c r="D263" s="301" t="s">
        <v>1392</v>
      </c>
      <c r="E263" s="297" t="s">
        <v>5</v>
      </c>
      <c r="F263" s="297" t="s">
        <v>169</v>
      </c>
    </row>
    <row r="264" spans="2:6">
      <c r="B264" s="615">
        <v>42199</v>
      </c>
      <c r="C264" s="302">
        <v>42186</v>
      </c>
      <c r="D264" s="301" t="s">
        <v>997</v>
      </c>
      <c r="E264" s="297" t="s">
        <v>5</v>
      </c>
      <c r="F264" s="297" t="s">
        <v>101</v>
      </c>
    </row>
    <row r="265" spans="2:6" ht="27">
      <c r="B265" s="617">
        <v>42200</v>
      </c>
      <c r="C265" s="78">
        <v>42186</v>
      </c>
      <c r="D265" s="79" t="s">
        <v>6849</v>
      </c>
      <c r="E265" s="75" t="s">
        <v>625</v>
      </c>
      <c r="F265" s="75" t="s">
        <v>1807</v>
      </c>
    </row>
    <row r="266" spans="2:6">
      <c r="B266" s="615">
        <v>42201</v>
      </c>
      <c r="C266" s="300">
        <v>42186</v>
      </c>
      <c r="D266" s="301" t="s">
        <v>1815</v>
      </c>
      <c r="E266" s="297" t="s">
        <v>5</v>
      </c>
      <c r="F266" s="297" t="s">
        <v>101</v>
      </c>
    </row>
    <row r="267" spans="2:6">
      <c r="B267" s="615">
        <v>42201</v>
      </c>
      <c r="C267" s="300">
        <v>42186</v>
      </c>
      <c r="D267" s="301" t="s">
        <v>1823</v>
      </c>
      <c r="E267" s="297" t="s">
        <v>5</v>
      </c>
      <c r="F267" s="297" t="s">
        <v>101</v>
      </c>
    </row>
    <row r="268" spans="2:6" ht="27">
      <c r="B268" s="618">
        <v>42202</v>
      </c>
      <c r="C268" s="61">
        <v>42186</v>
      </c>
      <c r="D268" s="62" t="s">
        <v>6850</v>
      </c>
      <c r="E268" s="58" t="s">
        <v>576</v>
      </c>
      <c r="F268" s="58" t="s">
        <v>582</v>
      </c>
    </row>
    <row r="269" spans="2:6" ht="27">
      <c r="B269" s="615">
        <v>42205</v>
      </c>
      <c r="C269" s="300">
        <v>42186</v>
      </c>
      <c r="D269" s="335" t="s">
        <v>1832</v>
      </c>
      <c r="E269" s="297" t="s">
        <v>5</v>
      </c>
      <c r="F269" s="297" t="s">
        <v>101</v>
      </c>
    </row>
    <row r="270" spans="2:6">
      <c r="B270" s="615">
        <v>42205</v>
      </c>
      <c r="C270" s="300">
        <v>42186</v>
      </c>
      <c r="D270" s="301" t="s">
        <v>1851</v>
      </c>
      <c r="E270" s="297" t="s">
        <v>5</v>
      </c>
      <c r="F270" s="297" t="s">
        <v>101</v>
      </c>
    </row>
    <row r="271" spans="2:6">
      <c r="B271" s="615">
        <v>42205</v>
      </c>
      <c r="C271" s="300">
        <v>42186</v>
      </c>
      <c r="D271" s="301" t="s">
        <v>1851</v>
      </c>
      <c r="E271" s="297" t="s">
        <v>5</v>
      </c>
      <c r="F271" s="297" t="s">
        <v>101</v>
      </c>
    </row>
    <row r="272" spans="2:6">
      <c r="B272" s="616">
        <v>42207</v>
      </c>
      <c r="C272" s="21">
        <v>42207</v>
      </c>
      <c r="D272" s="22" t="s">
        <v>78</v>
      </c>
      <c r="E272" s="17" t="s">
        <v>5</v>
      </c>
      <c r="F272" s="17" t="s">
        <v>169</v>
      </c>
    </row>
    <row r="273" spans="2:6">
      <c r="B273" s="615">
        <v>42207</v>
      </c>
      <c r="C273" s="300">
        <v>42186</v>
      </c>
      <c r="D273" s="301" t="s">
        <v>78</v>
      </c>
      <c r="E273" s="297" t="s">
        <v>5</v>
      </c>
      <c r="F273" s="297" t="s">
        <v>169</v>
      </c>
    </row>
    <row r="274" spans="2:6">
      <c r="B274" s="615">
        <v>42207</v>
      </c>
      <c r="C274" s="300">
        <v>42186</v>
      </c>
      <c r="D274" s="301" t="s">
        <v>78</v>
      </c>
      <c r="E274" s="297" t="s">
        <v>5</v>
      </c>
      <c r="F274" s="297" t="s">
        <v>101</v>
      </c>
    </row>
    <row r="275" spans="2:6">
      <c r="B275" s="615">
        <v>42207</v>
      </c>
      <c r="C275" s="300">
        <v>42186</v>
      </c>
      <c r="D275" s="301" t="s">
        <v>78</v>
      </c>
      <c r="E275" s="297" t="s">
        <v>5</v>
      </c>
      <c r="F275" s="297" t="s">
        <v>287</v>
      </c>
    </row>
    <row r="276" spans="2:6">
      <c r="B276" s="615">
        <v>42207</v>
      </c>
      <c r="C276" s="300">
        <v>42186</v>
      </c>
      <c r="D276" s="301" t="s">
        <v>78</v>
      </c>
      <c r="E276" s="297"/>
      <c r="F276" s="297"/>
    </row>
    <row r="277" spans="2:6">
      <c r="B277" s="616">
        <v>42207</v>
      </c>
      <c r="C277" s="21">
        <v>42186</v>
      </c>
      <c r="D277" s="22" t="s">
        <v>78</v>
      </c>
      <c r="E277" s="17"/>
      <c r="F277" s="17"/>
    </row>
    <row r="278" spans="2:6">
      <c r="B278" s="615">
        <v>42207</v>
      </c>
      <c r="C278" s="300">
        <v>42186</v>
      </c>
      <c r="D278" s="301" t="s">
        <v>78</v>
      </c>
      <c r="E278" s="297"/>
      <c r="F278" s="297"/>
    </row>
    <row r="279" spans="2:6" ht="27">
      <c r="B279" s="615">
        <v>42207</v>
      </c>
      <c r="C279" s="300">
        <v>42186</v>
      </c>
      <c r="D279" s="301" t="s">
        <v>78</v>
      </c>
      <c r="E279" s="297" t="s">
        <v>5</v>
      </c>
      <c r="F279" s="297" t="s">
        <v>85</v>
      </c>
    </row>
    <row r="280" spans="2:6">
      <c r="B280" s="615">
        <v>42207</v>
      </c>
      <c r="C280" s="300">
        <v>42186</v>
      </c>
      <c r="D280" s="301" t="s">
        <v>926</v>
      </c>
      <c r="E280" s="297"/>
      <c r="F280" s="297"/>
    </row>
    <row r="281" spans="2:6" ht="27">
      <c r="B281" s="615">
        <v>42207</v>
      </c>
      <c r="C281" s="300">
        <v>42186</v>
      </c>
      <c r="D281" s="301" t="s">
        <v>78</v>
      </c>
      <c r="E281" s="297" t="s">
        <v>5</v>
      </c>
      <c r="F281" s="297" t="s">
        <v>85</v>
      </c>
    </row>
    <row r="282" spans="2:6" ht="27">
      <c r="B282" s="615">
        <v>42207</v>
      </c>
      <c r="C282" s="300">
        <v>42186</v>
      </c>
      <c r="D282" s="301" t="s">
        <v>78</v>
      </c>
      <c r="E282" s="297" t="s">
        <v>5</v>
      </c>
      <c r="F282" s="297" t="s">
        <v>336</v>
      </c>
    </row>
    <row r="283" spans="2:6" ht="27">
      <c r="B283" s="615">
        <v>42207</v>
      </c>
      <c r="C283" s="300">
        <v>42186</v>
      </c>
      <c r="D283" s="301" t="s">
        <v>78</v>
      </c>
      <c r="E283" s="297" t="s">
        <v>5</v>
      </c>
      <c r="F283" s="297" t="s">
        <v>336</v>
      </c>
    </row>
    <row r="284" spans="2:6" ht="27">
      <c r="B284" s="615">
        <v>42207</v>
      </c>
      <c r="C284" s="300">
        <v>42186</v>
      </c>
      <c r="D284" s="301" t="s">
        <v>78</v>
      </c>
      <c r="E284" s="297" t="s">
        <v>5</v>
      </c>
      <c r="F284" s="297" t="s">
        <v>85</v>
      </c>
    </row>
    <row r="285" spans="2:6" ht="27">
      <c r="B285" s="615">
        <v>42207</v>
      </c>
      <c r="C285" s="300">
        <v>42186</v>
      </c>
      <c r="D285" s="301" t="s">
        <v>78</v>
      </c>
      <c r="E285" s="297" t="s">
        <v>5</v>
      </c>
      <c r="F285" s="297" t="s">
        <v>85</v>
      </c>
    </row>
    <row r="286" spans="2:6" ht="27">
      <c r="B286" s="617">
        <v>42207</v>
      </c>
      <c r="C286" s="78">
        <v>42186</v>
      </c>
      <c r="D286" s="79" t="s">
        <v>78</v>
      </c>
      <c r="E286" s="75" t="s">
        <v>5</v>
      </c>
      <c r="F286" s="75" t="s">
        <v>336</v>
      </c>
    </row>
    <row r="287" spans="2:6">
      <c r="B287" s="615">
        <v>42207</v>
      </c>
      <c r="C287" s="302">
        <v>42186</v>
      </c>
      <c r="D287" s="301" t="s">
        <v>78</v>
      </c>
      <c r="E287" s="297" t="s">
        <v>5</v>
      </c>
      <c r="F287" s="297" t="s">
        <v>169</v>
      </c>
    </row>
    <row r="288" spans="2:6">
      <c r="B288" s="615">
        <v>42207</v>
      </c>
      <c r="C288" s="302">
        <v>42186</v>
      </c>
      <c r="D288" s="301" t="s">
        <v>78</v>
      </c>
      <c r="E288" s="297" t="s">
        <v>286</v>
      </c>
      <c r="F288" s="297" t="s">
        <v>287</v>
      </c>
    </row>
    <row r="289" spans="2:6">
      <c r="B289" s="615">
        <v>42207</v>
      </c>
      <c r="C289" s="302">
        <v>42207</v>
      </c>
      <c r="D289" s="301" t="s">
        <v>78</v>
      </c>
      <c r="E289" s="297"/>
      <c r="F289" s="297"/>
    </row>
    <row r="290" spans="2:6">
      <c r="B290" s="615">
        <v>42207</v>
      </c>
      <c r="C290" s="302">
        <v>42207</v>
      </c>
      <c r="D290" s="301" t="s">
        <v>78</v>
      </c>
      <c r="E290" s="297"/>
      <c r="F290" s="297"/>
    </row>
    <row r="291" spans="2:6">
      <c r="B291" s="617">
        <v>42209</v>
      </c>
      <c r="C291" s="80">
        <v>42186</v>
      </c>
      <c r="D291" s="79" t="s">
        <v>3765</v>
      </c>
      <c r="E291" s="75" t="s">
        <v>3766</v>
      </c>
      <c r="F291" s="75" t="s">
        <v>625</v>
      </c>
    </row>
    <row r="292" spans="2:6">
      <c r="B292" s="617">
        <v>42212</v>
      </c>
      <c r="C292" s="78">
        <v>42186</v>
      </c>
      <c r="D292" s="79" t="s">
        <v>1874</v>
      </c>
      <c r="E292" s="75" t="s">
        <v>1480</v>
      </c>
      <c r="F292" s="75" t="s">
        <v>101</v>
      </c>
    </row>
    <row r="293" spans="2:6">
      <c r="B293" s="615">
        <v>42212</v>
      </c>
      <c r="C293" s="300">
        <v>42186</v>
      </c>
      <c r="D293" s="301" t="s">
        <v>1171</v>
      </c>
      <c r="E293" s="297" t="s">
        <v>63</v>
      </c>
      <c r="F293" s="297" t="s">
        <v>101</v>
      </c>
    </row>
    <row r="294" spans="2:6">
      <c r="B294" s="617">
        <v>42215</v>
      </c>
      <c r="C294" s="78">
        <v>42186</v>
      </c>
      <c r="D294" s="79" t="s">
        <v>1890</v>
      </c>
      <c r="E294" s="75" t="s">
        <v>625</v>
      </c>
      <c r="F294" s="75" t="s">
        <v>183</v>
      </c>
    </row>
    <row r="295" spans="2:6">
      <c r="B295" s="615">
        <v>42217</v>
      </c>
      <c r="C295" s="300">
        <v>42217</v>
      </c>
      <c r="D295" s="301" t="s">
        <v>1899</v>
      </c>
      <c r="E295" s="297"/>
      <c r="F295" s="297"/>
    </row>
    <row r="296" spans="2:6">
      <c r="B296" s="615">
        <v>42217</v>
      </c>
      <c r="C296" s="300">
        <v>42217</v>
      </c>
      <c r="D296" s="301" t="s">
        <v>998</v>
      </c>
      <c r="E296" s="297"/>
      <c r="F296" s="297"/>
    </row>
    <row r="297" spans="2:6" ht="40.5">
      <c r="B297" s="618">
        <v>42219</v>
      </c>
      <c r="C297" s="63">
        <v>42217</v>
      </c>
      <c r="D297" s="62" t="s">
        <v>3883</v>
      </c>
      <c r="E297" s="58" t="s">
        <v>3884</v>
      </c>
      <c r="F297" s="58" t="s">
        <v>1491</v>
      </c>
    </row>
    <row r="298" spans="2:6" ht="27">
      <c r="B298" s="615">
        <v>42221</v>
      </c>
      <c r="C298" s="300">
        <v>42217</v>
      </c>
      <c r="D298" s="301" t="s">
        <v>1923</v>
      </c>
      <c r="E298" s="297" t="s">
        <v>5</v>
      </c>
      <c r="F298" s="297" t="s">
        <v>101</v>
      </c>
    </row>
    <row r="299" spans="2:6" ht="27">
      <c r="B299" s="615">
        <v>42221</v>
      </c>
      <c r="C299" s="300">
        <v>42217</v>
      </c>
      <c r="D299" s="301" t="s">
        <v>1496</v>
      </c>
      <c r="E299" s="297" t="s">
        <v>5</v>
      </c>
      <c r="F299" s="297" t="s">
        <v>79</v>
      </c>
    </row>
    <row r="300" spans="2:6">
      <c r="B300" s="615">
        <v>42222</v>
      </c>
      <c r="C300" s="300">
        <v>42217</v>
      </c>
      <c r="D300" s="301" t="s">
        <v>1935</v>
      </c>
      <c r="E300" s="297" t="s">
        <v>5</v>
      </c>
      <c r="F300" s="297" t="s">
        <v>101</v>
      </c>
    </row>
    <row r="301" spans="2:6" ht="27">
      <c r="B301" s="615">
        <v>42222</v>
      </c>
      <c r="C301" s="300">
        <v>42217</v>
      </c>
      <c r="D301" s="301" t="s">
        <v>1952</v>
      </c>
      <c r="E301" s="297" t="s">
        <v>286</v>
      </c>
      <c r="F301" s="297" t="s">
        <v>101</v>
      </c>
    </row>
    <row r="302" spans="2:6" ht="27">
      <c r="B302" s="615">
        <v>42222</v>
      </c>
      <c r="C302" s="300">
        <v>42339</v>
      </c>
      <c r="D302" s="301" t="s">
        <v>1961</v>
      </c>
      <c r="E302" s="297" t="s">
        <v>198</v>
      </c>
      <c r="F302" s="297" t="s">
        <v>336</v>
      </c>
    </row>
    <row r="303" spans="2:6">
      <c r="B303" s="615">
        <v>42222</v>
      </c>
      <c r="C303" s="300">
        <v>42221</v>
      </c>
      <c r="D303" s="301" t="s">
        <v>1473</v>
      </c>
      <c r="E303" s="297" t="s">
        <v>5</v>
      </c>
      <c r="F303" s="297" t="s">
        <v>101</v>
      </c>
    </row>
    <row r="304" spans="2:6">
      <c r="B304" s="617">
        <v>42226</v>
      </c>
      <c r="C304" s="78">
        <v>42217</v>
      </c>
      <c r="D304" s="79" t="s">
        <v>1973</v>
      </c>
      <c r="E304" s="75" t="s">
        <v>1974</v>
      </c>
      <c r="F304" s="75" t="s">
        <v>183</v>
      </c>
    </row>
    <row r="305" spans="2:6">
      <c r="B305" s="618">
        <v>42228</v>
      </c>
      <c r="C305" s="61">
        <v>42217</v>
      </c>
      <c r="D305" s="62" t="s">
        <v>4427</v>
      </c>
      <c r="E305" s="58" t="s">
        <v>171</v>
      </c>
      <c r="F305" s="58" t="s">
        <v>4428</v>
      </c>
    </row>
    <row r="306" spans="2:6">
      <c r="B306" s="620">
        <v>42228</v>
      </c>
      <c r="C306" s="21">
        <v>42228</v>
      </c>
      <c r="D306" s="22" t="s">
        <v>108</v>
      </c>
      <c r="E306" s="20" t="s">
        <v>6821</v>
      </c>
      <c r="F306" s="20" t="s">
        <v>104</v>
      </c>
    </row>
    <row r="307" spans="2:6" ht="27">
      <c r="B307" s="615">
        <v>42229</v>
      </c>
      <c r="C307" s="300">
        <v>42217</v>
      </c>
      <c r="D307" s="301" t="s">
        <v>1210</v>
      </c>
      <c r="E307" s="297" t="s">
        <v>198</v>
      </c>
      <c r="F307" s="297" t="s">
        <v>336</v>
      </c>
    </row>
    <row r="308" spans="2:6" ht="27">
      <c r="B308" s="615">
        <v>42229</v>
      </c>
      <c r="C308" s="300">
        <v>42217</v>
      </c>
      <c r="D308" s="301" t="s">
        <v>1338</v>
      </c>
      <c r="E308" s="297" t="s">
        <v>195</v>
      </c>
      <c r="F308" s="297" t="s">
        <v>336</v>
      </c>
    </row>
    <row r="309" spans="2:6" ht="27">
      <c r="B309" s="615">
        <v>42229</v>
      </c>
      <c r="C309" s="300">
        <v>42217</v>
      </c>
      <c r="D309" s="301" t="s">
        <v>1655</v>
      </c>
      <c r="E309" s="297" t="s">
        <v>198</v>
      </c>
      <c r="F309" s="297" t="s">
        <v>336</v>
      </c>
    </row>
    <row r="310" spans="2:6">
      <c r="B310" s="618">
        <v>42229</v>
      </c>
      <c r="C310" s="61">
        <v>42217</v>
      </c>
      <c r="D310" s="62" t="s">
        <v>6851</v>
      </c>
      <c r="E310" s="58" t="s">
        <v>171</v>
      </c>
      <c r="F310" s="58" t="s">
        <v>3471</v>
      </c>
    </row>
    <row r="311" spans="2:6" ht="27">
      <c r="B311" s="618">
        <v>42230</v>
      </c>
      <c r="C311" s="61">
        <v>42217</v>
      </c>
      <c r="D311" s="62" t="s">
        <v>6852</v>
      </c>
      <c r="E311" s="58" t="s">
        <v>171</v>
      </c>
      <c r="F311" s="58" t="s">
        <v>6853</v>
      </c>
    </row>
    <row r="312" spans="2:6">
      <c r="B312" s="615">
        <v>42232</v>
      </c>
      <c r="C312" s="302">
        <v>42232</v>
      </c>
      <c r="D312" s="301" t="s">
        <v>521</v>
      </c>
      <c r="E312" s="297"/>
      <c r="F312" s="297"/>
    </row>
    <row r="313" spans="2:6" ht="27">
      <c r="B313" s="617">
        <v>42234</v>
      </c>
      <c r="C313" s="78">
        <v>42217</v>
      </c>
      <c r="D313" s="79" t="s">
        <v>6854</v>
      </c>
      <c r="E313" s="75" t="s">
        <v>625</v>
      </c>
      <c r="F313" s="75" t="s">
        <v>1495</v>
      </c>
    </row>
    <row r="314" spans="2:6" ht="27">
      <c r="B314" s="617">
        <v>42235</v>
      </c>
      <c r="C314" s="78">
        <v>42217</v>
      </c>
      <c r="D314" s="79" t="s">
        <v>1988</v>
      </c>
      <c r="E314" s="75" t="s">
        <v>5</v>
      </c>
      <c r="F314" s="75" t="s">
        <v>101</v>
      </c>
    </row>
    <row r="315" spans="2:6" ht="27">
      <c r="B315" s="617">
        <v>42235</v>
      </c>
      <c r="C315" s="78">
        <v>42217</v>
      </c>
      <c r="D315" s="79" t="s">
        <v>1228</v>
      </c>
      <c r="E315" s="75" t="s">
        <v>198</v>
      </c>
      <c r="F315" s="75" t="s">
        <v>336</v>
      </c>
    </row>
    <row r="316" spans="2:6">
      <c r="B316" s="615">
        <v>42235</v>
      </c>
      <c r="C316" s="302">
        <v>42235</v>
      </c>
      <c r="D316" s="301" t="s">
        <v>814</v>
      </c>
      <c r="E316" s="297"/>
      <c r="F316" s="297"/>
    </row>
    <row r="317" spans="2:6" ht="27">
      <c r="B317" s="617">
        <v>42236</v>
      </c>
      <c r="C317" s="78">
        <v>42217</v>
      </c>
      <c r="D317" s="79" t="s">
        <v>1995</v>
      </c>
      <c r="E317" s="75" t="s">
        <v>625</v>
      </c>
      <c r="F317" s="75" t="s">
        <v>183</v>
      </c>
    </row>
    <row r="318" spans="2:6" ht="27">
      <c r="B318" s="617">
        <v>42236</v>
      </c>
      <c r="C318" s="78">
        <v>42217</v>
      </c>
      <c r="D318" s="79" t="s">
        <v>2013</v>
      </c>
      <c r="E318" s="75" t="s">
        <v>5</v>
      </c>
      <c r="F318" s="75" t="s">
        <v>101</v>
      </c>
    </row>
    <row r="319" spans="2:6">
      <c r="B319" s="615">
        <v>42236</v>
      </c>
      <c r="C319" s="300">
        <v>42217</v>
      </c>
      <c r="D319" s="301" t="s">
        <v>2018</v>
      </c>
      <c r="E319" s="297" t="s">
        <v>171</v>
      </c>
      <c r="F319" s="297" t="s">
        <v>1544</v>
      </c>
    </row>
    <row r="320" spans="2:6" ht="27">
      <c r="B320" s="615">
        <v>42236</v>
      </c>
      <c r="C320" s="300">
        <v>42217</v>
      </c>
      <c r="D320" s="301" t="s">
        <v>547</v>
      </c>
      <c r="E320" s="297" t="s">
        <v>63</v>
      </c>
      <c r="F320" s="297" t="s">
        <v>107</v>
      </c>
    </row>
    <row r="321" spans="2:6" ht="27">
      <c r="B321" s="614">
        <v>42236</v>
      </c>
      <c r="C321" s="40">
        <v>42217</v>
      </c>
      <c r="D321" s="39" t="s">
        <v>149</v>
      </c>
      <c r="E321" s="34" t="s">
        <v>5</v>
      </c>
      <c r="F321" s="34" t="s">
        <v>79</v>
      </c>
    </row>
    <row r="322" spans="2:6" ht="27">
      <c r="B322" s="615">
        <v>42237</v>
      </c>
      <c r="C322" s="300">
        <v>42217</v>
      </c>
      <c r="D322" s="301" t="s">
        <v>1433</v>
      </c>
      <c r="E322" s="297" t="s">
        <v>5</v>
      </c>
      <c r="F322" s="297" t="s">
        <v>336</v>
      </c>
    </row>
    <row r="323" spans="2:6">
      <c r="B323" s="615">
        <v>42240</v>
      </c>
      <c r="C323" s="300">
        <v>42217</v>
      </c>
      <c r="D323" s="301" t="s">
        <v>2030</v>
      </c>
      <c r="E323" s="297"/>
      <c r="F323" s="297"/>
    </row>
    <row r="324" spans="2:6">
      <c r="B324" s="617">
        <v>42240</v>
      </c>
      <c r="C324" s="78">
        <v>42217</v>
      </c>
      <c r="D324" s="79" t="s">
        <v>2039</v>
      </c>
      <c r="E324" s="75" t="s">
        <v>63</v>
      </c>
      <c r="F324" s="75" t="s">
        <v>101</v>
      </c>
    </row>
    <row r="325" spans="2:6">
      <c r="B325" s="618">
        <v>42241</v>
      </c>
      <c r="C325" s="61">
        <v>42217</v>
      </c>
      <c r="D325" s="62" t="s">
        <v>2059</v>
      </c>
      <c r="E325" s="58" t="s">
        <v>5</v>
      </c>
      <c r="F325" s="58" t="s">
        <v>101</v>
      </c>
    </row>
    <row r="326" spans="2:6">
      <c r="B326" s="615">
        <v>42241</v>
      </c>
      <c r="C326" s="302">
        <v>42217</v>
      </c>
      <c r="D326" s="301" t="s">
        <v>1766</v>
      </c>
      <c r="E326" s="297" t="s">
        <v>5</v>
      </c>
      <c r="F326" s="297" t="s">
        <v>101</v>
      </c>
    </row>
    <row r="327" spans="2:6" ht="27">
      <c r="B327" s="616">
        <v>42243</v>
      </c>
      <c r="C327" s="21">
        <v>42217</v>
      </c>
      <c r="D327" s="22" t="s">
        <v>2068</v>
      </c>
      <c r="E327" s="17" t="s">
        <v>195</v>
      </c>
      <c r="F327" s="17" t="s">
        <v>1751</v>
      </c>
    </row>
    <row r="328" spans="2:6">
      <c r="B328" s="615">
        <v>42243</v>
      </c>
      <c r="C328" s="300">
        <v>42217</v>
      </c>
      <c r="D328" s="301" t="s">
        <v>2078</v>
      </c>
      <c r="E328" s="297" t="s">
        <v>63</v>
      </c>
      <c r="F328" s="297" t="s">
        <v>101</v>
      </c>
    </row>
    <row r="329" spans="2:6" ht="27">
      <c r="B329" s="615">
        <v>42243</v>
      </c>
      <c r="C329" s="300">
        <v>42217</v>
      </c>
      <c r="D329" s="301" t="s">
        <v>1775</v>
      </c>
      <c r="E329" s="297" t="s">
        <v>195</v>
      </c>
      <c r="F329" s="297" t="s">
        <v>336</v>
      </c>
    </row>
    <row r="330" spans="2:6" ht="27">
      <c r="B330" s="615">
        <v>42243</v>
      </c>
      <c r="C330" s="302">
        <v>42217</v>
      </c>
      <c r="D330" s="301" t="s">
        <v>1459</v>
      </c>
      <c r="E330" s="297" t="s">
        <v>503</v>
      </c>
      <c r="F330" s="297" t="s">
        <v>336</v>
      </c>
    </row>
    <row r="331" spans="2:6" ht="27">
      <c r="B331" s="614">
        <v>42243</v>
      </c>
      <c r="C331" s="38">
        <v>42243</v>
      </c>
      <c r="D331" s="39" t="s">
        <v>3666</v>
      </c>
      <c r="E331" s="34" t="s">
        <v>195</v>
      </c>
      <c r="F331" s="34" t="s">
        <v>1751</v>
      </c>
    </row>
    <row r="332" spans="2:6">
      <c r="B332" s="615">
        <v>42247</v>
      </c>
      <c r="C332" s="300">
        <v>42217</v>
      </c>
      <c r="D332" s="301" t="s">
        <v>797</v>
      </c>
      <c r="E332" s="297" t="s">
        <v>5</v>
      </c>
      <c r="F332" s="297" t="s">
        <v>131</v>
      </c>
    </row>
    <row r="333" spans="2:6" ht="27">
      <c r="B333" s="615">
        <v>42247</v>
      </c>
      <c r="C333" s="300">
        <v>42217</v>
      </c>
      <c r="D333" s="301" t="s">
        <v>1268</v>
      </c>
      <c r="E333" s="297" t="s">
        <v>5</v>
      </c>
      <c r="F333" s="297" t="s">
        <v>85</v>
      </c>
    </row>
    <row r="334" spans="2:6">
      <c r="B334" s="615">
        <v>42247</v>
      </c>
      <c r="C334" s="300">
        <v>42217</v>
      </c>
      <c r="D334" s="301" t="s">
        <v>1283</v>
      </c>
      <c r="E334" s="297" t="s">
        <v>5</v>
      </c>
      <c r="F334" s="297" t="s">
        <v>101</v>
      </c>
    </row>
    <row r="335" spans="2:6">
      <c r="B335" s="615">
        <v>42247</v>
      </c>
      <c r="C335" s="300">
        <v>42217</v>
      </c>
      <c r="D335" s="301" t="s">
        <v>1320</v>
      </c>
      <c r="E335" s="297" t="s">
        <v>5</v>
      </c>
      <c r="F335" s="297" t="s">
        <v>101</v>
      </c>
    </row>
    <row r="336" spans="2:6" ht="27">
      <c r="B336" s="615">
        <v>42247</v>
      </c>
      <c r="C336" s="300">
        <v>42217</v>
      </c>
      <c r="D336" s="301" t="s">
        <v>1358</v>
      </c>
      <c r="E336" s="297" t="s">
        <v>5</v>
      </c>
      <c r="F336" s="297" t="s">
        <v>336</v>
      </c>
    </row>
    <row r="337" spans="2:6">
      <c r="B337" s="615">
        <v>42247</v>
      </c>
      <c r="C337" s="300">
        <v>42217</v>
      </c>
      <c r="D337" s="301" t="s">
        <v>1900</v>
      </c>
      <c r="E337" s="297"/>
      <c r="F337" s="297"/>
    </row>
    <row r="338" spans="2:6" ht="27">
      <c r="B338" s="615">
        <v>42247</v>
      </c>
      <c r="C338" s="300">
        <v>42217</v>
      </c>
      <c r="D338" s="301" t="s">
        <v>1924</v>
      </c>
      <c r="E338" s="297" t="s">
        <v>5</v>
      </c>
      <c r="F338" s="297" t="s">
        <v>336</v>
      </c>
    </row>
    <row r="339" spans="2:6" ht="27">
      <c r="B339" s="615">
        <v>42247</v>
      </c>
      <c r="C339" s="300">
        <v>42217</v>
      </c>
      <c r="D339" s="301" t="s">
        <v>1953</v>
      </c>
      <c r="E339" s="297" t="s">
        <v>5</v>
      </c>
      <c r="F339" s="297" t="s">
        <v>336</v>
      </c>
    </row>
    <row r="340" spans="2:6">
      <c r="B340" s="615">
        <v>42247</v>
      </c>
      <c r="C340" s="302">
        <v>42217</v>
      </c>
      <c r="D340" s="301" t="s">
        <v>681</v>
      </c>
      <c r="E340" s="297" t="s">
        <v>286</v>
      </c>
      <c r="F340" s="297" t="s">
        <v>101</v>
      </c>
    </row>
    <row r="341" spans="2:6" ht="27">
      <c r="B341" s="615">
        <v>42247</v>
      </c>
      <c r="C341" s="302">
        <v>42217</v>
      </c>
      <c r="D341" s="301" t="s">
        <v>710</v>
      </c>
      <c r="E341" s="297" t="s">
        <v>5</v>
      </c>
      <c r="F341" s="297" t="s">
        <v>79</v>
      </c>
    </row>
    <row r="342" spans="2:6">
      <c r="B342" s="615">
        <v>42247</v>
      </c>
      <c r="C342" s="302">
        <v>42247</v>
      </c>
      <c r="D342" s="301" t="s">
        <v>734</v>
      </c>
      <c r="E342" s="297"/>
      <c r="F342" s="297"/>
    </row>
    <row r="343" spans="2:6" ht="27">
      <c r="B343" s="615">
        <v>42247</v>
      </c>
      <c r="C343" s="302">
        <v>42217</v>
      </c>
      <c r="D343" s="301" t="s">
        <v>963</v>
      </c>
      <c r="E343" s="297" t="s">
        <v>5</v>
      </c>
      <c r="F343" s="297" t="s">
        <v>336</v>
      </c>
    </row>
    <row r="344" spans="2:6" ht="40.5">
      <c r="B344" s="615">
        <v>42247</v>
      </c>
      <c r="C344" s="302">
        <v>42217</v>
      </c>
      <c r="D344" s="301" t="s">
        <v>1188</v>
      </c>
      <c r="E344" s="297" t="s">
        <v>5</v>
      </c>
      <c r="F344" s="297" t="s">
        <v>1189</v>
      </c>
    </row>
    <row r="345" spans="2:6" ht="27">
      <c r="B345" s="615">
        <v>42247</v>
      </c>
      <c r="C345" s="302">
        <v>42217</v>
      </c>
      <c r="D345" s="301" t="s">
        <v>1592</v>
      </c>
      <c r="E345" s="297" t="s">
        <v>5</v>
      </c>
      <c r="F345" s="297" t="s">
        <v>336</v>
      </c>
    </row>
    <row r="346" spans="2:6">
      <c r="B346" s="615">
        <v>42247</v>
      </c>
      <c r="C346" s="302">
        <v>42247</v>
      </c>
      <c r="D346" s="301" t="s">
        <v>1901</v>
      </c>
      <c r="E346" s="297"/>
      <c r="F346" s="297"/>
    </row>
    <row r="347" spans="2:6" ht="27">
      <c r="B347" s="615">
        <v>42247</v>
      </c>
      <c r="C347" s="300">
        <v>42217</v>
      </c>
      <c r="D347" s="301" t="s">
        <v>1294</v>
      </c>
      <c r="E347" s="297" t="s">
        <v>5</v>
      </c>
      <c r="F347" s="297" t="s">
        <v>336</v>
      </c>
    </row>
    <row r="348" spans="2:6">
      <c r="B348" s="618">
        <v>42247</v>
      </c>
      <c r="C348" s="61">
        <v>42217</v>
      </c>
      <c r="D348" s="62" t="s">
        <v>4219</v>
      </c>
      <c r="E348" s="58" t="s">
        <v>171</v>
      </c>
      <c r="F348" s="58" t="s">
        <v>4220</v>
      </c>
    </row>
    <row r="349" spans="2:6" ht="27">
      <c r="B349" s="618">
        <v>42247</v>
      </c>
      <c r="C349" s="61">
        <v>42217</v>
      </c>
      <c r="D349" s="62" t="s">
        <v>4252</v>
      </c>
      <c r="E349" s="58" t="s">
        <v>171</v>
      </c>
      <c r="F349" s="58" t="s">
        <v>1495</v>
      </c>
    </row>
    <row r="350" spans="2:6">
      <c r="B350" s="615">
        <v>42247</v>
      </c>
      <c r="C350" s="300">
        <v>42247</v>
      </c>
      <c r="D350" s="301" t="s">
        <v>1497</v>
      </c>
      <c r="E350" s="297" t="s">
        <v>5</v>
      </c>
      <c r="F350" s="297" t="s">
        <v>101</v>
      </c>
    </row>
    <row r="351" spans="2:6" ht="27">
      <c r="B351" s="615">
        <v>42247</v>
      </c>
      <c r="C351" s="300">
        <v>42217</v>
      </c>
      <c r="D351" s="301" t="s">
        <v>6855</v>
      </c>
      <c r="E351" s="297" t="s">
        <v>5</v>
      </c>
      <c r="F351" s="297" t="s">
        <v>713</v>
      </c>
    </row>
    <row r="352" spans="2:6" ht="27">
      <c r="B352" s="615">
        <v>42247</v>
      </c>
      <c r="C352" s="300">
        <v>42217</v>
      </c>
      <c r="D352" s="301" t="s">
        <v>6855</v>
      </c>
      <c r="E352" s="297" t="s">
        <v>286</v>
      </c>
      <c r="F352" s="297" t="s">
        <v>713</v>
      </c>
    </row>
    <row r="353" spans="2:6">
      <c r="B353" s="615">
        <v>42248</v>
      </c>
      <c r="C353" s="300">
        <v>42248</v>
      </c>
      <c r="D353" s="301" t="s">
        <v>1069</v>
      </c>
      <c r="E353" s="297"/>
      <c r="F353" s="297"/>
    </row>
    <row r="354" spans="2:6">
      <c r="B354" s="618">
        <v>42248</v>
      </c>
      <c r="C354" s="61">
        <v>42248</v>
      </c>
      <c r="D354" s="62" t="s">
        <v>4237</v>
      </c>
      <c r="E354" s="58" t="s">
        <v>625</v>
      </c>
      <c r="F354" s="58" t="s">
        <v>4238</v>
      </c>
    </row>
    <row r="355" spans="2:6">
      <c r="B355" s="614">
        <v>42249</v>
      </c>
      <c r="C355" s="38">
        <v>42248</v>
      </c>
      <c r="D355" s="39" t="s">
        <v>2091</v>
      </c>
      <c r="E355" s="34" t="s">
        <v>625</v>
      </c>
      <c r="F355" s="34" t="s">
        <v>183</v>
      </c>
    </row>
    <row r="356" spans="2:6">
      <c r="B356" s="614">
        <v>42249</v>
      </c>
      <c r="C356" s="38">
        <v>42248</v>
      </c>
      <c r="D356" s="39" t="s">
        <v>2098</v>
      </c>
      <c r="E356" s="34" t="s">
        <v>1493</v>
      </c>
      <c r="F356" s="34" t="s">
        <v>183</v>
      </c>
    </row>
    <row r="357" spans="2:6">
      <c r="B357" s="617">
        <v>42251</v>
      </c>
      <c r="C357" s="78">
        <v>42248</v>
      </c>
      <c r="D357" s="79" t="s">
        <v>2104</v>
      </c>
      <c r="E357" s="75" t="s">
        <v>5</v>
      </c>
      <c r="F357" s="75" t="s">
        <v>101</v>
      </c>
    </row>
    <row r="358" spans="2:6">
      <c r="B358" s="615">
        <v>42251</v>
      </c>
      <c r="C358" s="300">
        <v>42248</v>
      </c>
      <c r="D358" s="301" t="s">
        <v>2112</v>
      </c>
      <c r="E358" s="297" t="s">
        <v>5</v>
      </c>
      <c r="F358" s="297" t="s">
        <v>101</v>
      </c>
    </row>
    <row r="359" spans="2:6">
      <c r="B359" s="615">
        <v>42251</v>
      </c>
      <c r="C359" s="300">
        <v>42248</v>
      </c>
      <c r="D359" s="301" t="s">
        <v>2122</v>
      </c>
      <c r="E359" s="297" t="s">
        <v>5</v>
      </c>
      <c r="F359" s="297" t="s">
        <v>101</v>
      </c>
    </row>
    <row r="360" spans="2:6">
      <c r="B360" s="615">
        <v>42251</v>
      </c>
      <c r="C360" s="300">
        <v>42248</v>
      </c>
      <c r="D360" s="301" t="s">
        <v>2129</v>
      </c>
      <c r="E360" s="297" t="s">
        <v>5</v>
      </c>
      <c r="F360" s="297" t="s">
        <v>101</v>
      </c>
    </row>
    <row r="361" spans="2:6">
      <c r="B361" s="615">
        <v>42251</v>
      </c>
      <c r="C361" s="300">
        <v>42248</v>
      </c>
      <c r="D361" s="301" t="s">
        <v>2141</v>
      </c>
      <c r="E361" s="297" t="s">
        <v>5</v>
      </c>
      <c r="F361" s="297" t="s">
        <v>101</v>
      </c>
    </row>
    <row r="362" spans="2:6">
      <c r="B362" s="615">
        <v>42251</v>
      </c>
      <c r="C362" s="300">
        <v>42248</v>
      </c>
      <c r="D362" s="301" t="s">
        <v>2150</v>
      </c>
      <c r="E362" s="297" t="s">
        <v>5</v>
      </c>
      <c r="F362" s="297" t="s">
        <v>101</v>
      </c>
    </row>
    <row r="363" spans="2:6" ht="27">
      <c r="B363" s="617">
        <v>42251</v>
      </c>
      <c r="C363" s="78">
        <v>42248</v>
      </c>
      <c r="D363" s="79" t="s">
        <v>2159</v>
      </c>
      <c r="E363" s="75" t="s">
        <v>5</v>
      </c>
      <c r="F363" s="75" t="s">
        <v>101</v>
      </c>
    </row>
    <row r="364" spans="2:6">
      <c r="B364" s="618">
        <v>42255</v>
      </c>
      <c r="C364" s="61">
        <v>42248</v>
      </c>
      <c r="D364" s="62" t="s">
        <v>2166</v>
      </c>
      <c r="E364" s="58" t="s">
        <v>625</v>
      </c>
      <c r="F364" s="58" t="s">
        <v>183</v>
      </c>
    </row>
    <row r="365" spans="2:6">
      <c r="B365" s="618">
        <v>42255</v>
      </c>
      <c r="C365" s="61">
        <v>42248</v>
      </c>
      <c r="D365" s="62" t="s">
        <v>2174</v>
      </c>
      <c r="E365" s="58" t="s">
        <v>1493</v>
      </c>
      <c r="F365" s="58" t="s">
        <v>183</v>
      </c>
    </row>
    <row r="366" spans="2:6">
      <c r="B366" s="617">
        <v>42255</v>
      </c>
      <c r="C366" s="78">
        <v>42248</v>
      </c>
      <c r="D366" s="79" t="s">
        <v>2179</v>
      </c>
      <c r="E366" s="75" t="s">
        <v>625</v>
      </c>
      <c r="F366" s="75" t="s">
        <v>183</v>
      </c>
    </row>
    <row r="367" spans="2:6">
      <c r="B367" s="615">
        <v>42255</v>
      </c>
      <c r="C367" s="300">
        <v>42248</v>
      </c>
      <c r="D367" s="301" t="s">
        <v>2187</v>
      </c>
      <c r="E367" s="297" t="s">
        <v>625</v>
      </c>
      <c r="F367" s="297" t="s">
        <v>183</v>
      </c>
    </row>
    <row r="368" spans="2:6" ht="27">
      <c r="B368" s="617">
        <v>42258</v>
      </c>
      <c r="C368" s="78">
        <v>42248</v>
      </c>
      <c r="D368" s="79" t="s">
        <v>2040</v>
      </c>
      <c r="E368" s="75" t="s">
        <v>63</v>
      </c>
      <c r="F368" s="75" t="s">
        <v>336</v>
      </c>
    </row>
    <row r="369" spans="2:6" ht="27">
      <c r="B369" s="617">
        <v>42261</v>
      </c>
      <c r="C369" s="78">
        <v>42248</v>
      </c>
      <c r="D369" s="79" t="s">
        <v>2196</v>
      </c>
      <c r="E369" s="75" t="s">
        <v>1493</v>
      </c>
      <c r="F369" s="75" t="s">
        <v>336</v>
      </c>
    </row>
    <row r="370" spans="2:6">
      <c r="B370" s="615">
        <v>42261</v>
      </c>
      <c r="C370" s="300">
        <v>42248</v>
      </c>
      <c r="D370" s="301" t="s">
        <v>1621</v>
      </c>
      <c r="E370" s="297" t="s">
        <v>5</v>
      </c>
      <c r="F370" s="297" t="s">
        <v>101</v>
      </c>
    </row>
    <row r="371" spans="2:6">
      <c r="B371" s="615">
        <v>42261</v>
      </c>
      <c r="C371" s="300">
        <v>42248</v>
      </c>
      <c r="D371" s="301" t="s">
        <v>1727</v>
      </c>
      <c r="E371" s="297" t="s">
        <v>625</v>
      </c>
      <c r="F371" s="297" t="s">
        <v>183</v>
      </c>
    </row>
    <row r="372" spans="2:6">
      <c r="B372" s="615">
        <v>42261</v>
      </c>
      <c r="C372" s="302">
        <v>42248</v>
      </c>
      <c r="D372" s="301" t="s">
        <v>1622</v>
      </c>
      <c r="E372" s="297" t="s">
        <v>625</v>
      </c>
      <c r="F372" s="297" t="s">
        <v>183</v>
      </c>
    </row>
    <row r="373" spans="2:6" ht="27">
      <c r="B373" s="615">
        <v>42262</v>
      </c>
      <c r="C373" s="300">
        <v>42248</v>
      </c>
      <c r="D373" s="301" t="s">
        <v>2201</v>
      </c>
      <c r="E373" s="297" t="s">
        <v>195</v>
      </c>
      <c r="F373" s="297" t="s">
        <v>1751</v>
      </c>
    </row>
    <row r="374" spans="2:6">
      <c r="B374" s="615">
        <v>42263</v>
      </c>
      <c r="C374" s="300">
        <v>42248</v>
      </c>
      <c r="D374" s="301" t="s">
        <v>244</v>
      </c>
      <c r="E374" s="297" t="s">
        <v>5</v>
      </c>
      <c r="F374" s="297" t="s">
        <v>131</v>
      </c>
    </row>
    <row r="375" spans="2:6" ht="27">
      <c r="B375" s="615">
        <v>42263</v>
      </c>
      <c r="C375" s="300">
        <v>42248</v>
      </c>
      <c r="D375" s="301" t="s">
        <v>649</v>
      </c>
      <c r="E375" s="297"/>
      <c r="F375" s="297" t="s">
        <v>79</v>
      </c>
    </row>
    <row r="376" spans="2:6">
      <c r="B376" s="618">
        <v>42263</v>
      </c>
      <c r="C376" s="61">
        <v>42248</v>
      </c>
      <c r="D376" s="62" t="s">
        <v>952</v>
      </c>
      <c r="E376" s="58" t="s">
        <v>5</v>
      </c>
      <c r="F376" s="58" t="s">
        <v>131</v>
      </c>
    </row>
    <row r="377" spans="2:6">
      <c r="B377" s="615">
        <v>42263</v>
      </c>
      <c r="C377" s="300">
        <v>42248</v>
      </c>
      <c r="D377" s="301" t="s">
        <v>1765</v>
      </c>
      <c r="E377" s="297" t="s">
        <v>5</v>
      </c>
      <c r="F377" s="297" t="s">
        <v>131</v>
      </c>
    </row>
    <row r="378" spans="2:6">
      <c r="B378" s="617">
        <v>42263</v>
      </c>
      <c r="C378" s="78">
        <v>42248</v>
      </c>
      <c r="D378" s="79" t="s">
        <v>1996</v>
      </c>
      <c r="E378" s="75" t="s">
        <v>1997</v>
      </c>
      <c r="F378" s="75" t="s">
        <v>1544</v>
      </c>
    </row>
    <row r="379" spans="2:6">
      <c r="B379" s="617">
        <v>42264</v>
      </c>
      <c r="C379" s="78">
        <v>42264</v>
      </c>
      <c r="D379" s="79" t="s">
        <v>1545</v>
      </c>
      <c r="E379" s="75" t="s">
        <v>5</v>
      </c>
      <c r="F379" s="75" t="s">
        <v>101</v>
      </c>
    </row>
    <row r="380" spans="2:6" ht="27">
      <c r="B380" s="615">
        <v>42264</v>
      </c>
      <c r="C380" s="300">
        <v>42248</v>
      </c>
      <c r="D380" s="301" t="s">
        <v>1569</v>
      </c>
      <c r="E380" s="297" t="s">
        <v>5</v>
      </c>
      <c r="F380" s="297" t="s">
        <v>85</v>
      </c>
    </row>
    <row r="381" spans="2:6">
      <c r="B381" s="617">
        <v>42264</v>
      </c>
      <c r="C381" s="78">
        <v>42251</v>
      </c>
      <c r="D381" s="79" t="s">
        <v>1638</v>
      </c>
      <c r="E381" s="75" t="s">
        <v>5</v>
      </c>
      <c r="F381" s="75" t="s">
        <v>101</v>
      </c>
    </row>
    <row r="382" spans="2:6" ht="27">
      <c r="B382" s="615">
        <v>42264</v>
      </c>
      <c r="C382" s="302">
        <v>42248</v>
      </c>
      <c r="D382" s="301" t="s">
        <v>530</v>
      </c>
      <c r="E382" s="297" t="s">
        <v>5</v>
      </c>
      <c r="F382" s="297" t="s">
        <v>531</v>
      </c>
    </row>
    <row r="383" spans="2:6">
      <c r="B383" s="616">
        <v>42264</v>
      </c>
      <c r="C383" s="21">
        <v>42248</v>
      </c>
      <c r="D383" s="22" t="s">
        <v>6856</v>
      </c>
      <c r="E383" s="17" t="s">
        <v>171</v>
      </c>
      <c r="F383" s="17" t="s">
        <v>1864</v>
      </c>
    </row>
    <row r="384" spans="2:6" ht="27">
      <c r="B384" s="616">
        <v>42265</v>
      </c>
      <c r="C384" s="21">
        <v>42248</v>
      </c>
      <c r="D384" s="22" t="s">
        <v>6857</v>
      </c>
      <c r="E384" s="17" t="s">
        <v>171</v>
      </c>
      <c r="F384" s="17" t="s">
        <v>1393</v>
      </c>
    </row>
    <row r="385" spans="2:6" ht="27">
      <c r="B385" s="615">
        <v>42268</v>
      </c>
      <c r="C385" s="300">
        <v>42248</v>
      </c>
      <c r="D385" s="301" t="s">
        <v>1460</v>
      </c>
      <c r="E385" s="297" t="s">
        <v>5</v>
      </c>
      <c r="F385" s="297" t="s">
        <v>1461</v>
      </c>
    </row>
    <row r="386" spans="2:6" ht="27">
      <c r="B386" s="615">
        <v>42268</v>
      </c>
      <c r="C386" s="300">
        <v>42248</v>
      </c>
      <c r="D386" s="301" t="s">
        <v>6858</v>
      </c>
      <c r="E386" s="297" t="s">
        <v>5</v>
      </c>
      <c r="F386" s="297" t="s">
        <v>713</v>
      </c>
    </row>
    <row r="387" spans="2:6">
      <c r="B387" s="617">
        <v>42270</v>
      </c>
      <c r="C387" s="78">
        <v>42248</v>
      </c>
      <c r="D387" s="79" t="s">
        <v>2206</v>
      </c>
      <c r="E387" s="75" t="s">
        <v>5</v>
      </c>
      <c r="F387" s="75" t="s">
        <v>101</v>
      </c>
    </row>
    <row r="388" spans="2:6">
      <c r="B388" s="617">
        <v>42270</v>
      </c>
      <c r="C388" s="78">
        <v>42248</v>
      </c>
      <c r="D388" s="79" t="s">
        <v>2206</v>
      </c>
      <c r="E388" s="75" t="s">
        <v>5</v>
      </c>
      <c r="F388" s="75" t="s">
        <v>101</v>
      </c>
    </row>
    <row r="389" spans="2:6">
      <c r="B389" s="614">
        <v>42271</v>
      </c>
      <c r="C389" s="38">
        <v>42248</v>
      </c>
      <c r="D389" s="39" t="s">
        <v>2222</v>
      </c>
      <c r="E389" s="34" t="s">
        <v>1493</v>
      </c>
      <c r="F389" s="34" t="s">
        <v>2223</v>
      </c>
    </row>
    <row r="390" spans="2:6" ht="27">
      <c r="B390" s="615">
        <v>42271</v>
      </c>
      <c r="C390" s="300">
        <v>42248</v>
      </c>
      <c r="D390" s="301" t="s">
        <v>1591</v>
      </c>
      <c r="E390" s="297" t="s">
        <v>195</v>
      </c>
      <c r="F390" s="297" t="s">
        <v>85</v>
      </c>
    </row>
    <row r="391" spans="2:6">
      <c r="B391" s="614">
        <v>42272</v>
      </c>
      <c r="C391" s="38">
        <v>42248</v>
      </c>
      <c r="D391" s="39" t="s">
        <v>2224</v>
      </c>
      <c r="E391" s="34" t="s">
        <v>625</v>
      </c>
      <c r="F391" s="34" t="s">
        <v>183</v>
      </c>
    </row>
    <row r="392" spans="2:6">
      <c r="B392" s="615">
        <v>42275</v>
      </c>
      <c r="C392" s="300">
        <v>42248</v>
      </c>
      <c r="D392" s="301" t="s">
        <v>2246</v>
      </c>
      <c r="E392" s="297" t="s">
        <v>63</v>
      </c>
      <c r="F392" s="297" t="s">
        <v>101</v>
      </c>
    </row>
    <row r="393" spans="2:6">
      <c r="B393" s="617">
        <v>42275</v>
      </c>
      <c r="C393" s="78">
        <v>42248</v>
      </c>
      <c r="D393" s="79" t="s">
        <v>2256</v>
      </c>
      <c r="E393" s="75" t="s">
        <v>63</v>
      </c>
      <c r="F393" s="75" t="s">
        <v>101</v>
      </c>
    </row>
    <row r="394" spans="2:6">
      <c r="B394" s="617">
        <v>42275</v>
      </c>
      <c r="C394" s="78">
        <v>42248</v>
      </c>
      <c r="D394" s="79" t="s">
        <v>2265</v>
      </c>
      <c r="E394" s="75" t="s">
        <v>63</v>
      </c>
      <c r="F394" s="75" t="s">
        <v>101</v>
      </c>
    </row>
    <row r="395" spans="2:6">
      <c r="B395" s="617">
        <v>42275</v>
      </c>
      <c r="C395" s="78">
        <v>42248</v>
      </c>
      <c r="D395" s="79" t="s">
        <v>2231</v>
      </c>
      <c r="E395" s="75" t="s">
        <v>63</v>
      </c>
      <c r="F395" s="75" t="s">
        <v>101</v>
      </c>
    </row>
    <row r="396" spans="2:6" ht="40.5">
      <c r="B396" s="621">
        <v>42277</v>
      </c>
      <c r="C396" s="146">
        <v>42277</v>
      </c>
      <c r="D396" s="174" t="s">
        <v>6537</v>
      </c>
      <c r="E396" s="25" t="s">
        <v>6536</v>
      </c>
      <c r="F396" s="141" t="s">
        <v>4254</v>
      </c>
    </row>
    <row r="397" spans="2:6" ht="27">
      <c r="B397" s="615">
        <v>42278</v>
      </c>
      <c r="C397" s="300">
        <v>42278</v>
      </c>
      <c r="D397" s="301" t="s">
        <v>1412</v>
      </c>
      <c r="E397" s="297" t="s">
        <v>63</v>
      </c>
      <c r="F397" s="297" t="s">
        <v>336</v>
      </c>
    </row>
    <row r="398" spans="2:6">
      <c r="B398" s="618">
        <v>42278</v>
      </c>
      <c r="C398" s="61">
        <v>42278</v>
      </c>
      <c r="D398" s="62" t="s">
        <v>4429</v>
      </c>
      <c r="E398" s="58" t="s">
        <v>1997</v>
      </c>
      <c r="F398" s="58" t="s">
        <v>4430</v>
      </c>
    </row>
    <row r="399" spans="2:6" ht="27">
      <c r="B399" s="615">
        <v>42282</v>
      </c>
      <c r="C399" s="300">
        <v>42278</v>
      </c>
      <c r="D399" s="301" t="s">
        <v>2271</v>
      </c>
      <c r="E399" s="297" t="s">
        <v>5</v>
      </c>
      <c r="F399" s="297" t="s">
        <v>101</v>
      </c>
    </row>
    <row r="400" spans="2:6" ht="27">
      <c r="B400" s="615">
        <v>42282</v>
      </c>
      <c r="C400" s="302">
        <v>42278</v>
      </c>
      <c r="D400" s="301" t="s">
        <v>548</v>
      </c>
      <c r="E400" s="297" t="s">
        <v>63</v>
      </c>
      <c r="F400" s="297" t="s">
        <v>107</v>
      </c>
    </row>
    <row r="401" spans="2:6">
      <c r="B401" s="617">
        <v>42284</v>
      </c>
      <c r="C401" s="78">
        <v>42278</v>
      </c>
      <c r="D401" s="79" t="s">
        <v>2278</v>
      </c>
      <c r="E401" s="75" t="s">
        <v>5</v>
      </c>
      <c r="F401" s="75" t="s">
        <v>101</v>
      </c>
    </row>
    <row r="402" spans="2:6">
      <c r="B402" s="617">
        <v>42284</v>
      </c>
      <c r="C402" s="78">
        <v>42278</v>
      </c>
      <c r="D402" s="79" t="s">
        <v>2285</v>
      </c>
      <c r="E402" s="75" t="s">
        <v>5</v>
      </c>
      <c r="F402" s="75" t="s">
        <v>101</v>
      </c>
    </row>
    <row r="403" spans="2:6">
      <c r="B403" s="617">
        <v>42284</v>
      </c>
      <c r="C403" s="78">
        <v>42278</v>
      </c>
      <c r="D403" s="79" t="s">
        <v>2290</v>
      </c>
      <c r="E403" s="75" t="s">
        <v>5</v>
      </c>
      <c r="F403" s="75" t="s">
        <v>101</v>
      </c>
    </row>
    <row r="404" spans="2:6">
      <c r="B404" s="615">
        <v>42284</v>
      </c>
      <c r="C404" s="300">
        <v>42278</v>
      </c>
      <c r="D404" s="301" t="s">
        <v>2295</v>
      </c>
      <c r="E404" s="297" t="s">
        <v>5</v>
      </c>
      <c r="F404" s="297" t="s">
        <v>101</v>
      </c>
    </row>
    <row r="405" spans="2:6" ht="27">
      <c r="B405" s="615">
        <v>42286</v>
      </c>
      <c r="C405" s="300">
        <v>42278</v>
      </c>
      <c r="D405" s="301" t="s">
        <v>1081</v>
      </c>
      <c r="E405" s="297" t="s">
        <v>503</v>
      </c>
      <c r="F405" s="297" t="s">
        <v>1082</v>
      </c>
    </row>
    <row r="406" spans="2:6">
      <c r="B406" s="615">
        <v>42290</v>
      </c>
      <c r="C406" s="300">
        <v>42278</v>
      </c>
      <c r="D406" s="301" t="s">
        <v>1172</v>
      </c>
      <c r="E406" s="297" t="s">
        <v>63</v>
      </c>
      <c r="F406" s="297" t="s">
        <v>131</v>
      </c>
    </row>
    <row r="407" spans="2:6">
      <c r="B407" s="615">
        <v>42291</v>
      </c>
      <c r="C407" s="300">
        <v>42278</v>
      </c>
      <c r="D407" s="301" t="s">
        <v>2300</v>
      </c>
      <c r="E407" s="297" t="s">
        <v>5</v>
      </c>
      <c r="F407" s="297" t="s">
        <v>101</v>
      </c>
    </row>
    <row r="408" spans="2:6">
      <c r="B408" s="615">
        <v>42291</v>
      </c>
      <c r="C408" s="302">
        <v>42291</v>
      </c>
      <c r="D408" s="301" t="s">
        <v>199</v>
      </c>
      <c r="E408" s="297" t="s">
        <v>63</v>
      </c>
      <c r="F408" s="297" t="s">
        <v>161</v>
      </c>
    </row>
    <row r="409" spans="2:6" ht="27">
      <c r="B409" s="615">
        <v>42293</v>
      </c>
      <c r="C409" s="300">
        <v>42278</v>
      </c>
      <c r="D409" s="301" t="s">
        <v>1295</v>
      </c>
      <c r="E409" s="297" t="s">
        <v>5</v>
      </c>
      <c r="F409" s="297" t="s">
        <v>713</v>
      </c>
    </row>
    <row r="410" spans="2:6" ht="27">
      <c r="B410" s="615">
        <v>42293</v>
      </c>
      <c r="C410" s="300">
        <v>42278</v>
      </c>
      <c r="D410" s="301" t="s">
        <v>1295</v>
      </c>
      <c r="E410" s="297" t="s">
        <v>5</v>
      </c>
      <c r="F410" s="297" t="s">
        <v>713</v>
      </c>
    </row>
    <row r="411" spans="2:6" ht="27">
      <c r="B411" s="615">
        <v>42293</v>
      </c>
      <c r="C411" s="300">
        <v>42293</v>
      </c>
      <c r="D411" s="301" t="s">
        <v>1295</v>
      </c>
      <c r="E411" s="297" t="s">
        <v>5</v>
      </c>
      <c r="F411" s="297" t="s">
        <v>107</v>
      </c>
    </row>
    <row r="412" spans="2:6">
      <c r="B412" s="617">
        <v>42296</v>
      </c>
      <c r="C412" s="78">
        <v>42278</v>
      </c>
      <c r="D412" s="79" t="s">
        <v>2308</v>
      </c>
      <c r="E412" s="75" t="s">
        <v>195</v>
      </c>
      <c r="F412" s="75" t="s">
        <v>183</v>
      </c>
    </row>
    <row r="413" spans="2:6">
      <c r="B413" s="615">
        <v>42296</v>
      </c>
      <c r="C413" s="300">
        <v>42278</v>
      </c>
      <c r="D413" s="301" t="s">
        <v>2316</v>
      </c>
      <c r="E413" s="297" t="s">
        <v>195</v>
      </c>
      <c r="F413" s="297" t="s">
        <v>101</v>
      </c>
    </row>
    <row r="414" spans="2:6">
      <c r="B414" s="617">
        <v>42298</v>
      </c>
      <c r="C414" s="78">
        <v>42278</v>
      </c>
      <c r="D414" s="79" t="s">
        <v>2331</v>
      </c>
      <c r="E414" s="75" t="s">
        <v>5</v>
      </c>
      <c r="F414" s="75" t="s">
        <v>101</v>
      </c>
    </row>
    <row r="415" spans="2:6">
      <c r="B415" s="617">
        <v>42298</v>
      </c>
      <c r="C415" s="80">
        <v>42278</v>
      </c>
      <c r="D415" s="79" t="s">
        <v>1998</v>
      </c>
      <c r="E415" s="75" t="s">
        <v>171</v>
      </c>
      <c r="F415" s="75" t="s">
        <v>183</v>
      </c>
    </row>
    <row r="416" spans="2:6">
      <c r="B416" s="615">
        <v>42299</v>
      </c>
      <c r="C416" s="300">
        <v>42278</v>
      </c>
      <c r="D416" s="301" t="s">
        <v>2019</v>
      </c>
      <c r="E416" s="297" t="s">
        <v>5</v>
      </c>
      <c r="F416" s="297" t="s">
        <v>101</v>
      </c>
    </row>
    <row r="417" spans="2:6">
      <c r="B417" s="615">
        <v>42300</v>
      </c>
      <c r="C417" s="302">
        <v>42278</v>
      </c>
      <c r="D417" s="301" t="s">
        <v>385</v>
      </c>
      <c r="E417" s="297" t="s">
        <v>195</v>
      </c>
      <c r="F417" s="297" t="s">
        <v>386</v>
      </c>
    </row>
    <row r="418" spans="2:6" ht="27">
      <c r="B418" s="615">
        <v>42303</v>
      </c>
      <c r="C418" s="300">
        <v>42278</v>
      </c>
      <c r="D418" s="301" t="s">
        <v>2343</v>
      </c>
      <c r="E418" s="297" t="s">
        <v>5</v>
      </c>
      <c r="F418" s="297" t="s">
        <v>1114</v>
      </c>
    </row>
    <row r="419" spans="2:6">
      <c r="B419" s="618">
        <v>42303</v>
      </c>
      <c r="C419" s="61">
        <v>42303</v>
      </c>
      <c r="D419" s="62" t="s">
        <v>3819</v>
      </c>
      <c r="E419" s="58" t="s">
        <v>625</v>
      </c>
      <c r="F419" s="58" t="s">
        <v>183</v>
      </c>
    </row>
    <row r="420" spans="2:6">
      <c r="B420" s="615">
        <v>42304</v>
      </c>
      <c r="C420" s="300">
        <v>42278</v>
      </c>
      <c r="D420" s="301" t="s">
        <v>1698</v>
      </c>
      <c r="E420" s="297" t="s">
        <v>5</v>
      </c>
      <c r="F420" s="297" t="s">
        <v>101</v>
      </c>
    </row>
    <row r="421" spans="2:6">
      <c r="B421" s="615">
        <v>42304</v>
      </c>
      <c r="C421" s="300">
        <v>42278</v>
      </c>
      <c r="D421" s="301" t="s">
        <v>1698</v>
      </c>
      <c r="E421" s="297" t="s">
        <v>5</v>
      </c>
      <c r="F421" s="297" t="s">
        <v>101</v>
      </c>
    </row>
    <row r="422" spans="2:6" ht="27">
      <c r="B422" s="615">
        <v>42304</v>
      </c>
      <c r="C422" s="300">
        <v>42278</v>
      </c>
      <c r="D422" s="301" t="s">
        <v>2369</v>
      </c>
      <c r="E422" s="297" t="s">
        <v>5</v>
      </c>
      <c r="F422" s="297" t="s">
        <v>101</v>
      </c>
    </row>
    <row r="423" spans="2:6" ht="27">
      <c r="B423" s="618">
        <v>42312</v>
      </c>
      <c r="C423" s="61">
        <v>42309</v>
      </c>
      <c r="D423" s="62" t="s">
        <v>2376</v>
      </c>
      <c r="E423" s="58" t="s">
        <v>195</v>
      </c>
      <c r="F423" s="58" t="s">
        <v>153</v>
      </c>
    </row>
    <row r="424" spans="2:6" ht="27">
      <c r="B424" s="618">
        <v>42312</v>
      </c>
      <c r="C424" s="61">
        <v>42309</v>
      </c>
      <c r="D424" s="62" t="s">
        <v>2376</v>
      </c>
      <c r="E424" s="58" t="s">
        <v>195</v>
      </c>
      <c r="F424" s="58" t="s">
        <v>153</v>
      </c>
    </row>
    <row r="425" spans="2:6">
      <c r="B425" s="618">
        <v>42313</v>
      </c>
      <c r="C425" s="61">
        <v>42309</v>
      </c>
      <c r="D425" s="62" t="s">
        <v>2393</v>
      </c>
      <c r="E425" s="58" t="s">
        <v>625</v>
      </c>
      <c r="F425" s="58" t="s">
        <v>183</v>
      </c>
    </row>
    <row r="426" spans="2:6">
      <c r="B426" s="614">
        <v>42317</v>
      </c>
      <c r="C426" s="38">
        <v>42309</v>
      </c>
      <c r="D426" s="39" t="s">
        <v>2402</v>
      </c>
      <c r="E426" s="34"/>
      <c r="F426" s="34"/>
    </row>
    <row r="427" spans="2:6" ht="27">
      <c r="B427" s="618">
        <v>42317</v>
      </c>
      <c r="C427" s="61">
        <v>42309</v>
      </c>
      <c r="D427" s="62" t="s">
        <v>2408</v>
      </c>
      <c r="E427" s="58" t="s">
        <v>625</v>
      </c>
      <c r="F427" s="58" t="s">
        <v>183</v>
      </c>
    </row>
    <row r="428" spans="2:6">
      <c r="B428" s="618">
        <v>42317</v>
      </c>
      <c r="C428" s="61">
        <v>42309</v>
      </c>
      <c r="D428" s="62" t="s">
        <v>2409</v>
      </c>
      <c r="E428" s="58" t="s">
        <v>625</v>
      </c>
      <c r="F428" s="58" t="s">
        <v>183</v>
      </c>
    </row>
    <row r="429" spans="2:6" ht="27">
      <c r="B429" s="615">
        <v>42319</v>
      </c>
      <c r="C429" s="300">
        <v>42309</v>
      </c>
      <c r="D429" s="301" t="s">
        <v>502</v>
      </c>
      <c r="E429" s="297" t="s">
        <v>503</v>
      </c>
      <c r="F429" s="297" t="s">
        <v>504</v>
      </c>
    </row>
    <row r="430" spans="2:6">
      <c r="B430" s="615">
        <v>42325</v>
      </c>
      <c r="C430" s="300">
        <v>42309</v>
      </c>
      <c r="D430" s="301" t="s">
        <v>1962</v>
      </c>
      <c r="E430" s="297" t="s">
        <v>5</v>
      </c>
      <c r="F430" s="297" t="s">
        <v>101</v>
      </c>
    </row>
    <row r="431" spans="2:6">
      <c r="B431" s="615">
        <v>42326</v>
      </c>
      <c r="C431" s="300">
        <v>42326</v>
      </c>
      <c r="D431" s="308" t="s">
        <v>2020</v>
      </c>
      <c r="E431" s="303" t="s">
        <v>5</v>
      </c>
      <c r="F431" s="303" t="s">
        <v>131</v>
      </c>
    </row>
    <row r="432" spans="2:6">
      <c r="B432" s="615">
        <v>42326</v>
      </c>
      <c r="C432" s="302">
        <v>42309</v>
      </c>
      <c r="D432" s="301" t="s">
        <v>2020</v>
      </c>
      <c r="E432" s="297" t="s">
        <v>5</v>
      </c>
      <c r="F432" s="297" t="s">
        <v>131</v>
      </c>
    </row>
    <row r="433" spans="2:6">
      <c r="B433" s="617">
        <v>42326</v>
      </c>
      <c r="C433" s="78">
        <v>42309</v>
      </c>
      <c r="D433" s="79" t="s">
        <v>1999</v>
      </c>
      <c r="E433" s="75" t="s">
        <v>5</v>
      </c>
      <c r="F433" s="75" t="s">
        <v>101</v>
      </c>
    </row>
    <row r="434" spans="2:6">
      <c r="B434" s="618">
        <v>42327</v>
      </c>
      <c r="C434" s="61">
        <v>42309</v>
      </c>
      <c r="D434" s="62" t="s">
        <v>2429</v>
      </c>
      <c r="E434" s="58" t="s">
        <v>625</v>
      </c>
      <c r="F434" s="58" t="s">
        <v>183</v>
      </c>
    </row>
    <row r="435" spans="2:6">
      <c r="B435" s="617">
        <v>42328</v>
      </c>
      <c r="C435" s="78">
        <v>42309</v>
      </c>
      <c r="D435" s="79" t="s">
        <v>2309</v>
      </c>
      <c r="E435" s="75" t="s">
        <v>5</v>
      </c>
      <c r="F435" s="75" t="s">
        <v>101</v>
      </c>
    </row>
    <row r="436" spans="2:6" ht="27">
      <c r="B436" s="615">
        <v>42331</v>
      </c>
      <c r="C436" s="302">
        <v>42309</v>
      </c>
      <c r="D436" s="301" t="s">
        <v>505</v>
      </c>
      <c r="E436" s="297" t="s">
        <v>503</v>
      </c>
      <c r="F436" s="297" t="s">
        <v>504</v>
      </c>
    </row>
    <row r="437" spans="2:6" ht="40.5">
      <c r="B437" s="615">
        <v>42332</v>
      </c>
      <c r="C437" s="300">
        <v>42309</v>
      </c>
      <c r="D437" s="301" t="s">
        <v>349</v>
      </c>
      <c r="E437" s="297" t="s">
        <v>63</v>
      </c>
      <c r="F437" s="297" t="s">
        <v>350</v>
      </c>
    </row>
    <row r="438" spans="2:6">
      <c r="B438" s="615">
        <v>42332</v>
      </c>
      <c r="C438" s="300">
        <v>42309</v>
      </c>
      <c r="D438" s="301" t="s">
        <v>528</v>
      </c>
      <c r="E438" s="297" t="s">
        <v>63</v>
      </c>
      <c r="F438" s="297" t="s">
        <v>529</v>
      </c>
    </row>
    <row r="439" spans="2:6">
      <c r="B439" s="618">
        <v>42333</v>
      </c>
      <c r="C439" s="61">
        <v>42309</v>
      </c>
      <c r="D439" s="62" t="s">
        <v>2435</v>
      </c>
      <c r="E439" s="58" t="s">
        <v>625</v>
      </c>
      <c r="F439" s="58" t="s">
        <v>183</v>
      </c>
    </row>
    <row r="440" spans="2:6">
      <c r="B440" s="617">
        <v>42334</v>
      </c>
      <c r="C440" s="78">
        <v>42309</v>
      </c>
      <c r="D440" s="79" t="s">
        <v>2447</v>
      </c>
      <c r="E440" s="75" t="s">
        <v>5</v>
      </c>
      <c r="F440" s="75" t="s">
        <v>101</v>
      </c>
    </row>
    <row r="441" spans="2:6" ht="27">
      <c r="B441" s="614">
        <v>42338</v>
      </c>
      <c r="C441" s="38">
        <v>42309</v>
      </c>
      <c r="D441" s="39" t="s">
        <v>150</v>
      </c>
      <c r="E441" s="34" t="s">
        <v>5</v>
      </c>
      <c r="F441" s="34" t="s">
        <v>79</v>
      </c>
    </row>
    <row r="442" spans="2:6">
      <c r="B442" s="618">
        <v>42339</v>
      </c>
      <c r="C442" s="61">
        <v>42339</v>
      </c>
      <c r="D442" s="62" t="s">
        <v>2455</v>
      </c>
      <c r="E442" s="58" t="s">
        <v>1997</v>
      </c>
      <c r="F442" s="58" t="s">
        <v>183</v>
      </c>
    </row>
    <row r="443" spans="2:6">
      <c r="B443" s="617">
        <v>42339</v>
      </c>
      <c r="C443" s="78">
        <v>42339</v>
      </c>
      <c r="D443" s="79" t="s">
        <v>2180</v>
      </c>
      <c r="E443" s="75" t="s">
        <v>625</v>
      </c>
      <c r="F443" s="75" t="s">
        <v>183</v>
      </c>
    </row>
    <row r="444" spans="2:6" ht="27">
      <c r="B444" s="615">
        <v>42339</v>
      </c>
      <c r="C444" s="302">
        <v>42339</v>
      </c>
      <c r="D444" s="301" t="s">
        <v>1728</v>
      </c>
      <c r="E444" s="297" t="s">
        <v>5</v>
      </c>
      <c r="F444" s="297" t="s">
        <v>336</v>
      </c>
    </row>
    <row r="445" spans="2:6">
      <c r="B445" s="618">
        <v>42339</v>
      </c>
      <c r="C445" s="61">
        <v>42339</v>
      </c>
      <c r="D445" s="62" t="s">
        <v>6859</v>
      </c>
      <c r="E445" s="58" t="s">
        <v>625</v>
      </c>
      <c r="F445" s="58" t="s">
        <v>6860</v>
      </c>
    </row>
    <row r="446" spans="2:6">
      <c r="B446" s="617">
        <v>42340</v>
      </c>
      <c r="C446" s="78">
        <v>42339</v>
      </c>
      <c r="D446" s="79" t="s">
        <v>2460</v>
      </c>
      <c r="E446" s="75" t="s">
        <v>63</v>
      </c>
      <c r="F446" s="75" t="s">
        <v>101</v>
      </c>
    </row>
    <row r="447" spans="2:6">
      <c r="B447" s="617">
        <v>42340</v>
      </c>
      <c r="C447" s="78">
        <v>42339</v>
      </c>
      <c r="D447" s="79" t="s">
        <v>2474</v>
      </c>
      <c r="E447" s="75" t="s">
        <v>1493</v>
      </c>
      <c r="F447" s="75" t="s">
        <v>183</v>
      </c>
    </row>
    <row r="448" spans="2:6">
      <c r="B448" s="618">
        <v>42340</v>
      </c>
      <c r="C448" s="61">
        <v>42339</v>
      </c>
      <c r="D448" s="62" t="s">
        <v>2484</v>
      </c>
      <c r="E448" s="58" t="s">
        <v>625</v>
      </c>
      <c r="F448" s="58" t="s">
        <v>183</v>
      </c>
    </row>
    <row r="449" spans="2:6" ht="27">
      <c r="B449" s="618">
        <v>42340</v>
      </c>
      <c r="C449" s="61">
        <v>42339</v>
      </c>
      <c r="D449" s="62" t="s">
        <v>2564</v>
      </c>
      <c r="E449" s="58" t="s">
        <v>171</v>
      </c>
      <c r="F449" s="58" t="s">
        <v>2565</v>
      </c>
    </row>
    <row r="450" spans="2:6">
      <c r="B450" s="615">
        <v>42340</v>
      </c>
      <c r="C450" s="300">
        <v>42339</v>
      </c>
      <c r="D450" s="301" t="s">
        <v>1687</v>
      </c>
      <c r="E450" s="297" t="s">
        <v>171</v>
      </c>
      <c r="F450" s="297" t="s">
        <v>1544</v>
      </c>
    </row>
    <row r="451" spans="2:6">
      <c r="B451" s="615">
        <v>42340</v>
      </c>
      <c r="C451" s="302">
        <v>42339</v>
      </c>
      <c r="D451" s="301" t="s">
        <v>1339</v>
      </c>
      <c r="E451" s="297" t="s">
        <v>5</v>
      </c>
      <c r="F451" s="297" t="s">
        <v>169</v>
      </c>
    </row>
    <row r="452" spans="2:6" ht="27">
      <c r="B452" s="615">
        <v>42340</v>
      </c>
      <c r="C452" s="302">
        <v>42339</v>
      </c>
      <c r="D452" s="301" t="s">
        <v>1688</v>
      </c>
      <c r="E452" s="297" t="s">
        <v>63</v>
      </c>
      <c r="F452" s="297" t="s">
        <v>79</v>
      </c>
    </row>
    <row r="453" spans="2:6" ht="27">
      <c r="B453" s="615">
        <v>42342</v>
      </c>
      <c r="C453" s="302">
        <v>42339</v>
      </c>
      <c r="D453" s="301" t="s">
        <v>351</v>
      </c>
      <c r="E453" s="297" t="s">
        <v>195</v>
      </c>
      <c r="F453" s="297" t="s">
        <v>352</v>
      </c>
    </row>
    <row r="454" spans="2:6">
      <c r="B454" s="615">
        <v>42342</v>
      </c>
      <c r="C454" s="302">
        <v>42339</v>
      </c>
      <c r="D454" s="301" t="s">
        <v>502</v>
      </c>
      <c r="E454" s="297" t="s">
        <v>503</v>
      </c>
      <c r="F454" s="297" t="s">
        <v>1084</v>
      </c>
    </row>
    <row r="455" spans="2:6" ht="27">
      <c r="B455" s="617">
        <v>42347</v>
      </c>
      <c r="C455" s="78">
        <v>42339</v>
      </c>
      <c r="D455" s="79" t="s">
        <v>2493</v>
      </c>
      <c r="E455" s="75" t="s">
        <v>1493</v>
      </c>
      <c r="F455" s="75" t="s">
        <v>183</v>
      </c>
    </row>
    <row r="456" spans="2:6">
      <c r="B456" s="617">
        <v>42349</v>
      </c>
      <c r="C456" s="78">
        <v>42339</v>
      </c>
      <c r="D456" s="79" t="s">
        <v>2499</v>
      </c>
      <c r="E456" s="75" t="s">
        <v>5</v>
      </c>
      <c r="F456" s="75" t="s">
        <v>101</v>
      </c>
    </row>
    <row r="457" spans="2:6">
      <c r="B457" s="617">
        <v>42349</v>
      </c>
      <c r="C457" s="78">
        <v>42339</v>
      </c>
      <c r="D457" s="79" t="s">
        <v>2503</v>
      </c>
      <c r="E457" s="75" t="s">
        <v>5</v>
      </c>
      <c r="F457" s="75" t="s">
        <v>101</v>
      </c>
    </row>
    <row r="458" spans="2:6">
      <c r="B458" s="617">
        <v>42349</v>
      </c>
      <c r="C458" s="78">
        <v>42339</v>
      </c>
      <c r="D458" s="79" t="s">
        <v>2510</v>
      </c>
      <c r="E458" s="75" t="s">
        <v>5</v>
      </c>
      <c r="F458" s="75" t="s">
        <v>101</v>
      </c>
    </row>
    <row r="459" spans="2:6">
      <c r="B459" s="617">
        <v>42349</v>
      </c>
      <c r="C459" s="78">
        <v>42339</v>
      </c>
      <c r="D459" s="79" t="s">
        <v>1527</v>
      </c>
      <c r="E459" s="75" t="s">
        <v>5</v>
      </c>
      <c r="F459" s="75" t="s">
        <v>101</v>
      </c>
    </row>
    <row r="460" spans="2:6">
      <c r="B460" s="618">
        <v>42352</v>
      </c>
      <c r="C460" s="61">
        <v>42339</v>
      </c>
      <c r="D460" s="62" t="s">
        <v>2515</v>
      </c>
      <c r="E460" s="58" t="s">
        <v>1493</v>
      </c>
      <c r="F460" s="58" t="s">
        <v>183</v>
      </c>
    </row>
    <row r="461" spans="2:6">
      <c r="B461" s="617">
        <v>42354</v>
      </c>
      <c r="C461" s="78">
        <v>42339</v>
      </c>
      <c r="D461" s="79" t="s">
        <v>2527</v>
      </c>
      <c r="E461" s="75" t="s">
        <v>5</v>
      </c>
      <c r="F461" s="75" t="s">
        <v>101</v>
      </c>
    </row>
    <row r="462" spans="2:6">
      <c r="B462" s="618">
        <v>42356</v>
      </c>
      <c r="C462" s="61">
        <v>42339</v>
      </c>
      <c r="D462" s="62" t="s">
        <v>2539</v>
      </c>
      <c r="E462" s="58" t="s">
        <v>625</v>
      </c>
      <c r="F462" s="58" t="s">
        <v>183</v>
      </c>
    </row>
    <row r="463" spans="2:6">
      <c r="B463" s="618">
        <v>42359</v>
      </c>
      <c r="C463" s="61">
        <v>42339</v>
      </c>
      <c r="D463" s="62" t="s">
        <v>2550</v>
      </c>
      <c r="E463" s="58" t="s">
        <v>63</v>
      </c>
      <c r="F463" s="58" t="s">
        <v>101</v>
      </c>
    </row>
    <row r="464" spans="2:6">
      <c r="B464" s="617">
        <v>42360</v>
      </c>
      <c r="C464" s="78">
        <v>42339</v>
      </c>
      <c r="D464" s="79" t="s">
        <v>1741</v>
      </c>
      <c r="E464" s="75" t="s">
        <v>5</v>
      </c>
      <c r="F464" s="75" t="s">
        <v>101</v>
      </c>
    </row>
    <row r="465" spans="2:6">
      <c r="B465" s="615">
        <v>42360</v>
      </c>
      <c r="C465" s="300">
        <v>42339</v>
      </c>
      <c r="D465" s="301" t="s">
        <v>424</v>
      </c>
      <c r="E465" s="297" t="s">
        <v>5</v>
      </c>
      <c r="F465" s="297" t="s">
        <v>104</v>
      </c>
    </row>
    <row r="466" spans="2:6" ht="27">
      <c r="B466" s="618">
        <v>42366</v>
      </c>
      <c r="C466" s="61">
        <v>42339</v>
      </c>
      <c r="D466" s="62" t="s">
        <v>2566</v>
      </c>
      <c r="E466" s="58" t="s">
        <v>503</v>
      </c>
      <c r="F466" s="58" t="s">
        <v>2378</v>
      </c>
    </row>
    <row r="467" spans="2:6">
      <c r="B467" s="615">
        <v>42373</v>
      </c>
      <c r="C467" s="300">
        <v>42370</v>
      </c>
      <c r="D467" s="301" t="s">
        <v>2578</v>
      </c>
      <c r="E467" s="297" t="s">
        <v>2346</v>
      </c>
      <c r="F467" s="297" t="s">
        <v>183</v>
      </c>
    </row>
    <row r="468" spans="2:6">
      <c r="B468" s="618">
        <v>42375</v>
      </c>
      <c r="C468" s="61">
        <v>42370</v>
      </c>
      <c r="D468" s="62" t="s">
        <v>2600</v>
      </c>
      <c r="E468" s="58" t="s">
        <v>2346</v>
      </c>
      <c r="F468" s="58" t="s">
        <v>183</v>
      </c>
    </row>
    <row r="469" spans="2:6">
      <c r="B469" s="618">
        <v>42375</v>
      </c>
      <c r="C469" s="61">
        <v>42370</v>
      </c>
      <c r="D469" s="62" t="s">
        <v>2601</v>
      </c>
      <c r="E469" s="58" t="s">
        <v>2346</v>
      </c>
      <c r="F469" s="58" t="s">
        <v>183</v>
      </c>
    </row>
    <row r="470" spans="2:6" ht="27">
      <c r="B470" s="617">
        <v>42381</v>
      </c>
      <c r="C470" s="78">
        <v>42675</v>
      </c>
      <c r="D470" s="79" t="s">
        <v>2617</v>
      </c>
      <c r="E470" s="75" t="s">
        <v>171</v>
      </c>
      <c r="F470" s="75" t="s">
        <v>1544</v>
      </c>
    </row>
    <row r="471" spans="2:6" ht="27">
      <c r="B471" s="615">
        <v>42385</v>
      </c>
      <c r="C471" s="300">
        <v>42370</v>
      </c>
      <c r="D471" s="301" t="s">
        <v>774</v>
      </c>
      <c r="E471" s="297" t="s">
        <v>5</v>
      </c>
      <c r="F471" s="297" t="s">
        <v>775</v>
      </c>
    </row>
    <row r="472" spans="2:6" ht="27">
      <c r="B472" s="617">
        <v>42387</v>
      </c>
      <c r="C472" s="78">
        <v>42370</v>
      </c>
      <c r="D472" s="79" t="s">
        <v>2627</v>
      </c>
      <c r="E472" s="75" t="s">
        <v>625</v>
      </c>
      <c r="F472" s="75" t="s">
        <v>183</v>
      </c>
    </row>
    <row r="473" spans="2:6">
      <c r="B473" s="618">
        <v>42387</v>
      </c>
      <c r="C473" s="61">
        <v>42370</v>
      </c>
      <c r="D473" s="62" t="s">
        <v>6861</v>
      </c>
      <c r="E473" s="58" t="s">
        <v>625</v>
      </c>
      <c r="F473" s="58" t="s">
        <v>183</v>
      </c>
    </row>
    <row r="474" spans="2:6" ht="27">
      <c r="B474" s="615">
        <v>42389</v>
      </c>
      <c r="C474" s="300">
        <v>42370</v>
      </c>
      <c r="D474" s="301" t="s">
        <v>271</v>
      </c>
      <c r="E474" s="297" t="s">
        <v>171</v>
      </c>
      <c r="F474" s="297" t="s">
        <v>2223</v>
      </c>
    </row>
    <row r="475" spans="2:6">
      <c r="B475" s="617">
        <v>42389</v>
      </c>
      <c r="C475" s="78">
        <v>42370</v>
      </c>
      <c r="D475" s="79" t="s">
        <v>2652</v>
      </c>
      <c r="E475" s="75" t="s">
        <v>1974</v>
      </c>
      <c r="F475" s="75" t="s">
        <v>183</v>
      </c>
    </row>
    <row r="476" spans="2:6">
      <c r="B476" s="615">
        <v>42389</v>
      </c>
      <c r="C476" s="300">
        <v>42370</v>
      </c>
      <c r="D476" s="301" t="s">
        <v>2659</v>
      </c>
      <c r="E476" s="297" t="s">
        <v>1974</v>
      </c>
      <c r="F476" s="297" t="s">
        <v>183</v>
      </c>
    </row>
    <row r="477" spans="2:6">
      <c r="B477" s="615">
        <v>42394</v>
      </c>
      <c r="C477" s="300">
        <v>42370</v>
      </c>
      <c r="D477" s="301" t="s">
        <v>2670</v>
      </c>
      <c r="E477" s="297" t="s">
        <v>5</v>
      </c>
      <c r="F477" s="297" t="s">
        <v>101</v>
      </c>
    </row>
    <row r="478" spans="2:6">
      <c r="B478" s="614">
        <v>42394</v>
      </c>
      <c r="C478" s="38">
        <v>42370</v>
      </c>
      <c r="D478" s="39" t="s">
        <v>2695</v>
      </c>
      <c r="E478" s="34" t="s">
        <v>5</v>
      </c>
      <c r="F478" s="34" t="s">
        <v>101</v>
      </c>
    </row>
    <row r="479" spans="2:6" ht="27">
      <c r="B479" s="617">
        <v>42395</v>
      </c>
      <c r="C479" s="80">
        <v>42370</v>
      </c>
      <c r="D479" s="79" t="s">
        <v>2041</v>
      </c>
      <c r="E479" s="75" t="s">
        <v>63</v>
      </c>
      <c r="F479" s="75" t="s">
        <v>336</v>
      </c>
    </row>
    <row r="480" spans="2:6">
      <c r="B480" s="617">
        <v>42395</v>
      </c>
      <c r="C480" s="80">
        <v>42370</v>
      </c>
      <c r="D480" s="79" t="s">
        <v>2232</v>
      </c>
      <c r="E480" s="75" t="s">
        <v>208</v>
      </c>
      <c r="F480" s="75" t="s">
        <v>2233</v>
      </c>
    </row>
    <row r="481" spans="2:6">
      <c r="B481" s="615">
        <v>42396</v>
      </c>
      <c r="C481" s="302">
        <v>42370</v>
      </c>
      <c r="D481" s="301" t="s">
        <v>1656</v>
      </c>
      <c r="E481" s="297" t="s">
        <v>5</v>
      </c>
      <c r="F481" s="297" t="s">
        <v>101</v>
      </c>
    </row>
    <row r="482" spans="2:6" ht="27">
      <c r="B482" s="616">
        <v>42396</v>
      </c>
      <c r="C482" s="21">
        <v>42396</v>
      </c>
      <c r="D482" s="22" t="s">
        <v>6862</v>
      </c>
      <c r="E482" s="17" t="s">
        <v>171</v>
      </c>
      <c r="F482" s="17" t="s">
        <v>3423</v>
      </c>
    </row>
    <row r="483" spans="2:6">
      <c r="B483" s="618">
        <v>42398</v>
      </c>
      <c r="C483" s="61">
        <v>42370</v>
      </c>
      <c r="D483" s="62" t="s">
        <v>6863</v>
      </c>
      <c r="E483" s="58" t="s">
        <v>171</v>
      </c>
      <c r="F483" s="58" t="s">
        <v>777</v>
      </c>
    </row>
    <row r="484" spans="2:6" ht="27">
      <c r="B484" s="614">
        <v>42410</v>
      </c>
      <c r="C484" s="38">
        <v>42401</v>
      </c>
      <c r="D484" s="39" t="s">
        <v>6864</v>
      </c>
      <c r="E484" s="34" t="s">
        <v>5</v>
      </c>
      <c r="F484" s="34" t="s">
        <v>6865</v>
      </c>
    </row>
    <row r="485" spans="2:6">
      <c r="B485" s="617">
        <v>42412</v>
      </c>
      <c r="C485" s="78">
        <v>42412</v>
      </c>
      <c r="D485" s="79" t="s">
        <v>4305</v>
      </c>
      <c r="E485" s="75" t="s">
        <v>171</v>
      </c>
      <c r="F485" s="75" t="s">
        <v>777</v>
      </c>
    </row>
    <row r="486" spans="2:6" ht="40.5">
      <c r="B486" s="618">
        <v>42415</v>
      </c>
      <c r="C486" s="61">
        <v>42401</v>
      </c>
      <c r="D486" s="62" t="s">
        <v>2711</v>
      </c>
      <c r="E486" s="58" t="s">
        <v>171</v>
      </c>
      <c r="F486" s="58" t="s">
        <v>1544</v>
      </c>
    </row>
    <row r="487" spans="2:6">
      <c r="B487" s="617">
        <v>42416</v>
      </c>
      <c r="C487" s="78">
        <v>42401</v>
      </c>
      <c r="D487" s="79" t="s">
        <v>2717</v>
      </c>
      <c r="E487" s="75" t="s">
        <v>5</v>
      </c>
      <c r="F487" s="75" t="s">
        <v>101</v>
      </c>
    </row>
    <row r="488" spans="2:6" ht="27">
      <c r="B488" s="617">
        <v>42417</v>
      </c>
      <c r="C488" s="78">
        <v>42401</v>
      </c>
      <c r="D488" s="79" t="s">
        <v>6866</v>
      </c>
      <c r="E488" s="75" t="s">
        <v>195</v>
      </c>
      <c r="F488" s="75" t="s">
        <v>6867</v>
      </c>
    </row>
    <row r="489" spans="2:6">
      <c r="B489" s="615">
        <v>42419</v>
      </c>
      <c r="C489" s="300">
        <v>42401</v>
      </c>
      <c r="D489" s="301" t="s">
        <v>2723</v>
      </c>
      <c r="E489" s="297" t="s">
        <v>5</v>
      </c>
      <c r="F489" s="297" t="s">
        <v>101</v>
      </c>
    </row>
    <row r="490" spans="2:6">
      <c r="B490" s="617">
        <v>42419</v>
      </c>
      <c r="C490" s="78">
        <v>42401</v>
      </c>
      <c r="D490" s="79" t="s">
        <v>2739</v>
      </c>
      <c r="E490" s="75" t="s">
        <v>63</v>
      </c>
      <c r="F490" s="75" t="s">
        <v>101</v>
      </c>
    </row>
    <row r="491" spans="2:6">
      <c r="B491" s="617">
        <v>42419</v>
      </c>
      <c r="C491" s="78">
        <v>42401</v>
      </c>
      <c r="D491" s="79" t="s">
        <v>2751</v>
      </c>
      <c r="E491" s="75" t="s">
        <v>63</v>
      </c>
      <c r="F491" s="75" t="s">
        <v>101</v>
      </c>
    </row>
    <row r="492" spans="2:6">
      <c r="B492" s="615">
        <v>42419</v>
      </c>
      <c r="C492" s="300">
        <v>42401</v>
      </c>
      <c r="D492" s="301" t="s">
        <v>2760</v>
      </c>
      <c r="E492" s="297" t="s">
        <v>63</v>
      </c>
      <c r="F492" s="297" t="s">
        <v>101</v>
      </c>
    </row>
    <row r="493" spans="2:6">
      <c r="B493" s="615">
        <v>42419</v>
      </c>
      <c r="C493" s="300">
        <v>42401</v>
      </c>
      <c r="D493" s="301" t="s">
        <v>2779</v>
      </c>
      <c r="E493" s="297" t="s">
        <v>5</v>
      </c>
      <c r="F493" s="297" t="s">
        <v>101</v>
      </c>
    </row>
    <row r="494" spans="2:6">
      <c r="B494" s="614">
        <v>42419</v>
      </c>
      <c r="C494" s="38">
        <v>42401</v>
      </c>
      <c r="D494" s="39" t="s">
        <v>3667</v>
      </c>
      <c r="E494" s="34" t="s">
        <v>63</v>
      </c>
      <c r="F494" s="34" t="s">
        <v>101</v>
      </c>
    </row>
    <row r="495" spans="2:6">
      <c r="B495" s="618">
        <v>42422</v>
      </c>
      <c r="C495" s="61">
        <v>42401</v>
      </c>
      <c r="D495" s="62" t="s">
        <v>2798</v>
      </c>
      <c r="E495" s="58" t="s">
        <v>171</v>
      </c>
      <c r="F495" s="58" t="s">
        <v>183</v>
      </c>
    </row>
    <row r="496" spans="2:6">
      <c r="B496" s="618">
        <v>42422</v>
      </c>
      <c r="C496" s="63">
        <v>42401</v>
      </c>
      <c r="D496" s="62" t="s">
        <v>2602</v>
      </c>
      <c r="E496" s="58" t="s">
        <v>625</v>
      </c>
      <c r="F496" s="58" t="s">
        <v>183</v>
      </c>
    </row>
    <row r="497" spans="2:6">
      <c r="B497" s="617">
        <v>42422</v>
      </c>
      <c r="C497" s="78">
        <v>42401</v>
      </c>
      <c r="D497" s="79" t="s">
        <v>6868</v>
      </c>
      <c r="E497" s="75" t="s">
        <v>171</v>
      </c>
      <c r="F497" s="75" t="s">
        <v>777</v>
      </c>
    </row>
    <row r="498" spans="2:6">
      <c r="B498" s="618">
        <v>42423</v>
      </c>
      <c r="C498" s="61">
        <v>42401</v>
      </c>
      <c r="D498" s="62" t="s">
        <v>2804</v>
      </c>
      <c r="E498" s="58" t="s">
        <v>171</v>
      </c>
      <c r="F498" s="58" t="s">
        <v>183</v>
      </c>
    </row>
    <row r="499" spans="2:6">
      <c r="B499" s="618">
        <v>42424</v>
      </c>
      <c r="C499" s="61">
        <v>42401</v>
      </c>
      <c r="D499" s="62" t="s">
        <v>2813</v>
      </c>
      <c r="E499" s="58" t="s">
        <v>171</v>
      </c>
      <c r="F499" s="58" t="s">
        <v>183</v>
      </c>
    </row>
    <row r="500" spans="2:6">
      <c r="B500" s="618">
        <v>42426</v>
      </c>
      <c r="C500" s="61">
        <v>42401</v>
      </c>
      <c r="D500" s="62" t="s">
        <v>2819</v>
      </c>
      <c r="E500" s="58" t="s">
        <v>625</v>
      </c>
      <c r="F500" s="58" t="s">
        <v>183</v>
      </c>
    </row>
    <row r="501" spans="2:6" ht="27">
      <c r="B501" s="617">
        <v>42432</v>
      </c>
      <c r="C501" s="78">
        <v>42430</v>
      </c>
      <c r="D501" s="79" t="s">
        <v>2448</v>
      </c>
      <c r="E501" s="75" t="s">
        <v>5</v>
      </c>
      <c r="F501" s="75" t="s">
        <v>336</v>
      </c>
    </row>
    <row r="502" spans="2:6">
      <c r="B502" s="615">
        <v>42433</v>
      </c>
      <c r="C502" s="300">
        <v>42430</v>
      </c>
      <c r="D502" s="301" t="s">
        <v>2827</v>
      </c>
      <c r="E502" s="297" t="s">
        <v>5</v>
      </c>
      <c r="F502" s="297" t="s">
        <v>101</v>
      </c>
    </row>
    <row r="503" spans="2:6" ht="27">
      <c r="B503" s="617">
        <v>42433</v>
      </c>
      <c r="C503" s="78">
        <v>42430</v>
      </c>
      <c r="D503" s="79" t="s">
        <v>2207</v>
      </c>
      <c r="E503" s="75" t="s">
        <v>5</v>
      </c>
      <c r="F503" s="75" t="s">
        <v>336</v>
      </c>
    </row>
    <row r="504" spans="2:6">
      <c r="B504" s="615">
        <v>42433</v>
      </c>
      <c r="C504" s="300">
        <v>42430</v>
      </c>
      <c r="D504" s="301" t="s">
        <v>2646</v>
      </c>
      <c r="E504" s="297" t="s">
        <v>5</v>
      </c>
      <c r="F504" s="297" t="s">
        <v>101</v>
      </c>
    </row>
    <row r="505" spans="2:6" ht="94.5">
      <c r="B505" s="621">
        <v>42433</v>
      </c>
      <c r="C505" s="146">
        <v>42433</v>
      </c>
      <c r="D505" s="174" t="s">
        <v>6538</v>
      </c>
      <c r="E505" s="141" t="s">
        <v>6539</v>
      </c>
      <c r="F505" s="141" t="s">
        <v>6540</v>
      </c>
    </row>
    <row r="506" spans="2:6" ht="27">
      <c r="B506" s="617">
        <v>42436</v>
      </c>
      <c r="C506" s="78">
        <v>42430</v>
      </c>
      <c r="D506" s="79" t="s">
        <v>2844</v>
      </c>
      <c r="E506" s="75" t="s">
        <v>5</v>
      </c>
      <c r="F506" s="75" t="s">
        <v>101</v>
      </c>
    </row>
    <row r="507" spans="2:6">
      <c r="B507" s="617">
        <v>42436</v>
      </c>
      <c r="C507" s="78">
        <v>42430</v>
      </c>
      <c r="D507" s="79" t="s">
        <v>6869</v>
      </c>
      <c r="E507" s="75" t="s">
        <v>171</v>
      </c>
      <c r="F507" s="75" t="s">
        <v>777</v>
      </c>
    </row>
    <row r="508" spans="2:6">
      <c r="B508" s="615">
        <v>42437</v>
      </c>
      <c r="C508" s="300">
        <v>42430</v>
      </c>
      <c r="D508" s="301" t="s">
        <v>6870</v>
      </c>
      <c r="E508" s="297" t="s">
        <v>63</v>
      </c>
      <c r="F508" s="297" t="s">
        <v>183</v>
      </c>
    </row>
    <row r="509" spans="2:6">
      <c r="B509" s="615">
        <v>42438</v>
      </c>
      <c r="C509" s="300">
        <v>42430</v>
      </c>
      <c r="D509" s="301" t="s">
        <v>2867</v>
      </c>
      <c r="E509" s="297" t="s">
        <v>5</v>
      </c>
      <c r="F509" s="297" t="s">
        <v>101</v>
      </c>
    </row>
    <row r="510" spans="2:6">
      <c r="B510" s="614">
        <v>42438</v>
      </c>
      <c r="C510" s="38">
        <v>42430</v>
      </c>
      <c r="D510" s="39" t="s">
        <v>2877</v>
      </c>
      <c r="E510" s="34" t="s">
        <v>1480</v>
      </c>
      <c r="F510" s="34" t="s">
        <v>101</v>
      </c>
    </row>
    <row r="511" spans="2:6">
      <c r="B511" s="615">
        <v>42439</v>
      </c>
      <c r="C511" s="300">
        <v>42430</v>
      </c>
      <c r="D511" s="301" t="s">
        <v>2889</v>
      </c>
      <c r="E511" s="297" t="s">
        <v>5</v>
      </c>
      <c r="F511" s="297" t="s">
        <v>101</v>
      </c>
    </row>
    <row r="512" spans="2:6">
      <c r="B512" s="618">
        <v>42440</v>
      </c>
      <c r="C512" s="61">
        <v>42430</v>
      </c>
      <c r="D512" s="62" t="s">
        <v>6871</v>
      </c>
      <c r="E512" s="58" t="s">
        <v>171</v>
      </c>
      <c r="F512" s="58" t="s">
        <v>777</v>
      </c>
    </row>
    <row r="513" spans="2:6">
      <c r="B513" s="614">
        <v>42443</v>
      </c>
      <c r="C513" s="38">
        <v>42430</v>
      </c>
      <c r="D513" s="39" t="s">
        <v>2900</v>
      </c>
      <c r="E513" s="34" t="s">
        <v>625</v>
      </c>
      <c r="F513" s="34" t="s">
        <v>183</v>
      </c>
    </row>
    <row r="514" spans="2:6">
      <c r="B514" s="618">
        <v>42445</v>
      </c>
      <c r="C514" s="61">
        <v>42430</v>
      </c>
      <c r="D514" s="62" t="s">
        <v>2905</v>
      </c>
      <c r="E514" s="58" t="s">
        <v>625</v>
      </c>
      <c r="F514" s="58" t="s">
        <v>183</v>
      </c>
    </row>
    <row r="515" spans="2:6">
      <c r="B515" s="615">
        <v>42445</v>
      </c>
      <c r="C515" s="300">
        <v>42430</v>
      </c>
      <c r="D515" s="301" t="s">
        <v>2912</v>
      </c>
      <c r="E515" s="297" t="s">
        <v>5</v>
      </c>
      <c r="F515" s="297" t="s">
        <v>101</v>
      </c>
    </row>
    <row r="516" spans="2:6" ht="27">
      <c r="B516" s="617">
        <v>42447</v>
      </c>
      <c r="C516" s="78">
        <v>42430</v>
      </c>
      <c r="D516" s="79" t="s">
        <v>3053</v>
      </c>
      <c r="E516" s="75" t="s">
        <v>625</v>
      </c>
      <c r="F516" s="75" t="s">
        <v>2395</v>
      </c>
    </row>
    <row r="517" spans="2:6" ht="27">
      <c r="B517" s="617">
        <v>42447</v>
      </c>
      <c r="C517" s="78">
        <v>42430</v>
      </c>
      <c r="D517" s="79" t="s">
        <v>6872</v>
      </c>
      <c r="E517" s="75" t="s">
        <v>625</v>
      </c>
      <c r="F517" s="75" t="s">
        <v>2395</v>
      </c>
    </row>
    <row r="518" spans="2:6">
      <c r="B518" s="617">
        <v>42457</v>
      </c>
      <c r="C518" s="78">
        <v>42430</v>
      </c>
      <c r="D518" s="79" t="s">
        <v>3768</v>
      </c>
      <c r="E518" s="75" t="s">
        <v>625</v>
      </c>
      <c r="F518" s="75" t="s">
        <v>3769</v>
      </c>
    </row>
    <row r="519" spans="2:6">
      <c r="B519" s="618">
        <v>42458</v>
      </c>
      <c r="C519" s="61">
        <v>42430</v>
      </c>
      <c r="D519" s="62" t="s">
        <v>2925</v>
      </c>
      <c r="E519" s="58" t="s">
        <v>625</v>
      </c>
      <c r="F519" s="58" t="s">
        <v>183</v>
      </c>
    </row>
    <row r="520" spans="2:6">
      <c r="B520" s="618">
        <v>42458</v>
      </c>
      <c r="C520" s="61">
        <v>42430</v>
      </c>
      <c r="D520" s="62" t="s">
        <v>2932</v>
      </c>
      <c r="E520" s="58" t="s">
        <v>625</v>
      </c>
      <c r="F520" s="58" t="s">
        <v>183</v>
      </c>
    </row>
    <row r="521" spans="2:6">
      <c r="B521" s="618">
        <v>42459</v>
      </c>
      <c r="C521" s="61">
        <v>42430</v>
      </c>
      <c r="D521" s="62" t="s">
        <v>2634</v>
      </c>
      <c r="E521" s="58" t="s">
        <v>63</v>
      </c>
      <c r="F521" s="58" t="s">
        <v>101</v>
      </c>
    </row>
    <row r="522" spans="2:6">
      <c r="B522" s="618">
        <v>42460</v>
      </c>
      <c r="C522" s="61">
        <v>42430</v>
      </c>
      <c r="D522" s="62" t="s">
        <v>2540</v>
      </c>
      <c r="E522" s="58" t="s">
        <v>63</v>
      </c>
      <c r="F522" s="58" t="s">
        <v>101</v>
      </c>
    </row>
    <row r="523" spans="2:6">
      <c r="B523" s="616">
        <v>42460</v>
      </c>
      <c r="C523" s="21">
        <v>42430</v>
      </c>
      <c r="D523" s="22" t="s">
        <v>6873</v>
      </c>
      <c r="E523" s="17" t="s">
        <v>171</v>
      </c>
      <c r="F523" s="17" t="s">
        <v>777</v>
      </c>
    </row>
    <row r="524" spans="2:6" ht="27">
      <c r="B524" s="617">
        <v>42461</v>
      </c>
      <c r="C524" s="78">
        <v>42461</v>
      </c>
      <c r="D524" s="79" t="s">
        <v>1875</v>
      </c>
      <c r="E524" s="75" t="s">
        <v>208</v>
      </c>
      <c r="F524" s="75" t="s">
        <v>336</v>
      </c>
    </row>
    <row r="525" spans="2:6" ht="27">
      <c r="B525" s="615">
        <v>42461</v>
      </c>
      <c r="C525" s="300">
        <v>42461</v>
      </c>
      <c r="D525" s="300" t="s">
        <v>750</v>
      </c>
      <c r="E525" s="301" t="s">
        <v>5</v>
      </c>
      <c r="F525" s="297" t="s">
        <v>336</v>
      </c>
    </row>
    <row r="526" spans="2:6">
      <c r="B526" s="618">
        <v>42466</v>
      </c>
      <c r="C526" s="61">
        <v>42461</v>
      </c>
      <c r="D526" s="62" t="s">
        <v>2436</v>
      </c>
      <c r="E526" s="58" t="s">
        <v>171</v>
      </c>
      <c r="F526" s="58" t="s">
        <v>183</v>
      </c>
    </row>
    <row r="527" spans="2:6">
      <c r="B527" s="617">
        <v>42467</v>
      </c>
      <c r="C527" s="78">
        <v>42461</v>
      </c>
      <c r="D527" s="79" t="s">
        <v>2943</v>
      </c>
      <c r="E527" s="75" t="s">
        <v>63</v>
      </c>
      <c r="F527" s="75" t="s">
        <v>131</v>
      </c>
    </row>
    <row r="528" spans="2:6">
      <c r="B528" s="617">
        <v>42468</v>
      </c>
      <c r="C528" s="78">
        <v>42461</v>
      </c>
      <c r="D528" s="79" t="s">
        <v>2959</v>
      </c>
      <c r="E528" s="75" t="s">
        <v>5</v>
      </c>
      <c r="F528" s="75" t="s">
        <v>101</v>
      </c>
    </row>
    <row r="529" spans="2:6">
      <c r="B529" s="615">
        <v>42468</v>
      </c>
      <c r="C529" s="300">
        <v>42461</v>
      </c>
      <c r="D529" s="301" t="s">
        <v>539</v>
      </c>
      <c r="E529" s="297" t="s">
        <v>5</v>
      </c>
      <c r="F529" s="297" t="s">
        <v>101</v>
      </c>
    </row>
    <row r="530" spans="2:6">
      <c r="B530" s="617">
        <v>42471</v>
      </c>
      <c r="C530" s="78">
        <v>42461</v>
      </c>
      <c r="D530" s="79" t="s">
        <v>2966</v>
      </c>
      <c r="E530" s="75" t="s">
        <v>625</v>
      </c>
      <c r="F530" s="75" t="s">
        <v>183</v>
      </c>
    </row>
    <row r="531" spans="2:6">
      <c r="B531" s="618">
        <v>42471</v>
      </c>
      <c r="C531" s="63">
        <v>42461</v>
      </c>
      <c r="D531" s="62" t="s">
        <v>5496</v>
      </c>
      <c r="E531" s="58" t="s">
        <v>171</v>
      </c>
      <c r="F531" s="58" t="s">
        <v>1544</v>
      </c>
    </row>
    <row r="532" spans="2:6">
      <c r="B532" s="617">
        <v>42471</v>
      </c>
      <c r="C532" s="78">
        <v>42471</v>
      </c>
      <c r="D532" s="79" t="s">
        <v>4306</v>
      </c>
      <c r="E532" s="75" t="s">
        <v>171</v>
      </c>
      <c r="F532" s="75" t="s">
        <v>777</v>
      </c>
    </row>
    <row r="533" spans="2:6" ht="27">
      <c r="B533" s="615">
        <v>42472</v>
      </c>
      <c r="C533" s="300">
        <v>42461</v>
      </c>
      <c r="D533" s="301" t="s">
        <v>750</v>
      </c>
      <c r="E533" s="297" t="s">
        <v>5</v>
      </c>
      <c r="F533" s="297" t="s">
        <v>85</v>
      </c>
    </row>
    <row r="534" spans="2:6" ht="40.5">
      <c r="B534" s="614">
        <v>42472</v>
      </c>
      <c r="C534" s="38">
        <v>42461</v>
      </c>
      <c r="D534" s="39" t="s">
        <v>6874</v>
      </c>
      <c r="E534" s="34" t="s">
        <v>195</v>
      </c>
      <c r="F534" s="34" t="s">
        <v>6875</v>
      </c>
    </row>
    <row r="535" spans="2:6" ht="27">
      <c r="B535" s="615">
        <v>42473</v>
      </c>
      <c r="C535" s="300">
        <v>42461</v>
      </c>
      <c r="D535" s="301" t="s">
        <v>750</v>
      </c>
      <c r="E535" s="297" t="s">
        <v>5</v>
      </c>
      <c r="F535" s="297" t="s">
        <v>85</v>
      </c>
    </row>
    <row r="536" spans="2:6">
      <c r="B536" s="615">
        <v>42473</v>
      </c>
      <c r="C536" s="302">
        <v>42461</v>
      </c>
      <c r="D536" s="301" t="s">
        <v>750</v>
      </c>
      <c r="E536" s="297"/>
      <c r="F536" s="297"/>
    </row>
    <row r="537" spans="2:6">
      <c r="B537" s="618">
        <v>42473</v>
      </c>
      <c r="C537" s="61">
        <v>42473</v>
      </c>
      <c r="D537" s="62" t="s">
        <v>2994</v>
      </c>
      <c r="E537" s="58"/>
      <c r="F537" s="58"/>
    </row>
    <row r="538" spans="2:6">
      <c r="B538" s="617">
        <v>42474</v>
      </c>
      <c r="C538" s="78">
        <v>42461</v>
      </c>
      <c r="D538" s="79" t="s">
        <v>2973</v>
      </c>
      <c r="E538" s="75" t="s">
        <v>1493</v>
      </c>
      <c r="F538" s="75" t="s">
        <v>183</v>
      </c>
    </row>
    <row r="539" spans="2:6">
      <c r="B539" s="617">
        <v>42474</v>
      </c>
      <c r="C539" s="78">
        <v>42461</v>
      </c>
      <c r="D539" s="79" t="s">
        <v>2979</v>
      </c>
      <c r="E539" s="75" t="s">
        <v>625</v>
      </c>
      <c r="F539" s="75" t="s">
        <v>183</v>
      </c>
    </row>
    <row r="540" spans="2:6">
      <c r="B540" s="618">
        <v>42474</v>
      </c>
      <c r="C540" s="61">
        <v>42461</v>
      </c>
      <c r="D540" s="62" t="s">
        <v>2994</v>
      </c>
      <c r="E540" s="58" t="s">
        <v>1493</v>
      </c>
      <c r="F540" s="58" t="s">
        <v>183</v>
      </c>
    </row>
    <row r="541" spans="2:6">
      <c r="B541" s="617">
        <v>42475</v>
      </c>
      <c r="C541" s="78">
        <v>42461</v>
      </c>
      <c r="D541" s="79" t="s">
        <v>3001</v>
      </c>
      <c r="E541" s="75" t="s">
        <v>1493</v>
      </c>
      <c r="F541" s="75" t="s">
        <v>183</v>
      </c>
    </row>
    <row r="542" spans="2:6">
      <c r="B542" s="618">
        <v>42478</v>
      </c>
      <c r="C542" s="61">
        <v>42461</v>
      </c>
      <c r="D542" s="62" t="s">
        <v>3008</v>
      </c>
      <c r="E542" s="58" t="s">
        <v>63</v>
      </c>
      <c r="F542" s="58" t="s">
        <v>183</v>
      </c>
    </row>
    <row r="543" spans="2:6">
      <c r="B543" s="617">
        <v>42478</v>
      </c>
      <c r="C543" s="78">
        <v>42461</v>
      </c>
      <c r="D543" s="79" t="s">
        <v>6876</v>
      </c>
      <c r="E543" s="75" t="s">
        <v>63</v>
      </c>
      <c r="F543" s="75" t="s">
        <v>183</v>
      </c>
    </row>
    <row r="544" spans="2:6">
      <c r="B544" s="617">
        <v>42478</v>
      </c>
      <c r="C544" s="78">
        <v>42461</v>
      </c>
      <c r="D544" s="79" t="s">
        <v>3025</v>
      </c>
      <c r="E544" s="75" t="s">
        <v>63</v>
      </c>
      <c r="F544" s="75" t="s">
        <v>183</v>
      </c>
    </row>
    <row r="545" spans="2:6">
      <c r="B545" s="617">
        <v>42478</v>
      </c>
      <c r="C545" s="78">
        <v>42461</v>
      </c>
      <c r="D545" s="79" t="s">
        <v>2995</v>
      </c>
      <c r="E545" s="75" t="s">
        <v>63</v>
      </c>
      <c r="F545" s="75" t="s">
        <v>183</v>
      </c>
    </row>
    <row r="546" spans="2:6">
      <c r="B546" s="615">
        <v>42478</v>
      </c>
      <c r="C546" s="300">
        <v>42461</v>
      </c>
      <c r="D546" s="301" t="s">
        <v>2828</v>
      </c>
      <c r="E546" s="297" t="s">
        <v>171</v>
      </c>
      <c r="F546" s="297" t="s">
        <v>183</v>
      </c>
    </row>
    <row r="547" spans="2:6">
      <c r="B547" s="617">
        <v>42478</v>
      </c>
      <c r="C547" s="78">
        <v>42461</v>
      </c>
      <c r="D547" s="79" t="s">
        <v>2980</v>
      </c>
      <c r="E547" s="75" t="s">
        <v>63</v>
      </c>
      <c r="F547" s="75" t="s">
        <v>183</v>
      </c>
    </row>
    <row r="548" spans="2:6">
      <c r="B548" s="618">
        <v>42478</v>
      </c>
      <c r="C548" s="61">
        <v>42461</v>
      </c>
      <c r="D548" s="62" t="s">
        <v>2995</v>
      </c>
      <c r="E548" s="58" t="s">
        <v>63</v>
      </c>
      <c r="F548" s="58" t="s">
        <v>183</v>
      </c>
    </row>
    <row r="549" spans="2:6">
      <c r="B549" s="618">
        <v>42478</v>
      </c>
      <c r="C549" s="61">
        <v>42461</v>
      </c>
      <c r="D549" s="62" t="s">
        <v>3009</v>
      </c>
      <c r="E549" s="58" t="s">
        <v>63</v>
      </c>
      <c r="F549" s="58" t="s">
        <v>101</v>
      </c>
    </row>
    <row r="550" spans="2:6" ht="27">
      <c r="B550" s="615">
        <v>42478</v>
      </c>
      <c r="C550" s="302">
        <v>42461</v>
      </c>
      <c r="D550" s="301" t="s">
        <v>2829</v>
      </c>
      <c r="E550" s="297" t="s">
        <v>5</v>
      </c>
      <c r="F550" s="297" t="s">
        <v>336</v>
      </c>
    </row>
    <row r="551" spans="2:6">
      <c r="B551" s="615">
        <v>42479</v>
      </c>
      <c r="C551" s="300">
        <v>42461</v>
      </c>
      <c r="D551" s="301" t="s">
        <v>2188</v>
      </c>
      <c r="E551" s="297" t="s">
        <v>171</v>
      </c>
      <c r="F551" s="297" t="s">
        <v>2189</v>
      </c>
    </row>
    <row r="552" spans="2:6" ht="27">
      <c r="B552" s="617">
        <v>42479</v>
      </c>
      <c r="C552" s="78">
        <v>42461</v>
      </c>
      <c r="D552" s="79" t="s">
        <v>2461</v>
      </c>
      <c r="E552" s="75" t="s">
        <v>63</v>
      </c>
      <c r="F552" s="75" t="s">
        <v>336</v>
      </c>
    </row>
    <row r="553" spans="2:6">
      <c r="B553" s="615">
        <v>42479</v>
      </c>
      <c r="C553" s="300">
        <v>42461</v>
      </c>
      <c r="D553" s="301" t="s">
        <v>2859</v>
      </c>
      <c r="E553" s="297" t="s">
        <v>63</v>
      </c>
      <c r="F553" s="297" t="s">
        <v>101</v>
      </c>
    </row>
    <row r="554" spans="2:6" ht="27">
      <c r="B554" s="618">
        <v>42481</v>
      </c>
      <c r="C554" s="61">
        <v>42461</v>
      </c>
      <c r="D554" s="62" t="s">
        <v>271</v>
      </c>
      <c r="E554" s="58" t="s">
        <v>625</v>
      </c>
      <c r="F554" s="58" t="s">
        <v>2223</v>
      </c>
    </row>
    <row r="555" spans="2:6" ht="27">
      <c r="B555" s="617">
        <v>42481</v>
      </c>
      <c r="C555" s="78">
        <v>42461</v>
      </c>
      <c r="D555" s="79" t="s">
        <v>271</v>
      </c>
      <c r="E555" s="75" t="s">
        <v>625</v>
      </c>
      <c r="F555" s="75" t="s">
        <v>2223</v>
      </c>
    </row>
    <row r="556" spans="2:6">
      <c r="B556" s="617">
        <v>42481</v>
      </c>
      <c r="C556" s="78">
        <v>42461</v>
      </c>
      <c r="D556" s="79" t="s">
        <v>3064</v>
      </c>
      <c r="E556" s="75" t="s">
        <v>5</v>
      </c>
      <c r="F556" s="75" t="s">
        <v>101</v>
      </c>
    </row>
    <row r="557" spans="2:6" ht="27">
      <c r="B557" s="615">
        <v>42485</v>
      </c>
      <c r="C557" s="300">
        <v>42461</v>
      </c>
      <c r="D557" s="301" t="s">
        <v>2344</v>
      </c>
      <c r="E557" s="297" t="s">
        <v>171</v>
      </c>
      <c r="F557" s="297" t="s">
        <v>1807</v>
      </c>
    </row>
    <row r="558" spans="2:6">
      <c r="B558" s="618">
        <v>42489</v>
      </c>
      <c r="C558" s="61">
        <v>42461</v>
      </c>
      <c r="D558" s="62" t="s">
        <v>3084</v>
      </c>
      <c r="E558" s="58" t="s">
        <v>625</v>
      </c>
      <c r="F558" s="58" t="s">
        <v>183</v>
      </c>
    </row>
    <row r="559" spans="2:6">
      <c r="B559" s="615">
        <v>42489</v>
      </c>
      <c r="C559" s="300">
        <v>42461</v>
      </c>
      <c r="D559" s="301" t="s">
        <v>3092</v>
      </c>
      <c r="E559" s="297" t="s">
        <v>5</v>
      </c>
      <c r="F559" s="297" t="s">
        <v>101</v>
      </c>
    </row>
    <row r="560" spans="2:6">
      <c r="B560" s="617">
        <v>42489</v>
      </c>
      <c r="C560" s="78">
        <v>42461</v>
      </c>
      <c r="D560" s="79" t="s">
        <v>3112</v>
      </c>
      <c r="E560" s="75" t="s">
        <v>1493</v>
      </c>
      <c r="F560" s="75" t="s">
        <v>183</v>
      </c>
    </row>
    <row r="561" spans="2:6">
      <c r="B561" s="617">
        <v>42489</v>
      </c>
      <c r="C561" s="78">
        <v>42461</v>
      </c>
      <c r="D561" s="79" t="s">
        <v>3016</v>
      </c>
      <c r="E561" s="75" t="s">
        <v>625</v>
      </c>
      <c r="F561" s="75" t="s">
        <v>183</v>
      </c>
    </row>
    <row r="562" spans="2:6" ht="27">
      <c r="B562" s="617">
        <v>42489</v>
      </c>
      <c r="C562" s="78">
        <v>42461</v>
      </c>
      <c r="D562" s="79" t="s">
        <v>6877</v>
      </c>
      <c r="E562" s="75" t="s">
        <v>195</v>
      </c>
      <c r="F562" s="75" t="s">
        <v>6878</v>
      </c>
    </row>
    <row r="563" spans="2:6">
      <c r="B563" s="617">
        <v>42492</v>
      </c>
      <c r="C563" s="78">
        <v>42491</v>
      </c>
      <c r="D563" s="79" t="s">
        <v>1975</v>
      </c>
      <c r="E563" s="75" t="s">
        <v>5</v>
      </c>
      <c r="F563" s="75" t="s">
        <v>101</v>
      </c>
    </row>
    <row r="564" spans="2:6" ht="27">
      <c r="B564" s="618">
        <v>42493</v>
      </c>
      <c r="C564" s="61">
        <v>42493</v>
      </c>
      <c r="D564" s="62" t="s">
        <v>6879</v>
      </c>
      <c r="E564" s="58" t="s">
        <v>5</v>
      </c>
      <c r="F564" s="58" t="s">
        <v>79</v>
      </c>
    </row>
    <row r="565" spans="2:6" ht="27">
      <c r="B565" s="618">
        <v>42493</v>
      </c>
      <c r="C565" s="63">
        <v>42491</v>
      </c>
      <c r="D565" s="62" t="s">
        <v>2541</v>
      </c>
      <c r="E565" s="58" t="s">
        <v>63</v>
      </c>
      <c r="F565" s="58" t="s">
        <v>336</v>
      </c>
    </row>
    <row r="566" spans="2:6">
      <c r="B566" s="618">
        <v>42493</v>
      </c>
      <c r="C566" s="63">
        <v>42491</v>
      </c>
      <c r="D566" s="62" t="s">
        <v>2996</v>
      </c>
      <c r="E566" s="58" t="s">
        <v>63</v>
      </c>
      <c r="F566" s="58" t="s">
        <v>101</v>
      </c>
    </row>
    <row r="567" spans="2:6">
      <c r="B567" s="615">
        <v>42494</v>
      </c>
      <c r="C567" s="302">
        <v>42491</v>
      </c>
      <c r="D567" s="301" t="s">
        <v>3724</v>
      </c>
      <c r="E567" s="297" t="s">
        <v>171</v>
      </c>
      <c r="F567" s="297" t="s">
        <v>777</v>
      </c>
    </row>
    <row r="568" spans="2:6" ht="27">
      <c r="B568" s="615">
        <v>42495</v>
      </c>
      <c r="C568" s="300">
        <v>42491</v>
      </c>
      <c r="D568" s="301" t="s">
        <v>3119</v>
      </c>
      <c r="E568" s="297" t="s">
        <v>1493</v>
      </c>
      <c r="F568" s="297" t="s">
        <v>183</v>
      </c>
    </row>
    <row r="569" spans="2:6" ht="27">
      <c r="B569" s="617">
        <v>42495</v>
      </c>
      <c r="C569" s="78">
        <v>42491</v>
      </c>
      <c r="D569" s="79" t="s">
        <v>2332</v>
      </c>
      <c r="E569" s="75" t="s">
        <v>286</v>
      </c>
      <c r="F569" s="75" t="s">
        <v>336</v>
      </c>
    </row>
    <row r="570" spans="2:6" ht="27">
      <c r="B570" s="617">
        <v>42495</v>
      </c>
      <c r="C570" s="80">
        <v>42491</v>
      </c>
      <c r="D570" s="79" t="s">
        <v>1528</v>
      </c>
      <c r="E570" s="75" t="s">
        <v>5</v>
      </c>
      <c r="F570" s="75" t="s">
        <v>336</v>
      </c>
    </row>
    <row r="571" spans="2:6" ht="27">
      <c r="B571" s="618">
        <v>42500</v>
      </c>
      <c r="C571" s="61">
        <v>42491</v>
      </c>
      <c r="D571" s="62" t="s">
        <v>3125</v>
      </c>
      <c r="E571" s="58" t="s">
        <v>171</v>
      </c>
      <c r="F571" s="58" t="s">
        <v>183</v>
      </c>
    </row>
    <row r="572" spans="2:6">
      <c r="B572" s="615">
        <v>42501</v>
      </c>
      <c r="C572" s="302">
        <v>42491</v>
      </c>
      <c r="D572" s="301" t="s">
        <v>6880</v>
      </c>
      <c r="E572" s="297" t="s">
        <v>63</v>
      </c>
      <c r="F572" s="297" t="s">
        <v>131</v>
      </c>
    </row>
    <row r="573" spans="2:6" ht="27">
      <c r="B573" s="617">
        <v>42501</v>
      </c>
      <c r="C573" s="78">
        <v>42491</v>
      </c>
      <c r="D573" s="79" t="s">
        <v>6881</v>
      </c>
      <c r="E573" s="75" t="s">
        <v>63</v>
      </c>
      <c r="F573" s="75" t="s">
        <v>107</v>
      </c>
    </row>
    <row r="574" spans="2:6" ht="27">
      <c r="B574" s="617">
        <v>42503</v>
      </c>
      <c r="C574" s="80">
        <v>42491</v>
      </c>
      <c r="D574" s="79" t="s">
        <v>3342</v>
      </c>
      <c r="E574" s="75" t="s">
        <v>152</v>
      </c>
      <c r="F574" s="75" t="s">
        <v>3343</v>
      </c>
    </row>
    <row r="575" spans="2:6" ht="27">
      <c r="B575" s="614">
        <v>42503</v>
      </c>
      <c r="C575" s="38">
        <v>42491</v>
      </c>
      <c r="D575" s="39" t="s">
        <v>151</v>
      </c>
      <c r="E575" s="34" t="s">
        <v>152</v>
      </c>
      <c r="F575" s="34" t="s">
        <v>153</v>
      </c>
    </row>
    <row r="576" spans="2:6" ht="27">
      <c r="B576" s="617">
        <v>42506</v>
      </c>
      <c r="C576" s="78">
        <v>42491</v>
      </c>
      <c r="D576" s="79" t="s">
        <v>3132</v>
      </c>
      <c r="E576" s="75" t="s">
        <v>171</v>
      </c>
      <c r="F576" s="75" t="s">
        <v>183</v>
      </c>
    </row>
    <row r="577" spans="2:6" ht="27">
      <c r="B577" s="617">
        <v>42507</v>
      </c>
      <c r="C577" s="78">
        <v>42491</v>
      </c>
      <c r="D577" s="79" t="s">
        <v>3144</v>
      </c>
      <c r="E577" s="75" t="s">
        <v>625</v>
      </c>
      <c r="F577" s="75" t="s">
        <v>183</v>
      </c>
    </row>
    <row r="578" spans="2:6" ht="27">
      <c r="B578" s="617">
        <v>42507</v>
      </c>
      <c r="C578" s="78">
        <v>42491</v>
      </c>
      <c r="D578" s="79" t="s">
        <v>3152</v>
      </c>
      <c r="E578" s="75" t="s">
        <v>625</v>
      </c>
      <c r="F578" s="75" t="s">
        <v>183</v>
      </c>
    </row>
    <row r="579" spans="2:6" ht="27">
      <c r="B579" s="617">
        <v>42508</v>
      </c>
      <c r="C579" s="78">
        <v>42491</v>
      </c>
      <c r="D579" s="79" t="s">
        <v>3161</v>
      </c>
      <c r="E579" s="75" t="s">
        <v>625</v>
      </c>
      <c r="F579" s="75" t="s">
        <v>183</v>
      </c>
    </row>
    <row r="580" spans="2:6" ht="27">
      <c r="B580" s="617">
        <v>42508</v>
      </c>
      <c r="C580" s="78">
        <v>42491</v>
      </c>
      <c r="D580" s="79" t="s">
        <v>3166</v>
      </c>
      <c r="E580" s="75" t="s">
        <v>625</v>
      </c>
      <c r="F580" s="75" t="s">
        <v>183</v>
      </c>
    </row>
    <row r="581" spans="2:6" ht="40.5">
      <c r="B581" s="617">
        <v>42508</v>
      </c>
      <c r="C581" s="78">
        <v>42491</v>
      </c>
      <c r="D581" s="79" t="s">
        <v>3171</v>
      </c>
      <c r="E581" s="75" t="s">
        <v>625</v>
      </c>
      <c r="F581" s="75" t="s">
        <v>183</v>
      </c>
    </row>
    <row r="582" spans="2:6">
      <c r="B582" s="617">
        <v>42508</v>
      </c>
      <c r="C582" s="78">
        <v>42491</v>
      </c>
      <c r="D582" s="79" t="s">
        <v>3179</v>
      </c>
      <c r="E582" s="75" t="s">
        <v>625</v>
      </c>
      <c r="F582" s="75" t="s">
        <v>183</v>
      </c>
    </row>
    <row r="583" spans="2:6">
      <c r="B583" s="615">
        <v>42510</v>
      </c>
      <c r="C583" s="300">
        <v>42491</v>
      </c>
      <c r="D583" s="301" t="s">
        <v>3185</v>
      </c>
      <c r="E583" s="297" t="s">
        <v>1974</v>
      </c>
      <c r="F583" s="297" t="s">
        <v>183</v>
      </c>
    </row>
    <row r="584" spans="2:6">
      <c r="B584" s="617">
        <v>42513</v>
      </c>
      <c r="C584" s="78">
        <v>42491</v>
      </c>
      <c r="D584" s="79" t="s">
        <v>3065</v>
      </c>
      <c r="E584" s="75" t="s">
        <v>1974</v>
      </c>
      <c r="F584" s="75" t="s">
        <v>183</v>
      </c>
    </row>
    <row r="585" spans="2:6" ht="94.5">
      <c r="B585" s="621">
        <v>42513</v>
      </c>
      <c r="C585" s="146">
        <v>42513</v>
      </c>
      <c r="D585" s="173" t="s">
        <v>6541</v>
      </c>
      <c r="E585" s="141" t="s">
        <v>6539</v>
      </c>
      <c r="F585" s="25" t="s">
        <v>6542</v>
      </c>
    </row>
    <row r="586" spans="2:6">
      <c r="B586" s="615">
        <v>42515</v>
      </c>
      <c r="C586" s="300">
        <v>42491</v>
      </c>
      <c r="D586" s="301" t="s">
        <v>3192</v>
      </c>
      <c r="E586" s="297" t="s">
        <v>5</v>
      </c>
      <c r="F586" s="297" t="s">
        <v>101</v>
      </c>
    </row>
    <row r="587" spans="2:6">
      <c r="B587" s="615">
        <v>42515</v>
      </c>
      <c r="C587" s="300">
        <v>42491</v>
      </c>
      <c r="D587" s="301" t="s">
        <v>3203</v>
      </c>
      <c r="E587" s="297" t="s">
        <v>5</v>
      </c>
      <c r="F587" s="297" t="s">
        <v>101</v>
      </c>
    </row>
    <row r="588" spans="2:6">
      <c r="B588" s="615">
        <v>42515</v>
      </c>
      <c r="C588" s="300">
        <v>42491</v>
      </c>
      <c r="D588" s="301" t="s">
        <v>3213</v>
      </c>
      <c r="E588" s="297" t="s">
        <v>5</v>
      </c>
      <c r="F588" s="297" t="s">
        <v>101</v>
      </c>
    </row>
    <row r="589" spans="2:6">
      <c r="B589" s="618">
        <v>42515</v>
      </c>
      <c r="C589" s="61">
        <v>42491</v>
      </c>
      <c r="D589" s="62" t="s">
        <v>2377</v>
      </c>
      <c r="E589" s="58" t="s">
        <v>198</v>
      </c>
      <c r="F589" s="58" t="s">
        <v>183</v>
      </c>
    </row>
    <row r="590" spans="2:6">
      <c r="B590" s="618">
        <v>42515</v>
      </c>
      <c r="C590" s="61">
        <v>42491</v>
      </c>
      <c r="D590" s="62" t="s">
        <v>2377</v>
      </c>
      <c r="E590" s="58" t="s">
        <v>198</v>
      </c>
      <c r="F590" s="58" t="s">
        <v>183</v>
      </c>
    </row>
    <row r="591" spans="2:6" ht="27">
      <c r="B591" s="617">
        <v>42515</v>
      </c>
      <c r="C591" s="80">
        <v>42491</v>
      </c>
      <c r="D591" s="79" t="s">
        <v>2181</v>
      </c>
      <c r="E591" s="75" t="s">
        <v>198</v>
      </c>
      <c r="F591" s="75" t="s">
        <v>336</v>
      </c>
    </row>
    <row r="592" spans="2:6" ht="27">
      <c r="B592" s="618">
        <v>42516</v>
      </c>
      <c r="C592" s="61">
        <v>42491</v>
      </c>
      <c r="D592" s="62" t="s">
        <v>5497</v>
      </c>
      <c r="E592" s="58" t="s">
        <v>1997</v>
      </c>
      <c r="F592" s="58" t="s">
        <v>5498</v>
      </c>
    </row>
    <row r="593" spans="2:6" ht="27">
      <c r="B593" s="618">
        <v>42516</v>
      </c>
      <c r="C593" s="61">
        <v>42516</v>
      </c>
      <c r="D593" s="62" t="s">
        <v>6882</v>
      </c>
      <c r="E593" s="58" t="s">
        <v>625</v>
      </c>
      <c r="F593" s="58" t="s">
        <v>5774</v>
      </c>
    </row>
    <row r="594" spans="2:6">
      <c r="B594" s="615">
        <v>42517</v>
      </c>
      <c r="C594" s="302">
        <v>42491</v>
      </c>
      <c r="D594" s="301" t="s">
        <v>979</v>
      </c>
      <c r="E594" s="297" t="s">
        <v>5</v>
      </c>
      <c r="F594" s="297" t="s">
        <v>169</v>
      </c>
    </row>
    <row r="595" spans="2:6">
      <c r="B595" s="617">
        <v>42521</v>
      </c>
      <c r="C595" s="78">
        <v>42491</v>
      </c>
      <c r="D595" s="79" t="s">
        <v>6883</v>
      </c>
      <c r="E595" s="75" t="s">
        <v>1974</v>
      </c>
      <c r="F595" s="75" t="s">
        <v>183</v>
      </c>
    </row>
    <row r="596" spans="2:6">
      <c r="B596" s="618">
        <v>42521</v>
      </c>
      <c r="C596" s="61">
        <v>42491</v>
      </c>
      <c r="D596" s="62" t="s">
        <v>2712</v>
      </c>
      <c r="E596" s="58" t="s">
        <v>171</v>
      </c>
      <c r="F596" s="58" t="s">
        <v>183</v>
      </c>
    </row>
    <row r="597" spans="2:6">
      <c r="B597" s="617">
        <v>42522</v>
      </c>
      <c r="C597" s="78">
        <v>42522</v>
      </c>
      <c r="D597" s="79" t="s">
        <v>3245</v>
      </c>
      <c r="E597" s="75" t="s">
        <v>5</v>
      </c>
      <c r="F597" s="75" t="s">
        <v>101</v>
      </c>
    </row>
    <row r="598" spans="2:6">
      <c r="B598" s="617">
        <v>42524</v>
      </c>
      <c r="C598" s="80">
        <v>42522</v>
      </c>
      <c r="D598" s="79" t="s">
        <v>3017</v>
      </c>
      <c r="E598" s="75" t="s">
        <v>63</v>
      </c>
      <c r="F598" s="75" t="s">
        <v>101</v>
      </c>
    </row>
    <row r="599" spans="2:6">
      <c r="B599" s="617">
        <v>42528</v>
      </c>
      <c r="C599" s="78">
        <v>42522</v>
      </c>
      <c r="D599" s="79" t="s">
        <v>3278</v>
      </c>
      <c r="E599" s="75" t="s">
        <v>625</v>
      </c>
      <c r="F599" s="75" t="s">
        <v>183</v>
      </c>
    </row>
    <row r="600" spans="2:6">
      <c r="B600" s="618">
        <v>42529</v>
      </c>
      <c r="C600" s="61">
        <v>42522</v>
      </c>
      <c r="D600" s="62" t="s">
        <v>3253</v>
      </c>
      <c r="E600" s="58" t="s">
        <v>5</v>
      </c>
      <c r="F600" s="58" t="s">
        <v>101</v>
      </c>
    </row>
    <row r="601" spans="2:6">
      <c r="B601" s="617">
        <v>42529</v>
      </c>
      <c r="C601" s="78">
        <v>42522</v>
      </c>
      <c r="D601" s="79" t="s">
        <v>3262</v>
      </c>
      <c r="E601" s="75" t="s">
        <v>5</v>
      </c>
      <c r="F601" s="75" t="s">
        <v>101</v>
      </c>
    </row>
    <row r="602" spans="2:6" ht="27">
      <c r="B602" s="615">
        <v>42529</v>
      </c>
      <c r="C602" s="300">
        <v>42522</v>
      </c>
      <c r="D602" s="301" t="s">
        <v>3269</v>
      </c>
      <c r="E602" s="297"/>
      <c r="F602" s="297"/>
    </row>
    <row r="603" spans="2:6">
      <c r="B603" s="617">
        <v>42529</v>
      </c>
      <c r="C603" s="78">
        <v>42522</v>
      </c>
      <c r="D603" s="79" t="s">
        <v>3276</v>
      </c>
      <c r="E603" s="75" t="s">
        <v>63</v>
      </c>
      <c r="F603" s="75" t="s">
        <v>3277</v>
      </c>
    </row>
    <row r="604" spans="2:6">
      <c r="B604" s="617">
        <v>42529</v>
      </c>
      <c r="C604" s="80">
        <v>42522</v>
      </c>
      <c r="D604" s="79" t="s">
        <v>2981</v>
      </c>
      <c r="E604" s="75" t="s">
        <v>63</v>
      </c>
      <c r="F604" s="75" t="s">
        <v>101</v>
      </c>
    </row>
    <row r="605" spans="2:6" ht="27">
      <c r="B605" s="622">
        <v>42530</v>
      </c>
      <c r="C605" s="107">
        <v>42522</v>
      </c>
      <c r="D605" s="108" t="s">
        <v>3288</v>
      </c>
      <c r="E605" s="105" t="s">
        <v>625</v>
      </c>
      <c r="F605" s="105" t="s">
        <v>183</v>
      </c>
    </row>
    <row r="606" spans="2:6">
      <c r="B606" s="617">
        <v>42530</v>
      </c>
      <c r="C606" s="78">
        <v>42522</v>
      </c>
      <c r="D606" s="79" t="s">
        <v>3172</v>
      </c>
      <c r="E606" s="75" t="s">
        <v>171</v>
      </c>
      <c r="F606" s="75" t="s">
        <v>183</v>
      </c>
    </row>
    <row r="607" spans="2:6">
      <c r="B607" s="617">
        <v>42530</v>
      </c>
      <c r="C607" s="80">
        <v>42522</v>
      </c>
      <c r="D607" s="79" t="s">
        <v>3033</v>
      </c>
      <c r="E607" s="75" t="s">
        <v>63</v>
      </c>
      <c r="F607" s="75" t="s">
        <v>101</v>
      </c>
    </row>
    <row r="608" spans="2:6" ht="27">
      <c r="B608" s="618">
        <v>42530</v>
      </c>
      <c r="C608" s="61">
        <v>42522</v>
      </c>
      <c r="D608" s="62" t="s">
        <v>6884</v>
      </c>
      <c r="E608" s="58" t="s">
        <v>625</v>
      </c>
      <c r="F608" s="58" t="s">
        <v>6885</v>
      </c>
    </row>
    <row r="609" spans="2:6">
      <c r="B609" s="617">
        <v>42534</v>
      </c>
      <c r="C609" s="78">
        <v>42522</v>
      </c>
      <c r="D609" s="79" t="s">
        <v>3026</v>
      </c>
      <c r="E609" s="75" t="s">
        <v>1493</v>
      </c>
      <c r="F609" s="75" t="s">
        <v>183</v>
      </c>
    </row>
    <row r="610" spans="2:6" ht="27">
      <c r="B610" s="615">
        <v>42535</v>
      </c>
      <c r="C610" s="300">
        <v>42522</v>
      </c>
      <c r="D610" s="301" t="s">
        <v>6886</v>
      </c>
      <c r="E610" s="297" t="s">
        <v>63</v>
      </c>
      <c r="F610" s="297" t="s">
        <v>79</v>
      </c>
    </row>
    <row r="611" spans="2:6" ht="27">
      <c r="B611" s="618">
        <v>42536</v>
      </c>
      <c r="C611" s="61">
        <v>42522</v>
      </c>
      <c r="D611" s="62" t="s">
        <v>3303</v>
      </c>
      <c r="E611" s="58" t="s">
        <v>195</v>
      </c>
      <c r="F611" s="58" t="s">
        <v>1751</v>
      </c>
    </row>
    <row r="612" spans="2:6" ht="27">
      <c r="B612" s="617">
        <v>42536</v>
      </c>
      <c r="C612" s="78">
        <v>42522</v>
      </c>
      <c r="D612" s="79" t="s">
        <v>3307</v>
      </c>
      <c r="E612" s="75" t="s">
        <v>195</v>
      </c>
      <c r="F612" s="75" t="s">
        <v>336</v>
      </c>
    </row>
    <row r="613" spans="2:6">
      <c r="B613" s="618">
        <v>42537</v>
      </c>
      <c r="C613" s="61">
        <v>42522</v>
      </c>
      <c r="D613" s="92" t="s">
        <v>6887</v>
      </c>
      <c r="E613" s="58" t="s">
        <v>1493</v>
      </c>
      <c r="F613" s="58" t="s">
        <v>183</v>
      </c>
    </row>
    <row r="614" spans="2:6">
      <c r="B614" s="617">
        <v>42537</v>
      </c>
      <c r="C614" s="78">
        <v>42522</v>
      </c>
      <c r="D614" s="79" t="s">
        <v>1891</v>
      </c>
      <c r="E614" s="75" t="s">
        <v>5</v>
      </c>
      <c r="F614" s="75" t="s">
        <v>101</v>
      </c>
    </row>
    <row r="615" spans="2:6">
      <c r="B615" s="618">
        <v>42537</v>
      </c>
      <c r="C615" s="61">
        <v>42522</v>
      </c>
      <c r="D615" s="62" t="s">
        <v>2906</v>
      </c>
      <c r="E615" s="58" t="s">
        <v>171</v>
      </c>
      <c r="F615" s="58" t="s">
        <v>2223</v>
      </c>
    </row>
    <row r="616" spans="2:6">
      <c r="B616" s="618">
        <v>42537</v>
      </c>
      <c r="C616" s="61">
        <v>42522</v>
      </c>
      <c r="D616" s="62" t="s">
        <v>3315</v>
      </c>
      <c r="E616" s="58" t="s">
        <v>5</v>
      </c>
      <c r="F616" s="58" t="s">
        <v>101</v>
      </c>
    </row>
    <row r="617" spans="2:6" ht="27">
      <c r="B617" s="617">
        <v>42538</v>
      </c>
      <c r="C617" s="78">
        <v>42522</v>
      </c>
      <c r="D617" s="79" t="s">
        <v>2944</v>
      </c>
      <c r="E617" s="75" t="s">
        <v>63</v>
      </c>
      <c r="F617" s="75" t="s">
        <v>336</v>
      </c>
    </row>
    <row r="618" spans="2:6" ht="27">
      <c r="B618" s="615">
        <v>42541</v>
      </c>
      <c r="C618" s="300">
        <v>42522</v>
      </c>
      <c r="D618" s="301" t="s">
        <v>353</v>
      </c>
      <c r="E618" s="297" t="s">
        <v>236</v>
      </c>
      <c r="F618" s="297" t="s">
        <v>196</v>
      </c>
    </row>
    <row r="619" spans="2:6">
      <c r="B619" s="617">
        <v>42542</v>
      </c>
      <c r="C619" s="78">
        <v>42522</v>
      </c>
      <c r="D619" s="79" t="s">
        <v>3322</v>
      </c>
      <c r="E619" s="75" t="s">
        <v>171</v>
      </c>
      <c r="F619" s="75" t="s">
        <v>183</v>
      </c>
    </row>
    <row r="620" spans="2:6">
      <c r="B620" s="618">
        <v>42544</v>
      </c>
      <c r="C620" s="61">
        <v>42522</v>
      </c>
      <c r="D620" s="62" t="s">
        <v>3327</v>
      </c>
      <c r="E620" s="58" t="s">
        <v>625</v>
      </c>
      <c r="F620" s="58" t="s">
        <v>183</v>
      </c>
    </row>
    <row r="621" spans="2:6">
      <c r="B621" s="617">
        <v>42544</v>
      </c>
      <c r="C621" s="78">
        <v>42522</v>
      </c>
      <c r="D621" s="79" t="s">
        <v>2475</v>
      </c>
      <c r="E621" s="75" t="s">
        <v>5</v>
      </c>
      <c r="F621" s="75" t="s">
        <v>101</v>
      </c>
    </row>
    <row r="622" spans="2:6">
      <c r="B622" s="617">
        <v>42544</v>
      </c>
      <c r="C622" s="78">
        <v>42522</v>
      </c>
      <c r="D622" s="79" t="s">
        <v>2653</v>
      </c>
      <c r="E622" s="75" t="s">
        <v>5</v>
      </c>
      <c r="F622" s="75" t="s">
        <v>101</v>
      </c>
    </row>
    <row r="623" spans="2:6">
      <c r="B623" s="615">
        <v>42544</v>
      </c>
      <c r="C623" s="300">
        <v>42522</v>
      </c>
      <c r="D623" s="301" t="s">
        <v>2660</v>
      </c>
      <c r="E623" s="297" t="s">
        <v>5</v>
      </c>
      <c r="F623" s="297" t="s">
        <v>101</v>
      </c>
    </row>
    <row r="624" spans="2:6">
      <c r="B624" s="617">
        <v>42544</v>
      </c>
      <c r="C624" s="78">
        <v>42522</v>
      </c>
      <c r="D624" s="79" t="s">
        <v>3113</v>
      </c>
      <c r="E624" s="75" t="s">
        <v>5</v>
      </c>
      <c r="F624" s="75" t="s">
        <v>101</v>
      </c>
    </row>
    <row r="625" spans="2:6">
      <c r="B625" s="617">
        <v>42544</v>
      </c>
      <c r="C625" s="80">
        <v>42522</v>
      </c>
      <c r="D625" s="79" t="s">
        <v>1127</v>
      </c>
      <c r="E625" s="75"/>
      <c r="F625" s="75"/>
    </row>
    <row r="626" spans="2:6">
      <c r="B626" s="617">
        <v>42544</v>
      </c>
      <c r="C626" s="78">
        <v>42522</v>
      </c>
      <c r="D626" s="79" t="s">
        <v>2463</v>
      </c>
      <c r="E626" s="75" t="s">
        <v>198</v>
      </c>
      <c r="F626" s="75" t="s">
        <v>183</v>
      </c>
    </row>
    <row r="627" spans="2:6">
      <c r="B627" s="617">
        <v>42546</v>
      </c>
      <c r="C627" s="78">
        <v>42522</v>
      </c>
      <c r="D627" s="79" t="s">
        <v>3333</v>
      </c>
      <c r="E627" s="75" t="s">
        <v>625</v>
      </c>
      <c r="F627" s="75" t="s">
        <v>183</v>
      </c>
    </row>
    <row r="628" spans="2:6" ht="67.5">
      <c r="B628" s="615">
        <v>42549</v>
      </c>
      <c r="C628" s="300">
        <v>42522</v>
      </c>
      <c r="D628" s="301" t="s">
        <v>1155</v>
      </c>
      <c r="E628" s="297" t="s">
        <v>5</v>
      </c>
      <c r="F628" s="297" t="s">
        <v>1156</v>
      </c>
    </row>
    <row r="629" spans="2:6">
      <c r="B629" s="615">
        <v>42550</v>
      </c>
      <c r="C629" s="300">
        <v>42550</v>
      </c>
      <c r="D629" s="301" t="s">
        <v>3270</v>
      </c>
      <c r="E629" s="297"/>
      <c r="F629" s="297"/>
    </row>
    <row r="630" spans="2:6" ht="67.5">
      <c r="B630" s="615">
        <v>42550</v>
      </c>
      <c r="C630" s="302">
        <v>42522</v>
      </c>
      <c r="D630" s="301" t="s">
        <v>1157</v>
      </c>
      <c r="E630" s="297" t="s">
        <v>5</v>
      </c>
      <c r="F630" s="297" t="s">
        <v>1156</v>
      </c>
    </row>
    <row r="631" spans="2:6">
      <c r="B631" s="617">
        <v>42556</v>
      </c>
      <c r="C631" s="78">
        <v>42552</v>
      </c>
      <c r="D631" s="79" t="s">
        <v>3340</v>
      </c>
      <c r="E631" s="75" t="s">
        <v>5</v>
      </c>
      <c r="F631" s="75" t="s">
        <v>101</v>
      </c>
    </row>
    <row r="632" spans="2:6" ht="27">
      <c r="B632" s="617">
        <v>42557</v>
      </c>
      <c r="C632" s="78">
        <v>42552</v>
      </c>
      <c r="D632" s="79" t="s">
        <v>2229</v>
      </c>
      <c r="E632" s="75" t="s">
        <v>1480</v>
      </c>
      <c r="F632" s="75" t="s">
        <v>2230</v>
      </c>
    </row>
    <row r="633" spans="2:6">
      <c r="B633" s="617">
        <v>42557</v>
      </c>
      <c r="C633" s="78">
        <v>42552</v>
      </c>
      <c r="D633" s="79" t="s">
        <v>3357</v>
      </c>
      <c r="E633" s="75" t="s">
        <v>625</v>
      </c>
      <c r="F633" s="75" t="s">
        <v>183</v>
      </c>
    </row>
    <row r="634" spans="2:6" ht="27">
      <c r="B634" s="617">
        <v>42557</v>
      </c>
      <c r="C634" s="78">
        <v>42552</v>
      </c>
      <c r="D634" s="79" t="s">
        <v>2257</v>
      </c>
      <c r="E634" s="75" t="s">
        <v>63</v>
      </c>
      <c r="F634" s="75" t="s">
        <v>336</v>
      </c>
    </row>
    <row r="635" spans="2:6">
      <c r="B635" s="618">
        <v>42558</v>
      </c>
      <c r="C635" s="61">
        <v>42552</v>
      </c>
      <c r="D635" s="62" t="s">
        <v>3363</v>
      </c>
      <c r="E635" s="58" t="s">
        <v>63</v>
      </c>
      <c r="F635" s="58" t="s">
        <v>101</v>
      </c>
    </row>
    <row r="636" spans="2:6">
      <c r="B636" s="618">
        <v>42558</v>
      </c>
      <c r="C636" s="61">
        <v>42552</v>
      </c>
      <c r="D636" s="62" t="s">
        <v>6888</v>
      </c>
      <c r="E636" s="58" t="s">
        <v>625</v>
      </c>
      <c r="F636" s="58" t="s">
        <v>183</v>
      </c>
    </row>
    <row r="637" spans="2:6">
      <c r="B637" s="615">
        <v>42558</v>
      </c>
      <c r="C637" s="300">
        <v>42552</v>
      </c>
      <c r="D637" s="301" t="s">
        <v>3382</v>
      </c>
      <c r="E637" s="297" t="s">
        <v>625</v>
      </c>
      <c r="F637" s="297" t="s">
        <v>183</v>
      </c>
    </row>
    <row r="638" spans="2:6">
      <c r="B638" s="617">
        <v>42558</v>
      </c>
      <c r="C638" s="78">
        <v>42552</v>
      </c>
      <c r="D638" s="79" t="s">
        <v>3393</v>
      </c>
      <c r="E638" s="75" t="s">
        <v>625</v>
      </c>
      <c r="F638" s="75" t="s">
        <v>183</v>
      </c>
    </row>
    <row r="639" spans="2:6" ht="27">
      <c r="B639" s="617">
        <v>42558</v>
      </c>
      <c r="C639" s="78">
        <v>42552</v>
      </c>
      <c r="D639" s="79" t="s">
        <v>2266</v>
      </c>
      <c r="E639" s="75" t="s">
        <v>63</v>
      </c>
      <c r="F639" s="75" t="s">
        <v>336</v>
      </c>
    </row>
    <row r="640" spans="2:6" ht="27">
      <c r="B640" s="615">
        <v>42558</v>
      </c>
      <c r="C640" s="300">
        <v>42552</v>
      </c>
      <c r="D640" s="301" t="s">
        <v>2913</v>
      </c>
      <c r="E640" s="297" t="s">
        <v>5</v>
      </c>
      <c r="F640" s="297" t="s">
        <v>336</v>
      </c>
    </row>
    <row r="641" spans="2:6">
      <c r="B641" s="617">
        <v>42559</v>
      </c>
      <c r="C641" s="78">
        <v>42552</v>
      </c>
      <c r="D641" s="79" t="s">
        <v>6889</v>
      </c>
      <c r="E641" s="75" t="s">
        <v>625</v>
      </c>
      <c r="F641" s="75" t="s">
        <v>183</v>
      </c>
    </row>
    <row r="642" spans="2:6">
      <c r="B642" s="617">
        <v>42559</v>
      </c>
      <c r="C642" s="78">
        <v>42552</v>
      </c>
      <c r="D642" s="79" t="s">
        <v>3412</v>
      </c>
      <c r="E642" s="75" t="s">
        <v>1974</v>
      </c>
      <c r="F642" s="75" t="s">
        <v>183</v>
      </c>
    </row>
    <row r="643" spans="2:6">
      <c r="B643" s="617">
        <v>42559</v>
      </c>
      <c r="C643" s="78">
        <v>42552</v>
      </c>
      <c r="D643" s="79" t="s">
        <v>1808</v>
      </c>
      <c r="E643" s="75" t="s">
        <v>5</v>
      </c>
      <c r="F643" s="75" t="s">
        <v>101</v>
      </c>
    </row>
    <row r="644" spans="2:6" ht="27">
      <c r="B644" s="618">
        <v>42559</v>
      </c>
      <c r="C644" s="63">
        <v>42552</v>
      </c>
      <c r="D644" s="62" t="s">
        <v>2635</v>
      </c>
      <c r="E644" s="58" t="s">
        <v>63</v>
      </c>
      <c r="F644" s="58" t="s">
        <v>336</v>
      </c>
    </row>
    <row r="645" spans="2:6">
      <c r="B645" s="617">
        <v>42559</v>
      </c>
      <c r="C645" s="80">
        <v>42552</v>
      </c>
      <c r="D645" s="79" t="s">
        <v>3027</v>
      </c>
      <c r="E645" s="75" t="s">
        <v>63</v>
      </c>
      <c r="F645" s="75" t="s">
        <v>101</v>
      </c>
    </row>
    <row r="646" spans="2:6">
      <c r="B646" s="618">
        <v>42562</v>
      </c>
      <c r="C646" s="61">
        <v>42552</v>
      </c>
      <c r="D646" s="62" t="s">
        <v>3418</v>
      </c>
      <c r="E646" s="58" t="s">
        <v>625</v>
      </c>
      <c r="F646" s="58" t="s">
        <v>183</v>
      </c>
    </row>
    <row r="647" spans="2:6" ht="27">
      <c r="B647" s="618">
        <v>42562</v>
      </c>
      <c r="C647" s="61">
        <v>42552</v>
      </c>
      <c r="D647" s="62" t="s">
        <v>6043</v>
      </c>
      <c r="E647" s="58" t="s">
        <v>171</v>
      </c>
      <c r="F647" s="58" t="s">
        <v>6044</v>
      </c>
    </row>
    <row r="648" spans="2:6">
      <c r="B648" s="617">
        <v>42562</v>
      </c>
      <c r="C648" s="78">
        <v>42552</v>
      </c>
      <c r="D648" s="79" t="s">
        <v>3032</v>
      </c>
      <c r="E648" s="75" t="s">
        <v>1493</v>
      </c>
      <c r="F648" s="75" t="s">
        <v>183</v>
      </c>
    </row>
    <row r="649" spans="2:6">
      <c r="B649" s="618">
        <v>42564</v>
      </c>
      <c r="C649" s="61">
        <v>42552</v>
      </c>
      <c r="D649" s="62" t="s">
        <v>2878</v>
      </c>
      <c r="E649" s="58" t="s">
        <v>171</v>
      </c>
      <c r="F649" s="58" t="s">
        <v>2223</v>
      </c>
    </row>
    <row r="650" spans="2:6">
      <c r="B650" s="617">
        <v>42564</v>
      </c>
      <c r="C650" s="78">
        <v>42552</v>
      </c>
      <c r="D650" s="79" t="s">
        <v>3437</v>
      </c>
      <c r="E650" s="75" t="s">
        <v>171</v>
      </c>
      <c r="F650" s="75" t="s">
        <v>2223</v>
      </c>
    </row>
    <row r="651" spans="2:6">
      <c r="B651" s="614">
        <v>42564</v>
      </c>
      <c r="C651" s="38">
        <v>42552</v>
      </c>
      <c r="D651" s="39" t="s">
        <v>2878</v>
      </c>
      <c r="E651" s="34" t="s">
        <v>171</v>
      </c>
      <c r="F651" s="34" t="s">
        <v>2223</v>
      </c>
    </row>
    <row r="652" spans="2:6">
      <c r="B652" s="617">
        <v>42565</v>
      </c>
      <c r="C652" s="78">
        <v>42552</v>
      </c>
      <c r="D652" s="79" t="s">
        <v>3445</v>
      </c>
      <c r="E652" s="75" t="s">
        <v>5</v>
      </c>
      <c r="F652" s="75" t="s">
        <v>101</v>
      </c>
    </row>
    <row r="653" spans="2:6">
      <c r="B653" s="615">
        <v>42565</v>
      </c>
      <c r="C653" s="300">
        <v>42552</v>
      </c>
      <c r="D653" s="301" t="s">
        <v>3186</v>
      </c>
      <c r="E653" s="297" t="s">
        <v>5</v>
      </c>
      <c r="F653" s="297" t="s">
        <v>101</v>
      </c>
    </row>
    <row r="654" spans="2:6" ht="40.5">
      <c r="B654" s="615">
        <v>42565</v>
      </c>
      <c r="C654" s="300">
        <v>42552</v>
      </c>
      <c r="D654" s="301" t="s">
        <v>6890</v>
      </c>
      <c r="E654" s="297" t="s">
        <v>171</v>
      </c>
      <c r="F654" s="297" t="s">
        <v>6891</v>
      </c>
    </row>
    <row r="655" spans="2:6">
      <c r="B655" s="618">
        <v>42566</v>
      </c>
      <c r="C655" s="61">
        <v>42552</v>
      </c>
      <c r="D655" s="62" t="s">
        <v>3371</v>
      </c>
      <c r="E655" s="58" t="s">
        <v>195</v>
      </c>
      <c r="F655" s="58" t="s">
        <v>183</v>
      </c>
    </row>
    <row r="656" spans="2:6">
      <c r="B656" s="615">
        <v>42566</v>
      </c>
      <c r="C656" s="300">
        <v>42552</v>
      </c>
      <c r="D656" s="301" t="s">
        <v>3383</v>
      </c>
      <c r="E656" s="297" t="s">
        <v>195</v>
      </c>
      <c r="F656" s="297" t="s">
        <v>183</v>
      </c>
    </row>
    <row r="657" spans="2:6" ht="27">
      <c r="B657" s="617">
        <v>42566</v>
      </c>
      <c r="C657" s="78">
        <v>42552</v>
      </c>
      <c r="D657" s="79" t="s">
        <v>3394</v>
      </c>
      <c r="E657" s="75" t="s">
        <v>195</v>
      </c>
      <c r="F657" s="75" t="s">
        <v>336</v>
      </c>
    </row>
    <row r="658" spans="2:6">
      <c r="B658" s="615">
        <v>42566</v>
      </c>
      <c r="C658" s="302">
        <v>42552</v>
      </c>
      <c r="D658" s="301" t="s">
        <v>1776</v>
      </c>
      <c r="E658" s="297" t="s">
        <v>5</v>
      </c>
      <c r="F658" s="297" t="s">
        <v>131</v>
      </c>
    </row>
    <row r="659" spans="2:6" ht="27">
      <c r="B659" s="615">
        <v>42569</v>
      </c>
      <c r="C659" s="300">
        <v>42552</v>
      </c>
      <c r="D659" s="301" t="s">
        <v>2317</v>
      </c>
      <c r="E659" s="297" t="s">
        <v>5</v>
      </c>
      <c r="F659" s="297" t="s">
        <v>336</v>
      </c>
    </row>
    <row r="660" spans="2:6">
      <c r="B660" s="618">
        <v>42569</v>
      </c>
      <c r="C660" s="61">
        <v>42552</v>
      </c>
      <c r="D660" s="62" t="s">
        <v>2805</v>
      </c>
      <c r="E660" s="58" t="s">
        <v>171</v>
      </c>
      <c r="F660" s="58" t="s">
        <v>183</v>
      </c>
    </row>
    <row r="661" spans="2:6">
      <c r="B661" s="617">
        <v>42569</v>
      </c>
      <c r="C661" s="78">
        <v>42552</v>
      </c>
      <c r="D661" s="79" t="s">
        <v>3438</v>
      </c>
      <c r="E661" s="75" t="s">
        <v>171</v>
      </c>
      <c r="F661" s="75" t="s">
        <v>183</v>
      </c>
    </row>
    <row r="662" spans="2:6" ht="27">
      <c r="B662" s="618">
        <v>42569</v>
      </c>
      <c r="C662" s="61">
        <v>42552</v>
      </c>
      <c r="D662" s="62" t="s">
        <v>4271</v>
      </c>
      <c r="E662" s="58" t="s">
        <v>171</v>
      </c>
      <c r="F662" s="58" t="s">
        <v>3423</v>
      </c>
    </row>
    <row r="663" spans="2:6" ht="27">
      <c r="B663" s="617">
        <v>42570</v>
      </c>
      <c r="C663" s="78">
        <v>42552</v>
      </c>
      <c r="D663" s="79" t="s">
        <v>3401</v>
      </c>
      <c r="E663" s="75" t="s">
        <v>195</v>
      </c>
      <c r="F663" s="75" t="s">
        <v>336</v>
      </c>
    </row>
    <row r="664" spans="2:6" ht="27">
      <c r="B664" s="614">
        <v>42572</v>
      </c>
      <c r="C664" s="38">
        <v>42552</v>
      </c>
      <c r="D664" s="39" t="s">
        <v>2698</v>
      </c>
      <c r="E664" s="34" t="s">
        <v>5</v>
      </c>
      <c r="F664" s="34" t="s">
        <v>2699</v>
      </c>
    </row>
    <row r="665" spans="2:6">
      <c r="B665" s="615">
        <v>42573</v>
      </c>
      <c r="C665" s="300">
        <v>42552</v>
      </c>
      <c r="D665" s="301" t="s">
        <v>616</v>
      </c>
      <c r="E665" s="297"/>
      <c r="F665" s="297"/>
    </row>
    <row r="666" spans="2:6">
      <c r="B666" s="618">
        <v>42573</v>
      </c>
      <c r="C666" s="63">
        <v>42552</v>
      </c>
      <c r="D666" s="62" t="s">
        <v>2907</v>
      </c>
      <c r="E666" s="58" t="s">
        <v>171</v>
      </c>
      <c r="F666" s="58" t="s">
        <v>2223</v>
      </c>
    </row>
    <row r="667" spans="2:6" ht="27">
      <c r="B667" s="615">
        <v>42573</v>
      </c>
      <c r="C667" s="300">
        <v>42552</v>
      </c>
      <c r="D667" s="301" t="s">
        <v>1462</v>
      </c>
      <c r="E667" s="297" t="s">
        <v>5</v>
      </c>
      <c r="F667" s="297" t="s">
        <v>336</v>
      </c>
    </row>
    <row r="668" spans="2:6">
      <c r="B668" s="617">
        <v>42573</v>
      </c>
      <c r="C668" s="78">
        <v>42552</v>
      </c>
      <c r="D668" s="79" t="s">
        <v>6892</v>
      </c>
      <c r="E668" s="75" t="s">
        <v>625</v>
      </c>
      <c r="F668" s="75" t="s">
        <v>777</v>
      </c>
    </row>
    <row r="669" spans="2:6">
      <c r="B669" s="617">
        <v>42576</v>
      </c>
      <c r="C669" s="78">
        <v>42552</v>
      </c>
      <c r="D669" s="79" t="s">
        <v>3451</v>
      </c>
      <c r="E669" s="75" t="s">
        <v>625</v>
      </c>
      <c r="F669" s="75" t="s">
        <v>183</v>
      </c>
    </row>
    <row r="670" spans="2:6">
      <c r="B670" s="617">
        <v>42576</v>
      </c>
      <c r="C670" s="78">
        <v>42552</v>
      </c>
      <c r="D670" s="79" t="s">
        <v>3456</v>
      </c>
      <c r="E670" s="75" t="s">
        <v>1974</v>
      </c>
      <c r="F670" s="75" t="s">
        <v>183</v>
      </c>
    </row>
    <row r="671" spans="2:6" ht="27">
      <c r="B671" s="618">
        <v>42577</v>
      </c>
      <c r="C671" s="61">
        <v>42552</v>
      </c>
      <c r="D671" s="62" t="s">
        <v>3419</v>
      </c>
      <c r="E671" s="58" t="s">
        <v>195</v>
      </c>
      <c r="F671" s="58" t="s">
        <v>336</v>
      </c>
    </row>
    <row r="672" spans="2:6" ht="27">
      <c r="B672" s="618">
        <v>42578</v>
      </c>
      <c r="C672" s="61">
        <v>42552</v>
      </c>
      <c r="D672" s="62" t="s">
        <v>3467</v>
      </c>
      <c r="E672" s="58" t="s">
        <v>195</v>
      </c>
      <c r="F672" s="58" t="s">
        <v>336</v>
      </c>
    </row>
    <row r="673" spans="2:6">
      <c r="B673" s="618">
        <v>42578</v>
      </c>
      <c r="C673" s="63">
        <v>42552</v>
      </c>
      <c r="D673" s="62" t="s">
        <v>3372</v>
      </c>
      <c r="E673" s="58" t="s">
        <v>171</v>
      </c>
      <c r="F673" s="58" t="s">
        <v>1544</v>
      </c>
    </row>
    <row r="674" spans="2:6">
      <c r="B674" s="617">
        <v>42578</v>
      </c>
      <c r="C674" s="80">
        <v>42552</v>
      </c>
      <c r="D674" s="79" t="s">
        <v>3372</v>
      </c>
      <c r="E674" s="75" t="s">
        <v>171</v>
      </c>
      <c r="F674" s="75" t="s">
        <v>2223</v>
      </c>
    </row>
    <row r="675" spans="2:6" ht="27">
      <c r="B675" s="615">
        <v>42579</v>
      </c>
      <c r="C675" s="302">
        <v>42552</v>
      </c>
      <c r="D675" s="301" t="s">
        <v>669</v>
      </c>
      <c r="E675" s="297" t="s">
        <v>63</v>
      </c>
      <c r="F675" s="297" t="s">
        <v>336</v>
      </c>
    </row>
    <row r="676" spans="2:6">
      <c r="B676" s="614">
        <v>42579</v>
      </c>
      <c r="C676" s="40">
        <v>42552</v>
      </c>
      <c r="D676" s="39" t="s">
        <v>2879</v>
      </c>
      <c r="E676" s="34" t="s">
        <v>171</v>
      </c>
      <c r="F676" s="34" t="s">
        <v>183</v>
      </c>
    </row>
    <row r="677" spans="2:6" ht="27">
      <c r="B677" s="618">
        <v>42584</v>
      </c>
      <c r="C677" s="63">
        <v>42583</v>
      </c>
      <c r="D677" s="62" t="s">
        <v>3420</v>
      </c>
      <c r="E677" s="58" t="s">
        <v>195</v>
      </c>
      <c r="F677" s="58" t="s">
        <v>336</v>
      </c>
    </row>
    <row r="678" spans="2:6">
      <c r="B678" s="617">
        <v>42584</v>
      </c>
      <c r="C678" s="78">
        <v>42583</v>
      </c>
      <c r="D678" s="79" t="s">
        <v>6893</v>
      </c>
      <c r="E678" s="75" t="s">
        <v>625</v>
      </c>
      <c r="F678" s="75" t="s">
        <v>777</v>
      </c>
    </row>
    <row r="679" spans="2:6">
      <c r="B679" s="618">
        <v>42585</v>
      </c>
      <c r="C679" s="61">
        <v>42583</v>
      </c>
      <c r="D679" s="62" t="s">
        <v>3483</v>
      </c>
      <c r="E679" s="58" t="s">
        <v>625</v>
      </c>
      <c r="F679" s="58" t="s">
        <v>183</v>
      </c>
    </row>
    <row r="680" spans="2:6">
      <c r="B680" s="617">
        <v>42585</v>
      </c>
      <c r="C680" s="80">
        <v>42583</v>
      </c>
      <c r="D680" s="79" t="s">
        <v>3402</v>
      </c>
      <c r="E680" s="75" t="s">
        <v>171</v>
      </c>
      <c r="F680" s="75" t="s">
        <v>1544</v>
      </c>
    </row>
    <row r="681" spans="2:6" ht="40.5">
      <c r="B681" s="615">
        <v>42586</v>
      </c>
      <c r="C681" s="300">
        <v>42583</v>
      </c>
      <c r="D681" s="301" t="s">
        <v>6894</v>
      </c>
      <c r="E681" s="297" t="s">
        <v>171</v>
      </c>
      <c r="F681" s="297" t="s">
        <v>6895</v>
      </c>
    </row>
    <row r="682" spans="2:6" ht="27">
      <c r="B682" s="618">
        <v>42587</v>
      </c>
      <c r="C682" s="61">
        <v>42583</v>
      </c>
      <c r="D682" s="62" t="s">
        <v>3484</v>
      </c>
      <c r="E682" s="58" t="s">
        <v>195</v>
      </c>
      <c r="F682" s="58" t="s">
        <v>336</v>
      </c>
    </row>
    <row r="683" spans="2:6">
      <c r="B683" s="618">
        <v>42591</v>
      </c>
      <c r="C683" s="61">
        <v>42583</v>
      </c>
      <c r="D683" s="62" t="s">
        <v>3429</v>
      </c>
      <c r="E683" s="58" t="s">
        <v>625</v>
      </c>
      <c r="F683" s="58" t="s">
        <v>183</v>
      </c>
    </row>
    <row r="684" spans="2:6">
      <c r="B684" s="618">
        <v>42591</v>
      </c>
      <c r="C684" s="61">
        <v>42583</v>
      </c>
      <c r="D684" s="62" t="s">
        <v>3373</v>
      </c>
      <c r="E684" s="58" t="s">
        <v>171</v>
      </c>
      <c r="F684" s="58" t="s">
        <v>183</v>
      </c>
    </row>
    <row r="685" spans="2:6">
      <c r="B685" s="617">
        <v>42593</v>
      </c>
      <c r="C685" s="78">
        <v>42583</v>
      </c>
      <c r="D685" s="79" t="s">
        <v>3494</v>
      </c>
      <c r="E685" s="75" t="s">
        <v>625</v>
      </c>
      <c r="F685" s="75" t="s">
        <v>183</v>
      </c>
    </row>
    <row r="686" spans="2:6">
      <c r="B686" s="617">
        <v>42593</v>
      </c>
      <c r="C686" s="78">
        <v>42583</v>
      </c>
      <c r="D686" s="79" t="s">
        <v>6896</v>
      </c>
      <c r="E686" s="75" t="s">
        <v>625</v>
      </c>
      <c r="F686" s="75" t="s">
        <v>183</v>
      </c>
    </row>
    <row r="687" spans="2:6">
      <c r="B687" s="615">
        <v>42593</v>
      </c>
      <c r="C687" s="300">
        <v>42583</v>
      </c>
      <c r="D687" s="301" t="s">
        <v>3120</v>
      </c>
      <c r="E687" s="297" t="s">
        <v>5</v>
      </c>
      <c r="F687" s="297" t="s">
        <v>101</v>
      </c>
    </row>
    <row r="688" spans="2:6">
      <c r="B688" s="617">
        <v>42593</v>
      </c>
      <c r="C688" s="78">
        <v>42583</v>
      </c>
      <c r="D688" s="79" t="s">
        <v>3162</v>
      </c>
      <c r="E688" s="75" t="s">
        <v>5</v>
      </c>
      <c r="F688" s="75" t="s">
        <v>101</v>
      </c>
    </row>
    <row r="689" spans="2:6">
      <c r="B689" s="614">
        <v>42594</v>
      </c>
      <c r="C689" s="38">
        <v>42583</v>
      </c>
      <c r="D689" s="39" t="s">
        <v>4725</v>
      </c>
      <c r="E689" s="34" t="s">
        <v>625</v>
      </c>
      <c r="F689" s="34" t="s">
        <v>1167</v>
      </c>
    </row>
    <row r="690" spans="2:6" ht="27">
      <c r="B690" s="615">
        <v>42594</v>
      </c>
      <c r="C690" s="300">
        <v>42583</v>
      </c>
      <c r="D690" s="301" t="s">
        <v>6897</v>
      </c>
      <c r="E690" s="297" t="s">
        <v>171</v>
      </c>
      <c r="F690" s="297" t="s">
        <v>6898</v>
      </c>
    </row>
    <row r="691" spans="2:6">
      <c r="B691" s="617">
        <v>42598</v>
      </c>
      <c r="C691" s="78">
        <v>42583</v>
      </c>
      <c r="D691" s="79" t="s">
        <v>3506</v>
      </c>
      <c r="E691" s="75" t="s">
        <v>625</v>
      </c>
      <c r="F691" s="75" t="s">
        <v>183</v>
      </c>
    </row>
    <row r="692" spans="2:6" ht="27">
      <c r="B692" s="615">
        <v>42600</v>
      </c>
      <c r="C692" s="300">
        <v>42583</v>
      </c>
      <c r="D692" s="301" t="s">
        <v>271</v>
      </c>
      <c r="E692" s="297"/>
      <c r="F692" s="297"/>
    </row>
    <row r="693" spans="2:6" ht="27">
      <c r="B693" s="618">
        <v>42600</v>
      </c>
      <c r="C693" s="61">
        <v>42583</v>
      </c>
      <c r="D693" s="62" t="s">
        <v>2551</v>
      </c>
      <c r="E693" s="58" t="s">
        <v>63</v>
      </c>
      <c r="F693" s="58" t="s">
        <v>153</v>
      </c>
    </row>
    <row r="694" spans="2:6" ht="27">
      <c r="B694" s="615">
        <v>42600</v>
      </c>
      <c r="C694" s="302">
        <v>42583</v>
      </c>
      <c r="D694" s="301" t="s">
        <v>2914</v>
      </c>
      <c r="E694" s="297" t="s">
        <v>5</v>
      </c>
      <c r="F694" s="297" t="s">
        <v>336</v>
      </c>
    </row>
    <row r="695" spans="2:6">
      <c r="B695" s="617">
        <v>42604</v>
      </c>
      <c r="C695" s="78">
        <v>42583</v>
      </c>
      <c r="D695" s="79" t="s">
        <v>3524</v>
      </c>
      <c r="E695" s="75" t="s">
        <v>1974</v>
      </c>
      <c r="F695" s="75" t="s">
        <v>183</v>
      </c>
    </row>
    <row r="696" spans="2:6" ht="27">
      <c r="B696" s="615">
        <v>42604</v>
      </c>
      <c r="C696" s="300">
        <v>42583</v>
      </c>
      <c r="D696" s="301" t="s">
        <v>2671</v>
      </c>
      <c r="E696" s="297" t="s">
        <v>5</v>
      </c>
      <c r="F696" s="297" t="s">
        <v>336</v>
      </c>
    </row>
    <row r="697" spans="2:6" ht="27">
      <c r="B697" s="614">
        <v>42604</v>
      </c>
      <c r="C697" s="38">
        <v>42583</v>
      </c>
      <c r="D697" s="39" t="s">
        <v>2696</v>
      </c>
      <c r="E697" s="34" t="s">
        <v>5</v>
      </c>
      <c r="F697" s="34" t="s">
        <v>336</v>
      </c>
    </row>
    <row r="698" spans="2:6">
      <c r="B698" s="617">
        <v>42606</v>
      </c>
      <c r="C698" s="78">
        <v>42583</v>
      </c>
      <c r="D698" s="79" t="s">
        <v>3530</v>
      </c>
      <c r="E698" s="75" t="s">
        <v>625</v>
      </c>
      <c r="F698" s="75" t="s">
        <v>183</v>
      </c>
    </row>
    <row r="699" spans="2:6">
      <c r="B699" s="618">
        <v>42606</v>
      </c>
      <c r="C699" s="63">
        <v>42583</v>
      </c>
      <c r="D699" s="62" t="s">
        <v>2567</v>
      </c>
      <c r="E699" s="58" t="s">
        <v>5</v>
      </c>
      <c r="F699" s="58" t="s">
        <v>101</v>
      </c>
    </row>
    <row r="700" spans="2:6">
      <c r="B700" s="617">
        <v>42608</v>
      </c>
      <c r="C700" s="78">
        <v>42583</v>
      </c>
      <c r="D700" s="79" t="s">
        <v>3542</v>
      </c>
      <c r="E700" s="75" t="s">
        <v>625</v>
      </c>
      <c r="F700" s="75" t="s">
        <v>183</v>
      </c>
    </row>
    <row r="701" spans="2:6" ht="27">
      <c r="B701" s="617">
        <v>42608</v>
      </c>
      <c r="C701" s="80">
        <v>42583</v>
      </c>
      <c r="D701" s="79" t="s">
        <v>3544</v>
      </c>
      <c r="E701" s="75" t="s">
        <v>63</v>
      </c>
      <c r="F701" s="75" t="s">
        <v>336</v>
      </c>
    </row>
    <row r="702" spans="2:6">
      <c r="B702" s="618">
        <v>42608</v>
      </c>
      <c r="C702" s="63">
        <v>42583</v>
      </c>
      <c r="D702" s="62" t="s">
        <v>5771</v>
      </c>
      <c r="E702" s="58" t="s">
        <v>171</v>
      </c>
      <c r="F702" s="58" t="s">
        <v>777</v>
      </c>
    </row>
    <row r="703" spans="2:6">
      <c r="B703" s="618">
        <v>42608</v>
      </c>
      <c r="C703" s="61">
        <v>42608</v>
      </c>
      <c r="D703" s="62" t="s">
        <v>3972</v>
      </c>
      <c r="E703" s="58" t="s">
        <v>171</v>
      </c>
      <c r="F703" s="58" t="s">
        <v>582</v>
      </c>
    </row>
    <row r="704" spans="2:6">
      <c r="B704" s="617">
        <v>42611</v>
      </c>
      <c r="C704" s="78">
        <v>42583</v>
      </c>
      <c r="D704" s="79" t="s">
        <v>3525</v>
      </c>
      <c r="E704" s="75" t="s">
        <v>1974</v>
      </c>
      <c r="F704" s="75" t="s">
        <v>2223</v>
      </c>
    </row>
    <row r="705" spans="2:6" ht="27">
      <c r="B705" s="617">
        <v>42611</v>
      </c>
      <c r="C705" s="290">
        <v>42583</v>
      </c>
      <c r="D705" s="79" t="s">
        <v>1976</v>
      </c>
      <c r="E705" s="75" t="s">
        <v>5</v>
      </c>
      <c r="F705" s="75" t="s">
        <v>336</v>
      </c>
    </row>
    <row r="706" spans="2:6" ht="27">
      <c r="B706" s="618">
        <v>42611</v>
      </c>
      <c r="C706" s="63">
        <v>42583</v>
      </c>
      <c r="D706" s="62" t="s">
        <v>1976</v>
      </c>
      <c r="E706" s="58" t="s">
        <v>5</v>
      </c>
      <c r="F706" s="58" t="s">
        <v>336</v>
      </c>
    </row>
    <row r="707" spans="2:6" ht="27">
      <c r="B707" s="618">
        <v>42612</v>
      </c>
      <c r="C707" s="61">
        <v>42583</v>
      </c>
      <c r="D707" s="62" t="s">
        <v>3550</v>
      </c>
      <c r="E707" s="58" t="s">
        <v>2346</v>
      </c>
      <c r="F707" s="58" t="s">
        <v>1751</v>
      </c>
    </row>
    <row r="708" spans="2:6" ht="27">
      <c r="B708" s="618">
        <v>42612</v>
      </c>
      <c r="C708" s="61">
        <v>42583</v>
      </c>
      <c r="D708" s="62" t="s">
        <v>6899</v>
      </c>
      <c r="E708" s="58" t="s">
        <v>171</v>
      </c>
      <c r="F708" s="58" t="s">
        <v>1393</v>
      </c>
    </row>
    <row r="709" spans="2:6" ht="27">
      <c r="B709" s="617">
        <v>42614</v>
      </c>
      <c r="C709" s="78">
        <v>42614</v>
      </c>
      <c r="D709" s="79" t="s">
        <v>3413</v>
      </c>
      <c r="E709" s="75" t="s">
        <v>503</v>
      </c>
      <c r="F709" s="75" t="s">
        <v>1082</v>
      </c>
    </row>
    <row r="710" spans="2:6" ht="27">
      <c r="B710" s="618">
        <v>42614</v>
      </c>
      <c r="C710" s="63">
        <v>42614</v>
      </c>
      <c r="D710" s="62" t="s">
        <v>2806</v>
      </c>
      <c r="E710" s="58" t="s">
        <v>503</v>
      </c>
      <c r="F710" s="58" t="s">
        <v>1082</v>
      </c>
    </row>
    <row r="711" spans="2:6" ht="27">
      <c r="B711" s="618">
        <v>42614</v>
      </c>
      <c r="C711" s="61">
        <v>42614</v>
      </c>
      <c r="D711" s="62" t="s">
        <v>5499</v>
      </c>
      <c r="E711" s="58" t="s">
        <v>171</v>
      </c>
      <c r="F711" s="58" t="s">
        <v>1393</v>
      </c>
    </row>
    <row r="712" spans="2:6">
      <c r="B712" s="617">
        <v>42615</v>
      </c>
      <c r="C712" s="78">
        <v>42614</v>
      </c>
      <c r="D712" s="79" t="s">
        <v>3561</v>
      </c>
      <c r="E712" s="75" t="s">
        <v>171</v>
      </c>
      <c r="F712" s="75" t="s">
        <v>1544</v>
      </c>
    </row>
    <row r="713" spans="2:6">
      <c r="B713" s="615">
        <v>42618</v>
      </c>
      <c r="C713" s="300">
        <v>42614</v>
      </c>
      <c r="D713" s="301" t="s">
        <v>3566</v>
      </c>
      <c r="E713" s="297" t="s">
        <v>625</v>
      </c>
      <c r="F713" s="297" t="s">
        <v>183</v>
      </c>
    </row>
    <row r="714" spans="2:6">
      <c r="B714" s="618">
        <v>42620</v>
      </c>
      <c r="C714" s="61">
        <v>42614</v>
      </c>
      <c r="D714" s="62" t="s">
        <v>3126</v>
      </c>
      <c r="E714" s="58" t="s">
        <v>5</v>
      </c>
      <c r="F714" s="58" t="s">
        <v>101</v>
      </c>
    </row>
    <row r="715" spans="2:6" ht="27">
      <c r="B715" s="617">
        <v>42620</v>
      </c>
      <c r="C715" s="78">
        <v>42614</v>
      </c>
      <c r="D715" s="79" t="s">
        <v>3457</v>
      </c>
      <c r="E715" s="75" t="s">
        <v>503</v>
      </c>
      <c r="F715" s="75" t="s">
        <v>1082</v>
      </c>
    </row>
    <row r="716" spans="2:6">
      <c r="B716" s="615">
        <v>42620</v>
      </c>
      <c r="C716" s="302">
        <v>42614</v>
      </c>
      <c r="D716" s="301" t="s">
        <v>2190</v>
      </c>
      <c r="E716" s="297" t="s">
        <v>5</v>
      </c>
      <c r="F716" s="297" t="s">
        <v>101</v>
      </c>
    </row>
    <row r="717" spans="2:6" ht="27">
      <c r="B717" s="615">
        <v>42620</v>
      </c>
      <c r="C717" s="302">
        <v>42614</v>
      </c>
      <c r="D717" s="301" t="s">
        <v>2345</v>
      </c>
      <c r="E717" s="345" t="s">
        <v>2346</v>
      </c>
      <c r="F717" s="297" t="s">
        <v>2347</v>
      </c>
    </row>
    <row r="718" spans="2:6">
      <c r="B718" s="618">
        <v>42621</v>
      </c>
      <c r="C718" s="63">
        <v>42614</v>
      </c>
      <c r="D718" s="62" t="s">
        <v>3971</v>
      </c>
      <c r="E718" s="58" t="s">
        <v>171</v>
      </c>
      <c r="F718" s="58" t="s">
        <v>582</v>
      </c>
    </row>
    <row r="719" spans="2:6">
      <c r="B719" s="617">
        <v>42622</v>
      </c>
      <c r="C719" s="78">
        <v>42614</v>
      </c>
      <c r="D719" s="79" t="s">
        <v>3403</v>
      </c>
      <c r="E719" s="75" t="s">
        <v>171</v>
      </c>
      <c r="F719" s="75" t="s">
        <v>1544</v>
      </c>
    </row>
    <row r="720" spans="2:6" ht="27">
      <c r="B720" s="618">
        <v>42625</v>
      </c>
      <c r="C720" s="61">
        <v>42614</v>
      </c>
      <c r="D720" s="291" t="s">
        <v>3583</v>
      </c>
      <c r="E720" s="58" t="s">
        <v>625</v>
      </c>
      <c r="F720" s="58" t="s">
        <v>183</v>
      </c>
    </row>
    <row r="721" spans="2:6">
      <c r="B721" s="617">
        <v>42625</v>
      </c>
      <c r="C721" s="78">
        <v>42614</v>
      </c>
      <c r="D721" s="79" t="s">
        <v>3592</v>
      </c>
      <c r="E721" s="75" t="s">
        <v>1493</v>
      </c>
      <c r="F721" s="75" t="s">
        <v>183</v>
      </c>
    </row>
    <row r="722" spans="2:6" ht="27">
      <c r="B722" s="617">
        <v>42625</v>
      </c>
      <c r="C722" s="80">
        <v>42614</v>
      </c>
      <c r="D722" s="79" t="s">
        <v>1229</v>
      </c>
      <c r="E722" s="75" t="s">
        <v>5</v>
      </c>
      <c r="F722" s="75" t="s">
        <v>336</v>
      </c>
    </row>
    <row r="723" spans="2:6" ht="27">
      <c r="B723" s="618">
        <v>42625</v>
      </c>
      <c r="C723" s="63">
        <v>42614</v>
      </c>
      <c r="D723" s="62" t="s">
        <v>2552</v>
      </c>
      <c r="E723" s="58" t="s">
        <v>63</v>
      </c>
      <c r="F723" s="58" t="s">
        <v>336</v>
      </c>
    </row>
    <row r="724" spans="2:6">
      <c r="B724" s="615">
        <v>42626</v>
      </c>
      <c r="C724" s="302">
        <v>42626</v>
      </c>
      <c r="D724" s="301" t="s">
        <v>617</v>
      </c>
      <c r="E724" s="297"/>
      <c r="F724" s="297"/>
    </row>
    <row r="725" spans="2:6" ht="27">
      <c r="B725" s="617">
        <v>42628</v>
      </c>
      <c r="C725" s="78">
        <v>42614</v>
      </c>
      <c r="D725" s="79" t="s">
        <v>3600</v>
      </c>
      <c r="E725" s="75" t="s">
        <v>1493</v>
      </c>
      <c r="F725" s="75" t="s">
        <v>183</v>
      </c>
    </row>
    <row r="726" spans="2:6">
      <c r="B726" s="617">
        <v>42629</v>
      </c>
      <c r="C726" s="78">
        <v>42614</v>
      </c>
      <c r="D726" s="79" t="s">
        <v>3608</v>
      </c>
      <c r="E726" s="75" t="s">
        <v>1493</v>
      </c>
      <c r="F726" s="75" t="s">
        <v>183</v>
      </c>
    </row>
    <row r="727" spans="2:6">
      <c r="B727" s="617">
        <v>42629</v>
      </c>
      <c r="C727" s="78">
        <v>42614</v>
      </c>
      <c r="D727" s="79" t="s">
        <v>3619</v>
      </c>
      <c r="E727" s="75" t="s">
        <v>1493</v>
      </c>
      <c r="F727" s="75" t="s">
        <v>183</v>
      </c>
    </row>
    <row r="728" spans="2:6">
      <c r="B728" s="617">
        <v>42629</v>
      </c>
      <c r="C728" s="78">
        <v>42614</v>
      </c>
      <c r="D728" s="79" t="s">
        <v>3625</v>
      </c>
      <c r="E728" s="75" t="s">
        <v>1493</v>
      </c>
      <c r="F728" s="75" t="s">
        <v>183</v>
      </c>
    </row>
    <row r="729" spans="2:6">
      <c r="B729" s="617">
        <v>42629</v>
      </c>
      <c r="C729" s="78">
        <v>42614</v>
      </c>
      <c r="D729" s="79" t="s">
        <v>3543</v>
      </c>
      <c r="E729" s="75" t="s">
        <v>63</v>
      </c>
      <c r="F729" s="75" t="s">
        <v>101</v>
      </c>
    </row>
    <row r="730" spans="2:6">
      <c r="B730" s="618">
        <v>42632</v>
      </c>
      <c r="C730" s="61">
        <v>42614</v>
      </c>
      <c r="D730" s="62" t="s">
        <v>3633</v>
      </c>
      <c r="E730" s="58" t="s">
        <v>171</v>
      </c>
      <c r="F730" s="58" t="s">
        <v>183</v>
      </c>
    </row>
    <row r="731" spans="2:6" ht="27">
      <c r="B731" s="615">
        <v>42632</v>
      </c>
      <c r="C731" s="300">
        <v>42614</v>
      </c>
      <c r="D731" s="301" t="s">
        <v>335</v>
      </c>
      <c r="E731" s="297" t="s">
        <v>208</v>
      </c>
      <c r="F731" s="297" t="s">
        <v>336</v>
      </c>
    </row>
    <row r="732" spans="2:6">
      <c r="B732" s="618">
        <v>42632</v>
      </c>
      <c r="C732" s="61">
        <v>42614</v>
      </c>
      <c r="D732" s="62" t="s">
        <v>5772</v>
      </c>
      <c r="E732" s="58" t="s">
        <v>625</v>
      </c>
      <c r="F732" s="58" t="s">
        <v>777</v>
      </c>
    </row>
    <row r="733" spans="2:6">
      <c r="B733" s="617">
        <v>42633</v>
      </c>
      <c r="C733" s="78">
        <v>42614</v>
      </c>
      <c r="D733" s="79" t="s">
        <v>2628</v>
      </c>
      <c r="E733" s="75" t="s">
        <v>5</v>
      </c>
      <c r="F733" s="75" t="s">
        <v>101</v>
      </c>
    </row>
    <row r="734" spans="2:6">
      <c r="B734" s="618">
        <v>42634</v>
      </c>
      <c r="C734" s="61">
        <v>42614</v>
      </c>
      <c r="D734" s="62" t="s">
        <v>3646</v>
      </c>
      <c r="E734" s="58" t="s">
        <v>171</v>
      </c>
      <c r="F734" s="58" t="s">
        <v>183</v>
      </c>
    </row>
    <row r="735" spans="2:6" ht="27">
      <c r="B735" s="618">
        <v>42634</v>
      </c>
      <c r="C735" s="61">
        <v>42614</v>
      </c>
      <c r="D735" s="62" t="s">
        <v>2060</v>
      </c>
      <c r="E735" s="58" t="s">
        <v>195</v>
      </c>
      <c r="F735" s="58" t="s">
        <v>336</v>
      </c>
    </row>
    <row r="736" spans="2:6" ht="27">
      <c r="B736" s="615">
        <v>42635</v>
      </c>
      <c r="C736" s="300">
        <v>42614</v>
      </c>
      <c r="D736" s="301" t="s">
        <v>406</v>
      </c>
      <c r="E736" s="297" t="s">
        <v>208</v>
      </c>
      <c r="F736" s="297" t="s">
        <v>336</v>
      </c>
    </row>
    <row r="737" spans="2:6" ht="27">
      <c r="B737" s="615">
        <v>42635</v>
      </c>
      <c r="C737" s="302">
        <v>42614</v>
      </c>
      <c r="D737" s="301" t="s">
        <v>170</v>
      </c>
      <c r="E737" s="297" t="s">
        <v>171</v>
      </c>
      <c r="F737" s="297" t="s">
        <v>172</v>
      </c>
    </row>
    <row r="738" spans="2:6">
      <c r="B738" s="618">
        <v>42636</v>
      </c>
      <c r="C738" s="61">
        <v>42614</v>
      </c>
      <c r="D738" s="62" t="s">
        <v>3656</v>
      </c>
      <c r="E738" s="58" t="s">
        <v>171</v>
      </c>
      <c r="F738" s="58" t="s">
        <v>183</v>
      </c>
    </row>
    <row r="739" spans="2:6" ht="27">
      <c r="B739" s="617">
        <v>42636</v>
      </c>
      <c r="C739" s="80">
        <v>42614</v>
      </c>
      <c r="D739" s="79" t="s">
        <v>2462</v>
      </c>
      <c r="E739" s="75" t="s">
        <v>63</v>
      </c>
      <c r="F739" s="75" t="s">
        <v>336</v>
      </c>
    </row>
    <row r="740" spans="2:6" ht="27">
      <c r="B740" s="617">
        <v>42640</v>
      </c>
      <c r="C740" s="78">
        <v>42614</v>
      </c>
      <c r="D740" s="79" t="s">
        <v>1989</v>
      </c>
      <c r="E740" s="75" t="s">
        <v>2014</v>
      </c>
      <c r="F740" s="75" t="s">
        <v>1082</v>
      </c>
    </row>
    <row r="741" spans="2:6" ht="27">
      <c r="B741" s="617">
        <v>42640</v>
      </c>
      <c r="C741" s="78">
        <v>42614</v>
      </c>
      <c r="D741" s="79" t="s">
        <v>1989</v>
      </c>
      <c r="E741" s="75" t="s">
        <v>503</v>
      </c>
      <c r="F741" s="75" t="s">
        <v>1082</v>
      </c>
    </row>
    <row r="742" spans="2:6" ht="27">
      <c r="B742" s="617">
        <v>42640</v>
      </c>
      <c r="C742" s="78">
        <v>42614</v>
      </c>
      <c r="D742" s="79" t="s">
        <v>2845</v>
      </c>
      <c r="E742" s="75" t="s">
        <v>195</v>
      </c>
      <c r="F742" s="75" t="s">
        <v>336</v>
      </c>
    </row>
    <row r="743" spans="2:6" ht="27">
      <c r="B743" s="617">
        <v>42640</v>
      </c>
      <c r="C743" s="78">
        <v>42614</v>
      </c>
      <c r="D743" s="79" t="s">
        <v>3593</v>
      </c>
      <c r="E743" s="75" t="s">
        <v>195</v>
      </c>
      <c r="F743" s="75" t="s">
        <v>336</v>
      </c>
    </row>
    <row r="744" spans="2:6" ht="27">
      <c r="B744" s="618">
        <v>42640</v>
      </c>
      <c r="C744" s="63">
        <v>42614</v>
      </c>
      <c r="D744" s="62" t="s">
        <v>1989</v>
      </c>
      <c r="E744" s="58" t="s">
        <v>503</v>
      </c>
      <c r="F744" s="58" t="s">
        <v>2378</v>
      </c>
    </row>
    <row r="745" spans="2:6" ht="27">
      <c r="B745" s="618">
        <v>42640</v>
      </c>
      <c r="C745" s="63">
        <v>42614</v>
      </c>
      <c r="D745" s="62" t="s">
        <v>1989</v>
      </c>
      <c r="E745" s="58" t="s">
        <v>503</v>
      </c>
      <c r="F745" s="58" t="s">
        <v>2378</v>
      </c>
    </row>
    <row r="746" spans="2:6" ht="27">
      <c r="B746" s="617">
        <v>42640</v>
      </c>
      <c r="C746" s="80">
        <v>42614</v>
      </c>
      <c r="D746" s="79" t="s">
        <v>2945</v>
      </c>
      <c r="E746" s="75" t="s">
        <v>2346</v>
      </c>
      <c r="F746" s="75" t="s">
        <v>336</v>
      </c>
    </row>
    <row r="747" spans="2:6">
      <c r="B747" s="617">
        <v>42640</v>
      </c>
      <c r="C747" s="78">
        <v>42614</v>
      </c>
      <c r="D747" s="79" t="s">
        <v>6900</v>
      </c>
      <c r="E747" s="75" t="s">
        <v>63</v>
      </c>
      <c r="F747" s="75" t="s">
        <v>418</v>
      </c>
    </row>
    <row r="748" spans="2:6">
      <c r="B748" s="617">
        <v>42640</v>
      </c>
      <c r="C748" s="78">
        <v>42640</v>
      </c>
      <c r="D748" s="79" t="s">
        <v>3230</v>
      </c>
      <c r="E748" s="75" t="s">
        <v>2346</v>
      </c>
      <c r="F748" s="75" t="s">
        <v>101</v>
      </c>
    </row>
    <row r="749" spans="2:6">
      <c r="B749" s="617">
        <v>42641</v>
      </c>
      <c r="C749" s="78">
        <v>42614</v>
      </c>
      <c r="D749" s="79" t="s">
        <v>3678</v>
      </c>
      <c r="E749" s="75" t="s">
        <v>171</v>
      </c>
      <c r="F749" s="75" t="s">
        <v>183</v>
      </c>
    </row>
    <row r="750" spans="2:6" ht="40.5">
      <c r="B750" s="615">
        <v>42641</v>
      </c>
      <c r="C750" s="300">
        <v>42614</v>
      </c>
      <c r="D750" s="301" t="s">
        <v>6901</v>
      </c>
      <c r="E750" s="297" t="s">
        <v>171</v>
      </c>
      <c r="F750" s="297" t="s">
        <v>6902</v>
      </c>
    </row>
    <row r="751" spans="2:6" ht="27">
      <c r="B751" s="617">
        <v>42642</v>
      </c>
      <c r="C751" s="78">
        <v>42642</v>
      </c>
      <c r="D751" s="79" t="s">
        <v>6903</v>
      </c>
      <c r="E751" s="75" t="s">
        <v>5</v>
      </c>
      <c r="F751" s="75" t="s">
        <v>85</v>
      </c>
    </row>
    <row r="752" spans="2:6">
      <c r="B752" s="615">
        <v>42642</v>
      </c>
      <c r="C752" s="300">
        <v>42614</v>
      </c>
      <c r="D752" s="301" t="s">
        <v>1426</v>
      </c>
      <c r="E752" s="297" t="s">
        <v>5</v>
      </c>
      <c r="F752" s="297" t="s">
        <v>101</v>
      </c>
    </row>
    <row r="753" spans="2:6">
      <c r="B753" s="617">
        <v>42642</v>
      </c>
      <c r="C753" s="78">
        <v>42614</v>
      </c>
      <c r="D753" s="79" t="s">
        <v>3501</v>
      </c>
      <c r="E753" s="75" t="s">
        <v>5</v>
      </c>
      <c r="F753" s="75" t="s">
        <v>101</v>
      </c>
    </row>
    <row r="754" spans="2:6">
      <c r="B754" s="617">
        <v>42642</v>
      </c>
      <c r="C754" s="80">
        <v>42642</v>
      </c>
      <c r="D754" s="79" t="s">
        <v>1426</v>
      </c>
      <c r="E754" s="75"/>
      <c r="F754" s="75"/>
    </row>
    <row r="755" spans="2:6">
      <c r="B755" s="618">
        <v>42643</v>
      </c>
      <c r="C755" s="61">
        <v>42614</v>
      </c>
      <c r="D755" s="62" t="s">
        <v>3691</v>
      </c>
      <c r="E755" s="58" t="s">
        <v>625</v>
      </c>
      <c r="F755" s="58" t="s">
        <v>183</v>
      </c>
    </row>
    <row r="756" spans="2:6">
      <c r="B756" s="618">
        <v>42643</v>
      </c>
      <c r="C756" s="61">
        <v>42614</v>
      </c>
      <c r="D756" s="62" t="s">
        <v>2933</v>
      </c>
      <c r="E756" s="58" t="s">
        <v>5</v>
      </c>
      <c r="F756" s="58" t="s">
        <v>101</v>
      </c>
    </row>
    <row r="757" spans="2:6">
      <c r="B757" s="617">
        <v>42643</v>
      </c>
      <c r="C757" s="78">
        <v>42614</v>
      </c>
      <c r="D757" s="79" t="s">
        <v>3145</v>
      </c>
      <c r="E757" s="75" t="s">
        <v>63</v>
      </c>
      <c r="F757" s="75" t="s">
        <v>101</v>
      </c>
    </row>
    <row r="758" spans="2:6" ht="27">
      <c r="B758" s="618">
        <v>42643</v>
      </c>
      <c r="C758" s="61">
        <v>42614</v>
      </c>
      <c r="D758" s="62" t="s">
        <v>3551</v>
      </c>
      <c r="E758" s="58" t="s">
        <v>2346</v>
      </c>
      <c r="F758" s="58" t="s">
        <v>336</v>
      </c>
    </row>
    <row r="759" spans="2:6">
      <c r="B759" s="617">
        <v>42643</v>
      </c>
      <c r="C759" s="80">
        <v>42614</v>
      </c>
      <c r="D759" s="79" t="s">
        <v>3173</v>
      </c>
      <c r="E759" s="75" t="s">
        <v>5</v>
      </c>
      <c r="F759" s="75" t="s">
        <v>101</v>
      </c>
    </row>
    <row r="760" spans="2:6" ht="27">
      <c r="B760" s="617">
        <v>42643</v>
      </c>
      <c r="C760" s="78">
        <v>42614</v>
      </c>
      <c r="D760" s="79" t="s">
        <v>2000</v>
      </c>
      <c r="E760" s="75" t="s">
        <v>5</v>
      </c>
      <c r="F760" s="75" t="s">
        <v>336</v>
      </c>
    </row>
    <row r="761" spans="2:6">
      <c r="B761" s="615">
        <v>42646</v>
      </c>
      <c r="C761" s="300">
        <v>42644</v>
      </c>
      <c r="D761" s="301" t="s">
        <v>6904</v>
      </c>
      <c r="E761" s="297" t="s">
        <v>171</v>
      </c>
      <c r="F761" s="297" t="s">
        <v>1690</v>
      </c>
    </row>
    <row r="762" spans="2:6" ht="27">
      <c r="B762" s="615">
        <v>42647</v>
      </c>
      <c r="C762" s="300">
        <v>42644</v>
      </c>
      <c r="D762" s="301" t="s">
        <v>1699</v>
      </c>
      <c r="E762" s="297" t="s">
        <v>5</v>
      </c>
      <c r="F762" s="297" t="s">
        <v>85</v>
      </c>
    </row>
    <row r="763" spans="2:6" ht="27">
      <c r="B763" s="615">
        <v>42647</v>
      </c>
      <c r="C763" s="300">
        <v>42644</v>
      </c>
      <c r="D763" s="301" t="s">
        <v>1699</v>
      </c>
      <c r="E763" s="297" t="s">
        <v>5</v>
      </c>
      <c r="F763" s="297" t="s">
        <v>85</v>
      </c>
    </row>
    <row r="764" spans="2:6" ht="27">
      <c r="B764" s="615">
        <v>42647</v>
      </c>
      <c r="C764" s="300">
        <v>42644</v>
      </c>
      <c r="D764" s="301" t="s">
        <v>1833</v>
      </c>
      <c r="E764" s="297" t="s">
        <v>5</v>
      </c>
      <c r="F764" s="297" t="s">
        <v>336</v>
      </c>
    </row>
    <row r="765" spans="2:6" ht="27">
      <c r="B765" s="615">
        <v>42647</v>
      </c>
      <c r="C765" s="300">
        <v>42644</v>
      </c>
      <c r="D765" s="301" t="s">
        <v>1833</v>
      </c>
      <c r="E765" s="297" t="s">
        <v>5</v>
      </c>
      <c r="F765" s="297" t="s">
        <v>336</v>
      </c>
    </row>
    <row r="766" spans="2:6" ht="27">
      <c r="B766" s="615">
        <v>42647</v>
      </c>
      <c r="C766" s="300">
        <v>42644</v>
      </c>
      <c r="D766" s="301" t="s">
        <v>1833</v>
      </c>
      <c r="E766" s="297" t="s">
        <v>5</v>
      </c>
      <c r="F766" s="297" t="s">
        <v>336</v>
      </c>
    </row>
    <row r="767" spans="2:6" ht="27">
      <c r="B767" s="615">
        <v>42647</v>
      </c>
      <c r="C767" s="300">
        <v>42644</v>
      </c>
      <c r="D767" s="301" t="s">
        <v>1699</v>
      </c>
      <c r="E767" s="297" t="s">
        <v>5</v>
      </c>
      <c r="F767" s="297" t="s">
        <v>85</v>
      </c>
    </row>
    <row r="768" spans="2:6" ht="27">
      <c r="B768" s="618">
        <v>42647</v>
      </c>
      <c r="C768" s="61">
        <v>42644</v>
      </c>
      <c r="D768" s="62" t="s">
        <v>3584</v>
      </c>
      <c r="E768" s="58" t="s">
        <v>195</v>
      </c>
      <c r="F768" s="58" t="s">
        <v>336</v>
      </c>
    </row>
    <row r="769" spans="2:6" ht="27">
      <c r="B769" s="618">
        <v>42647</v>
      </c>
      <c r="C769" s="63">
        <v>42644</v>
      </c>
      <c r="D769" s="62" t="s">
        <v>2934</v>
      </c>
      <c r="E769" s="58" t="s">
        <v>195</v>
      </c>
      <c r="F769" s="58" t="s">
        <v>336</v>
      </c>
    </row>
    <row r="770" spans="2:6" ht="40.5">
      <c r="B770" s="618">
        <v>42647</v>
      </c>
      <c r="C770" s="61">
        <v>42644</v>
      </c>
      <c r="D770" s="62" t="s">
        <v>2934</v>
      </c>
      <c r="E770" s="58" t="s">
        <v>195</v>
      </c>
      <c r="F770" s="58" t="s">
        <v>3695</v>
      </c>
    </row>
    <row r="771" spans="2:6">
      <c r="B771" s="618">
        <v>42648</v>
      </c>
      <c r="C771" s="61">
        <v>42644</v>
      </c>
      <c r="D771" s="62" t="s">
        <v>3703</v>
      </c>
      <c r="E771" s="58" t="s">
        <v>625</v>
      </c>
      <c r="F771" s="58" t="s">
        <v>183</v>
      </c>
    </row>
    <row r="772" spans="2:6" ht="27">
      <c r="B772" s="615">
        <v>42649</v>
      </c>
      <c r="C772" s="302">
        <v>42644</v>
      </c>
      <c r="D772" s="301" t="s">
        <v>1211</v>
      </c>
      <c r="E772" s="297" t="s">
        <v>208</v>
      </c>
      <c r="F772" s="297" t="s">
        <v>336</v>
      </c>
    </row>
    <row r="773" spans="2:6">
      <c r="B773" s="618">
        <v>42649</v>
      </c>
      <c r="C773" s="61">
        <v>42644</v>
      </c>
      <c r="D773" s="62" t="s">
        <v>6905</v>
      </c>
      <c r="E773" s="58" t="s">
        <v>625</v>
      </c>
      <c r="F773" s="58" t="s">
        <v>1690</v>
      </c>
    </row>
    <row r="774" spans="2:6">
      <c r="B774" s="618">
        <v>42650</v>
      </c>
      <c r="C774" s="61">
        <v>42644</v>
      </c>
      <c r="D774" s="62" t="s">
        <v>2820</v>
      </c>
      <c r="E774" s="58" t="s">
        <v>171</v>
      </c>
      <c r="F774" s="58" t="s">
        <v>2223</v>
      </c>
    </row>
    <row r="775" spans="2:6">
      <c r="B775" s="617">
        <v>42650</v>
      </c>
      <c r="C775" s="78">
        <v>42644</v>
      </c>
      <c r="D775" s="79" t="s">
        <v>2820</v>
      </c>
      <c r="E775" s="75" t="s">
        <v>171</v>
      </c>
      <c r="F775" s="75" t="s">
        <v>2223</v>
      </c>
    </row>
    <row r="776" spans="2:6">
      <c r="B776" s="617">
        <v>42650</v>
      </c>
      <c r="C776" s="80">
        <v>42644</v>
      </c>
      <c r="D776" s="79" t="s">
        <v>3279</v>
      </c>
      <c r="E776" s="75" t="s">
        <v>1493</v>
      </c>
      <c r="F776" s="75" t="s">
        <v>183</v>
      </c>
    </row>
    <row r="777" spans="2:6">
      <c r="B777" s="615">
        <v>42651</v>
      </c>
      <c r="C777" s="300">
        <v>42644</v>
      </c>
      <c r="D777" s="301" t="s">
        <v>6906</v>
      </c>
      <c r="E777" s="297" t="s">
        <v>171</v>
      </c>
      <c r="F777" s="297" t="s">
        <v>183</v>
      </c>
    </row>
    <row r="778" spans="2:6">
      <c r="B778" s="615">
        <v>42653</v>
      </c>
      <c r="C778" s="300">
        <v>42644</v>
      </c>
      <c r="D778" s="301" t="s">
        <v>3722</v>
      </c>
      <c r="E778" s="297" t="s">
        <v>1493</v>
      </c>
      <c r="F778" s="297" t="s">
        <v>183</v>
      </c>
    </row>
    <row r="779" spans="2:6">
      <c r="B779" s="617">
        <v>42653</v>
      </c>
      <c r="C779" s="78">
        <v>42644</v>
      </c>
      <c r="D779" s="79" t="s">
        <v>3626</v>
      </c>
      <c r="E779" s="75" t="s">
        <v>171</v>
      </c>
      <c r="F779" s="75" t="s">
        <v>1544</v>
      </c>
    </row>
    <row r="780" spans="2:6" ht="27">
      <c r="B780" s="618">
        <v>42653</v>
      </c>
      <c r="C780" s="63">
        <v>42644</v>
      </c>
      <c r="D780" s="62" t="s">
        <v>3552</v>
      </c>
      <c r="E780" s="58" t="s">
        <v>2346</v>
      </c>
      <c r="F780" s="58" t="s">
        <v>336</v>
      </c>
    </row>
    <row r="781" spans="2:6" ht="27">
      <c r="B781" s="617">
        <v>42653</v>
      </c>
      <c r="C781" s="78">
        <v>42644</v>
      </c>
      <c r="D781" s="79" t="s">
        <v>1877</v>
      </c>
      <c r="E781" s="75" t="s">
        <v>208</v>
      </c>
      <c r="F781" s="75" t="s">
        <v>79</v>
      </c>
    </row>
    <row r="782" spans="2:6" ht="27">
      <c r="B782" s="616">
        <v>42654</v>
      </c>
      <c r="C782" s="21">
        <v>42644</v>
      </c>
      <c r="D782" s="22" t="s">
        <v>271</v>
      </c>
      <c r="E782" s="17" t="s">
        <v>171</v>
      </c>
      <c r="F782" s="17" t="s">
        <v>183</v>
      </c>
    </row>
    <row r="783" spans="2:6">
      <c r="B783" s="617">
        <v>42654</v>
      </c>
      <c r="C783" s="80">
        <v>42644</v>
      </c>
      <c r="D783" s="79" t="s">
        <v>3594</v>
      </c>
      <c r="E783" s="75" t="s">
        <v>171</v>
      </c>
      <c r="F783" s="75" t="s">
        <v>1544</v>
      </c>
    </row>
    <row r="784" spans="2:6" ht="27">
      <c r="B784" s="618">
        <v>42654</v>
      </c>
      <c r="C784" s="61">
        <v>42644</v>
      </c>
      <c r="D784" s="62" t="s">
        <v>3316</v>
      </c>
      <c r="E784" s="58" t="s">
        <v>5</v>
      </c>
      <c r="F784" s="58" t="s">
        <v>336</v>
      </c>
    </row>
    <row r="785" spans="2:6" ht="27">
      <c r="B785" s="618">
        <v>42654</v>
      </c>
      <c r="C785" s="61">
        <v>42644</v>
      </c>
      <c r="D785" s="62" t="s">
        <v>5773</v>
      </c>
      <c r="E785" s="58" t="s">
        <v>625</v>
      </c>
      <c r="F785" s="58" t="s">
        <v>5774</v>
      </c>
    </row>
    <row r="786" spans="2:6">
      <c r="B786" s="618">
        <v>42655</v>
      </c>
      <c r="C786" s="61">
        <v>42644</v>
      </c>
      <c r="D786" s="62" t="s">
        <v>3742</v>
      </c>
      <c r="E786" s="58" t="s">
        <v>625</v>
      </c>
      <c r="F786" s="58" t="s">
        <v>183</v>
      </c>
    </row>
    <row r="787" spans="2:6">
      <c r="B787" s="617">
        <v>42656</v>
      </c>
      <c r="C787" s="78">
        <v>42644</v>
      </c>
      <c r="D787" s="79" t="s">
        <v>3748</v>
      </c>
      <c r="E787" s="75" t="s">
        <v>171</v>
      </c>
      <c r="F787" s="75" t="s">
        <v>183</v>
      </c>
    </row>
    <row r="788" spans="2:6">
      <c r="B788" s="617">
        <v>42656</v>
      </c>
      <c r="C788" s="78">
        <v>42644</v>
      </c>
      <c r="D788" s="79" t="s">
        <v>3452</v>
      </c>
      <c r="E788" s="75" t="s">
        <v>5</v>
      </c>
      <c r="F788" s="75" t="s">
        <v>101</v>
      </c>
    </row>
    <row r="789" spans="2:6">
      <c r="B789" s="617">
        <v>42661</v>
      </c>
      <c r="C789" s="78">
        <v>42644</v>
      </c>
      <c r="D789" s="79" t="s">
        <v>3763</v>
      </c>
      <c r="E789" s="75" t="s">
        <v>625</v>
      </c>
      <c r="F789" s="75" t="s">
        <v>183</v>
      </c>
    </row>
    <row r="790" spans="2:6" ht="27">
      <c r="B790" s="617">
        <v>42661</v>
      </c>
      <c r="C790" s="78">
        <v>42644</v>
      </c>
      <c r="D790" s="79" t="s">
        <v>271</v>
      </c>
      <c r="E790" s="75" t="s">
        <v>3780</v>
      </c>
      <c r="F790" s="75" t="s">
        <v>183</v>
      </c>
    </row>
    <row r="791" spans="2:6">
      <c r="B791" s="617">
        <v>42661</v>
      </c>
      <c r="C791" s="78">
        <v>42644</v>
      </c>
      <c r="D791" s="79" t="s">
        <v>3796</v>
      </c>
      <c r="E791" s="75" t="s">
        <v>625</v>
      </c>
      <c r="F791" s="75" t="s">
        <v>183</v>
      </c>
    </row>
    <row r="792" spans="2:6" ht="27">
      <c r="B792" s="615">
        <v>42661</v>
      </c>
      <c r="C792" s="302">
        <v>42644</v>
      </c>
      <c r="D792" s="301" t="s">
        <v>1434</v>
      </c>
      <c r="E792" s="297" t="s">
        <v>5</v>
      </c>
      <c r="F792" s="297" t="s">
        <v>85</v>
      </c>
    </row>
    <row r="793" spans="2:6">
      <c r="B793" s="617">
        <v>42663</v>
      </c>
      <c r="C793" s="80">
        <v>42644</v>
      </c>
      <c r="D793" s="79" t="s">
        <v>3231</v>
      </c>
      <c r="E793" s="75" t="s">
        <v>625</v>
      </c>
      <c r="F793" s="75" t="s">
        <v>183</v>
      </c>
    </row>
    <row r="794" spans="2:6">
      <c r="B794" s="618">
        <v>42664</v>
      </c>
      <c r="C794" s="61">
        <v>42644</v>
      </c>
      <c r="D794" s="62" t="s">
        <v>3804</v>
      </c>
      <c r="E794" s="58" t="s">
        <v>625</v>
      </c>
      <c r="F794" s="58" t="s">
        <v>183</v>
      </c>
    </row>
    <row r="795" spans="2:6">
      <c r="B795" s="618">
        <v>42664</v>
      </c>
      <c r="C795" s="63">
        <v>42644</v>
      </c>
      <c r="D795" s="62" t="s">
        <v>3919</v>
      </c>
      <c r="E795" s="58" t="s">
        <v>625</v>
      </c>
      <c r="F795" s="58" t="s">
        <v>183</v>
      </c>
    </row>
    <row r="796" spans="2:6">
      <c r="B796" s="618">
        <v>42667</v>
      </c>
      <c r="C796" s="61">
        <v>42644</v>
      </c>
      <c r="D796" s="62" t="s">
        <v>3810</v>
      </c>
      <c r="E796" s="58" t="s">
        <v>5</v>
      </c>
      <c r="F796" s="58" t="s">
        <v>101</v>
      </c>
    </row>
    <row r="797" spans="2:6">
      <c r="B797" s="617">
        <v>42667</v>
      </c>
      <c r="C797" s="78">
        <v>42644</v>
      </c>
      <c r="D797" s="79" t="s">
        <v>3167</v>
      </c>
      <c r="E797" s="75" t="s">
        <v>5</v>
      </c>
      <c r="F797" s="75" t="s">
        <v>101</v>
      </c>
    </row>
    <row r="798" spans="2:6">
      <c r="B798" s="617">
        <v>42667</v>
      </c>
      <c r="C798" s="80">
        <v>42644</v>
      </c>
      <c r="D798" s="79" t="s">
        <v>3526</v>
      </c>
      <c r="E798" s="75" t="s">
        <v>5</v>
      </c>
      <c r="F798" s="75" t="s">
        <v>101</v>
      </c>
    </row>
    <row r="799" spans="2:6">
      <c r="B799" s="617">
        <v>42667</v>
      </c>
      <c r="C799" s="80">
        <v>42644</v>
      </c>
      <c r="D799" s="79" t="s">
        <v>3627</v>
      </c>
      <c r="E799" s="75" t="s">
        <v>5</v>
      </c>
      <c r="F799" s="75" t="s">
        <v>101</v>
      </c>
    </row>
    <row r="800" spans="2:6">
      <c r="B800" s="615">
        <v>42668</v>
      </c>
      <c r="C800" s="300">
        <v>42644</v>
      </c>
      <c r="D800" s="301" t="s">
        <v>3567</v>
      </c>
      <c r="E800" s="297" t="s">
        <v>208</v>
      </c>
      <c r="F800" s="297" t="s">
        <v>101</v>
      </c>
    </row>
    <row r="801" spans="2:6" ht="27">
      <c r="B801" s="614">
        <v>42668</v>
      </c>
      <c r="C801" s="40">
        <v>42644</v>
      </c>
      <c r="D801" s="39" t="s">
        <v>2697</v>
      </c>
      <c r="E801" s="34" t="s">
        <v>5</v>
      </c>
      <c r="F801" s="34" t="s">
        <v>336</v>
      </c>
    </row>
    <row r="802" spans="2:6">
      <c r="B802" s="618">
        <v>42669</v>
      </c>
      <c r="C802" s="61">
        <v>42644</v>
      </c>
      <c r="D802" s="62" t="s">
        <v>2814</v>
      </c>
      <c r="E802" s="58" t="s">
        <v>171</v>
      </c>
      <c r="F802" s="58" t="s">
        <v>2223</v>
      </c>
    </row>
    <row r="803" spans="2:6">
      <c r="B803" s="617">
        <v>42669</v>
      </c>
      <c r="C803" s="78">
        <v>42644</v>
      </c>
      <c r="D803" s="79" t="s">
        <v>3153</v>
      </c>
      <c r="E803" s="75" t="s">
        <v>63</v>
      </c>
      <c r="F803" s="75" t="s">
        <v>101</v>
      </c>
    </row>
    <row r="804" spans="2:6">
      <c r="B804" s="622">
        <v>42669</v>
      </c>
      <c r="C804" s="107">
        <v>42644</v>
      </c>
      <c r="D804" s="108" t="s">
        <v>3289</v>
      </c>
      <c r="E804" s="105" t="s">
        <v>63</v>
      </c>
      <c r="F804" s="105" t="s">
        <v>101</v>
      </c>
    </row>
    <row r="805" spans="2:6" ht="27">
      <c r="B805" s="615">
        <v>42669</v>
      </c>
      <c r="C805" s="302">
        <v>42644</v>
      </c>
      <c r="D805" s="301" t="s">
        <v>3710</v>
      </c>
      <c r="E805" s="297" t="s">
        <v>576</v>
      </c>
      <c r="F805" s="297" t="s">
        <v>3711</v>
      </c>
    </row>
    <row r="806" spans="2:6">
      <c r="B806" s="615">
        <v>42670</v>
      </c>
      <c r="C806" s="300">
        <v>42644</v>
      </c>
      <c r="D806" s="301" t="s">
        <v>582</v>
      </c>
      <c r="E806" s="297"/>
      <c r="F806" s="297"/>
    </row>
    <row r="807" spans="2:6">
      <c r="B807" s="615">
        <v>42670</v>
      </c>
      <c r="C807" s="300">
        <v>42644</v>
      </c>
      <c r="D807" s="301" t="s">
        <v>582</v>
      </c>
      <c r="E807" s="297"/>
      <c r="F807" s="297"/>
    </row>
    <row r="808" spans="2:6">
      <c r="B808" s="618">
        <v>42670</v>
      </c>
      <c r="C808" s="61">
        <v>42644</v>
      </c>
      <c r="D808" s="62" t="s">
        <v>3834</v>
      </c>
      <c r="E808" s="58" t="s">
        <v>5</v>
      </c>
      <c r="F808" s="58" t="s">
        <v>101</v>
      </c>
    </row>
    <row r="809" spans="2:6">
      <c r="B809" s="617">
        <v>42670</v>
      </c>
      <c r="C809" s="78">
        <v>42644</v>
      </c>
      <c r="D809" s="79" t="s">
        <v>3620</v>
      </c>
      <c r="E809" s="75" t="s">
        <v>171</v>
      </c>
      <c r="F809" s="75" t="s">
        <v>1544</v>
      </c>
    </row>
    <row r="810" spans="2:6" ht="27">
      <c r="B810" s="617">
        <v>42670</v>
      </c>
      <c r="C810" s="78">
        <v>42644</v>
      </c>
      <c r="D810" s="79" t="s">
        <v>3679</v>
      </c>
      <c r="E810" s="75" t="s">
        <v>5</v>
      </c>
      <c r="F810" s="75" t="s">
        <v>79</v>
      </c>
    </row>
    <row r="811" spans="2:6">
      <c r="B811" s="615">
        <v>42674</v>
      </c>
      <c r="C811" s="300">
        <v>42644</v>
      </c>
      <c r="D811" s="301" t="s">
        <v>3845</v>
      </c>
      <c r="E811" s="297" t="s">
        <v>5</v>
      </c>
      <c r="F811" s="297" t="s">
        <v>101</v>
      </c>
    </row>
    <row r="812" spans="2:6">
      <c r="B812" s="617">
        <v>42674</v>
      </c>
      <c r="C812" s="78">
        <v>42644</v>
      </c>
      <c r="D812" s="79" t="s">
        <v>3180</v>
      </c>
      <c r="E812" s="75" t="s">
        <v>63</v>
      </c>
      <c r="F812" s="75" t="s">
        <v>101</v>
      </c>
    </row>
    <row r="813" spans="2:6">
      <c r="B813" s="618">
        <v>42674</v>
      </c>
      <c r="C813" s="63">
        <v>42644</v>
      </c>
      <c r="D813" s="62" t="s">
        <v>3485</v>
      </c>
      <c r="E813" s="58" t="s">
        <v>625</v>
      </c>
      <c r="F813" s="58" t="s">
        <v>183</v>
      </c>
    </row>
    <row r="814" spans="2:6" ht="27">
      <c r="B814" s="618">
        <v>42674</v>
      </c>
      <c r="C814" s="61">
        <v>42644</v>
      </c>
      <c r="D814" s="62" t="s">
        <v>2379</v>
      </c>
      <c r="E814" s="58" t="s">
        <v>195</v>
      </c>
      <c r="F814" s="58" t="s">
        <v>153</v>
      </c>
    </row>
    <row r="815" spans="2:6" ht="27">
      <c r="B815" s="618">
        <v>42674</v>
      </c>
      <c r="C815" s="61">
        <v>42644</v>
      </c>
      <c r="D815" s="62" t="s">
        <v>2379</v>
      </c>
      <c r="E815" s="58" t="s">
        <v>195</v>
      </c>
      <c r="F815" s="58" t="s">
        <v>153</v>
      </c>
    </row>
    <row r="816" spans="2:6" ht="27">
      <c r="B816" s="615">
        <v>42674</v>
      </c>
      <c r="C816" s="300">
        <v>42644</v>
      </c>
      <c r="D816" s="301" t="s">
        <v>3712</v>
      </c>
      <c r="E816" s="297" t="s">
        <v>195</v>
      </c>
      <c r="F816" s="297" t="s">
        <v>3713</v>
      </c>
    </row>
    <row r="817" spans="2:6">
      <c r="B817" s="617">
        <v>42675</v>
      </c>
      <c r="C817" s="78">
        <v>42675</v>
      </c>
      <c r="D817" s="79" t="s">
        <v>3859</v>
      </c>
      <c r="E817" s="75" t="s">
        <v>5</v>
      </c>
      <c r="F817" s="75" t="s">
        <v>101</v>
      </c>
    </row>
    <row r="818" spans="2:6">
      <c r="B818" s="617">
        <v>42676</v>
      </c>
      <c r="C818" s="78">
        <v>42675</v>
      </c>
      <c r="D818" s="79" t="s">
        <v>3421</v>
      </c>
      <c r="E818" s="75" t="s">
        <v>171</v>
      </c>
      <c r="F818" s="75" t="s">
        <v>1544</v>
      </c>
    </row>
    <row r="819" spans="2:6">
      <c r="B819" s="617">
        <v>42676</v>
      </c>
      <c r="C819" s="78">
        <v>42675</v>
      </c>
      <c r="D819" s="79" t="s">
        <v>3609</v>
      </c>
      <c r="E819" s="75" t="s">
        <v>625</v>
      </c>
      <c r="F819" s="75" t="s">
        <v>1544</v>
      </c>
    </row>
    <row r="820" spans="2:6" ht="27">
      <c r="B820" s="615">
        <v>42678</v>
      </c>
      <c r="C820" s="300">
        <v>42675</v>
      </c>
      <c r="D820" s="301" t="s">
        <v>6907</v>
      </c>
      <c r="E820" s="297" t="s">
        <v>171</v>
      </c>
      <c r="F820" s="297" t="s">
        <v>6908</v>
      </c>
    </row>
    <row r="821" spans="2:6">
      <c r="B821" s="618">
        <v>42682</v>
      </c>
      <c r="C821" s="61">
        <v>42675</v>
      </c>
      <c r="D821" s="62" t="s">
        <v>3882</v>
      </c>
      <c r="E821" s="58" t="s">
        <v>286</v>
      </c>
      <c r="F821" s="58" t="s">
        <v>101</v>
      </c>
    </row>
    <row r="822" spans="2:6" ht="27">
      <c r="B822" s="615">
        <v>42682</v>
      </c>
      <c r="C822" s="300">
        <v>42675</v>
      </c>
      <c r="D822" s="301" t="s">
        <v>2761</v>
      </c>
      <c r="E822" s="297" t="s">
        <v>195</v>
      </c>
      <c r="F822" s="297" t="s">
        <v>389</v>
      </c>
    </row>
    <row r="823" spans="2:6" ht="27">
      <c r="B823" s="615">
        <v>42682</v>
      </c>
      <c r="C823" s="300">
        <v>42682</v>
      </c>
      <c r="D823" s="301" t="s">
        <v>3846</v>
      </c>
      <c r="E823" s="297" t="s">
        <v>195</v>
      </c>
      <c r="F823" s="297" t="s">
        <v>336</v>
      </c>
    </row>
    <row r="824" spans="2:6">
      <c r="B824" s="618">
        <v>42683</v>
      </c>
      <c r="C824" s="61">
        <v>42675</v>
      </c>
      <c r="D824" s="66" t="s">
        <v>3955</v>
      </c>
      <c r="E824" s="66" t="s">
        <v>63</v>
      </c>
      <c r="F824" s="117" t="s">
        <v>101</v>
      </c>
    </row>
    <row r="825" spans="2:6">
      <c r="B825" s="615">
        <v>42683</v>
      </c>
      <c r="C825" s="302">
        <v>42675</v>
      </c>
      <c r="D825" s="301" t="s">
        <v>3384</v>
      </c>
      <c r="E825" s="297" t="s">
        <v>171</v>
      </c>
      <c r="F825" s="297" t="s">
        <v>183</v>
      </c>
    </row>
    <row r="826" spans="2:6">
      <c r="B826" s="618">
        <v>42683</v>
      </c>
      <c r="C826" s="61">
        <v>42675</v>
      </c>
      <c r="D826" s="62" t="s">
        <v>3421</v>
      </c>
      <c r="E826" s="58" t="s">
        <v>171</v>
      </c>
      <c r="F826" s="58" t="s">
        <v>1544</v>
      </c>
    </row>
    <row r="827" spans="2:6" ht="54">
      <c r="B827" s="617">
        <v>42684</v>
      </c>
      <c r="C827" s="78">
        <v>42675</v>
      </c>
      <c r="D827" s="79" t="s">
        <v>3875</v>
      </c>
      <c r="E827" s="75" t="s">
        <v>94</v>
      </c>
      <c r="F827" s="75" t="s">
        <v>183</v>
      </c>
    </row>
    <row r="828" spans="2:6" ht="27">
      <c r="B828" s="618">
        <v>42685</v>
      </c>
      <c r="C828" s="63">
        <v>42675</v>
      </c>
      <c r="D828" s="62" t="s">
        <v>3812</v>
      </c>
      <c r="E828" s="58" t="s">
        <v>503</v>
      </c>
      <c r="F828" s="58" t="s">
        <v>570</v>
      </c>
    </row>
    <row r="829" spans="2:6">
      <c r="B829" s="617">
        <v>42689</v>
      </c>
      <c r="C829" s="78">
        <v>42675</v>
      </c>
      <c r="D829" s="79" t="s">
        <v>3893</v>
      </c>
      <c r="E829" s="75" t="s">
        <v>5</v>
      </c>
      <c r="F829" s="75" t="s">
        <v>101</v>
      </c>
    </row>
    <row r="830" spans="2:6">
      <c r="B830" s="614">
        <v>42689</v>
      </c>
      <c r="C830" s="38">
        <v>42675</v>
      </c>
      <c r="D830" s="39" t="s">
        <v>3902</v>
      </c>
      <c r="E830" s="34" t="s">
        <v>5</v>
      </c>
      <c r="F830" s="34" t="s">
        <v>101</v>
      </c>
    </row>
    <row r="831" spans="2:6" ht="27">
      <c r="B831" s="618">
        <v>42689</v>
      </c>
      <c r="C831" s="61">
        <v>42675</v>
      </c>
      <c r="D831" s="62" t="s">
        <v>3908</v>
      </c>
      <c r="E831" s="58" t="s">
        <v>63</v>
      </c>
      <c r="F831" s="58" t="s">
        <v>183</v>
      </c>
    </row>
    <row r="832" spans="2:6">
      <c r="B832" s="615">
        <v>42689</v>
      </c>
      <c r="C832" s="300">
        <v>42675</v>
      </c>
      <c r="D832" s="301" t="s">
        <v>907</v>
      </c>
      <c r="E832" s="297" t="s">
        <v>5</v>
      </c>
      <c r="F832" s="297" t="s">
        <v>101</v>
      </c>
    </row>
    <row r="833" spans="2:6">
      <c r="B833" s="618">
        <v>42689</v>
      </c>
      <c r="C833" s="61">
        <v>42675</v>
      </c>
      <c r="D833" s="62" t="s">
        <v>2516</v>
      </c>
      <c r="E833" s="58" t="s">
        <v>171</v>
      </c>
      <c r="F833" s="58" t="s">
        <v>183</v>
      </c>
    </row>
    <row r="834" spans="2:6">
      <c r="B834" s="617">
        <v>42689</v>
      </c>
      <c r="C834" s="78">
        <v>42675</v>
      </c>
      <c r="D834" s="79" t="s">
        <v>3601</v>
      </c>
      <c r="E834" s="75" t="s">
        <v>5</v>
      </c>
      <c r="F834" s="75" t="s">
        <v>101</v>
      </c>
    </row>
    <row r="835" spans="2:6" ht="27">
      <c r="B835" s="614">
        <v>42689</v>
      </c>
      <c r="C835" s="38">
        <v>42675</v>
      </c>
      <c r="D835" s="39" t="s">
        <v>3902</v>
      </c>
      <c r="E835" s="34" t="s">
        <v>5</v>
      </c>
      <c r="F835" s="34" t="s">
        <v>3375</v>
      </c>
    </row>
    <row r="836" spans="2:6" ht="27">
      <c r="B836" s="615">
        <v>42689</v>
      </c>
      <c r="C836" s="300">
        <v>42675</v>
      </c>
      <c r="D836" s="301" t="s">
        <v>6909</v>
      </c>
      <c r="E836" s="297" t="s">
        <v>5</v>
      </c>
      <c r="F836" s="297" t="s">
        <v>107</v>
      </c>
    </row>
    <row r="837" spans="2:6" ht="27">
      <c r="B837" s="615">
        <v>42689</v>
      </c>
      <c r="C837" s="300">
        <v>42675</v>
      </c>
      <c r="D837" s="301" t="s">
        <v>6909</v>
      </c>
      <c r="E837" s="297" t="s">
        <v>5</v>
      </c>
      <c r="F837" s="297" t="s">
        <v>107</v>
      </c>
    </row>
    <row r="838" spans="2:6" ht="27">
      <c r="B838" s="618">
        <v>42690</v>
      </c>
      <c r="C838" s="61">
        <v>42675</v>
      </c>
      <c r="D838" s="62" t="s">
        <v>3917</v>
      </c>
      <c r="E838" s="58" t="s">
        <v>195</v>
      </c>
      <c r="F838" s="58" t="s">
        <v>183</v>
      </c>
    </row>
    <row r="839" spans="2:6">
      <c r="B839" s="615">
        <v>42691</v>
      </c>
      <c r="C839" s="300">
        <v>42675</v>
      </c>
      <c r="D839" s="301" t="s">
        <v>3934</v>
      </c>
      <c r="E839" s="297" t="s">
        <v>171</v>
      </c>
      <c r="F839" s="297" t="s">
        <v>183</v>
      </c>
    </row>
    <row r="840" spans="2:6">
      <c r="B840" s="617">
        <v>42691</v>
      </c>
      <c r="C840" s="78">
        <v>42675</v>
      </c>
      <c r="D840" s="79" t="s">
        <v>3133</v>
      </c>
      <c r="E840" s="75" t="s">
        <v>5</v>
      </c>
      <c r="F840" s="75" t="s">
        <v>101</v>
      </c>
    </row>
    <row r="841" spans="2:6" ht="27">
      <c r="B841" s="618">
        <v>42692</v>
      </c>
      <c r="C841" s="61">
        <v>42675</v>
      </c>
      <c r="D841" s="117" t="s">
        <v>3954</v>
      </c>
      <c r="E841" s="117" t="s">
        <v>152</v>
      </c>
      <c r="F841" s="117" t="s">
        <v>336</v>
      </c>
    </row>
    <row r="842" spans="2:6">
      <c r="B842" s="617">
        <v>42692</v>
      </c>
      <c r="C842" s="80">
        <v>42675</v>
      </c>
      <c r="D842" s="79" t="s">
        <v>3610</v>
      </c>
      <c r="E842" s="75" t="s">
        <v>171</v>
      </c>
      <c r="F842" s="75" t="s">
        <v>1544</v>
      </c>
    </row>
    <row r="843" spans="2:6" ht="27">
      <c r="B843" s="618">
        <v>42692</v>
      </c>
      <c r="C843" s="61">
        <v>42675</v>
      </c>
      <c r="D843" s="117" t="s">
        <v>6910</v>
      </c>
      <c r="E843" s="117" t="s">
        <v>576</v>
      </c>
      <c r="F843" s="117" t="s">
        <v>1167</v>
      </c>
    </row>
    <row r="844" spans="2:6">
      <c r="B844" s="618">
        <v>42695</v>
      </c>
      <c r="C844" s="61">
        <v>42675</v>
      </c>
      <c r="D844" s="62" t="s">
        <v>3963</v>
      </c>
      <c r="E844" s="58" t="s">
        <v>625</v>
      </c>
      <c r="F844" s="58" t="s">
        <v>183</v>
      </c>
    </row>
    <row r="845" spans="2:6">
      <c r="B845" s="618">
        <v>42695</v>
      </c>
      <c r="C845" s="61">
        <v>42675</v>
      </c>
      <c r="D845" s="62" t="s">
        <v>3969</v>
      </c>
      <c r="E845" s="58" t="s">
        <v>171</v>
      </c>
      <c r="F845" s="58" t="s">
        <v>183</v>
      </c>
    </row>
    <row r="846" spans="2:6" ht="40.5">
      <c r="B846" s="615">
        <v>42696</v>
      </c>
      <c r="C846" s="300">
        <v>42675</v>
      </c>
      <c r="D846" s="301" t="s">
        <v>6911</v>
      </c>
      <c r="E846" s="297" t="s">
        <v>171</v>
      </c>
      <c r="F846" s="297" t="s">
        <v>507</v>
      </c>
    </row>
    <row r="847" spans="2:6" ht="27">
      <c r="B847" s="617">
        <v>42696</v>
      </c>
      <c r="C847" s="78">
        <v>42675</v>
      </c>
      <c r="D847" s="79" t="s">
        <v>3344</v>
      </c>
      <c r="E847" s="75" t="s">
        <v>208</v>
      </c>
      <c r="F847" s="75" t="s">
        <v>107</v>
      </c>
    </row>
    <row r="848" spans="2:6" ht="40.5">
      <c r="B848" s="615">
        <v>42696</v>
      </c>
      <c r="C848" s="300">
        <v>42675</v>
      </c>
      <c r="D848" s="301" t="s">
        <v>508</v>
      </c>
      <c r="E848" s="297" t="s">
        <v>171</v>
      </c>
      <c r="F848" s="297" t="s">
        <v>507</v>
      </c>
    </row>
    <row r="849" spans="2:6" ht="27">
      <c r="B849" s="618">
        <v>42696</v>
      </c>
      <c r="C849" s="61">
        <v>42675</v>
      </c>
      <c r="D849" s="62" t="s">
        <v>6912</v>
      </c>
      <c r="E849" s="58" t="s">
        <v>625</v>
      </c>
      <c r="F849" s="58" t="s">
        <v>1393</v>
      </c>
    </row>
    <row r="850" spans="2:6">
      <c r="B850" s="618">
        <v>42697</v>
      </c>
      <c r="C850" s="61">
        <v>42675</v>
      </c>
      <c r="D850" s="62" t="s">
        <v>3979</v>
      </c>
      <c r="E850" s="58" t="s">
        <v>1493</v>
      </c>
      <c r="F850" s="58" t="s">
        <v>183</v>
      </c>
    </row>
    <row r="851" spans="2:6">
      <c r="B851" s="614">
        <v>42697</v>
      </c>
      <c r="C851" s="38">
        <v>42675</v>
      </c>
      <c r="D851" s="39" t="s">
        <v>3989</v>
      </c>
      <c r="E851" s="34" t="s">
        <v>625</v>
      </c>
      <c r="F851" s="34" t="s">
        <v>183</v>
      </c>
    </row>
    <row r="852" spans="2:6">
      <c r="B852" s="617">
        <v>42697</v>
      </c>
      <c r="C852" s="78">
        <v>42675</v>
      </c>
      <c r="D852" s="79" t="s">
        <v>3996</v>
      </c>
      <c r="E852" s="75" t="s">
        <v>1493</v>
      </c>
      <c r="F852" s="75" t="s">
        <v>183</v>
      </c>
    </row>
    <row r="853" spans="2:6" ht="27">
      <c r="B853" s="616">
        <v>42697</v>
      </c>
      <c r="C853" s="23">
        <v>42697</v>
      </c>
      <c r="D853" s="22" t="s">
        <v>6581</v>
      </c>
      <c r="E853" s="17" t="s">
        <v>625</v>
      </c>
      <c r="F853" s="17" t="s">
        <v>2395</v>
      </c>
    </row>
    <row r="854" spans="2:6">
      <c r="B854" s="618">
        <v>42697</v>
      </c>
      <c r="C854" s="61">
        <v>42675</v>
      </c>
      <c r="D854" s="62" t="s">
        <v>3918</v>
      </c>
      <c r="E854" s="58" t="s">
        <v>625</v>
      </c>
      <c r="F854" s="58" t="s">
        <v>183</v>
      </c>
    </row>
    <row r="855" spans="2:6" ht="27">
      <c r="B855" s="617">
        <v>42697</v>
      </c>
      <c r="C855" s="80">
        <v>42675</v>
      </c>
      <c r="D855" s="79" t="s">
        <v>1876</v>
      </c>
      <c r="E855" s="75" t="s">
        <v>195</v>
      </c>
      <c r="F855" s="75" t="s">
        <v>336</v>
      </c>
    </row>
    <row r="856" spans="2:6" ht="27">
      <c r="B856" s="617">
        <v>42697</v>
      </c>
      <c r="C856" s="78">
        <v>42675</v>
      </c>
      <c r="D856" s="79" t="s">
        <v>6913</v>
      </c>
      <c r="E856" s="75" t="s">
        <v>625</v>
      </c>
      <c r="F856" s="75" t="s">
        <v>3423</v>
      </c>
    </row>
    <row r="857" spans="2:6" ht="27">
      <c r="B857" s="618">
        <v>42697</v>
      </c>
      <c r="C857" s="61">
        <v>42697</v>
      </c>
      <c r="D857" s="62" t="s">
        <v>3989</v>
      </c>
      <c r="E857" s="58" t="s">
        <v>625</v>
      </c>
      <c r="F857" s="58" t="s">
        <v>3423</v>
      </c>
    </row>
    <row r="858" spans="2:6">
      <c r="B858" s="618">
        <v>42698</v>
      </c>
      <c r="C858" s="61">
        <v>42675</v>
      </c>
      <c r="D858" s="62" t="s">
        <v>2485</v>
      </c>
      <c r="E858" s="58" t="s">
        <v>5</v>
      </c>
      <c r="F858" s="58" t="s">
        <v>101</v>
      </c>
    </row>
    <row r="859" spans="2:6">
      <c r="B859" s="617">
        <v>42698</v>
      </c>
      <c r="C859" s="78">
        <v>42675</v>
      </c>
      <c r="D859" s="79" t="s">
        <v>2974</v>
      </c>
      <c r="E859" s="75" t="s">
        <v>5</v>
      </c>
      <c r="F859" s="75" t="s">
        <v>101</v>
      </c>
    </row>
    <row r="860" spans="2:6" ht="27">
      <c r="B860" s="615">
        <v>42698</v>
      </c>
      <c r="C860" s="302">
        <v>42675</v>
      </c>
      <c r="D860" s="301" t="s">
        <v>2762</v>
      </c>
      <c r="E860" s="297" t="s">
        <v>195</v>
      </c>
      <c r="F860" s="297" t="s">
        <v>2763</v>
      </c>
    </row>
    <row r="861" spans="2:6" ht="27">
      <c r="B861" s="615">
        <v>42698</v>
      </c>
      <c r="C861" s="300">
        <v>42675</v>
      </c>
      <c r="D861" s="301" t="s">
        <v>1085</v>
      </c>
      <c r="E861" s="297" t="s">
        <v>5</v>
      </c>
      <c r="F861" s="297" t="s">
        <v>107</v>
      </c>
    </row>
    <row r="862" spans="2:6" ht="27">
      <c r="B862" s="615">
        <v>42698</v>
      </c>
      <c r="C862" s="300">
        <v>42675</v>
      </c>
      <c r="D862" s="301" t="s">
        <v>6914</v>
      </c>
      <c r="E862" s="297" t="s">
        <v>5</v>
      </c>
      <c r="F862" s="297" t="s">
        <v>713</v>
      </c>
    </row>
    <row r="863" spans="2:6">
      <c r="B863" s="615">
        <v>42699</v>
      </c>
      <c r="C863" s="300">
        <v>42675</v>
      </c>
      <c r="D863" s="301" t="s">
        <v>4001</v>
      </c>
      <c r="E863" s="297" t="s">
        <v>5</v>
      </c>
      <c r="F863" s="297" t="s">
        <v>101</v>
      </c>
    </row>
    <row r="864" spans="2:6">
      <c r="B864" s="617">
        <v>42699</v>
      </c>
      <c r="C864" s="78">
        <v>42675</v>
      </c>
      <c r="D864" s="79" t="s">
        <v>4013</v>
      </c>
      <c r="E864" s="75" t="s">
        <v>625</v>
      </c>
      <c r="F864" s="75" t="s">
        <v>183</v>
      </c>
    </row>
    <row r="865" spans="2:6">
      <c r="B865" s="617">
        <v>42699</v>
      </c>
      <c r="C865" s="78">
        <v>42675</v>
      </c>
      <c r="D865" s="79" t="s">
        <v>3334</v>
      </c>
      <c r="E865" s="75" t="s">
        <v>5</v>
      </c>
      <c r="F865" s="75" t="s">
        <v>101</v>
      </c>
    </row>
    <row r="866" spans="2:6">
      <c r="B866" s="615">
        <v>42699</v>
      </c>
      <c r="C866" s="300">
        <v>42675</v>
      </c>
      <c r="D866" s="301" t="s">
        <v>3709</v>
      </c>
      <c r="E866" s="297" t="s">
        <v>5</v>
      </c>
      <c r="F866" s="297" t="s">
        <v>101</v>
      </c>
    </row>
    <row r="867" spans="2:6">
      <c r="B867" s="617">
        <v>42703</v>
      </c>
      <c r="C867" s="78">
        <v>42703</v>
      </c>
      <c r="D867" s="79" t="s">
        <v>1425</v>
      </c>
      <c r="E867" s="75"/>
      <c r="F867" s="75"/>
    </row>
    <row r="868" spans="2:6" ht="27">
      <c r="B868" s="615">
        <v>42703</v>
      </c>
      <c r="C868" s="300">
        <v>42675</v>
      </c>
      <c r="D868" s="301" t="s">
        <v>2764</v>
      </c>
      <c r="E868" s="297" t="s">
        <v>152</v>
      </c>
      <c r="F868" s="297" t="s">
        <v>2765</v>
      </c>
    </row>
    <row r="869" spans="2:6">
      <c r="B869" s="618">
        <v>42704</v>
      </c>
      <c r="C869" s="61">
        <v>42675</v>
      </c>
      <c r="D869" s="62" t="s">
        <v>4029</v>
      </c>
      <c r="E869" s="58" t="s">
        <v>1997</v>
      </c>
      <c r="F869" s="58" t="s">
        <v>183</v>
      </c>
    </row>
    <row r="870" spans="2:6">
      <c r="B870" s="617">
        <v>42704</v>
      </c>
      <c r="C870" s="78">
        <v>42675</v>
      </c>
      <c r="D870" s="79" t="s">
        <v>2494</v>
      </c>
      <c r="E870" s="75" t="s">
        <v>5</v>
      </c>
      <c r="F870" s="75" t="s">
        <v>101</v>
      </c>
    </row>
    <row r="871" spans="2:6" ht="27">
      <c r="B871" s="615">
        <v>42704</v>
      </c>
      <c r="C871" s="302">
        <v>42675</v>
      </c>
      <c r="D871" s="301" t="s">
        <v>3568</v>
      </c>
      <c r="E871" s="297" t="s">
        <v>208</v>
      </c>
      <c r="F871" s="297" t="s">
        <v>336</v>
      </c>
    </row>
    <row r="872" spans="2:6">
      <c r="B872" s="617">
        <v>42705</v>
      </c>
      <c r="C872" s="78">
        <v>42705</v>
      </c>
      <c r="D872" s="79" t="s">
        <v>3002</v>
      </c>
      <c r="E872" s="75" t="s">
        <v>63</v>
      </c>
      <c r="F872" s="75" t="s">
        <v>101</v>
      </c>
    </row>
    <row r="873" spans="2:6">
      <c r="B873" s="617">
        <v>42705</v>
      </c>
      <c r="C873" s="80">
        <v>42705</v>
      </c>
      <c r="D873" s="79" t="s">
        <v>3414</v>
      </c>
      <c r="E873" s="75" t="s">
        <v>5</v>
      </c>
      <c r="F873" s="75" t="s">
        <v>101</v>
      </c>
    </row>
    <row r="874" spans="2:6">
      <c r="B874" s="617">
        <v>42706</v>
      </c>
      <c r="C874" s="78">
        <v>42705</v>
      </c>
      <c r="D874" s="79" t="s">
        <v>3308</v>
      </c>
      <c r="E874" s="75" t="s">
        <v>5</v>
      </c>
      <c r="F874" s="75" t="s">
        <v>101</v>
      </c>
    </row>
    <row r="875" spans="2:6">
      <c r="B875" s="617">
        <v>42706</v>
      </c>
      <c r="C875" s="78">
        <v>42705</v>
      </c>
      <c r="D875" s="79" t="s">
        <v>3860</v>
      </c>
      <c r="E875" s="75" t="s">
        <v>625</v>
      </c>
      <c r="F875" s="75" t="s">
        <v>183</v>
      </c>
    </row>
    <row r="876" spans="2:6">
      <c r="B876" s="615">
        <v>42706</v>
      </c>
      <c r="C876" s="302">
        <v>42706</v>
      </c>
      <c r="D876" s="301" t="s">
        <v>1109</v>
      </c>
      <c r="E876" s="297"/>
      <c r="F876" s="297"/>
    </row>
    <row r="877" spans="2:6">
      <c r="B877" s="618">
        <v>42706</v>
      </c>
      <c r="C877" s="63">
        <v>42705</v>
      </c>
      <c r="D877" s="62" t="s">
        <v>2821</v>
      </c>
      <c r="E877" s="58" t="s">
        <v>5</v>
      </c>
      <c r="F877" s="58" t="s">
        <v>101</v>
      </c>
    </row>
    <row r="878" spans="2:6" ht="27">
      <c r="B878" s="617">
        <v>42706</v>
      </c>
      <c r="C878" s="80">
        <v>42705</v>
      </c>
      <c r="D878" s="79" t="s">
        <v>3323</v>
      </c>
      <c r="E878" s="75" t="s">
        <v>5</v>
      </c>
      <c r="F878" s="75" t="s">
        <v>336</v>
      </c>
    </row>
    <row r="879" spans="2:6">
      <c r="B879" s="617">
        <v>42706</v>
      </c>
      <c r="C879" s="80">
        <v>42705</v>
      </c>
      <c r="D879" s="79" t="s">
        <v>3439</v>
      </c>
      <c r="E879" s="75" t="s">
        <v>5</v>
      </c>
      <c r="F879" s="75" t="s">
        <v>101</v>
      </c>
    </row>
    <row r="880" spans="2:6">
      <c r="B880" s="617">
        <v>42709</v>
      </c>
      <c r="C880" s="80">
        <v>42705</v>
      </c>
      <c r="D880" s="79" t="s">
        <v>3458</v>
      </c>
      <c r="E880" s="75" t="s">
        <v>5</v>
      </c>
      <c r="F880" s="75" t="s">
        <v>101</v>
      </c>
    </row>
    <row r="881" spans="2:6">
      <c r="B881" s="618">
        <v>42710</v>
      </c>
      <c r="C881" s="61">
        <v>42705</v>
      </c>
      <c r="D881" s="62" t="s">
        <v>4046</v>
      </c>
      <c r="E881" s="58" t="s">
        <v>625</v>
      </c>
      <c r="F881" s="58" t="s">
        <v>183</v>
      </c>
    </row>
    <row r="882" spans="2:6" ht="54">
      <c r="B882" s="619">
        <v>42710</v>
      </c>
      <c r="C882" s="146">
        <v>42705</v>
      </c>
      <c r="D882" s="145" t="s">
        <v>6436</v>
      </c>
      <c r="E882" s="141" t="s">
        <v>6437</v>
      </c>
      <c r="F882" s="141" t="s">
        <v>6438</v>
      </c>
    </row>
    <row r="883" spans="2:6">
      <c r="B883" s="618">
        <v>42710</v>
      </c>
      <c r="C883" s="61">
        <v>42705</v>
      </c>
      <c r="D883" s="62" t="s">
        <v>3468</v>
      </c>
      <c r="E883" s="58" t="s">
        <v>171</v>
      </c>
      <c r="F883" s="58" t="s">
        <v>1854</v>
      </c>
    </row>
    <row r="884" spans="2:6" ht="27">
      <c r="B884" s="615">
        <v>42710</v>
      </c>
      <c r="C884" s="300">
        <v>42705</v>
      </c>
      <c r="D884" s="301" t="s">
        <v>2766</v>
      </c>
      <c r="E884" s="297" t="s">
        <v>152</v>
      </c>
      <c r="F884" s="297" t="s">
        <v>2765</v>
      </c>
    </row>
    <row r="885" spans="2:6" ht="27">
      <c r="B885" s="617">
        <v>42710</v>
      </c>
      <c r="C885" s="78">
        <v>42705</v>
      </c>
      <c r="D885" s="79" t="s">
        <v>6900</v>
      </c>
      <c r="E885" s="75" t="s">
        <v>581</v>
      </c>
      <c r="F885" s="75" t="s">
        <v>2832</v>
      </c>
    </row>
    <row r="886" spans="2:6">
      <c r="B886" s="618">
        <v>42711</v>
      </c>
      <c r="C886" s="63">
        <v>42705</v>
      </c>
      <c r="D886" s="62" t="s">
        <v>2517</v>
      </c>
      <c r="E886" s="58" t="s">
        <v>171</v>
      </c>
      <c r="F886" s="58" t="s">
        <v>183</v>
      </c>
    </row>
    <row r="887" spans="2:6" ht="27">
      <c r="B887" s="615">
        <v>42711</v>
      </c>
      <c r="C887" s="302">
        <v>42705</v>
      </c>
      <c r="D887" s="301" t="s">
        <v>4004</v>
      </c>
      <c r="E887" s="297" t="s">
        <v>503</v>
      </c>
      <c r="F887" s="297" t="s">
        <v>570</v>
      </c>
    </row>
    <row r="888" spans="2:6" ht="27">
      <c r="B888" s="617">
        <v>42716</v>
      </c>
      <c r="C888" s="78">
        <v>42705</v>
      </c>
      <c r="D888" s="79" t="s">
        <v>4057</v>
      </c>
      <c r="E888" s="75" t="s">
        <v>63</v>
      </c>
      <c r="F888" s="75" t="s">
        <v>183</v>
      </c>
    </row>
    <row r="889" spans="2:6">
      <c r="B889" s="617">
        <v>42716</v>
      </c>
      <c r="C889" s="78">
        <v>42705</v>
      </c>
      <c r="D889" s="79" t="s">
        <v>3797</v>
      </c>
      <c r="E889" s="75" t="s">
        <v>5</v>
      </c>
      <c r="F889" s="75" t="s">
        <v>101</v>
      </c>
    </row>
    <row r="890" spans="2:6">
      <c r="B890" s="617">
        <v>42716</v>
      </c>
      <c r="C890" s="78">
        <v>42705</v>
      </c>
      <c r="D890" s="79" t="s">
        <v>4058</v>
      </c>
      <c r="E890" s="75" t="s">
        <v>625</v>
      </c>
      <c r="F890" s="75" t="s">
        <v>183</v>
      </c>
    </row>
    <row r="891" spans="2:6" ht="27">
      <c r="B891" s="615">
        <v>42717</v>
      </c>
      <c r="C891" s="300">
        <v>42705</v>
      </c>
      <c r="D891" s="301" t="s">
        <v>6915</v>
      </c>
      <c r="E891" s="297" t="s">
        <v>195</v>
      </c>
      <c r="F891" s="297" t="s">
        <v>6916</v>
      </c>
    </row>
    <row r="892" spans="2:6">
      <c r="B892" s="615">
        <v>42718</v>
      </c>
      <c r="C892" s="302">
        <v>42718</v>
      </c>
      <c r="D892" s="301" t="s">
        <v>1239</v>
      </c>
      <c r="E892" s="297"/>
      <c r="F892" s="297"/>
    </row>
    <row r="893" spans="2:6">
      <c r="B893" s="618">
        <v>42719</v>
      </c>
      <c r="C893" s="61">
        <v>42705</v>
      </c>
      <c r="D893" s="62" t="s">
        <v>4071</v>
      </c>
      <c r="E893" s="58" t="s">
        <v>625</v>
      </c>
      <c r="F893" s="58" t="s">
        <v>183</v>
      </c>
    </row>
    <row r="894" spans="2:6">
      <c r="B894" s="617">
        <v>42719</v>
      </c>
      <c r="C894" s="78">
        <v>42705</v>
      </c>
      <c r="D894" s="79" t="s">
        <v>4084</v>
      </c>
      <c r="E894" s="75" t="s">
        <v>625</v>
      </c>
      <c r="F894" s="75" t="s">
        <v>1544</v>
      </c>
    </row>
    <row r="895" spans="2:6" ht="27">
      <c r="B895" s="615">
        <v>42719</v>
      </c>
      <c r="C895" s="300">
        <v>42705</v>
      </c>
      <c r="D895" s="301" t="s">
        <v>3935</v>
      </c>
      <c r="E895" s="297" t="s">
        <v>63</v>
      </c>
      <c r="F895" s="297" t="s">
        <v>101</v>
      </c>
    </row>
    <row r="896" spans="2:6">
      <c r="B896" s="618">
        <v>42719</v>
      </c>
      <c r="C896" s="61">
        <v>42705</v>
      </c>
      <c r="D896" s="62" t="s">
        <v>3970</v>
      </c>
      <c r="E896" s="58" t="s">
        <v>5</v>
      </c>
      <c r="F896" s="58" t="s">
        <v>101</v>
      </c>
    </row>
    <row r="897" spans="2:6">
      <c r="B897" s="617">
        <v>42719</v>
      </c>
      <c r="C897" s="78">
        <v>42719</v>
      </c>
      <c r="D897" s="79" t="s">
        <v>1086</v>
      </c>
      <c r="E897" s="75"/>
      <c r="F897" s="75"/>
    </row>
    <row r="898" spans="2:6">
      <c r="B898" s="615">
        <v>42719</v>
      </c>
      <c r="C898" s="300">
        <v>42705</v>
      </c>
      <c r="D898" s="301" t="s">
        <v>1086</v>
      </c>
      <c r="E898" s="297" t="s">
        <v>171</v>
      </c>
      <c r="F898" s="297" t="s">
        <v>777</v>
      </c>
    </row>
    <row r="899" spans="2:6">
      <c r="B899" s="615">
        <v>42719</v>
      </c>
      <c r="C899" s="300">
        <v>42705</v>
      </c>
      <c r="D899" s="301" t="s">
        <v>6917</v>
      </c>
      <c r="E899" s="297" t="s">
        <v>171</v>
      </c>
      <c r="F899" s="297" t="s">
        <v>777</v>
      </c>
    </row>
    <row r="900" spans="2:6">
      <c r="B900" s="615">
        <v>42720</v>
      </c>
      <c r="C900" s="300">
        <v>42705</v>
      </c>
      <c r="D900" s="301" t="s">
        <v>4094</v>
      </c>
      <c r="E900" s="297"/>
      <c r="F900" s="297"/>
    </row>
    <row r="901" spans="2:6">
      <c r="B901" s="615">
        <v>42720</v>
      </c>
      <c r="C901" s="300">
        <v>42705</v>
      </c>
      <c r="D901" s="301" t="s">
        <v>4094</v>
      </c>
      <c r="E901" s="297"/>
      <c r="F901" s="297"/>
    </row>
    <row r="902" spans="2:6">
      <c r="B902" s="615">
        <v>42720</v>
      </c>
      <c r="C902" s="300">
        <v>42705</v>
      </c>
      <c r="D902" s="301" t="s">
        <v>4094</v>
      </c>
      <c r="E902" s="297"/>
      <c r="F902" s="297"/>
    </row>
    <row r="903" spans="2:6">
      <c r="B903" s="615">
        <v>42720</v>
      </c>
      <c r="C903" s="300">
        <v>42705</v>
      </c>
      <c r="D903" s="301" t="s">
        <v>4094</v>
      </c>
      <c r="E903" s="297"/>
      <c r="F903" s="297"/>
    </row>
    <row r="904" spans="2:6">
      <c r="B904" s="615">
        <v>42720</v>
      </c>
      <c r="C904" s="300">
        <v>42705</v>
      </c>
      <c r="D904" s="301" t="s">
        <v>4094</v>
      </c>
      <c r="E904" s="297"/>
      <c r="F904" s="297"/>
    </row>
    <row r="905" spans="2:6">
      <c r="B905" s="615">
        <v>42720</v>
      </c>
      <c r="C905" s="300">
        <v>42705</v>
      </c>
      <c r="D905" s="301" t="s">
        <v>4094</v>
      </c>
      <c r="E905" s="297"/>
      <c r="F905" s="297"/>
    </row>
    <row r="906" spans="2:6">
      <c r="B906" s="615">
        <v>42720</v>
      </c>
      <c r="C906" s="300">
        <v>42705</v>
      </c>
      <c r="D906" s="301" t="s">
        <v>4094</v>
      </c>
      <c r="E906" s="297"/>
      <c r="F906" s="297"/>
    </row>
    <row r="907" spans="2:6">
      <c r="B907" s="615">
        <v>42720</v>
      </c>
      <c r="C907" s="300">
        <v>42705</v>
      </c>
      <c r="D907" s="301" t="s">
        <v>4094</v>
      </c>
      <c r="E907" s="297"/>
      <c r="F907" s="297"/>
    </row>
    <row r="908" spans="2:6">
      <c r="B908" s="615">
        <v>42720</v>
      </c>
      <c r="C908" s="300">
        <v>42705</v>
      </c>
      <c r="D908" s="301" t="s">
        <v>4094</v>
      </c>
      <c r="E908" s="297"/>
      <c r="F908" s="297"/>
    </row>
    <row r="909" spans="2:6">
      <c r="B909" s="615">
        <v>42720</v>
      </c>
      <c r="C909" s="300">
        <v>42705</v>
      </c>
      <c r="D909" s="301" t="s">
        <v>4094</v>
      </c>
      <c r="E909" s="297"/>
      <c r="F909" s="297"/>
    </row>
    <row r="910" spans="2:6">
      <c r="B910" s="615">
        <v>42720</v>
      </c>
      <c r="C910" s="300">
        <v>42705</v>
      </c>
      <c r="D910" s="301" t="s">
        <v>4094</v>
      </c>
      <c r="E910" s="297"/>
      <c r="F910" s="297"/>
    </row>
    <row r="911" spans="2:6">
      <c r="B911" s="615">
        <v>42720</v>
      </c>
      <c r="C911" s="300">
        <v>42705</v>
      </c>
      <c r="D911" s="301" t="s">
        <v>4094</v>
      </c>
      <c r="E911" s="297"/>
      <c r="F911" s="297"/>
    </row>
    <row r="912" spans="2:6">
      <c r="B912" s="615">
        <v>42720</v>
      </c>
      <c r="C912" s="300">
        <v>42705</v>
      </c>
      <c r="D912" s="301" t="s">
        <v>4094</v>
      </c>
      <c r="E912" s="297"/>
      <c r="F912" s="297"/>
    </row>
    <row r="913" spans="2:6">
      <c r="B913" s="615">
        <v>42720</v>
      </c>
      <c r="C913" s="300">
        <v>42705</v>
      </c>
      <c r="D913" s="301" t="s">
        <v>4094</v>
      </c>
      <c r="E913" s="297"/>
      <c r="F913" s="297"/>
    </row>
    <row r="914" spans="2:6">
      <c r="B914" s="615">
        <v>42720</v>
      </c>
      <c r="C914" s="300">
        <v>42705</v>
      </c>
      <c r="D914" s="301" t="s">
        <v>4094</v>
      </c>
      <c r="E914" s="297"/>
      <c r="F914" s="297"/>
    </row>
    <row r="915" spans="2:6">
      <c r="B915" s="615">
        <v>42720</v>
      </c>
      <c r="C915" s="300">
        <v>42705</v>
      </c>
      <c r="D915" s="301" t="s">
        <v>4094</v>
      </c>
      <c r="E915" s="297"/>
      <c r="F915" s="297"/>
    </row>
    <row r="916" spans="2:6">
      <c r="B916" s="615">
        <v>42720</v>
      </c>
      <c r="C916" s="300">
        <v>42705</v>
      </c>
      <c r="D916" s="301" t="s">
        <v>4094</v>
      </c>
      <c r="E916" s="297"/>
      <c r="F916" s="297"/>
    </row>
    <row r="917" spans="2:6">
      <c r="B917" s="615">
        <v>42720</v>
      </c>
      <c r="C917" s="300">
        <v>42705</v>
      </c>
      <c r="D917" s="301" t="s">
        <v>4094</v>
      </c>
      <c r="E917" s="297"/>
      <c r="F917" s="297"/>
    </row>
    <row r="918" spans="2:6">
      <c r="B918" s="615">
        <v>42720</v>
      </c>
      <c r="C918" s="300">
        <v>42705</v>
      </c>
      <c r="D918" s="301" t="s">
        <v>4094</v>
      </c>
      <c r="E918" s="297"/>
      <c r="F918" s="297"/>
    </row>
    <row r="919" spans="2:6">
      <c r="B919" s="615">
        <v>42720</v>
      </c>
      <c r="C919" s="300">
        <v>42705</v>
      </c>
      <c r="D919" s="301" t="s">
        <v>4094</v>
      </c>
      <c r="E919" s="297"/>
      <c r="F919" s="297"/>
    </row>
    <row r="920" spans="2:6">
      <c r="B920" s="615">
        <v>42720</v>
      </c>
      <c r="C920" s="300">
        <v>42705</v>
      </c>
      <c r="D920" s="301" t="s">
        <v>4094</v>
      </c>
      <c r="E920" s="297"/>
      <c r="F920" s="297"/>
    </row>
    <row r="921" spans="2:6">
      <c r="B921" s="615">
        <v>42720</v>
      </c>
      <c r="C921" s="300">
        <v>42705</v>
      </c>
      <c r="D921" s="301" t="s">
        <v>4094</v>
      </c>
      <c r="E921" s="297"/>
      <c r="F921" s="297"/>
    </row>
    <row r="922" spans="2:6">
      <c r="B922" s="615">
        <v>42720</v>
      </c>
      <c r="C922" s="300">
        <v>42705</v>
      </c>
      <c r="D922" s="301" t="s">
        <v>4094</v>
      </c>
      <c r="E922" s="297"/>
      <c r="F922" s="297"/>
    </row>
    <row r="923" spans="2:6" ht="40.5">
      <c r="B923" s="615">
        <v>42720</v>
      </c>
      <c r="C923" s="300">
        <v>42705</v>
      </c>
      <c r="D923" s="301" t="s">
        <v>6918</v>
      </c>
      <c r="E923" s="297" t="s">
        <v>171</v>
      </c>
      <c r="F923" s="297" t="s">
        <v>6919</v>
      </c>
    </row>
    <row r="924" spans="2:6" ht="40.5">
      <c r="B924" s="615">
        <v>42720</v>
      </c>
      <c r="C924" s="300">
        <v>42705</v>
      </c>
      <c r="D924" s="301" t="s">
        <v>6920</v>
      </c>
      <c r="E924" s="297" t="s">
        <v>171</v>
      </c>
      <c r="F924" s="297" t="s">
        <v>6919</v>
      </c>
    </row>
    <row r="925" spans="2:6">
      <c r="B925" s="617">
        <v>42723</v>
      </c>
      <c r="C925" s="78">
        <v>42705</v>
      </c>
      <c r="D925" s="79" t="s">
        <v>4156</v>
      </c>
      <c r="E925" s="75" t="s">
        <v>5</v>
      </c>
      <c r="F925" s="75" t="s">
        <v>101</v>
      </c>
    </row>
    <row r="926" spans="2:6">
      <c r="B926" s="614">
        <v>42723</v>
      </c>
      <c r="C926" s="38">
        <v>42705</v>
      </c>
      <c r="D926" s="39" t="s">
        <v>2092</v>
      </c>
      <c r="E926" s="34" t="s">
        <v>171</v>
      </c>
      <c r="F926" s="34" t="s">
        <v>183</v>
      </c>
    </row>
    <row r="927" spans="2:6">
      <c r="B927" s="614">
        <v>42723</v>
      </c>
      <c r="C927" s="38">
        <v>42705</v>
      </c>
      <c r="D927" s="39" t="s">
        <v>2092</v>
      </c>
      <c r="E927" s="34" t="s">
        <v>171</v>
      </c>
      <c r="F927" s="34" t="s">
        <v>183</v>
      </c>
    </row>
    <row r="928" spans="2:6">
      <c r="B928" s="617">
        <v>42723</v>
      </c>
      <c r="C928" s="78">
        <v>42705</v>
      </c>
      <c r="D928" s="79" t="s">
        <v>3764</v>
      </c>
      <c r="E928" s="75" t="s">
        <v>5</v>
      </c>
      <c r="F928" s="75" t="s">
        <v>101</v>
      </c>
    </row>
    <row r="929" spans="2:6" ht="27">
      <c r="B929" s="615">
        <v>42723</v>
      </c>
      <c r="C929" s="300">
        <v>42705</v>
      </c>
      <c r="D929" s="301" t="s">
        <v>4112</v>
      </c>
      <c r="E929" s="297" t="s">
        <v>171</v>
      </c>
      <c r="F929" s="297" t="s">
        <v>4113</v>
      </c>
    </row>
    <row r="930" spans="2:6">
      <c r="B930" s="617">
        <v>42723</v>
      </c>
      <c r="C930" s="80">
        <v>42705</v>
      </c>
      <c r="D930" s="79" t="s">
        <v>4059</v>
      </c>
      <c r="E930" s="75" t="s">
        <v>171</v>
      </c>
      <c r="F930" s="75" t="s">
        <v>1544</v>
      </c>
    </row>
    <row r="931" spans="2:6">
      <c r="B931" s="617">
        <v>42723</v>
      </c>
      <c r="C931" s="78">
        <v>42705</v>
      </c>
      <c r="D931" s="79" t="s">
        <v>3232</v>
      </c>
      <c r="E931" s="75" t="s">
        <v>5</v>
      </c>
      <c r="F931" s="75" t="s">
        <v>131</v>
      </c>
    </row>
    <row r="932" spans="2:6" ht="27">
      <c r="B932" s="615">
        <v>42724</v>
      </c>
      <c r="C932" s="302">
        <v>42705</v>
      </c>
      <c r="D932" s="301" t="s">
        <v>4114</v>
      </c>
      <c r="E932" s="297" t="s">
        <v>171</v>
      </c>
      <c r="F932" s="297" t="s">
        <v>4113</v>
      </c>
    </row>
    <row r="933" spans="2:6" ht="27">
      <c r="B933" s="618">
        <v>42724</v>
      </c>
      <c r="C933" s="61">
        <v>42705</v>
      </c>
      <c r="D933" s="62" t="s">
        <v>3973</v>
      </c>
      <c r="E933" s="58" t="s">
        <v>503</v>
      </c>
      <c r="F933" s="58" t="s">
        <v>3974</v>
      </c>
    </row>
    <row r="934" spans="2:6">
      <c r="B934" s="617">
        <v>42726</v>
      </c>
      <c r="C934" s="78">
        <v>42705</v>
      </c>
      <c r="D934" s="79" t="s">
        <v>3997</v>
      </c>
      <c r="E934" s="75" t="s">
        <v>5</v>
      </c>
      <c r="F934" s="75" t="s">
        <v>101</v>
      </c>
    </row>
    <row r="935" spans="2:6">
      <c r="B935" s="618">
        <v>42726</v>
      </c>
      <c r="C935" s="63">
        <v>42705</v>
      </c>
      <c r="D935" s="62" t="s">
        <v>2437</v>
      </c>
      <c r="E935" s="58" t="s">
        <v>5</v>
      </c>
      <c r="F935" s="58" t="s">
        <v>101</v>
      </c>
    </row>
    <row r="936" spans="2:6" ht="27">
      <c r="B936" s="617">
        <v>42726</v>
      </c>
      <c r="C936" s="78">
        <v>42705</v>
      </c>
      <c r="D936" s="79" t="s">
        <v>4060</v>
      </c>
      <c r="E936" s="75" t="s">
        <v>195</v>
      </c>
      <c r="F936" s="75" t="s">
        <v>336</v>
      </c>
    </row>
    <row r="937" spans="2:6">
      <c r="B937" s="617">
        <v>42727</v>
      </c>
      <c r="C937" s="80">
        <v>42705</v>
      </c>
      <c r="D937" s="79" t="s">
        <v>3798</v>
      </c>
      <c r="E937" s="75" t="s">
        <v>1493</v>
      </c>
      <c r="F937" s="75" t="s">
        <v>183</v>
      </c>
    </row>
    <row r="938" spans="2:6" ht="27">
      <c r="B938" s="615">
        <v>42727</v>
      </c>
      <c r="C938" s="300">
        <v>42705</v>
      </c>
      <c r="D938" s="301" t="s">
        <v>6921</v>
      </c>
      <c r="E938" s="297" t="s">
        <v>503</v>
      </c>
      <c r="F938" s="297" t="s">
        <v>570</v>
      </c>
    </row>
    <row r="939" spans="2:6">
      <c r="B939" s="615">
        <v>42732</v>
      </c>
      <c r="C939" s="300">
        <v>42705</v>
      </c>
      <c r="D939" s="301" t="s">
        <v>4161</v>
      </c>
      <c r="E939" s="297" t="s">
        <v>5</v>
      </c>
      <c r="F939" s="297" t="s">
        <v>101</v>
      </c>
    </row>
    <row r="940" spans="2:6" ht="27">
      <c r="B940" s="617">
        <v>42732</v>
      </c>
      <c r="C940" s="80">
        <v>42705</v>
      </c>
      <c r="D940" s="79" t="s">
        <v>3680</v>
      </c>
      <c r="E940" s="75" t="s">
        <v>503</v>
      </c>
      <c r="F940" s="75" t="s">
        <v>1082</v>
      </c>
    </row>
    <row r="941" spans="2:6">
      <c r="B941" s="617">
        <v>42733</v>
      </c>
      <c r="C941" s="78">
        <v>42705</v>
      </c>
      <c r="D941" s="79" t="s">
        <v>3681</v>
      </c>
      <c r="E941" s="75" t="s">
        <v>5</v>
      </c>
      <c r="F941" s="75" t="s">
        <v>131</v>
      </c>
    </row>
    <row r="942" spans="2:6" ht="27">
      <c r="B942" s="617">
        <v>42733</v>
      </c>
      <c r="C942" s="78">
        <v>42705</v>
      </c>
      <c r="D942" s="79" t="s">
        <v>1878</v>
      </c>
      <c r="E942" s="75" t="s">
        <v>152</v>
      </c>
      <c r="F942" s="75" t="s">
        <v>1879</v>
      </c>
    </row>
    <row r="943" spans="2:6">
      <c r="B943" s="614">
        <v>42733</v>
      </c>
      <c r="C943" s="38">
        <v>42733</v>
      </c>
      <c r="D943" s="39" t="s">
        <v>877</v>
      </c>
      <c r="E943" s="34"/>
      <c r="F943" s="34"/>
    </row>
    <row r="944" spans="2:6">
      <c r="B944" s="618">
        <v>42735</v>
      </c>
      <c r="C944" s="61">
        <v>42705</v>
      </c>
      <c r="D944" s="62" t="s">
        <v>3835</v>
      </c>
      <c r="E944" s="58" t="s">
        <v>5</v>
      </c>
      <c r="F944" s="58" t="s">
        <v>131</v>
      </c>
    </row>
    <row r="945" spans="2:6">
      <c r="B945" s="615">
        <v>42739</v>
      </c>
      <c r="C945" s="302">
        <v>42736</v>
      </c>
      <c r="D945" s="301" t="s">
        <v>1862</v>
      </c>
      <c r="E945" s="297" t="s">
        <v>171</v>
      </c>
      <c r="F945" s="297"/>
    </row>
    <row r="946" spans="2:6">
      <c r="B946" s="618">
        <v>42746</v>
      </c>
      <c r="C946" s="61">
        <v>42736</v>
      </c>
      <c r="D946" s="62" t="s">
        <v>3909</v>
      </c>
      <c r="E946" s="58" t="s">
        <v>625</v>
      </c>
      <c r="F946" s="58" t="s">
        <v>183</v>
      </c>
    </row>
    <row r="947" spans="2:6" ht="27">
      <c r="B947" s="618">
        <v>42747</v>
      </c>
      <c r="C947" s="61">
        <v>42736</v>
      </c>
      <c r="D947" s="117" t="s">
        <v>3956</v>
      </c>
      <c r="E947" s="117" t="s">
        <v>63</v>
      </c>
      <c r="F947" s="117" t="s">
        <v>3957</v>
      </c>
    </row>
    <row r="948" spans="2:6">
      <c r="B948" s="617">
        <v>42748</v>
      </c>
      <c r="C948" s="78">
        <v>42736</v>
      </c>
      <c r="D948" s="79" t="s">
        <v>4171</v>
      </c>
      <c r="E948" s="75" t="s">
        <v>63</v>
      </c>
      <c r="F948" s="75" t="s">
        <v>183</v>
      </c>
    </row>
    <row r="949" spans="2:6" ht="27">
      <c r="B949" s="617">
        <v>42748</v>
      </c>
      <c r="C949" s="78">
        <v>42736</v>
      </c>
      <c r="D949" s="79" t="s">
        <v>271</v>
      </c>
      <c r="E949" s="75" t="s">
        <v>625</v>
      </c>
      <c r="F949" s="75" t="s">
        <v>183</v>
      </c>
    </row>
    <row r="950" spans="2:6" ht="27">
      <c r="B950" s="618">
        <v>42748</v>
      </c>
      <c r="C950" s="61">
        <v>42736</v>
      </c>
      <c r="D950" s="62" t="s">
        <v>271</v>
      </c>
      <c r="E950" s="58" t="s">
        <v>625</v>
      </c>
      <c r="F950" s="58" t="s">
        <v>183</v>
      </c>
    </row>
    <row r="951" spans="2:6" ht="27">
      <c r="B951" s="615">
        <v>42748</v>
      </c>
      <c r="C951" s="300">
        <v>42736</v>
      </c>
      <c r="D951" s="301" t="s">
        <v>4195</v>
      </c>
      <c r="E951" s="297" t="s">
        <v>63</v>
      </c>
      <c r="F951" s="297" t="s">
        <v>101</v>
      </c>
    </row>
    <row r="952" spans="2:6" ht="27">
      <c r="B952" s="615">
        <v>42748</v>
      </c>
      <c r="C952" s="300">
        <v>42736</v>
      </c>
      <c r="D952" s="301" t="s">
        <v>4195</v>
      </c>
      <c r="E952" s="297" t="s">
        <v>171</v>
      </c>
      <c r="F952" s="297" t="s">
        <v>183</v>
      </c>
    </row>
    <row r="953" spans="2:6">
      <c r="B953" s="618">
        <v>42748</v>
      </c>
      <c r="C953" s="61">
        <v>42736</v>
      </c>
      <c r="D953" s="62" t="s">
        <v>3964</v>
      </c>
      <c r="E953" s="58" t="s">
        <v>171</v>
      </c>
      <c r="F953" s="58" t="s">
        <v>2189</v>
      </c>
    </row>
    <row r="954" spans="2:6">
      <c r="B954" s="618">
        <v>42750</v>
      </c>
      <c r="C954" s="61">
        <v>42736</v>
      </c>
      <c r="D954" s="62" t="s">
        <v>3921</v>
      </c>
      <c r="E954" s="58" t="s">
        <v>63</v>
      </c>
      <c r="F954" s="58" t="s">
        <v>183</v>
      </c>
    </row>
    <row r="955" spans="2:6">
      <c r="B955" s="617">
        <v>42751</v>
      </c>
      <c r="C955" s="78">
        <v>42736</v>
      </c>
      <c r="D955" s="79" t="s">
        <v>4203</v>
      </c>
      <c r="E955" s="75" t="s">
        <v>63</v>
      </c>
      <c r="F955" s="75" t="s">
        <v>101</v>
      </c>
    </row>
    <row r="956" spans="2:6">
      <c r="B956" s="618">
        <v>42751</v>
      </c>
      <c r="C956" s="61">
        <v>42736</v>
      </c>
      <c r="D956" s="62" t="s">
        <v>6922</v>
      </c>
      <c r="E956" s="58" t="s">
        <v>625</v>
      </c>
      <c r="F956" s="58" t="s">
        <v>183</v>
      </c>
    </row>
    <row r="957" spans="2:6">
      <c r="B957" s="617">
        <v>42751</v>
      </c>
      <c r="C957" s="78">
        <v>42736</v>
      </c>
      <c r="D957" s="79" t="s">
        <v>4227</v>
      </c>
      <c r="E957" s="75" t="s">
        <v>625</v>
      </c>
      <c r="F957" s="75" t="s">
        <v>183</v>
      </c>
    </row>
    <row r="958" spans="2:6">
      <c r="B958" s="615">
        <v>42751</v>
      </c>
      <c r="C958" s="300">
        <v>42736</v>
      </c>
      <c r="D958" s="301" t="s">
        <v>1570</v>
      </c>
      <c r="E958" s="297" t="s">
        <v>5</v>
      </c>
      <c r="F958" s="297" t="s">
        <v>131</v>
      </c>
    </row>
    <row r="959" spans="2:6">
      <c r="B959" s="617">
        <v>42751</v>
      </c>
      <c r="C959" s="78">
        <v>42736</v>
      </c>
      <c r="D959" s="79" t="s">
        <v>3749</v>
      </c>
      <c r="E959" s="75" t="s">
        <v>5</v>
      </c>
      <c r="F959" s="75" t="s">
        <v>101</v>
      </c>
    </row>
    <row r="960" spans="2:6">
      <c r="B960" s="618">
        <v>42751</v>
      </c>
      <c r="C960" s="61">
        <v>42736</v>
      </c>
      <c r="D960" s="62" t="s">
        <v>1570</v>
      </c>
      <c r="E960" s="58" t="s">
        <v>5</v>
      </c>
      <c r="F960" s="58" t="s">
        <v>131</v>
      </c>
    </row>
    <row r="961" spans="2:6">
      <c r="B961" s="617">
        <v>42751</v>
      </c>
      <c r="C961" s="80">
        <v>42736</v>
      </c>
      <c r="D961" s="79" t="s">
        <v>1570</v>
      </c>
      <c r="E961" s="75" t="s">
        <v>5</v>
      </c>
      <c r="F961" s="75" t="s">
        <v>3602</v>
      </c>
    </row>
    <row r="962" spans="2:6" ht="27">
      <c r="B962" s="615">
        <v>42751</v>
      </c>
      <c r="C962" s="300">
        <v>42736</v>
      </c>
      <c r="D962" s="301" t="s">
        <v>682</v>
      </c>
      <c r="E962" s="297" t="s">
        <v>5</v>
      </c>
      <c r="F962" s="297" t="s">
        <v>107</v>
      </c>
    </row>
    <row r="963" spans="2:6">
      <c r="B963" s="615">
        <v>42751</v>
      </c>
      <c r="C963" s="300">
        <v>42736</v>
      </c>
      <c r="D963" s="301" t="s">
        <v>1570</v>
      </c>
      <c r="E963" s="297" t="s">
        <v>5</v>
      </c>
      <c r="F963" s="297" t="s">
        <v>131</v>
      </c>
    </row>
    <row r="964" spans="2:6" ht="27">
      <c r="B964" s="615">
        <v>42751</v>
      </c>
      <c r="C964" s="300">
        <v>42736</v>
      </c>
      <c r="D964" s="301" t="s">
        <v>1570</v>
      </c>
      <c r="E964" s="297" t="s">
        <v>5</v>
      </c>
      <c r="F964" s="297" t="s">
        <v>107</v>
      </c>
    </row>
    <row r="965" spans="2:6" ht="27">
      <c r="B965" s="617">
        <v>42751</v>
      </c>
      <c r="C965" s="78">
        <v>42736</v>
      </c>
      <c r="D965" s="79" t="s">
        <v>2946</v>
      </c>
      <c r="E965" s="75" t="s">
        <v>171</v>
      </c>
      <c r="F965" s="75" t="s">
        <v>2947</v>
      </c>
    </row>
    <row r="966" spans="2:6">
      <c r="B966" s="617">
        <v>42751</v>
      </c>
      <c r="C966" s="78">
        <v>42736</v>
      </c>
      <c r="D966" s="79" t="s">
        <v>1570</v>
      </c>
      <c r="E966" s="75" t="s">
        <v>5</v>
      </c>
      <c r="F966" s="75" t="s">
        <v>131</v>
      </c>
    </row>
    <row r="967" spans="2:6" ht="27">
      <c r="B967" s="618">
        <v>42751</v>
      </c>
      <c r="C967" s="61">
        <v>42736</v>
      </c>
      <c r="D967" s="62" t="s">
        <v>4253</v>
      </c>
      <c r="E967" s="58" t="s">
        <v>625</v>
      </c>
      <c r="F967" s="58" t="s">
        <v>4254</v>
      </c>
    </row>
    <row r="968" spans="2:6" ht="40.5">
      <c r="B968" s="618">
        <v>42751</v>
      </c>
      <c r="C968" s="61">
        <v>42370</v>
      </c>
      <c r="D968" s="62" t="s">
        <v>3920</v>
      </c>
      <c r="E968" s="58" t="s">
        <v>63</v>
      </c>
      <c r="F968" s="58" t="s">
        <v>6923</v>
      </c>
    </row>
    <row r="969" spans="2:6" ht="27">
      <c r="B969" s="617">
        <v>42752</v>
      </c>
      <c r="C969" s="80">
        <v>42736</v>
      </c>
      <c r="D969" s="79" t="s">
        <v>3280</v>
      </c>
      <c r="E969" s="75" t="s">
        <v>2637</v>
      </c>
      <c r="F969" s="75" t="s">
        <v>79</v>
      </c>
    </row>
    <row r="970" spans="2:6" ht="27">
      <c r="B970" s="617">
        <v>42752</v>
      </c>
      <c r="C970" s="80">
        <v>42736</v>
      </c>
      <c r="D970" s="79" t="s">
        <v>3280</v>
      </c>
      <c r="E970" s="75" t="s">
        <v>63</v>
      </c>
      <c r="F970" s="75" t="s">
        <v>79</v>
      </c>
    </row>
    <row r="971" spans="2:6">
      <c r="B971" s="617">
        <v>42752</v>
      </c>
      <c r="C971" s="78">
        <v>42736</v>
      </c>
      <c r="D971" s="79" t="s">
        <v>3280</v>
      </c>
      <c r="E971" s="75" t="s">
        <v>63</v>
      </c>
      <c r="F971" s="75" t="s">
        <v>101</v>
      </c>
    </row>
    <row r="972" spans="2:6">
      <c r="B972" s="618">
        <v>42752</v>
      </c>
      <c r="C972" s="61">
        <v>42736</v>
      </c>
      <c r="D972" s="62" t="s">
        <v>3920</v>
      </c>
      <c r="E972" s="58" t="s">
        <v>63</v>
      </c>
      <c r="F972" s="58" t="s">
        <v>183</v>
      </c>
    </row>
    <row r="973" spans="2:6">
      <c r="B973" s="617">
        <v>42752</v>
      </c>
      <c r="C973" s="78">
        <v>42736</v>
      </c>
      <c r="D973" s="79" t="s">
        <v>3396</v>
      </c>
      <c r="E973" s="75" t="s">
        <v>5</v>
      </c>
      <c r="F973" s="75" t="s">
        <v>582</v>
      </c>
    </row>
    <row r="974" spans="2:6" ht="27">
      <c r="B974" s="618">
        <v>42752</v>
      </c>
      <c r="C974" s="61">
        <v>42736</v>
      </c>
      <c r="D974" s="62" t="s">
        <v>3280</v>
      </c>
      <c r="E974" s="58" t="s">
        <v>63</v>
      </c>
      <c r="F974" s="58" t="s">
        <v>79</v>
      </c>
    </row>
    <row r="975" spans="2:6">
      <c r="B975" s="616">
        <v>42753</v>
      </c>
      <c r="C975" s="21">
        <v>42736</v>
      </c>
      <c r="D975" s="22" t="s">
        <v>5368</v>
      </c>
      <c r="E975" s="17" t="s">
        <v>625</v>
      </c>
      <c r="F975" s="17" t="s">
        <v>1167</v>
      </c>
    </row>
    <row r="976" spans="2:6" ht="27">
      <c r="B976" s="617">
        <v>42753</v>
      </c>
      <c r="C976" s="80">
        <v>42736</v>
      </c>
      <c r="D976" s="79" t="s">
        <v>3861</v>
      </c>
      <c r="E976" s="75" t="s">
        <v>195</v>
      </c>
      <c r="F976" s="75" t="s">
        <v>336</v>
      </c>
    </row>
    <row r="977" spans="2:6">
      <c r="B977" s="618">
        <v>42758</v>
      </c>
      <c r="C977" s="61">
        <v>42736</v>
      </c>
      <c r="D977" s="62" t="s">
        <v>4232</v>
      </c>
      <c r="E977" s="58" t="s">
        <v>625</v>
      </c>
      <c r="F977" s="58" t="s">
        <v>183</v>
      </c>
    </row>
    <row r="978" spans="2:6" ht="27">
      <c r="B978" s="617">
        <v>42758</v>
      </c>
      <c r="C978" s="78">
        <v>42736</v>
      </c>
      <c r="D978" s="79" t="s">
        <v>4018</v>
      </c>
      <c r="E978" s="75" t="s">
        <v>5</v>
      </c>
      <c r="F978" s="75" t="s">
        <v>4019</v>
      </c>
    </row>
    <row r="979" spans="2:6">
      <c r="B979" s="615">
        <v>42759</v>
      </c>
      <c r="C979" s="302">
        <v>42736</v>
      </c>
      <c r="D979" s="301" t="s">
        <v>798</v>
      </c>
      <c r="E979" s="297" t="s">
        <v>5</v>
      </c>
      <c r="F979" s="297" t="s">
        <v>799</v>
      </c>
    </row>
    <row r="980" spans="2:6">
      <c r="B980" s="618">
        <v>42759</v>
      </c>
      <c r="C980" s="63">
        <v>42736</v>
      </c>
      <c r="D980" s="62" t="s">
        <v>4640</v>
      </c>
      <c r="E980" s="58" t="s">
        <v>5</v>
      </c>
      <c r="F980" s="58" t="s">
        <v>101</v>
      </c>
    </row>
    <row r="981" spans="2:6" ht="27">
      <c r="B981" s="615">
        <v>42759</v>
      </c>
      <c r="C981" s="300">
        <v>42736</v>
      </c>
      <c r="D981" s="301" t="s">
        <v>1903</v>
      </c>
      <c r="E981" s="297" t="s">
        <v>5</v>
      </c>
      <c r="F981" s="297" t="s">
        <v>1904</v>
      </c>
    </row>
    <row r="982" spans="2:6" ht="40.5">
      <c r="B982" s="615">
        <v>42759</v>
      </c>
      <c r="C982" s="300">
        <v>42736</v>
      </c>
      <c r="D982" s="301" t="s">
        <v>6924</v>
      </c>
      <c r="E982" s="297" t="s">
        <v>171</v>
      </c>
      <c r="F982" s="297" t="s">
        <v>6925</v>
      </c>
    </row>
    <row r="983" spans="2:6" ht="27">
      <c r="B983" s="615">
        <v>42759</v>
      </c>
      <c r="C983" s="300">
        <v>42736</v>
      </c>
      <c r="D983" s="301" t="s">
        <v>6926</v>
      </c>
      <c r="E983" s="297" t="s">
        <v>5</v>
      </c>
      <c r="F983" s="297" t="s">
        <v>107</v>
      </c>
    </row>
    <row r="984" spans="2:6">
      <c r="B984" s="617">
        <v>42760</v>
      </c>
      <c r="C984" s="78">
        <v>42736</v>
      </c>
      <c r="D984" s="79" t="s">
        <v>4172</v>
      </c>
      <c r="E984" s="75" t="s">
        <v>63</v>
      </c>
      <c r="F984" s="75" t="s">
        <v>183</v>
      </c>
    </row>
    <row r="985" spans="2:6" ht="27">
      <c r="B985" s="615">
        <v>42760</v>
      </c>
      <c r="C985" s="300">
        <v>42736</v>
      </c>
      <c r="D985" s="301" t="s">
        <v>1593</v>
      </c>
      <c r="E985" s="297" t="s">
        <v>208</v>
      </c>
      <c r="F985" s="297" t="s">
        <v>1594</v>
      </c>
    </row>
    <row r="986" spans="2:6">
      <c r="B986" s="615">
        <v>42760</v>
      </c>
      <c r="C986" s="300">
        <v>42736</v>
      </c>
      <c r="D986" s="301" t="s">
        <v>2348</v>
      </c>
      <c r="E986" s="297" t="s">
        <v>2346</v>
      </c>
      <c r="F986" s="297" t="s">
        <v>2349</v>
      </c>
    </row>
    <row r="987" spans="2:6" ht="27">
      <c r="B987" s="615">
        <v>42760</v>
      </c>
      <c r="C987" s="300">
        <v>42736</v>
      </c>
      <c r="D987" s="301" t="s">
        <v>6927</v>
      </c>
      <c r="E987" s="297" t="s">
        <v>5</v>
      </c>
      <c r="F987" s="297" t="s">
        <v>107</v>
      </c>
    </row>
    <row r="988" spans="2:6" ht="27">
      <c r="B988" s="615">
        <v>42761</v>
      </c>
      <c r="C988" s="302">
        <v>42736</v>
      </c>
      <c r="D988" s="301" t="s">
        <v>6928</v>
      </c>
      <c r="E988" s="297" t="s">
        <v>625</v>
      </c>
      <c r="F988" s="297" t="s">
        <v>777</v>
      </c>
    </row>
    <row r="989" spans="2:6" ht="27">
      <c r="B989" s="617">
        <v>42761</v>
      </c>
      <c r="C989" s="78">
        <v>42736</v>
      </c>
      <c r="D989" s="79" t="s">
        <v>2234</v>
      </c>
      <c r="E989" s="75" t="s">
        <v>208</v>
      </c>
      <c r="F989" s="75" t="s">
        <v>107</v>
      </c>
    </row>
    <row r="990" spans="2:6">
      <c r="B990" s="617">
        <v>42762</v>
      </c>
      <c r="C990" s="78">
        <v>42736</v>
      </c>
      <c r="D990" s="79" t="s">
        <v>4244</v>
      </c>
      <c r="E990" s="75" t="s">
        <v>63</v>
      </c>
      <c r="F990" s="75" t="s">
        <v>101</v>
      </c>
    </row>
    <row r="991" spans="2:6" ht="27">
      <c r="B991" s="617">
        <v>42762</v>
      </c>
      <c r="C991" s="78">
        <v>42736</v>
      </c>
      <c r="D991" s="79" t="s">
        <v>4244</v>
      </c>
      <c r="E991" s="75" t="s">
        <v>63</v>
      </c>
      <c r="F991" s="75" t="s">
        <v>336</v>
      </c>
    </row>
    <row r="992" spans="2:6">
      <c r="B992" s="615">
        <v>42762</v>
      </c>
      <c r="C992" s="300">
        <v>42736</v>
      </c>
      <c r="D992" s="301" t="s">
        <v>3385</v>
      </c>
      <c r="E992" s="297" t="s">
        <v>208</v>
      </c>
      <c r="F992" s="297" t="s">
        <v>101</v>
      </c>
    </row>
    <row r="993" spans="2:6" ht="27">
      <c r="B993" s="615">
        <v>42762</v>
      </c>
      <c r="C993" s="300">
        <v>42736</v>
      </c>
      <c r="D993" s="301" t="s">
        <v>3385</v>
      </c>
      <c r="E993" s="297" t="s">
        <v>208</v>
      </c>
      <c r="F993" s="297" t="s">
        <v>336</v>
      </c>
    </row>
    <row r="994" spans="2:6" ht="27">
      <c r="B994" s="615">
        <v>42762</v>
      </c>
      <c r="C994" s="300">
        <v>42762</v>
      </c>
      <c r="D994" s="301" t="s">
        <v>6929</v>
      </c>
      <c r="E994" s="297" t="s">
        <v>625</v>
      </c>
      <c r="F994" s="297" t="s">
        <v>777</v>
      </c>
    </row>
    <row r="995" spans="2:6">
      <c r="B995" s="618">
        <v>42765</v>
      </c>
      <c r="C995" s="61">
        <v>42736</v>
      </c>
      <c r="D995" s="62" t="s">
        <v>4030</v>
      </c>
      <c r="E995" s="58" t="s">
        <v>171</v>
      </c>
      <c r="F995" s="58" t="s">
        <v>1544</v>
      </c>
    </row>
    <row r="996" spans="2:6" ht="27">
      <c r="B996" s="617">
        <v>42765</v>
      </c>
      <c r="C996" s="80">
        <v>42736</v>
      </c>
      <c r="D996" s="79" t="s">
        <v>3750</v>
      </c>
      <c r="E996" s="75" t="s">
        <v>5</v>
      </c>
      <c r="F996" s="75" t="s">
        <v>336</v>
      </c>
    </row>
    <row r="997" spans="2:6" ht="27">
      <c r="B997" s="618">
        <v>42765</v>
      </c>
      <c r="C997" s="61">
        <v>42736</v>
      </c>
      <c r="D997" s="117" t="s">
        <v>3958</v>
      </c>
      <c r="E997" s="117" t="s">
        <v>63</v>
      </c>
      <c r="F997" s="117" t="s">
        <v>336</v>
      </c>
    </row>
    <row r="998" spans="2:6" ht="27">
      <c r="B998" s="615">
        <v>42765</v>
      </c>
      <c r="C998" s="300">
        <v>42736</v>
      </c>
      <c r="D998" s="301" t="s">
        <v>262</v>
      </c>
      <c r="E998" s="297" t="s">
        <v>171</v>
      </c>
      <c r="F998" s="297" t="s">
        <v>263</v>
      </c>
    </row>
    <row r="999" spans="2:6">
      <c r="B999" s="617">
        <v>42765</v>
      </c>
      <c r="C999" s="78">
        <v>42736</v>
      </c>
      <c r="D999" s="79" t="s">
        <v>3281</v>
      </c>
      <c r="E999" s="75" t="s">
        <v>63</v>
      </c>
      <c r="F999" s="75" t="s">
        <v>3282</v>
      </c>
    </row>
    <row r="1000" spans="2:6" ht="27">
      <c r="B1000" s="618">
        <v>42765</v>
      </c>
      <c r="C1000" s="61">
        <v>42736</v>
      </c>
      <c r="D1000" s="62" t="s">
        <v>3838</v>
      </c>
      <c r="E1000" s="58" t="s">
        <v>503</v>
      </c>
      <c r="F1000" s="58" t="s">
        <v>3375</v>
      </c>
    </row>
    <row r="1001" spans="2:6">
      <c r="B1001" s="615">
        <v>42766</v>
      </c>
      <c r="C1001" s="300">
        <v>42736</v>
      </c>
      <c r="D1001" s="301" t="s">
        <v>2724</v>
      </c>
      <c r="E1001" s="297" t="s">
        <v>208</v>
      </c>
      <c r="F1001" s="297" t="s">
        <v>131</v>
      </c>
    </row>
    <row r="1002" spans="2:6">
      <c r="B1002" s="617">
        <v>42766</v>
      </c>
      <c r="C1002" s="78">
        <v>42736</v>
      </c>
      <c r="D1002" s="79" t="s">
        <v>3527</v>
      </c>
      <c r="E1002" s="75" t="s">
        <v>625</v>
      </c>
      <c r="F1002" s="75" t="s">
        <v>1544</v>
      </c>
    </row>
    <row r="1003" spans="2:6" ht="27">
      <c r="B1003" s="615">
        <v>42767</v>
      </c>
      <c r="C1003" s="300">
        <v>42767</v>
      </c>
      <c r="D1003" s="301" t="s">
        <v>4335</v>
      </c>
      <c r="E1003" s="297" t="s">
        <v>208</v>
      </c>
      <c r="F1003" s="297" t="s">
        <v>85</v>
      </c>
    </row>
    <row r="1004" spans="2:6">
      <c r="B1004" s="615">
        <v>42767</v>
      </c>
      <c r="C1004" s="302">
        <v>42767</v>
      </c>
      <c r="D1004" s="301" t="s">
        <v>1570</v>
      </c>
      <c r="E1004" s="297" t="s">
        <v>5</v>
      </c>
      <c r="F1004" s="297" t="s">
        <v>131</v>
      </c>
    </row>
    <row r="1005" spans="2:6">
      <c r="B1005" s="617">
        <v>42767</v>
      </c>
      <c r="C1005" s="80">
        <v>42767</v>
      </c>
      <c r="D1005" s="79" t="s">
        <v>3066</v>
      </c>
      <c r="E1005" s="75" t="s">
        <v>5</v>
      </c>
      <c r="F1005" s="75" t="s">
        <v>131</v>
      </c>
    </row>
    <row r="1006" spans="2:6">
      <c r="B1006" s="618">
        <v>42768</v>
      </c>
      <c r="C1006" s="61">
        <v>42767</v>
      </c>
      <c r="D1006" s="62" t="s">
        <v>4249</v>
      </c>
      <c r="E1006" s="58" t="s">
        <v>171</v>
      </c>
      <c r="F1006" s="58" t="s">
        <v>183</v>
      </c>
    </row>
    <row r="1007" spans="2:6" ht="27">
      <c r="B1007" s="617">
        <v>42768</v>
      </c>
      <c r="C1007" s="78">
        <v>42767</v>
      </c>
      <c r="D1007" s="79" t="s">
        <v>4261</v>
      </c>
      <c r="E1007" s="75" t="s">
        <v>5</v>
      </c>
      <c r="F1007" s="75" t="s">
        <v>79</v>
      </c>
    </row>
    <row r="1008" spans="2:6">
      <c r="B1008" s="618">
        <v>42768</v>
      </c>
      <c r="C1008" s="61">
        <v>42767</v>
      </c>
      <c r="D1008" s="62" t="s">
        <v>4217</v>
      </c>
      <c r="E1008" s="58" t="s">
        <v>171</v>
      </c>
      <c r="F1008" s="58" t="s">
        <v>183</v>
      </c>
    </row>
    <row r="1009" spans="2:6">
      <c r="B1009" s="618">
        <v>42768</v>
      </c>
      <c r="C1009" s="61">
        <v>42767</v>
      </c>
      <c r="D1009" s="62" t="s">
        <v>4268</v>
      </c>
      <c r="E1009" s="58" t="s">
        <v>1493</v>
      </c>
      <c r="F1009" s="58" t="s">
        <v>183</v>
      </c>
    </row>
    <row r="1010" spans="2:6">
      <c r="B1010" s="618">
        <v>42768</v>
      </c>
      <c r="C1010" s="61">
        <v>42767</v>
      </c>
      <c r="D1010" s="62" t="s">
        <v>5495</v>
      </c>
      <c r="E1010" s="58" t="s">
        <v>1493</v>
      </c>
      <c r="F1010" s="58" t="s">
        <v>1690</v>
      </c>
    </row>
    <row r="1011" spans="2:6" ht="27">
      <c r="B1011" s="615">
        <v>42768</v>
      </c>
      <c r="C1011" s="300">
        <v>42767</v>
      </c>
      <c r="D1011" s="301" t="s">
        <v>1322</v>
      </c>
      <c r="E1011" s="297" t="s">
        <v>208</v>
      </c>
      <c r="F1011" s="297" t="s">
        <v>107</v>
      </c>
    </row>
    <row r="1012" spans="2:6" ht="27">
      <c r="B1012" s="618">
        <v>42768</v>
      </c>
      <c r="C1012" s="61">
        <v>42767</v>
      </c>
      <c r="D1012" s="62" t="s">
        <v>4268</v>
      </c>
      <c r="E1012" s="58" t="s">
        <v>625</v>
      </c>
      <c r="F1012" s="58" t="s">
        <v>3423</v>
      </c>
    </row>
    <row r="1013" spans="2:6">
      <c r="B1013" s="618">
        <v>42772</v>
      </c>
      <c r="C1013" s="61">
        <v>42736</v>
      </c>
      <c r="D1013" s="62" t="s">
        <v>4267</v>
      </c>
      <c r="E1013" s="58" t="s">
        <v>171</v>
      </c>
      <c r="F1013" s="58" t="s">
        <v>1544</v>
      </c>
    </row>
    <row r="1014" spans="2:6">
      <c r="B1014" s="617">
        <v>42772</v>
      </c>
      <c r="C1014" s="78">
        <v>42767</v>
      </c>
      <c r="D1014" s="79" t="s">
        <v>4280</v>
      </c>
      <c r="E1014" s="75" t="s">
        <v>1974</v>
      </c>
      <c r="F1014" s="75" t="s">
        <v>183</v>
      </c>
    </row>
    <row r="1015" spans="2:6">
      <c r="B1015" s="618">
        <v>42772</v>
      </c>
      <c r="C1015" s="61">
        <v>42767</v>
      </c>
      <c r="D1015" s="62" t="s">
        <v>4288</v>
      </c>
      <c r="E1015" s="58" t="s">
        <v>625</v>
      </c>
      <c r="F1015" s="58" t="s">
        <v>183</v>
      </c>
    </row>
    <row r="1016" spans="2:6">
      <c r="B1016" s="617">
        <v>42772</v>
      </c>
      <c r="C1016" s="78">
        <v>42767</v>
      </c>
      <c r="D1016" s="79" t="s">
        <v>4302</v>
      </c>
      <c r="E1016" s="75" t="s">
        <v>625</v>
      </c>
      <c r="F1016" s="75" t="s">
        <v>183</v>
      </c>
    </row>
    <row r="1017" spans="2:6" ht="27">
      <c r="B1017" s="615">
        <v>42772</v>
      </c>
      <c r="C1017" s="300">
        <v>42767</v>
      </c>
      <c r="D1017" s="301" t="s">
        <v>4318</v>
      </c>
      <c r="E1017" s="297" t="s">
        <v>1199</v>
      </c>
      <c r="F1017" s="297" t="s">
        <v>336</v>
      </c>
    </row>
    <row r="1018" spans="2:6" ht="27">
      <c r="B1018" s="617">
        <v>42772</v>
      </c>
      <c r="C1018" s="78">
        <v>42767</v>
      </c>
      <c r="D1018" s="79" t="s">
        <v>3507</v>
      </c>
      <c r="E1018" s="75" t="s">
        <v>503</v>
      </c>
      <c r="F1018" s="75" t="s">
        <v>3508</v>
      </c>
    </row>
    <row r="1019" spans="2:6" ht="27">
      <c r="B1019" s="617">
        <v>42772</v>
      </c>
      <c r="C1019" s="78">
        <v>42767</v>
      </c>
      <c r="D1019" s="79" t="s">
        <v>1128</v>
      </c>
      <c r="E1019" s="75" t="s">
        <v>5</v>
      </c>
      <c r="F1019" s="75" t="s">
        <v>107</v>
      </c>
    </row>
    <row r="1020" spans="2:6" ht="27">
      <c r="B1020" s="618">
        <v>42772</v>
      </c>
      <c r="C1020" s="61">
        <v>42767</v>
      </c>
      <c r="D1020" s="62" t="s">
        <v>4188</v>
      </c>
      <c r="E1020" s="58" t="s">
        <v>503</v>
      </c>
      <c r="F1020" s="58" t="s">
        <v>4189</v>
      </c>
    </row>
    <row r="1021" spans="2:6" ht="27">
      <c r="B1021" s="615">
        <v>42772</v>
      </c>
      <c r="C1021" s="300">
        <v>42767</v>
      </c>
      <c r="D1021" s="301" t="s">
        <v>6930</v>
      </c>
      <c r="E1021" s="297" t="s">
        <v>5</v>
      </c>
      <c r="F1021" s="297" t="s">
        <v>6931</v>
      </c>
    </row>
    <row r="1022" spans="2:6">
      <c r="B1022" s="622">
        <v>42773</v>
      </c>
      <c r="C1022" s="107">
        <v>42767</v>
      </c>
      <c r="D1022" s="108" t="s">
        <v>4323</v>
      </c>
      <c r="E1022" s="105" t="s">
        <v>1974</v>
      </c>
      <c r="F1022" s="105" t="s">
        <v>183</v>
      </c>
    </row>
    <row r="1023" spans="2:6" ht="27">
      <c r="B1023" s="615">
        <v>42773</v>
      </c>
      <c r="C1023" s="300">
        <v>42767</v>
      </c>
      <c r="D1023" s="301" t="s">
        <v>271</v>
      </c>
      <c r="E1023" s="297" t="s">
        <v>63</v>
      </c>
      <c r="F1023" s="297" t="s">
        <v>101</v>
      </c>
    </row>
    <row r="1024" spans="2:6" ht="27">
      <c r="B1024" s="615">
        <v>42773</v>
      </c>
      <c r="C1024" s="300">
        <v>42767</v>
      </c>
      <c r="D1024" s="301" t="s">
        <v>271</v>
      </c>
      <c r="E1024" s="297" t="s">
        <v>63</v>
      </c>
      <c r="F1024" s="297" t="s">
        <v>101</v>
      </c>
    </row>
    <row r="1025" spans="2:6" ht="27">
      <c r="B1025" s="615">
        <v>42773</v>
      </c>
      <c r="C1025" s="300">
        <v>42767</v>
      </c>
      <c r="D1025" s="301" t="s">
        <v>271</v>
      </c>
      <c r="E1025" s="297" t="s">
        <v>63</v>
      </c>
      <c r="F1025" s="297" t="s">
        <v>101</v>
      </c>
    </row>
    <row r="1026" spans="2:6" ht="27">
      <c r="B1026" s="615">
        <v>42773</v>
      </c>
      <c r="C1026" s="300">
        <v>42767</v>
      </c>
      <c r="D1026" s="301" t="s">
        <v>271</v>
      </c>
      <c r="E1026" s="297" t="s">
        <v>63</v>
      </c>
      <c r="F1026" s="297" t="s">
        <v>101</v>
      </c>
    </row>
    <row r="1027" spans="2:6" ht="27">
      <c r="B1027" s="615">
        <v>42773</v>
      </c>
      <c r="C1027" s="300">
        <v>42767</v>
      </c>
      <c r="D1027" s="301" t="s">
        <v>271</v>
      </c>
      <c r="E1027" s="297" t="s">
        <v>63</v>
      </c>
      <c r="F1027" s="297" t="s">
        <v>101</v>
      </c>
    </row>
    <row r="1028" spans="2:6" ht="27">
      <c r="B1028" s="615">
        <v>42773</v>
      </c>
      <c r="C1028" s="300">
        <v>42767</v>
      </c>
      <c r="D1028" s="301" t="s">
        <v>271</v>
      </c>
      <c r="E1028" s="297" t="s">
        <v>63</v>
      </c>
      <c r="F1028" s="297" t="s">
        <v>101</v>
      </c>
    </row>
    <row r="1029" spans="2:6" ht="27">
      <c r="B1029" s="615">
        <v>42773</v>
      </c>
      <c r="C1029" s="300">
        <v>42767</v>
      </c>
      <c r="D1029" s="301" t="s">
        <v>271</v>
      </c>
      <c r="E1029" s="297" t="s">
        <v>63</v>
      </c>
      <c r="F1029" s="297" t="s">
        <v>101</v>
      </c>
    </row>
    <row r="1030" spans="2:6" ht="27">
      <c r="B1030" s="615">
        <v>42773</v>
      </c>
      <c r="C1030" s="300">
        <v>42767</v>
      </c>
      <c r="D1030" s="301" t="s">
        <v>271</v>
      </c>
      <c r="E1030" s="297" t="s">
        <v>63</v>
      </c>
      <c r="F1030" s="297" t="s">
        <v>101</v>
      </c>
    </row>
    <row r="1031" spans="2:6" ht="27">
      <c r="B1031" s="615">
        <v>42773</v>
      </c>
      <c r="C1031" s="300">
        <v>42767</v>
      </c>
      <c r="D1031" s="301" t="s">
        <v>271</v>
      </c>
      <c r="E1031" s="297" t="s">
        <v>63</v>
      </c>
      <c r="F1031" s="297" t="s">
        <v>101</v>
      </c>
    </row>
    <row r="1032" spans="2:6" ht="27">
      <c r="B1032" s="615">
        <v>42773</v>
      </c>
      <c r="C1032" s="300">
        <v>42767</v>
      </c>
      <c r="D1032" s="301" t="s">
        <v>271</v>
      </c>
      <c r="E1032" s="297" t="s">
        <v>63</v>
      </c>
      <c r="F1032" s="297" t="s">
        <v>101</v>
      </c>
    </row>
    <row r="1033" spans="2:6" ht="27">
      <c r="B1033" s="615">
        <v>42773</v>
      </c>
      <c r="C1033" s="300">
        <v>42767</v>
      </c>
      <c r="D1033" s="301" t="s">
        <v>271</v>
      </c>
      <c r="E1033" s="297" t="s">
        <v>63</v>
      </c>
      <c r="F1033" s="297" t="s">
        <v>101</v>
      </c>
    </row>
    <row r="1034" spans="2:6" ht="27">
      <c r="B1034" s="615">
        <v>42773</v>
      </c>
      <c r="C1034" s="300">
        <v>42767</v>
      </c>
      <c r="D1034" s="301" t="s">
        <v>271</v>
      </c>
      <c r="E1034" s="297" t="s">
        <v>63</v>
      </c>
      <c r="F1034" s="297" t="s">
        <v>101</v>
      </c>
    </row>
    <row r="1035" spans="2:6" ht="27">
      <c r="B1035" s="615">
        <v>42773</v>
      </c>
      <c r="C1035" s="300">
        <v>42767</v>
      </c>
      <c r="D1035" s="301" t="s">
        <v>271</v>
      </c>
      <c r="E1035" s="297" t="s">
        <v>63</v>
      </c>
      <c r="F1035" s="297" t="s">
        <v>101</v>
      </c>
    </row>
    <row r="1036" spans="2:6" ht="27">
      <c r="B1036" s="615">
        <v>42773</v>
      </c>
      <c r="C1036" s="300">
        <v>42767</v>
      </c>
      <c r="D1036" s="301" t="s">
        <v>271</v>
      </c>
      <c r="E1036" s="297" t="s">
        <v>63</v>
      </c>
      <c r="F1036" s="297" t="s">
        <v>101</v>
      </c>
    </row>
    <row r="1037" spans="2:6" ht="27">
      <c r="B1037" s="615">
        <v>42773</v>
      </c>
      <c r="C1037" s="300">
        <v>42767</v>
      </c>
      <c r="D1037" s="301" t="s">
        <v>271</v>
      </c>
      <c r="E1037" s="297" t="s">
        <v>63</v>
      </c>
      <c r="F1037" s="297" t="s">
        <v>101</v>
      </c>
    </row>
    <row r="1038" spans="2:6" ht="27">
      <c r="B1038" s="615">
        <v>42773</v>
      </c>
      <c r="C1038" s="300">
        <v>42767</v>
      </c>
      <c r="D1038" s="301" t="s">
        <v>271</v>
      </c>
      <c r="E1038" s="297" t="s">
        <v>63</v>
      </c>
      <c r="F1038" s="297" t="s">
        <v>101</v>
      </c>
    </row>
    <row r="1039" spans="2:6" ht="27">
      <c r="B1039" s="615">
        <v>42773</v>
      </c>
      <c r="C1039" s="300">
        <v>42767</v>
      </c>
      <c r="D1039" s="301" t="s">
        <v>271</v>
      </c>
      <c r="E1039" s="297" t="s">
        <v>63</v>
      </c>
      <c r="F1039" s="297" t="s">
        <v>101</v>
      </c>
    </row>
    <row r="1040" spans="2:6" ht="27">
      <c r="B1040" s="615">
        <v>42773</v>
      </c>
      <c r="C1040" s="300">
        <v>42767</v>
      </c>
      <c r="D1040" s="301" t="s">
        <v>271</v>
      </c>
      <c r="E1040" s="297" t="s">
        <v>63</v>
      </c>
      <c r="F1040" s="297" t="s">
        <v>101</v>
      </c>
    </row>
    <row r="1041" spans="2:6" ht="27">
      <c r="B1041" s="615">
        <v>42773</v>
      </c>
      <c r="C1041" s="300">
        <v>42767</v>
      </c>
      <c r="D1041" s="301" t="s">
        <v>271</v>
      </c>
      <c r="E1041" s="297" t="s">
        <v>63</v>
      </c>
      <c r="F1041" s="297" t="s">
        <v>101</v>
      </c>
    </row>
    <row r="1042" spans="2:6" ht="27">
      <c r="B1042" s="615">
        <v>42773</v>
      </c>
      <c r="C1042" s="300">
        <v>42767</v>
      </c>
      <c r="D1042" s="301" t="s">
        <v>271</v>
      </c>
      <c r="E1042" s="297" t="s">
        <v>63</v>
      </c>
      <c r="F1042" s="297" t="s">
        <v>101</v>
      </c>
    </row>
    <row r="1043" spans="2:6" ht="27">
      <c r="B1043" s="615">
        <v>42773</v>
      </c>
      <c r="C1043" s="300">
        <v>42767</v>
      </c>
      <c r="D1043" s="301" t="s">
        <v>271</v>
      </c>
      <c r="E1043" s="297" t="s">
        <v>63</v>
      </c>
      <c r="F1043" s="297" t="s">
        <v>101</v>
      </c>
    </row>
    <row r="1044" spans="2:6">
      <c r="B1044" s="615">
        <v>42773</v>
      </c>
      <c r="C1044" s="302">
        <v>42767</v>
      </c>
      <c r="D1044" s="301" t="s">
        <v>2672</v>
      </c>
      <c r="E1044" s="297" t="s">
        <v>5</v>
      </c>
      <c r="F1044" s="297" t="s">
        <v>131</v>
      </c>
    </row>
    <row r="1045" spans="2:6">
      <c r="B1045" s="614">
        <v>42773</v>
      </c>
      <c r="C1045" s="38">
        <v>42767</v>
      </c>
      <c r="D1045" s="39" t="s">
        <v>2672</v>
      </c>
      <c r="E1045" s="34" t="s">
        <v>5</v>
      </c>
      <c r="F1045" s="34" t="s">
        <v>131</v>
      </c>
    </row>
    <row r="1046" spans="2:6" ht="40.5">
      <c r="B1046" s="614">
        <v>42773</v>
      </c>
      <c r="C1046" s="38">
        <v>42767</v>
      </c>
      <c r="D1046" s="39" t="s">
        <v>2880</v>
      </c>
      <c r="E1046" s="34" t="s">
        <v>195</v>
      </c>
      <c r="F1046" s="34" t="s">
        <v>2881</v>
      </c>
    </row>
    <row r="1047" spans="2:6" ht="54">
      <c r="B1047" s="618">
        <v>42774</v>
      </c>
      <c r="C1047" s="61">
        <v>42767</v>
      </c>
      <c r="D1047" s="62" t="s">
        <v>4387</v>
      </c>
      <c r="E1047" s="58" t="s">
        <v>4388</v>
      </c>
      <c r="F1047" s="58" t="s">
        <v>3423</v>
      </c>
    </row>
    <row r="1048" spans="2:6">
      <c r="B1048" s="618">
        <v>42774</v>
      </c>
      <c r="C1048" s="61">
        <v>42767</v>
      </c>
      <c r="D1048" s="62" t="s">
        <v>4461</v>
      </c>
      <c r="E1048" s="58" t="s">
        <v>625</v>
      </c>
      <c r="F1048" s="58" t="s">
        <v>183</v>
      </c>
    </row>
    <row r="1049" spans="2:6" ht="27">
      <c r="B1049" s="615">
        <v>42776</v>
      </c>
      <c r="C1049" s="300">
        <v>42767</v>
      </c>
      <c r="D1049" s="301" t="s">
        <v>3723</v>
      </c>
      <c r="E1049" s="297" t="s">
        <v>5</v>
      </c>
      <c r="F1049" s="297" t="s">
        <v>79</v>
      </c>
    </row>
    <row r="1050" spans="2:6" ht="27">
      <c r="B1050" s="618">
        <v>42776</v>
      </c>
      <c r="C1050" s="61">
        <v>42767</v>
      </c>
      <c r="D1050" s="62" t="s">
        <v>4289</v>
      </c>
      <c r="E1050" s="58" t="s">
        <v>625</v>
      </c>
      <c r="F1050" s="58" t="s">
        <v>3423</v>
      </c>
    </row>
    <row r="1051" spans="2:6" ht="27">
      <c r="B1051" s="615">
        <v>42779</v>
      </c>
      <c r="C1051" s="300">
        <v>42767</v>
      </c>
      <c r="D1051" s="301" t="s">
        <v>271</v>
      </c>
      <c r="E1051" s="297" t="s">
        <v>63</v>
      </c>
      <c r="F1051" s="297" t="s">
        <v>101</v>
      </c>
    </row>
    <row r="1052" spans="2:6" ht="27">
      <c r="B1052" s="615">
        <v>42779</v>
      </c>
      <c r="C1052" s="300">
        <v>42767</v>
      </c>
      <c r="D1052" s="301" t="s">
        <v>271</v>
      </c>
      <c r="E1052" s="297" t="s">
        <v>63</v>
      </c>
      <c r="F1052" s="297" t="s">
        <v>101</v>
      </c>
    </row>
    <row r="1053" spans="2:6" ht="27">
      <c r="B1053" s="615">
        <v>42779</v>
      </c>
      <c r="C1053" s="300">
        <v>42767</v>
      </c>
      <c r="D1053" s="301" t="s">
        <v>271</v>
      </c>
      <c r="E1053" s="297" t="s">
        <v>63</v>
      </c>
      <c r="F1053" s="297" t="s">
        <v>101</v>
      </c>
    </row>
    <row r="1054" spans="2:6" ht="27">
      <c r="B1054" s="615">
        <v>42779</v>
      </c>
      <c r="C1054" s="300">
        <v>42767</v>
      </c>
      <c r="D1054" s="301" t="s">
        <v>271</v>
      </c>
      <c r="E1054" s="297" t="s">
        <v>63</v>
      </c>
      <c r="F1054" s="297" t="s">
        <v>101</v>
      </c>
    </row>
    <row r="1055" spans="2:6" ht="27">
      <c r="B1055" s="615">
        <v>42779</v>
      </c>
      <c r="C1055" s="300">
        <v>42767</v>
      </c>
      <c r="D1055" s="301" t="s">
        <v>271</v>
      </c>
      <c r="E1055" s="297" t="s">
        <v>63</v>
      </c>
      <c r="F1055" s="297" t="s">
        <v>101</v>
      </c>
    </row>
    <row r="1056" spans="2:6" ht="27">
      <c r="B1056" s="615">
        <v>42779</v>
      </c>
      <c r="C1056" s="300">
        <v>42767</v>
      </c>
      <c r="D1056" s="301" t="s">
        <v>271</v>
      </c>
      <c r="E1056" s="297" t="s">
        <v>63</v>
      </c>
      <c r="F1056" s="297" t="s">
        <v>101</v>
      </c>
    </row>
    <row r="1057" spans="2:6" ht="27">
      <c r="B1057" s="615">
        <v>42779</v>
      </c>
      <c r="C1057" s="300">
        <v>42767</v>
      </c>
      <c r="D1057" s="301" t="s">
        <v>271</v>
      </c>
      <c r="E1057" s="297" t="s">
        <v>63</v>
      </c>
      <c r="F1057" s="297" t="s">
        <v>101</v>
      </c>
    </row>
    <row r="1058" spans="2:6" ht="27">
      <c r="B1058" s="615">
        <v>42779</v>
      </c>
      <c r="C1058" s="300">
        <v>42767</v>
      </c>
      <c r="D1058" s="301" t="s">
        <v>271</v>
      </c>
      <c r="E1058" s="297" t="s">
        <v>63</v>
      </c>
      <c r="F1058" s="297" t="s">
        <v>101</v>
      </c>
    </row>
    <row r="1059" spans="2:6" ht="27">
      <c r="B1059" s="615">
        <v>42779</v>
      </c>
      <c r="C1059" s="300">
        <v>42767</v>
      </c>
      <c r="D1059" s="301" t="s">
        <v>271</v>
      </c>
      <c r="E1059" s="297" t="s">
        <v>63</v>
      </c>
      <c r="F1059" s="297" t="s">
        <v>101</v>
      </c>
    </row>
    <row r="1060" spans="2:6" ht="27">
      <c r="B1060" s="615">
        <v>42779</v>
      </c>
      <c r="C1060" s="300">
        <v>42767</v>
      </c>
      <c r="D1060" s="301" t="s">
        <v>271</v>
      </c>
      <c r="E1060" s="297" t="s">
        <v>63</v>
      </c>
      <c r="F1060" s="297" t="s">
        <v>101</v>
      </c>
    </row>
    <row r="1061" spans="2:6" ht="27">
      <c r="B1061" s="615">
        <v>42779</v>
      </c>
      <c r="C1061" s="300">
        <v>42767</v>
      </c>
      <c r="D1061" s="301" t="s">
        <v>271</v>
      </c>
      <c r="E1061" s="297" t="s">
        <v>63</v>
      </c>
      <c r="F1061" s="297" t="s">
        <v>101</v>
      </c>
    </row>
    <row r="1062" spans="2:6" ht="27">
      <c r="B1062" s="615">
        <v>42779</v>
      </c>
      <c r="C1062" s="300">
        <v>42767</v>
      </c>
      <c r="D1062" s="301" t="s">
        <v>271</v>
      </c>
      <c r="E1062" s="297" t="s">
        <v>63</v>
      </c>
      <c r="F1062" s="297" t="s">
        <v>101</v>
      </c>
    </row>
    <row r="1063" spans="2:6" ht="27">
      <c r="B1063" s="615">
        <v>42779</v>
      </c>
      <c r="C1063" s="300">
        <v>42767</v>
      </c>
      <c r="D1063" s="301" t="s">
        <v>271</v>
      </c>
      <c r="E1063" s="297" t="s">
        <v>63</v>
      </c>
      <c r="F1063" s="297" t="s">
        <v>101</v>
      </c>
    </row>
    <row r="1064" spans="2:6">
      <c r="B1064" s="615">
        <v>42779</v>
      </c>
      <c r="C1064" s="300">
        <v>42767</v>
      </c>
      <c r="D1064" s="301" t="s">
        <v>2579</v>
      </c>
      <c r="E1064" s="297" t="s">
        <v>5</v>
      </c>
      <c r="F1064" s="297" t="s">
        <v>101</v>
      </c>
    </row>
    <row r="1065" spans="2:6">
      <c r="B1065" s="617">
        <v>42779</v>
      </c>
      <c r="C1065" s="78">
        <v>42767</v>
      </c>
      <c r="D1065" s="79" t="s">
        <v>3876</v>
      </c>
      <c r="E1065" s="75" t="s">
        <v>5</v>
      </c>
      <c r="F1065" s="75" t="s">
        <v>101</v>
      </c>
    </row>
    <row r="1066" spans="2:6">
      <c r="B1066" s="615">
        <v>42779</v>
      </c>
      <c r="C1066" s="300">
        <v>42767</v>
      </c>
      <c r="D1066" s="301" t="s">
        <v>6932</v>
      </c>
      <c r="E1066" s="297" t="s">
        <v>208</v>
      </c>
      <c r="F1066" s="297" t="s">
        <v>131</v>
      </c>
    </row>
    <row r="1067" spans="2:6">
      <c r="B1067" s="618">
        <v>42780</v>
      </c>
      <c r="C1067" s="61">
        <v>42767</v>
      </c>
      <c r="D1067" s="62" t="s">
        <v>4424</v>
      </c>
      <c r="E1067" s="58" t="s">
        <v>625</v>
      </c>
      <c r="F1067" s="58" t="s">
        <v>183</v>
      </c>
    </row>
    <row r="1068" spans="2:6">
      <c r="B1068" s="618">
        <v>42780</v>
      </c>
      <c r="C1068" s="61">
        <v>42767</v>
      </c>
      <c r="D1068" s="62" t="s">
        <v>4437</v>
      </c>
      <c r="E1068" s="58" t="s">
        <v>4438</v>
      </c>
      <c r="F1068" s="58" t="s">
        <v>183</v>
      </c>
    </row>
    <row r="1069" spans="2:6">
      <c r="B1069" s="618">
        <v>42780</v>
      </c>
      <c r="C1069" s="61">
        <v>42767</v>
      </c>
      <c r="D1069" s="62" t="s">
        <v>4451</v>
      </c>
      <c r="E1069" s="58" t="s">
        <v>625</v>
      </c>
      <c r="F1069" s="58" t="s">
        <v>183</v>
      </c>
    </row>
    <row r="1070" spans="2:6" ht="27">
      <c r="B1070" s="615">
        <v>42780</v>
      </c>
      <c r="C1070" s="300">
        <v>42767</v>
      </c>
      <c r="D1070" s="301" t="s">
        <v>271</v>
      </c>
      <c r="E1070" s="297" t="s">
        <v>63</v>
      </c>
      <c r="F1070" s="297" t="s">
        <v>101</v>
      </c>
    </row>
    <row r="1071" spans="2:6">
      <c r="B1071" s="618">
        <v>42780</v>
      </c>
      <c r="C1071" s="61">
        <v>42767</v>
      </c>
      <c r="D1071" s="62" t="s">
        <v>4471</v>
      </c>
      <c r="E1071" s="58" t="s">
        <v>625</v>
      </c>
      <c r="F1071" s="58" t="s">
        <v>183</v>
      </c>
    </row>
    <row r="1072" spans="2:6" ht="40.5">
      <c r="B1072" s="618">
        <v>42780</v>
      </c>
      <c r="C1072" s="61">
        <v>42767</v>
      </c>
      <c r="D1072" s="62" t="s">
        <v>4479</v>
      </c>
      <c r="E1072" s="58" t="s">
        <v>625</v>
      </c>
      <c r="F1072" s="58" t="s">
        <v>183</v>
      </c>
    </row>
    <row r="1073" spans="2:6">
      <c r="B1073" s="618">
        <v>42780</v>
      </c>
      <c r="C1073" s="61">
        <v>42767</v>
      </c>
      <c r="D1073" s="62" t="s">
        <v>4484</v>
      </c>
      <c r="E1073" s="58" t="s">
        <v>625</v>
      </c>
      <c r="F1073" s="58" t="s">
        <v>183</v>
      </c>
    </row>
    <row r="1074" spans="2:6" ht="27">
      <c r="B1074" s="618">
        <v>42781</v>
      </c>
      <c r="C1074" s="61">
        <v>42781</v>
      </c>
      <c r="D1074" s="62" t="s">
        <v>4559</v>
      </c>
      <c r="E1074" s="58" t="s">
        <v>625</v>
      </c>
      <c r="F1074" s="58" t="s">
        <v>4496</v>
      </c>
    </row>
    <row r="1075" spans="2:6" ht="54">
      <c r="B1075" s="618">
        <v>42781</v>
      </c>
      <c r="C1075" s="61">
        <v>42781</v>
      </c>
      <c r="D1075" s="62" t="s">
        <v>4492</v>
      </c>
      <c r="E1075" s="58" t="s">
        <v>94</v>
      </c>
      <c r="F1075" s="58" t="s">
        <v>4493</v>
      </c>
    </row>
    <row r="1076" spans="2:6" ht="27">
      <c r="B1076" s="618">
        <v>42781</v>
      </c>
      <c r="C1076" s="61">
        <v>42767</v>
      </c>
      <c r="D1076" s="62" t="s">
        <v>4502</v>
      </c>
      <c r="E1076" s="58" t="s">
        <v>5</v>
      </c>
      <c r="F1076" s="58" t="s">
        <v>79</v>
      </c>
    </row>
    <row r="1077" spans="2:6">
      <c r="B1077" s="617">
        <v>42781</v>
      </c>
      <c r="C1077" s="78">
        <v>42767</v>
      </c>
      <c r="D1077" s="79" t="s">
        <v>3495</v>
      </c>
      <c r="E1077" s="75" t="s">
        <v>63</v>
      </c>
      <c r="F1077" s="75" t="s">
        <v>101</v>
      </c>
    </row>
    <row r="1078" spans="2:6" ht="27">
      <c r="B1078" s="618">
        <v>42781</v>
      </c>
      <c r="C1078" s="61">
        <v>42767</v>
      </c>
      <c r="D1078" s="62" t="s">
        <v>4544</v>
      </c>
      <c r="E1078" s="58" t="s">
        <v>625</v>
      </c>
      <c r="F1078" s="58" t="s">
        <v>4496</v>
      </c>
    </row>
    <row r="1079" spans="2:6" ht="27">
      <c r="B1079" s="615">
        <v>42782</v>
      </c>
      <c r="C1079" s="300">
        <v>42767</v>
      </c>
      <c r="D1079" s="301" t="s">
        <v>4510</v>
      </c>
      <c r="E1079" s="297" t="s">
        <v>5</v>
      </c>
      <c r="F1079" s="297" t="s">
        <v>79</v>
      </c>
    </row>
    <row r="1080" spans="2:6" ht="27">
      <c r="B1080" s="617">
        <v>42782</v>
      </c>
      <c r="C1080" s="78">
        <v>42767</v>
      </c>
      <c r="D1080" s="79" t="s">
        <v>3781</v>
      </c>
      <c r="E1080" s="75" t="s">
        <v>63</v>
      </c>
      <c r="F1080" s="75" t="s">
        <v>3782</v>
      </c>
    </row>
    <row r="1081" spans="2:6">
      <c r="B1081" s="618">
        <v>42782</v>
      </c>
      <c r="C1081" s="61">
        <v>42767</v>
      </c>
      <c r="D1081" s="62" t="s">
        <v>3980</v>
      </c>
      <c r="E1081" s="58" t="s">
        <v>63</v>
      </c>
      <c r="F1081" s="58" t="s">
        <v>183</v>
      </c>
    </row>
    <row r="1082" spans="2:6">
      <c r="B1082" s="618">
        <v>42782</v>
      </c>
      <c r="C1082" s="61">
        <v>42767</v>
      </c>
      <c r="D1082" s="62" t="s">
        <v>4233</v>
      </c>
      <c r="E1082" s="58" t="s">
        <v>63</v>
      </c>
      <c r="F1082" s="58" t="s">
        <v>183</v>
      </c>
    </row>
    <row r="1083" spans="2:6" ht="27">
      <c r="B1083" s="618">
        <v>42782</v>
      </c>
      <c r="C1083" s="61">
        <v>42767</v>
      </c>
      <c r="D1083" s="62" t="s">
        <v>4639</v>
      </c>
      <c r="E1083" s="58" t="s">
        <v>171</v>
      </c>
      <c r="F1083" s="58" t="s">
        <v>4496</v>
      </c>
    </row>
    <row r="1084" spans="2:6">
      <c r="B1084" s="617">
        <v>42782</v>
      </c>
      <c r="C1084" s="78">
        <v>42767</v>
      </c>
      <c r="D1084" s="79" t="s">
        <v>1977</v>
      </c>
      <c r="E1084" s="75" t="s">
        <v>208</v>
      </c>
      <c r="F1084" s="75" t="s">
        <v>131</v>
      </c>
    </row>
    <row r="1085" spans="2:6" ht="27">
      <c r="B1085" s="617">
        <v>42782</v>
      </c>
      <c r="C1085" s="78">
        <v>42767</v>
      </c>
      <c r="D1085" s="79" t="s">
        <v>3233</v>
      </c>
      <c r="E1085" s="75" t="s">
        <v>5</v>
      </c>
      <c r="F1085" s="75" t="s">
        <v>85</v>
      </c>
    </row>
    <row r="1086" spans="2:6" ht="27">
      <c r="B1086" s="617">
        <v>42782</v>
      </c>
      <c r="C1086" s="78">
        <v>42767</v>
      </c>
      <c r="D1086" s="79" t="s">
        <v>4061</v>
      </c>
      <c r="E1086" s="75" t="s">
        <v>63</v>
      </c>
      <c r="F1086" s="75" t="s">
        <v>79</v>
      </c>
    </row>
    <row r="1087" spans="2:6">
      <c r="B1087" s="618">
        <v>42783</v>
      </c>
      <c r="C1087" s="61">
        <v>42767</v>
      </c>
      <c r="D1087" s="62" t="s">
        <v>3964</v>
      </c>
      <c r="E1087" s="58" t="s">
        <v>171</v>
      </c>
      <c r="F1087" s="58" t="s">
        <v>1544</v>
      </c>
    </row>
    <row r="1088" spans="2:6" ht="27">
      <c r="B1088" s="617">
        <v>42783</v>
      </c>
      <c r="C1088" s="78">
        <v>42767</v>
      </c>
      <c r="D1088" s="79" t="s">
        <v>4061</v>
      </c>
      <c r="E1088" s="75" t="s">
        <v>4062</v>
      </c>
      <c r="F1088" s="75" t="s">
        <v>79</v>
      </c>
    </row>
    <row r="1089" spans="2:6" ht="27">
      <c r="B1089" s="615">
        <v>42786</v>
      </c>
      <c r="C1089" s="300">
        <v>42767</v>
      </c>
      <c r="D1089" s="301" t="s">
        <v>271</v>
      </c>
      <c r="E1089" s="297" t="s">
        <v>63</v>
      </c>
      <c r="F1089" s="297" t="s">
        <v>101</v>
      </c>
    </row>
    <row r="1090" spans="2:6" ht="27">
      <c r="B1090" s="615">
        <v>42786</v>
      </c>
      <c r="C1090" s="300">
        <v>42767</v>
      </c>
      <c r="D1090" s="301" t="s">
        <v>271</v>
      </c>
      <c r="E1090" s="297" t="s">
        <v>63</v>
      </c>
      <c r="F1090" s="297" t="s">
        <v>101</v>
      </c>
    </row>
    <row r="1091" spans="2:6" ht="27">
      <c r="B1091" s="615">
        <v>42786</v>
      </c>
      <c r="C1091" s="300">
        <v>42767</v>
      </c>
      <c r="D1091" s="301" t="s">
        <v>271</v>
      </c>
      <c r="E1091" s="297" t="s">
        <v>63</v>
      </c>
      <c r="F1091" s="297" t="s">
        <v>101</v>
      </c>
    </row>
    <row r="1092" spans="2:6" ht="27">
      <c r="B1092" s="615">
        <v>42786</v>
      </c>
      <c r="C1092" s="300">
        <v>42767</v>
      </c>
      <c r="D1092" s="301" t="s">
        <v>271</v>
      </c>
      <c r="E1092" s="297" t="s">
        <v>63</v>
      </c>
      <c r="F1092" s="297" t="s">
        <v>101</v>
      </c>
    </row>
    <row r="1093" spans="2:6" ht="27">
      <c r="B1093" s="615">
        <v>42786</v>
      </c>
      <c r="C1093" s="300">
        <v>42767</v>
      </c>
      <c r="D1093" s="301" t="s">
        <v>271</v>
      </c>
      <c r="E1093" s="297" t="s">
        <v>63</v>
      </c>
      <c r="F1093" s="297" t="s">
        <v>101</v>
      </c>
    </row>
    <row r="1094" spans="2:6" ht="27">
      <c r="B1094" s="615">
        <v>42786</v>
      </c>
      <c r="C1094" s="300">
        <v>42767</v>
      </c>
      <c r="D1094" s="301" t="s">
        <v>271</v>
      </c>
      <c r="E1094" s="297" t="s">
        <v>63</v>
      </c>
      <c r="F1094" s="297" t="s">
        <v>101</v>
      </c>
    </row>
    <row r="1095" spans="2:6" ht="27">
      <c r="B1095" s="615">
        <v>42786</v>
      </c>
      <c r="C1095" s="300">
        <v>42767</v>
      </c>
      <c r="D1095" s="301" t="s">
        <v>271</v>
      </c>
      <c r="E1095" s="297" t="s">
        <v>63</v>
      </c>
      <c r="F1095" s="297" t="s">
        <v>101</v>
      </c>
    </row>
    <row r="1096" spans="2:6" ht="27">
      <c r="B1096" s="615">
        <v>42786</v>
      </c>
      <c r="C1096" s="300">
        <v>42767</v>
      </c>
      <c r="D1096" s="301" t="s">
        <v>271</v>
      </c>
      <c r="E1096" s="297" t="s">
        <v>63</v>
      </c>
      <c r="F1096" s="297" t="s">
        <v>101</v>
      </c>
    </row>
    <row r="1097" spans="2:6" ht="27">
      <c r="B1097" s="615">
        <v>42786</v>
      </c>
      <c r="C1097" s="300">
        <v>42767</v>
      </c>
      <c r="D1097" s="301" t="s">
        <v>271</v>
      </c>
      <c r="E1097" s="297" t="s">
        <v>63</v>
      </c>
      <c r="F1097" s="297" t="s">
        <v>101</v>
      </c>
    </row>
    <row r="1098" spans="2:6" ht="27">
      <c r="B1098" s="615">
        <v>42786</v>
      </c>
      <c r="C1098" s="300">
        <v>42767</v>
      </c>
      <c r="D1098" s="301" t="s">
        <v>271</v>
      </c>
      <c r="E1098" s="297" t="s">
        <v>63</v>
      </c>
      <c r="F1098" s="297" t="s">
        <v>101</v>
      </c>
    </row>
    <row r="1099" spans="2:6" ht="27">
      <c r="B1099" s="618">
        <v>42786</v>
      </c>
      <c r="C1099" s="61">
        <v>42767</v>
      </c>
      <c r="D1099" s="62" t="s">
        <v>271</v>
      </c>
      <c r="E1099" s="58" t="s">
        <v>625</v>
      </c>
      <c r="F1099" s="58" t="s">
        <v>183</v>
      </c>
    </row>
    <row r="1100" spans="2:6" ht="27">
      <c r="B1100" s="618">
        <v>42786</v>
      </c>
      <c r="C1100" s="61">
        <v>42767</v>
      </c>
      <c r="D1100" s="62" t="s">
        <v>271</v>
      </c>
      <c r="E1100" s="58" t="s">
        <v>625</v>
      </c>
      <c r="F1100" s="58" t="s">
        <v>183</v>
      </c>
    </row>
    <row r="1101" spans="2:6">
      <c r="B1101" s="618">
        <v>42786</v>
      </c>
      <c r="C1101" s="61">
        <v>42767</v>
      </c>
      <c r="D1101" s="62" t="s">
        <v>4564</v>
      </c>
      <c r="E1101" s="58" t="s">
        <v>171</v>
      </c>
      <c r="F1101" s="58" t="s">
        <v>1544</v>
      </c>
    </row>
    <row r="1102" spans="2:6" ht="27">
      <c r="B1102" s="615">
        <v>42786</v>
      </c>
      <c r="C1102" s="300">
        <v>42767</v>
      </c>
      <c r="D1102" s="301" t="s">
        <v>271</v>
      </c>
      <c r="E1102" s="297" t="s">
        <v>63</v>
      </c>
      <c r="F1102" s="297" t="s">
        <v>101</v>
      </c>
    </row>
    <row r="1103" spans="2:6" ht="27">
      <c r="B1103" s="615">
        <v>42786</v>
      </c>
      <c r="C1103" s="300">
        <v>42767</v>
      </c>
      <c r="D1103" s="301" t="s">
        <v>271</v>
      </c>
      <c r="E1103" s="297" t="s">
        <v>63</v>
      </c>
      <c r="F1103" s="297" t="s">
        <v>101</v>
      </c>
    </row>
    <row r="1104" spans="2:6">
      <c r="B1104" s="617">
        <v>42786</v>
      </c>
      <c r="C1104" s="78">
        <v>42767</v>
      </c>
      <c r="D1104" s="79" t="s">
        <v>2967</v>
      </c>
      <c r="E1104" s="75" t="s">
        <v>5</v>
      </c>
      <c r="F1104" s="75" t="s">
        <v>101</v>
      </c>
    </row>
    <row r="1105" spans="2:6" ht="27">
      <c r="B1105" s="618">
        <v>42786</v>
      </c>
      <c r="C1105" s="61">
        <v>42767</v>
      </c>
      <c r="D1105" s="62" t="s">
        <v>4709</v>
      </c>
      <c r="E1105" s="58" t="s">
        <v>5</v>
      </c>
      <c r="F1105" s="58" t="s">
        <v>79</v>
      </c>
    </row>
    <row r="1106" spans="2:6" ht="27">
      <c r="B1106" s="615">
        <v>42786</v>
      </c>
      <c r="C1106" s="300">
        <v>42767</v>
      </c>
      <c r="D1106" s="301" t="s">
        <v>846</v>
      </c>
      <c r="E1106" s="297" t="s">
        <v>63</v>
      </c>
      <c r="F1106" s="297" t="s">
        <v>847</v>
      </c>
    </row>
    <row r="1107" spans="2:6" ht="27">
      <c r="B1107" s="617">
        <v>42786</v>
      </c>
      <c r="C1107" s="78">
        <v>42767</v>
      </c>
      <c r="D1107" s="79" t="s">
        <v>3611</v>
      </c>
      <c r="E1107" s="75" t="s">
        <v>5</v>
      </c>
      <c r="F1107" s="75" t="s">
        <v>79</v>
      </c>
    </row>
    <row r="1108" spans="2:6" ht="27">
      <c r="B1108" s="618">
        <v>42786</v>
      </c>
      <c r="C1108" s="61">
        <v>42767</v>
      </c>
      <c r="D1108" s="117" t="s">
        <v>3959</v>
      </c>
      <c r="E1108" s="117" t="s">
        <v>63</v>
      </c>
      <c r="F1108" s="117" t="s">
        <v>336</v>
      </c>
    </row>
    <row r="1109" spans="2:6">
      <c r="B1109" s="618">
        <v>42787</v>
      </c>
      <c r="C1109" s="61">
        <v>42767</v>
      </c>
      <c r="D1109" s="62" t="s">
        <v>4425</v>
      </c>
      <c r="E1109" s="58" t="s">
        <v>625</v>
      </c>
      <c r="F1109" s="58" t="s">
        <v>183</v>
      </c>
    </row>
    <row r="1110" spans="2:6">
      <c r="B1110" s="617">
        <v>42788</v>
      </c>
      <c r="C1110" s="78">
        <v>42767</v>
      </c>
      <c r="D1110" s="79" t="s">
        <v>4180</v>
      </c>
      <c r="E1110" s="75" t="s">
        <v>5</v>
      </c>
      <c r="F1110" s="75" t="s">
        <v>101</v>
      </c>
    </row>
    <row r="1111" spans="2:6">
      <c r="B1111" s="615">
        <v>42788</v>
      </c>
      <c r="C1111" s="302">
        <v>42767</v>
      </c>
      <c r="D1111" s="301" t="s">
        <v>2580</v>
      </c>
      <c r="E1111" s="297" t="s">
        <v>5</v>
      </c>
      <c r="F1111" s="303" t="s">
        <v>131</v>
      </c>
    </row>
    <row r="1112" spans="2:6" ht="27">
      <c r="B1112" s="618">
        <v>42789</v>
      </c>
      <c r="C1112" s="61">
        <v>42767</v>
      </c>
      <c r="D1112" s="62" t="s">
        <v>4763</v>
      </c>
      <c r="E1112" s="58" t="s">
        <v>4764</v>
      </c>
      <c r="F1112" s="58"/>
    </row>
    <row r="1113" spans="2:6">
      <c r="B1113" s="617">
        <v>42790</v>
      </c>
      <c r="C1113" s="80">
        <v>42767</v>
      </c>
      <c r="D1113" s="79" t="s">
        <v>1639</v>
      </c>
      <c r="E1113" s="75" t="s">
        <v>208</v>
      </c>
      <c r="F1113" s="75" t="s">
        <v>131</v>
      </c>
    </row>
    <row r="1114" spans="2:6" ht="27">
      <c r="B1114" s="615">
        <v>42790</v>
      </c>
      <c r="C1114" s="300">
        <v>42767</v>
      </c>
      <c r="D1114" s="301" t="s">
        <v>4162</v>
      </c>
      <c r="E1114" s="297" t="s">
        <v>5</v>
      </c>
      <c r="F1114" s="297" t="s">
        <v>336</v>
      </c>
    </row>
    <row r="1115" spans="2:6" ht="27">
      <c r="B1115" s="615">
        <v>42790</v>
      </c>
      <c r="C1115" s="300">
        <v>42767</v>
      </c>
      <c r="D1115" s="301" t="s">
        <v>1571</v>
      </c>
      <c r="E1115" s="297" t="s">
        <v>5</v>
      </c>
      <c r="F1115" s="297" t="s">
        <v>1572</v>
      </c>
    </row>
    <row r="1116" spans="2:6" ht="40.5">
      <c r="B1116" s="615">
        <v>42790</v>
      </c>
      <c r="C1116" s="300">
        <v>42767</v>
      </c>
      <c r="D1116" s="301" t="s">
        <v>1571</v>
      </c>
      <c r="E1116" s="297" t="s">
        <v>5</v>
      </c>
      <c r="F1116" s="297" t="s">
        <v>1729</v>
      </c>
    </row>
    <row r="1117" spans="2:6" ht="27">
      <c r="B1117" s="618">
        <v>42790</v>
      </c>
      <c r="C1117" s="61">
        <v>42767</v>
      </c>
      <c r="D1117" s="62" t="s">
        <v>6933</v>
      </c>
      <c r="E1117" s="58" t="s">
        <v>171</v>
      </c>
      <c r="F1117" s="58" t="s">
        <v>6934</v>
      </c>
    </row>
    <row r="1118" spans="2:6" ht="54">
      <c r="B1118" s="618">
        <v>42793</v>
      </c>
      <c r="C1118" s="61">
        <v>42767</v>
      </c>
      <c r="D1118" s="62" t="s">
        <v>4575</v>
      </c>
      <c r="E1118" s="58" t="s">
        <v>94</v>
      </c>
      <c r="F1118" s="58" t="s">
        <v>3423</v>
      </c>
    </row>
    <row r="1119" spans="2:6" ht="54">
      <c r="B1119" s="618">
        <v>42793</v>
      </c>
      <c r="C1119" s="61">
        <v>42767</v>
      </c>
      <c r="D1119" s="62" t="s">
        <v>4584</v>
      </c>
      <c r="E1119" s="58" t="s">
        <v>94</v>
      </c>
      <c r="F1119" s="58" t="s">
        <v>3423</v>
      </c>
    </row>
    <row r="1120" spans="2:6" ht="54">
      <c r="B1120" s="618">
        <v>42793</v>
      </c>
      <c r="C1120" s="61">
        <v>42767</v>
      </c>
      <c r="D1120" s="62" t="s">
        <v>4589</v>
      </c>
      <c r="E1120" s="58" t="s">
        <v>94</v>
      </c>
      <c r="F1120" s="58" t="s">
        <v>4590</v>
      </c>
    </row>
    <row r="1121" spans="2:6">
      <c r="B1121" s="616">
        <v>42793</v>
      </c>
      <c r="C1121" s="21">
        <v>42793</v>
      </c>
      <c r="D1121" s="22" t="s">
        <v>4734</v>
      </c>
      <c r="E1121" s="17" t="s">
        <v>625</v>
      </c>
      <c r="F1121" s="17" t="s">
        <v>2411</v>
      </c>
    </row>
    <row r="1122" spans="2:6">
      <c r="B1122" s="618">
        <v>42793</v>
      </c>
      <c r="C1122" s="61">
        <v>42767</v>
      </c>
      <c r="D1122" s="62" t="s">
        <v>4452</v>
      </c>
      <c r="E1122" s="58" t="s">
        <v>195</v>
      </c>
      <c r="F1122" s="58" t="s">
        <v>183</v>
      </c>
    </row>
    <row r="1123" spans="2:6" ht="54">
      <c r="B1123" s="618">
        <v>42793</v>
      </c>
      <c r="C1123" s="61">
        <v>42767</v>
      </c>
      <c r="D1123" s="62" t="s">
        <v>4494</v>
      </c>
      <c r="E1123" s="58" t="s">
        <v>94</v>
      </c>
      <c r="F1123" s="58" t="s">
        <v>4496</v>
      </c>
    </row>
    <row r="1124" spans="2:6" ht="40.5">
      <c r="B1124" s="618">
        <v>42793</v>
      </c>
      <c r="C1124" s="61">
        <v>42767</v>
      </c>
      <c r="D1124" s="62" t="s">
        <v>4556</v>
      </c>
      <c r="E1124" s="58" t="s">
        <v>4495</v>
      </c>
      <c r="F1124" s="58" t="s">
        <v>3423</v>
      </c>
    </row>
    <row r="1125" spans="2:6" ht="27">
      <c r="B1125" s="617">
        <v>42793</v>
      </c>
      <c r="C1125" s="78">
        <v>42767</v>
      </c>
      <c r="D1125" s="79" t="s">
        <v>3682</v>
      </c>
      <c r="E1125" s="75" t="s">
        <v>5</v>
      </c>
      <c r="F1125" s="75" t="s">
        <v>336</v>
      </c>
    </row>
    <row r="1126" spans="2:6">
      <c r="B1126" s="618">
        <v>42794</v>
      </c>
      <c r="C1126" s="61">
        <v>42767</v>
      </c>
      <c r="D1126" s="62" t="s">
        <v>4598</v>
      </c>
      <c r="E1126" s="58" t="s">
        <v>171</v>
      </c>
      <c r="F1126" s="58" t="s">
        <v>183</v>
      </c>
    </row>
    <row r="1127" spans="2:6" ht="54">
      <c r="B1127" s="618">
        <v>42794</v>
      </c>
      <c r="C1127" s="61">
        <v>42767</v>
      </c>
      <c r="D1127" s="62" t="s">
        <v>4606</v>
      </c>
      <c r="E1127" s="58" t="s">
        <v>94</v>
      </c>
      <c r="F1127" s="58" t="s">
        <v>3423</v>
      </c>
    </row>
    <row r="1128" spans="2:6">
      <c r="B1128" s="617">
        <v>42794</v>
      </c>
      <c r="C1128" s="78">
        <v>42794</v>
      </c>
      <c r="D1128" s="79" t="s">
        <v>4014</v>
      </c>
      <c r="E1128" s="75" t="s">
        <v>5</v>
      </c>
      <c r="F1128" s="75" t="s">
        <v>131</v>
      </c>
    </row>
    <row r="1129" spans="2:6">
      <c r="B1129" s="617">
        <v>42794</v>
      </c>
      <c r="C1129" s="78">
        <v>42767</v>
      </c>
      <c r="D1129" s="79" t="s">
        <v>6935</v>
      </c>
      <c r="E1129" s="75" t="s">
        <v>1493</v>
      </c>
      <c r="F1129" s="75" t="s">
        <v>183</v>
      </c>
    </row>
    <row r="1130" spans="2:6" ht="27">
      <c r="B1130" s="618">
        <v>42794</v>
      </c>
      <c r="C1130" s="61">
        <v>42767</v>
      </c>
      <c r="D1130" s="62" t="s">
        <v>4439</v>
      </c>
      <c r="E1130" s="58" t="s">
        <v>195</v>
      </c>
      <c r="F1130" s="58" t="s">
        <v>336</v>
      </c>
    </row>
    <row r="1131" spans="2:6" ht="40.5">
      <c r="B1131" s="615">
        <v>42794</v>
      </c>
      <c r="C1131" s="300">
        <v>42767</v>
      </c>
      <c r="D1131" s="301" t="s">
        <v>354</v>
      </c>
      <c r="E1131" s="297" t="s">
        <v>152</v>
      </c>
      <c r="F1131" s="297" t="s">
        <v>355</v>
      </c>
    </row>
    <row r="1132" spans="2:6">
      <c r="B1132" s="617">
        <v>42795</v>
      </c>
      <c r="C1132" s="78">
        <v>42795</v>
      </c>
      <c r="D1132" s="79" t="s">
        <v>4281</v>
      </c>
      <c r="E1132" s="75" t="s">
        <v>1974</v>
      </c>
      <c r="F1132" s="75" t="s">
        <v>183</v>
      </c>
    </row>
    <row r="1133" spans="2:6">
      <c r="B1133" s="618">
        <v>42795</v>
      </c>
      <c r="C1133" s="63">
        <v>42795</v>
      </c>
      <c r="D1133" s="62" t="s">
        <v>3585</v>
      </c>
      <c r="E1133" s="58" t="s">
        <v>625</v>
      </c>
      <c r="F1133" s="58" t="s">
        <v>183</v>
      </c>
    </row>
    <row r="1134" spans="2:6">
      <c r="B1134" s="618">
        <v>42795</v>
      </c>
      <c r="C1134" s="63">
        <v>42795</v>
      </c>
      <c r="D1134" s="62" t="s">
        <v>4440</v>
      </c>
      <c r="E1134" s="58" t="s">
        <v>1974</v>
      </c>
      <c r="F1134" s="58" t="s">
        <v>183</v>
      </c>
    </row>
    <row r="1135" spans="2:6" ht="27">
      <c r="B1135" s="615">
        <v>42795</v>
      </c>
      <c r="C1135" s="300">
        <v>42795</v>
      </c>
      <c r="D1135" s="301" t="s">
        <v>2350</v>
      </c>
      <c r="E1135" s="297" t="s">
        <v>2351</v>
      </c>
      <c r="F1135" s="297" t="s">
        <v>2352</v>
      </c>
    </row>
    <row r="1136" spans="2:6" ht="27">
      <c r="B1136" s="615">
        <v>42795</v>
      </c>
      <c r="C1136" s="300">
        <v>42795</v>
      </c>
      <c r="D1136" s="301" t="s">
        <v>6936</v>
      </c>
      <c r="E1136" s="297" t="s">
        <v>152</v>
      </c>
      <c r="F1136" s="297" t="s">
        <v>551</v>
      </c>
    </row>
    <row r="1137" spans="2:6" ht="27">
      <c r="B1137" s="618">
        <v>42795</v>
      </c>
      <c r="C1137" s="61">
        <v>42795</v>
      </c>
      <c r="D1137" s="62" t="s">
        <v>4440</v>
      </c>
      <c r="E1137" s="58" t="s">
        <v>576</v>
      </c>
      <c r="F1137" s="58" t="s">
        <v>6937</v>
      </c>
    </row>
    <row r="1138" spans="2:6" ht="27">
      <c r="B1138" s="615">
        <v>42796</v>
      </c>
      <c r="C1138" s="300">
        <v>42795</v>
      </c>
      <c r="D1138" s="301" t="s">
        <v>271</v>
      </c>
      <c r="E1138" s="297" t="s">
        <v>63</v>
      </c>
      <c r="F1138" s="297" t="s">
        <v>101</v>
      </c>
    </row>
    <row r="1139" spans="2:6" ht="27">
      <c r="B1139" s="615">
        <v>42796</v>
      </c>
      <c r="C1139" s="300">
        <v>42795</v>
      </c>
      <c r="D1139" s="301" t="s">
        <v>271</v>
      </c>
      <c r="E1139" s="297" t="s">
        <v>63</v>
      </c>
      <c r="F1139" s="297" t="s">
        <v>101</v>
      </c>
    </row>
    <row r="1140" spans="2:6" ht="27">
      <c r="B1140" s="615">
        <v>42796</v>
      </c>
      <c r="C1140" s="300">
        <v>42795</v>
      </c>
      <c r="D1140" s="301" t="s">
        <v>271</v>
      </c>
      <c r="E1140" s="297" t="s">
        <v>63</v>
      </c>
      <c r="F1140" s="297" t="s">
        <v>101</v>
      </c>
    </row>
    <row r="1141" spans="2:6">
      <c r="B1141" s="618">
        <v>42800</v>
      </c>
      <c r="C1141" s="61">
        <v>42795</v>
      </c>
      <c r="D1141" s="62" t="s">
        <v>4621</v>
      </c>
      <c r="E1141" s="58" t="s">
        <v>625</v>
      </c>
      <c r="F1141" s="58" t="s">
        <v>183</v>
      </c>
    </row>
    <row r="1142" spans="2:6" ht="27">
      <c r="B1142" s="618">
        <v>42800</v>
      </c>
      <c r="C1142" s="61">
        <v>42795</v>
      </c>
      <c r="D1142" s="62" t="s">
        <v>4630</v>
      </c>
      <c r="E1142" s="58" t="s">
        <v>171</v>
      </c>
      <c r="F1142" s="58" t="s">
        <v>3423</v>
      </c>
    </row>
    <row r="1143" spans="2:6" ht="40.5">
      <c r="B1143" s="615">
        <v>42800</v>
      </c>
      <c r="C1143" s="300">
        <v>42795</v>
      </c>
      <c r="D1143" s="301" t="s">
        <v>6938</v>
      </c>
      <c r="E1143" s="297" t="s">
        <v>63</v>
      </c>
      <c r="F1143" s="297" t="s">
        <v>6939</v>
      </c>
    </row>
    <row r="1144" spans="2:6" ht="27">
      <c r="B1144" s="618">
        <v>42801</v>
      </c>
      <c r="C1144" s="61">
        <v>42795</v>
      </c>
      <c r="D1144" s="62" t="s">
        <v>271</v>
      </c>
      <c r="E1144" s="58" t="s">
        <v>625</v>
      </c>
      <c r="F1144" s="58" t="s">
        <v>183</v>
      </c>
    </row>
    <row r="1145" spans="2:6" ht="27">
      <c r="B1145" s="618">
        <v>42801</v>
      </c>
      <c r="C1145" s="61">
        <v>42795</v>
      </c>
      <c r="D1145" s="62" t="s">
        <v>271</v>
      </c>
      <c r="E1145" s="58" t="s">
        <v>171</v>
      </c>
      <c r="F1145" s="58" t="s">
        <v>1544</v>
      </c>
    </row>
    <row r="1146" spans="2:6" ht="27">
      <c r="B1146" s="618">
        <v>42801</v>
      </c>
      <c r="C1146" s="61">
        <v>42795</v>
      </c>
      <c r="D1146" s="62" t="s">
        <v>271</v>
      </c>
      <c r="E1146" s="58" t="s">
        <v>1974</v>
      </c>
      <c r="F1146" s="58" t="s">
        <v>183</v>
      </c>
    </row>
    <row r="1147" spans="2:6" ht="27">
      <c r="B1147" s="615">
        <v>42801</v>
      </c>
      <c r="C1147" s="300">
        <v>42795</v>
      </c>
      <c r="D1147" s="301" t="s">
        <v>271</v>
      </c>
      <c r="E1147" s="297" t="s">
        <v>1974</v>
      </c>
      <c r="F1147" s="297" t="s">
        <v>183</v>
      </c>
    </row>
    <row r="1148" spans="2:6" ht="27">
      <c r="B1148" s="615">
        <v>42801</v>
      </c>
      <c r="C1148" s="300">
        <v>42795</v>
      </c>
      <c r="D1148" s="301" t="s">
        <v>271</v>
      </c>
      <c r="E1148" s="297" t="s">
        <v>63</v>
      </c>
      <c r="F1148" s="297" t="s">
        <v>101</v>
      </c>
    </row>
    <row r="1149" spans="2:6" ht="27">
      <c r="B1149" s="615">
        <v>42801</v>
      </c>
      <c r="C1149" s="300">
        <v>42795</v>
      </c>
      <c r="D1149" s="301" t="s">
        <v>271</v>
      </c>
      <c r="E1149" s="297" t="s">
        <v>63</v>
      </c>
      <c r="F1149" s="297" t="s">
        <v>101</v>
      </c>
    </row>
    <row r="1150" spans="2:6" ht="27">
      <c r="B1150" s="615">
        <v>42801</v>
      </c>
      <c r="C1150" s="300">
        <v>42795</v>
      </c>
      <c r="D1150" s="301" t="s">
        <v>1902</v>
      </c>
      <c r="E1150" s="297" t="s">
        <v>5</v>
      </c>
      <c r="F1150" s="297" t="s">
        <v>107</v>
      </c>
    </row>
    <row r="1151" spans="2:6" ht="27">
      <c r="B1151" s="615">
        <v>42802</v>
      </c>
      <c r="C1151" s="300">
        <v>42795</v>
      </c>
      <c r="D1151" s="301" t="s">
        <v>2831</v>
      </c>
      <c r="E1151" s="297" t="s">
        <v>5</v>
      </c>
      <c r="F1151" s="297" t="s">
        <v>2832</v>
      </c>
    </row>
    <row r="1152" spans="2:6" ht="27">
      <c r="B1152" s="615">
        <v>42803</v>
      </c>
      <c r="C1152" s="300">
        <v>42795</v>
      </c>
      <c r="D1152" s="301" t="s">
        <v>271</v>
      </c>
      <c r="E1152" s="297" t="s">
        <v>63</v>
      </c>
      <c r="F1152" s="297" t="s">
        <v>101</v>
      </c>
    </row>
    <row r="1153" spans="2:6">
      <c r="B1153" s="617">
        <v>42803</v>
      </c>
      <c r="C1153" s="80">
        <v>42795</v>
      </c>
      <c r="D1153" s="79" t="s">
        <v>4086</v>
      </c>
      <c r="E1153" s="75" t="s">
        <v>63</v>
      </c>
      <c r="F1153" s="75" t="s">
        <v>183</v>
      </c>
    </row>
    <row r="1154" spans="2:6">
      <c r="B1154" s="615">
        <v>42803</v>
      </c>
      <c r="C1154" s="300">
        <v>42795</v>
      </c>
      <c r="D1154" s="301" t="s">
        <v>2830</v>
      </c>
      <c r="E1154" s="297" t="s">
        <v>5</v>
      </c>
      <c r="F1154" s="297" t="s">
        <v>131</v>
      </c>
    </row>
    <row r="1155" spans="2:6" ht="27">
      <c r="B1155" s="617">
        <v>42803</v>
      </c>
      <c r="C1155" s="78">
        <v>42795</v>
      </c>
      <c r="D1155" s="79" t="s">
        <v>3862</v>
      </c>
      <c r="E1155" s="75" t="s">
        <v>5</v>
      </c>
      <c r="F1155" s="75" t="s">
        <v>79</v>
      </c>
    </row>
    <row r="1156" spans="2:6" ht="27">
      <c r="B1156" s="615">
        <v>42804</v>
      </c>
      <c r="C1156" s="300">
        <v>42795</v>
      </c>
      <c r="D1156" s="301" t="s">
        <v>550</v>
      </c>
      <c r="E1156" s="297" t="s">
        <v>195</v>
      </c>
      <c r="F1156" s="297" t="s">
        <v>551</v>
      </c>
    </row>
    <row r="1157" spans="2:6">
      <c r="B1157" s="618">
        <v>42804</v>
      </c>
      <c r="C1157" s="61">
        <v>42795</v>
      </c>
      <c r="D1157" s="62" t="s">
        <v>4072</v>
      </c>
      <c r="E1157" s="58" t="s">
        <v>171</v>
      </c>
      <c r="F1157" s="58" t="s">
        <v>777</v>
      </c>
    </row>
    <row r="1158" spans="2:6">
      <c r="B1158" s="617">
        <v>42807</v>
      </c>
      <c r="C1158" s="80">
        <v>42795</v>
      </c>
      <c r="D1158" s="79" t="s">
        <v>3051</v>
      </c>
      <c r="E1158" s="75" t="s">
        <v>625</v>
      </c>
      <c r="F1158" s="75" t="s">
        <v>1690</v>
      </c>
    </row>
    <row r="1159" spans="2:6" ht="27">
      <c r="B1159" s="615">
        <v>42808</v>
      </c>
      <c r="C1159" s="300">
        <v>42795</v>
      </c>
      <c r="D1159" s="301" t="s">
        <v>271</v>
      </c>
      <c r="E1159" s="297" t="s">
        <v>1480</v>
      </c>
      <c r="F1159" s="297" t="s">
        <v>579</v>
      </c>
    </row>
    <row r="1160" spans="2:6" ht="40.5">
      <c r="B1160" s="618">
        <v>42808</v>
      </c>
      <c r="C1160" s="61">
        <v>42795</v>
      </c>
      <c r="D1160" s="62" t="s">
        <v>6940</v>
      </c>
      <c r="E1160" s="58" t="s">
        <v>171</v>
      </c>
      <c r="F1160" s="58" t="s">
        <v>183</v>
      </c>
    </row>
    <row r="1161" spans="2:6" ht="27">
      <c r="B1161" s="622">
        <v>42808</v>
      </c>
      <c r="C1161" s="107">
        <v>42795</v>
      </c>
      <c r="D1161" s="108" t="s">
        <v>4324</v>
      </c>
      <c r="E1161" s="105" t="s">
        <v>1974</v>
      </c>
      <c r="F1161" s="105" t="s">
        <v>4325</v>
      </c>
    </row>
    <row r="1162" spans="2:6" ht="27">
      <c r="B1162" s="615">
        <v>42808</v>
      </c>
      <c r="C1162" s="300">
        <v>42795</v>
      </c>
      <c r="D1162" s="301" t="s">
        <v>4655</v>
      </c>
      <c r="E1162" s="297" t="s">
        <v>5</v>
      </c>
      <c r="F1162" s="297" t="s">
        <v>79</v>
      </c>
    </row>
    <row r="1163" spans="2:6">
      <c r="B1163" s="618">
        <v>42808</v>
      </c>
      <c r="C1163" s="63">
        <v>42795</v>
      </c>
      <c r="D1163" s="62" t="s">
        <v>4072</v>
      </c>
      <c r="E1163" s="58" t="s">
        <v>171</v>
      </c>
      <c r="F1163" s="58" t="s">
        <v>1544</v>
      </c>
    </row>
    <row r="1164" spans="2:6" ht="27">
      <c r="B1164" s="617">
        <v>42808</v>
      </c>
      <c r="C1164" s="78">
        <v>42795</v>
      </c>
      <c r="D1164" s="79" t="s">
        <v>2043</v>
      </c>
      <c r="E1164" s="75" t="s">
        <v>63</v>
      </c>
      <c r="F1164" s="75" t="s">
        <v>2044</v>
      </c>
    </row>
    <row r="1165" spans="2:6" ht="27">
      <c r="B1165" s="617">
        <v>42808</v>
      </c>
      <c r="C1165" s="78">
        <v>42795</v>
      </c>
      <c r="D1165" s="79" t="s">
        <v>6941</v>
      </c>
      <c r="E1165" s="75" t="s">
        <v>5</v>
      </c>
      <c r="F1165" s="75" t="s">
        <v>2080</v>
      </c>
    </row>
    <row r="1166" spans="2:6" ht="27">
      <c r="B1166" s="623">
        <v>42809</v>
      </c>
      <c r="C1166" s="129">
        <v>42795</v>
      </c>
      <c r="D1166" s="130" t="s">
        <v>4685</v>
      </c>
      <c r="E1166" s="130" t="s">
        <v>5</v>
      </c>
      <c r="F1166" s="130" t="s">
        <v>79</v>
      </c>
    </row>
    <row r="1167" spans="2:6">
      <c r="B1167" s="622">
        <v>42809</v>
      </c>
      <c r="C1167" s="109">
        <v>42795</v>
      </c>
      <c r="D1167" s="108" t="s">
        <v>4326</v>
      </c>
      <c r="E1167" s="105" t="s">
        <v>5</v>
      </c>
      <c r="F1167" s="105" t="s">
        <v>101</v>
      </c>
    </row>
    <row r="1168" spans="2:6">
      <c r="B1168" s="618">
        <v>42809</v>
      </c>
      <c r="C1168" s="63">
        <v>42795</v>
      </c>
      <c r="D1168" s="62" t="s">
        <v>4557</v>
      </c>
      <c r="E1168" s="58" t="s">
        <v>4558</v>
      </c>
      <c r="F1168" s="58"/>
    </row>
    <row r="1169" spans="2:6" ht="27">
      <c r="B1169" s="615">
        <v>42810</v>
      </c>
      <c r="C1169" s="300">
        <v>42795</v>
      </c>
      <c r="D1169" s="301" t="s">
        <v>271</v>
      </c>
      <c r="E1169" s="297" t="s">
        <v>63</v>
      </c>
      <c r="F1169" s="297" t="s">
        <v>101</v>
      </c>
    </row>
    <row r="1170" spans="2:6" ht="27">
      <c r="B1170" s="615">
        <v>42810</v>
      </c>
      <c r="C1170" s="300">
        <v>42795</v>
      </c>
      <c r="D1170" s="301" t="s">
        <v>271</v>
      </c>
      <c r="E1170" s="297" t="s">
        <v>63</v>
      </c>
      <c r="F1170" s="297" t="s">
        <v>101</v>
      </c>
    </row>
    <row r="1171" spans="2:6" ht="27">
      <c r="B1171" s="618">
        <v>42810</v>
      </c>
      <c r="C1171" s="61">
        <v>42795</v>
      </c>
      <c r="D1171" s="62" t="s">
        <v>4700</v>
      </c>
      <c r="E1171" s="58" t="s">
        <v>5</v>
      </c>
      <c r="F1171" s="58" t="s">
        <v>79</v>
      </c>
    </row>
    <row r="1172" spans="2:6" ht="27">
      <c r="B1172" s="618">
        <v>42810</v>
      </c>
      <c r="C1172" s="61">
        <v>42795</v>
      </c>
      <c r="D1172" s="62" t="s">
        <v>271</v>
      </c>
      <c r="E1172" s="58" t="s">
        <v>1997</v>
      </c>
      <c r="F1172" s="58" t="s">
        <v>183</v>
      </c>
    </row>
    <row r="1173" spans="2:6" ht="27">
      <c r="B1173" s="618">
        <v>42810</v>
      </c>
      <c r="C1173" s="61">
        <v>42795</v>
      </c>
      <c r="D1173" s="62" t="s">
        <v>4701</v>
      </c>
      <c r="E1173" s="58" t="s">
        <v>5</v>
      </c>
      <c r="F1173" s="58" t="s">
        <v>79</v>
      </c>
    </row>
    <row r="1174" spans="2:6" ht="27">
      <c r="B1174" s="615">
        <v>42810</v>
      </c>
      <c r="C1174" s="300">
        <v>42795</v>
      </c>
      <c r="D1174" s="301" t="s">
        <v>683</v>
      </c>
      <c r="E1174" s="297" t="s">
        <v>5</v>
      </c>
      <c r="F1174" s="297" t="s">
        <v>107</v>
      </c>
    </row>
    <row r="1175" spans="2:6" ht="27">
      <c r="B1175" s="617">
        <v>42810</v>
      </c>
      <c r="C1175" s="78">
        <v>42795</v>
      </c>
      <c r="D1175" s="79" t="s">
        <v>1529</v>
      </c>
      <c r="E1175" s="75" t="s">
        <v>5</v>
      </c>
      <c r="F1175" s="75" t="s">
        <v>79</v>
      </c>
    </row>
    <row r="1176" spans="2:6" ht="27">
      <c r="B1176" s="615">
        <v>42810</v>
      </c>
      <c r="C1176" s="300">
        <v>42795</v>
      </c>
      <c r="D1176" s="301" t="s">
        <v>683</v>
      </c>
      <c r="E1176" s="297" t="s">
        <v>5</v>
      </c>
      <c r="F1176" s="297" t="s">
        <v>107</v>
      </c>
    </row>
    <row r="1177" spans="2:6">
      <c r="B1177" s="615">
        <v>42810</v>
      </c>
      <c r="C1177" s="300">
        <v>42795</v>
      </c>
      <c r="D1177" s="301" t="s">
        <v>683</v>
      </c>
      <c r="E1177" s="297" t="s">
        <v>5</v>
      </c>
      <c r="F1177" s="297"/>
    </row>
    <row r="1178" spans="2:6" ht="27">
      <c r="B1178" s="615">
        <v>42810</v>
      </c>
      <c r="C1178" s="300">
        <v>42795</v>
      </c>
      <c r="D1178" s="301" t="s">
        <v>683</v>
      </c>
      <c r="E1178" s="297" t="s">
        <v>5</v>
      </c>
      <c r="F1178" s="297" t="s">
        <v>107</v>
      </c>
    </row>
    <row r="1179" spans="2:6">
      <c r="B1179" s="617">
        <v>42811</v>
      </c>
      <c r="C1179" s="78">
        <v>42795</v>
      </c>
      <c r="D1179" s="79" t="s">
        <v>4303</v>
      </c>
      <c r="E1179" s="75" t="s">
        <v>625</v>
      </c>
      <c r="F1179" s="75" t="s">
        <v>183</v>
      </c>
    </row>
    <row r="1180" spans="2:6">
      <c r="B1180" s="618">
        <v>42811</v>
      </c>
      <c r="C1180" s="61">
        <v>42795</v>
      </c>
      <c r="D1180" s="62" t="s">
        <v>6942</v>
      </c>
      <c r="E1180" s="58" t="s">
        <v>171</v>
      </c>
      <c r="F1180" s="58" t="s">
        <v>1544</v>
      </c>
    </row>
    <row r="1181" spans="2:6" ht="40.5">
      <c r="B1181" s="617">
        <v>42811</v>
      </c>
      <c r="C1181" s="78">
        <v>42795</v>
      </c>
      <c r="D1181" s="79" t="s">
        <v>2984</v>
      </c>
      <c r="E1181" s="75" t="s">
        <v>63</v>
      </c>
      <c r="F1181" s="75" t="s">
        <v>2985</v>
      </c>
    </row>
    <row r="1182" spans="2:6" ht="27">
      <c r="B1182" s="617">
        <v>42811</v>
      </c>
      <c r="C1182" s="78">
        <v>42795</v>
      </c>
      <c r="D1182" s="79" t="s">
        <v>6943</v>
      </c>
      <c r="E1182" s="75" t="s">
        <v>63</v>
      </c>
      <c r="F1182" s="75" t="s">
        <v>79</v>
      </c>
    </row>
    <row r="1183" spans="2:6" ht="40.5">
      <c r="B1183" s="618">
        <v>42815</v>
      </c>
      <c r="C1183" s="61">
        <v>42795</v>
      </c>
      <c r="D1183" s="92" t="s">
        <v>4503</v>
      </c>
      <c r="E1183" s="58" t="s">
        <v>5</v>
      </c>
      <c r="F1183" s="58" t="s">
        <v>4504</v>
      </c>
    </row>
    <row r="1184" spans="2:6" ht="27">
      <c r="B1184" s="617">
        <v>42816</v>
      </c>
      <c r="C1184" s="80">
        <v>42795</v>
      </c>
      <c r="D1184" s="79" t="s">
        <v>2529</v>
      </c>
      <c r="E1184" s="75" t="s">
        <v>5</v>
      </c>
      <c r="F1184" s="75" t="s">
        <v>1753</v>
      </c>
    </row>
    <row r="1185" spans="2:6" ht="27">
      <c r="B1185" s="617">
        <v>42816</v>
      </c>
      <c r="C1185" s="78">
        <v>42795</v>
      </c>
      <c r="D1185" s="79" t="s">
        <v>3395</v>
      </c>
      <c r="E1185" s="75" t="s">
        <v>5</v>
      </c>
      <c r="F1185" s="75" t="s">
        <v>79</v>
      </c>
    </row>
    <row r="1186" spans="2:6" ht="27">
      <c r="B1186" s="618">
        <v>42817</v>
      </c>
      <c r="C1186" s="63">
        <v>42795</v>
      </c>
      <c r="D1186" s="62" t="s">
        <v>3836</v>
      </c>
      <c r="E1186" s="58" t="s">
        <v>5</v>
      </c>
      <c r="F1186" s="58" t="s">
        <v>85</v>
      </c>
    </row>
    <row r="1187" spans="2:6" ht="27">
      <c r="B1187" s="617">
        <v>42821</v>
      </c>
      <c r="C1187" s="80">
        <v>42795</v>
      </c>
      <c r="D1187" s="79" t="s">
        <v>2333</v>
      </c>
      <c r="E1187" s="75" t="s">
        <v>5</v>
      </c>
      <c r="F1187" s="75" t="s">
        <v>336</v>
      </c>
    </row>
    <row r="1188" spans="2:6" ht="27">
      <c r="B1188" s="615">
        <v>42822</v>
      </c>
      <c r="C1188" s="300">
        <v>42795</v>
      </c>
      <c r="D1188" s="301" t="s">
        <v>271</v>
      </c>
      <c r="E1188" s="297" t="s">
        <v>63</v>
      </c>
      <c r="F1188" s="297" t="s">
        <v>101</v>
      </c>
    </row>
    <row r="1189" spans="2:6" ht="27">
      <c r="B1189" s="615">
        <v>42822</v>
      </c>
      <c r="C1189" s="300">
        <v>42795</v>
      </c>
      <c r="D1189" s="301" t="s">
        <v>271</v>
      </c>
      <c r="E1189" s="297" t="s">
        <v>63</v>
      </c>
      <c r="F1189" s="297" t="s">
        <v>101</v>
      </c>
    </row>
    <row r="1190" spans="2:6" ht="27">
      <c r="B1190" s="618">
        <v>42822</v>
      </c>
      <c r="C1190" s="61">
        <v>42795</v>
      </c>
      <c r="D1190" s="62" t="s">
        <v>271</v>
      </c>
      <c r="E1190" s="58" t="s">
        <v>1974</v>
      </c>
      <c r="F1190" s="58" t="s">
        <v>183</v>
      </c>
    </row>
    <row r="1191" spans="2:6" ht="27">
      <c r="B1191" s="615">
        <v>42822</v>
      </c>
      <c r="C1191" s="300">
        <v>42795</v>
      </c>
      <c r="D1191" s="301" t="s">
        <v>4739</v>
      </c>
      <c r="E1191" s="297" t="s">
        <v>5</v>
      </c>
      <c r="F1191" s="297" t="s">
        <v>79</v>
      </c>
    </row>
    <row r="1192" spans="2:6" ht="40.5">
      <c r="B1192" s="623">
        <v>42822</v>
      </c>
      <c r="C1192" s="129">
        <v>42795</v>
      </c>
      <c r="D1192" s="130" t="s">
        <v>4686</v>
      </c>
      <c r="E1192" s="130" t="s">
        <v>5</v>
      </c>
      <c r="F1192" s="130" t="s">
        <v>4687</v>
      </c>
    </row>
    <row r="1193" spans="2:6">
      <c r="B1193" s="614">
        <v>42822</v>
      </c>
      <c r="C1193" s="38">
        <v>42795</v>
      </c>
      <c r="D1193" s="39" t="s">
        <v>4726</v>
      </c>
      <c r="E1193" s="34" t="s">
        <v>171</v>
      </c>
      <c r="F1193" s="34" t="s">
        <v>1544</v>
      </c>
    </row>
    <row r="1194" spans="2:6" ht="27">
      <c r="B1194" s="616">
        <v>42822</v>
      </c>
      <c r="C1194" s="21">
        <v>42795</v>
      </c>
      <c r="D1194" s="22" t="s">
        <v>271</v>
      </c>
      <c r="E1194" s="17" t="s">
        <v>1997</v>
      </c>
      <c r="F1194" s="17" t="s">
        <v>1544</v>
      </c>
    </row>
    <row r="1195" spans="2:6">
      <c r="B1195" s="617">
        <v>42822</v>
      </c>
      <c r="C1195" s="78">
        <v>42795</v>
      </c>
      <c r="D1195" s="79" t="s">
        <v>6944</v>
      </c>
      <c r="E1195" s="75" t="s">
        <v>208</v>
      </c>
      <c r="F1195" s="75" t="s">
        <v>131</v>
      </c>
    </row>
    <row r="1196" spans="2:6" ht="27">
      <c r="B1196" s="618">
        <v>42822</v>
      </c>
      <c r="C1196" s="61">
        <v>42795</v>
      </c>
      <c r="D1196" s="62" t="s">
        <v>6945</v>
      </c>
      <c r="E1196" s="58" t="s">
        <v>63</v>
      </c>
      <c r="F1196" s="58" t="s">
        <v>79</v>
      </c>
    </row>
    <row r="1197" spans="2:6" ht="27">
      <c r="B1197" s="617">
        <v>42823</v>
      </c>
      <c r="C1197" s="78">
        <v>42795</v>
      </c>
      <c r="D1197" s="79" t="s">
        <v>6946</v>
      </c>
      <c r="E1197" s="75" t="s">
        <v>5</v>
      </c>
      <c r="F1197" s="75" t="s">
        <v>4019</v>
      </c>
    </row>
    <row r="1198" spans="2:6" ht="40.5">
      <c r="B1198" s="615">
        <v>42824</v>
      </c>
      <c r="C1198" s="302">
        <v>42795</v>
      </c>
      <c r="D1198" s="301" t="s">
        <v>1852</v>
      </c>
      <c r="E1198" s="297" t="s">
        <v>1853</v>
      </c>
      <c r="F1198" s="297" t="s">
        <v>1854</v>
      </c>
    </row>
    <row r="1199" spans="2:6" ht="27">
      <c r="B1199" s="617">
        <v>42824</v>
      </c>
      <c r="C1199" s="78">
        <v>42795</v>
      </c>
      <c r="D1199" s="79" t="s">
        <v>6947</v>
      </c>
      <c r="E1199" s="75" t="s">
        <v>208</v>
      </c>
      <c r="F1199" s="75" t="s">
        <v>79</v>
      </c>
    </row>
    <row r="1200" spans="2:6" ht="54">
      <c r="B1200" s="618">
        <v>42825</v>
      </c>
      <c r="C1200" s="61">
        <v>42795</v>
      </c>
      <c r="D1200" s="62" t="s">
        <v>4756</v>
      </c>
      <c r="E1200" s="58" t="s">
        <v>4388</v>
      </c>
      <c r="F1200" s="58" t="s">
        <v>3423</v>
      </c>
    </row>
    <row r="1201" spans="2:6" ht="40.5">
      <c r="B1201" s="618">
        <v>42825</v>
      </c>
      <c r="C1201" s="61">
        <v>42795</v>
      </c>
      <c r="D1201" s="62" t="s">
        <v>4762</v>
      </c>
      <c r="E1201" s="58" t="s">
        <v>4495</v>
      </c>
      <c r="F1201" s="58" t="s">
        <v>3423</v>
      </c>
    </row>
    <row r="1202" spans="2:6" ht="27">
      <c r="B1202" s="617">
        <v>42825</v>
      </c>
      <c r="C1202" s="80">
        <v>42795</v>
      </c>
      <c r="D1202" s="79" t="s">
        <v>1892</v>
      </c>
      <c r="E1202" s="75" t="s">
        <v>208</v>
      </c>
      <c r="F1202" s="75" t="s">
        <v>336</v>
      </c>
    </row>
    <row r="1203" spans="2:6">
      <c r="B1203" s="618">
        <v>42825</v>
      </c>
      <c r="C1203" s="63">
        <v>42795</v>
      </c>
      <c r="D1203" s="62" t="s">
        <v>1852</v>
      </c>
      <c r="E1203" s="58" t="s">
        <v>171</v>
      </c>
      <c r="F1203" s="58" t="s">
        <v>1544</v>
      </c>
    </row>
    <row r="1204" spans="2:6" ht="27">
      <c r="B1204" s="617">
        <v>42825</v>
      </c>
      <c r="C1204" s="78">
        <v>42795</v>
      </c>
      <c r="D1204" s="79" t="s">
        <v>1129</v>
      </c>
      <c r="E1204" s="75" t="s">
        <v>5</v>
      </c>
      <c r="F1204" s="75" t="s">
        <v>1130</v>
      </c>
    </row>
    <row r="1205" spans="2:6">
      <c r="B1205" s="617">
        <v>42826</v>
      </c>
      <c r="C1205" s="78">
        <v>42826</v>
      </c>
      <c r="D1205" s="79" t="s">
        <v>4772</v>
      </c>
      <c r="E1205" s="75" t="s">
        <v>625</v>
      </c>
      <c r="F1205" s="75" t="s">
        <v>183</v>
      </c>
    </row>
    <row r="1206" spans="2:6" ht="27">
      <c r="B1206" s="615">
        <v>42828</v>
      </c>
      <c r="C1206" s="300">
        <v>42826</v>
      </c>
      <c r="D1206" s="301" t="s">
        <v>271</v>
      </c>
      <c r="E1206" s="297" t="s">
        <v>63</v>
      </c>
      <c r="F1206" s="297" t="s">
        <v>79</v>
      </c>
    </row>
    <row r="1207" spans="2:6" ht="27">
      <c r="B1207" s="615">
        <v>42828</v>
      </c>
      <c r="C1207" s="300">
        <v>42826</v>
      </c>
      <c r="D1207" s="301" t="s">
        <v>271</v>
      </c>
      <c r="E1207" s="297" t="s">
        <v>63</v>
      </c>
      <c r="F1207" s="297" t="s">
        <v>79</v>
      </c>
    </row>
    <row r="1208" spans="2:6" ht="27">
      <c r="B1208" s="615">
        <v>42828</v>
      </c>
      <c r="C1208" s="300">
        <v>42826</v>
      </c>
      <c r="D1208" s="301" t="s">
        <v>271</v>
      </c>
      <c r="E1208" s="297" t="s">
        <v>63</v>
      </c>
      <c r="F1208" s="297" t="s">
        <v>79</v>
      </c>
    </row>
    <row r="1209" spans="2:6" ht="27">
      <c r="B1209" s="615">
        <v>42828</v>
      </c>
      <c r="C1209" s="300">
        <v>42826</v>
      </c>
      <c r="D1209" s="301" t="s">
        <v>271</v>
      </c>
      <c r="E1209" s="297" t="s">
        <v>63</v>
      </c>
      <c r="F1209" s="297" t="s">
        <v>79</v>
      </c>
    </row>
    <row r="1210" spans="2:6" ht="27">
      <c r="B1210" s="615">
        <v>42828</v>
      </c>
      <c r="C1210" s="300">
        <v>42826</v>
      </c>
      <c r="D1210" s="301" t="s">
        <v>271</v>
      </c>
      <c r="E1210" s="297" t="s">
        <v>63</v>
      </c>
      <c r="F1210" s="297" t="s">
        <v>79</v>
      </c>
    </row>
    <row r="1211" spans="2:6" ht="27">
      <c r="B1211" s="615">
        <v>42828</v>
      </c>
      <c r="C1211" s="300">
        <v>42826</v>
      </c>
      <c r="D1211" s="301" t="s">
        <v>271</v>
      </c>
      <c r="E1211" s="297" t="s">
        <v>63</v>
      </c>
      <c r="F1211" s="297" t="s">
        <v>79</v>
      </c>
    </row>
    <row r="1212" spans="2:6" ht="27">
      <c r="B1212" s="615">
        <v>42828</v>
      </c>
      <c r="C1212" s="300">
        <v>42826</v>
      </c>
      <c r="D1212" s="301" t="s">
        <v>271</v>
      </c>
      <c r="E1212" s="297" t="s">
        <v>63</v>
      </c>
      <c r="F1212" s="297" t="s">
        <v>79</v>
      </c>
    </row>
    <row r="1213" spans="2:6" ht="27">
      <c r="B1213" s="615">
        <v>42828</v>
      </c>
      <c r="C1213" s="300">
        <v>42826</v>
      </c>
      <c r="D1213" s="301" t="s">
        <v>271</v>
      </c>
      <c r="E1213" s="297" t="s">
        <v>63</v>
      </c>
      <c r="F1213" s="297" t="s">
        <v>79</v>
      </c>
    </row>
    <row r="1214" spans="2:6" ht="27">
      <c r="B1214" s="615">
        <v>42828</v>
      </c>
      <c r="C1214" s="300">
        <v>42826</v>
      </c>
      <c r="D1214" s="301" t="s">
        <v>271</v>
      </c>
      <c r="E1214" s="297" t="s">
        <v>63</v>
      </c>
      <c r="F1214" s="297" t="s">
        <v>79</v>
      </c>
    </row>
    <row r="1215" spans="2:6" ht="27">
      <c r="B1215" s="615">
        <v>42828</v>
      </c>
      <c r="C1215" s="300">
        <v>42826</v>
      </c>
      <c r="D1215" s="301" t="s">
        <v>271</v>
      </c>
      <c r="E1215" s="297" t="s">
        <v>63</v>
      </c>
      <c r="F1215" s="297" t="s">
        <v>79</v>
      </c>
    </row>
    <row r="1216" spans="2:6" ht="27">
      <c r="B1216" s="615">
        <v>42828</v>
      </c>
      <c r="C1216" s="300">
        <v>42826</v>
      </c>
      <c r="D1216" s="301" t="s">
        <v>271</v>
      </c>
      <c r="E1216" s="297" t="s">
        <v>63</v>
      </c>
      <c r="F1216" s="297" t="s">
        <v>79</v>
      </c>
    </row>
    <row r="1217" spans="2:6" ht="27">
      <c r="B1217" s="615">
        <v>42828</v>
      </c>
      <c r="C1217" s="300">
        <v>42826</v>
      </c>
      <c r="D1217" s="301" t="s">
        <v>271</v>
      </c>
      <c r="E1217" s="297" t="s">
        <v>63</v>
      </c>
      <c r="F1217" s="297" t="s">
        <v>79</v>
      </c>
    </row>
    <row r="1218" spans="2:6" ht="27">
      <c r="B1218" s="615">
        <v>42828</v>
      </c>
      <c r="C1218" s="300">
        <v>42826</v>
      </c>
      <c r="D1218" s="301" t="s">
        <v>271</v>
      </c>
      <c r="E1218" s="297" t="s">
        <v>63</v>
      </c>
      <c r="F1218" s="297" t="s">
        <v>79</v>
      </c>
    </row>
    <row r="1219" spans="2:6" ht="27">
      <c r="B1219" s="615">
        <v>42828</v>
      </c>
      <c r="C1219" s="300">
        <v>42826</v>
      </c>
      <c r="D1219" s="301" t="s">
        <v>271</v>
      </c>
      <c r="E1219" s="297" t="s">
        <v>63</v>
      </c>
      <c r="F1219" s="297" t="s">
        <v>79</v>
      </c>
    </row>
    <row r="1220" spans="2:6" ht="27">
      <c r="B1220" s="615">
        <v>42828</v>
      </c>
      <c r="C1220" s="300">
        <v>42826</v>
      </c>
      <c r="D1220" s="301" t="s">
        <v>271</v>
      </c>
      <c r="E1220" s="297" t="s">
        <v>63</v>
      </c>
      <c r="F1220" s="297" t="s">
        <v>79</v>
      </c>
    </row>
    <row r="1221" spans="2:6" ht="27">
      <c r="B1221" s="614">
        <v>42828</v>
      </c>
      <c r="C1221" s="38">
        <v>42826</v>
      </c>
      <c r="D1221" s="39" t="s">
        <v>271</v>
      </c>
      <c r="E1221" s="34" t="s">
        <v>171</v>
      </c>
      <c r="F1221" s="34" t="s">
        <v>1544</v>
      </c>
    </row>
    <row r="1222" spans="2:6">
      <c r="B1222" s="618">
        <v>42828</v>
      </c>
      <c r="C1222" s="63">
        <v>42826</v>
      </c>
      <c r="D1222" s="62" t="s">
        <v>1852</v>
      </c>
      <c r="E1222" s="58" t="s">
        <v>171</v>
      </c>
      <c r="F1222" s="58" t="s">
        <v>1544</v>
      </c>
    </row>
    <row r="1223" spans="2:6" ht="27">
      <c r="B1223" s="618">
        <v>42829</v>
      </c>
      <c r="C1223" s="61">
        <v>42826</v>
      </c>
      <c r="D1223" s="62" t="s">
        <v>4825</v>
      </c>
      <c r="E1223" s="58" t="s">
        <v>5</v>
      </c>
      <c r="F1223" s="58" t="s">
        <v>79</v>
      </c>
    </row>
    <row r="1224" spans="2:6">
      <c r="B1224" s="617">
        <v>42829</v>
      </c>
      <c r="C1224" s="80">
        <v>42826</v>
      </c>
      <c r="D1224" s="79" t="s">
        <v>3621</v>
      </c>
      <c r="E1224" s="75" t="s">
        <v>5</v>
      </c>
      <c r="F1224" s="75" t="s">
        <v>101</v>
      </c>
    </row>
    <row r="1225" spans="2:6">
      <c r="B1225" s="618">
        <v>42830</v>
      </c>
      <c r="C1225" s="61">
        <v>42826</v>
      </c>
      <c r="D1225" s="62" t="s">
        <v>4832</v>
      </c>
      <c r="E1225" s="58" t="s">
        <v>625</v>
      </c>
      <c r="F1225" s="58" t="s">
        <v>183</v>
      </c>
    </row>
    <row r="1226" spans="2:6">
      <c r="B1226" s="615">
        <v>42830</v>
      </c>
      <c r="C1226" s="300">
        <v>42826</v>
      </c>
      <c r="D1226" s="301" t="s">
        <v>1370</v>
      </c>
      <c r="E1226" s="297" t="s">
        <v>5</v>
      </c>
      <c r="F1226" s="297" t="s">
        <v>1371</v>
      </c>
    </row>
    <row r="1227" spans="2:6">
      <c r="B1227" s="617">
        <v>42830</v>
      </c>
      <c r="C1227" s="78">
        <v>42826</v>
      </c>
      <c r="D1227" s="79" t="s">
        <v>3562</v>
      </c>
      <c r="E1227" s="75" t="s">
        <v>5</v>
      </c>
      <c r="F1227" s="75" t="s">
        <v>101</v>
      </c>
    </row>
    <row r="1228" spans="2:6" ht="27">
      <c r="B1228" s="617">
        <v>42830</v>
      </c>
      <c r="C1228" s="78">
        <v>42826</v>
      </c>
      <c r="D1228" s="79" t="s">
        <v>4218</v>
      </c>
      <c r="E1228" s="75" t="s">
        <v>5</v>
      </c>
      <c r="F1228" s="75" t="s">
        <v>570</v>
      </c>
    </row>
    <row r="1229" spans="2:6" ht="27">
      <c r="B1229" s="617">
        <v>42830</v>
      </c>
      <c r="C1229" s="80">
        <v>42826</v>
      </c>
      <c r="D1229" s="79" t="s">
        <v>3531</v>
      </c>
      <c r="E1229" s="75" t="s">
        <v>5</v>
      </c>
      <c r="F1229" s="75" t="s">
        <v>79</v>
      </c>
    </row>
    <row r="1230" spans="2:6" ht="27">
      <c r="B1230" s="618">
        <v>42830</v>
      </c>
      <c r="C1230" s="63">
        <v>42826</v>
      </c>
      <c r="D1230" s="62" t="s">
        <v>4218</v>
      </c>
      <c r="E1230" s="58" t="s">
        <v>5</v>
      </c>
      <c r="F1230" s="58" t="s">
        <v>79</v>
      </c>
    </row>
    <row r="1231" spans="2:6" ht="27">
      <c r="B1231" s="616">
        <v>42831</v>
      </c>
      <c r="C1231" s="21">
        <v>42826</v>
      </c>
      <c r="D1231" s="22" t="s">
        <v>271</v>
      </c>
      <c r="E1231" s="17" t="s">
        <v>625</v>
      </c>
      <c r="F1231" s="17" t="s">
        <v>183</v>
      </c>
    </row>
    <row r="1232" spans="2:6" ht="27">
      <c r="B1232" s="618">
        <v>42831</v>
      </c>
      <c r="C1232" s="61">
        <v>42826</v>
      </c>
      <c r="D1232" s="62" t="s">
        <v>4462</v>
      </c>
      <c r="E1232" s="58" t="s">
        <v>5</v>
      </c>
      <c r="F1232" s="58" t="s">
        <v>79</v>
      </c>
    </row>
    <row r="1233" spans="2:6">
      <c r="B1233" s="617">
        <v>42831</v>
      </c>
      <c r="C1233" s="80">
        <v>42826</v>
      </c>
      <c r="D1233" s="79" t="s">
        <v>4282</v>
      </c>
      <c r="E1233" s="75" t="s">
        <v>5</v>
      </c>
      <c r="F1233" s="75" t="s">
        <v>101</v>
      </c>
    </row>
    <row r="1234" spans="2:6">
      <c r="B1234" s="617">
        <v>42831</v>
      </c>
      <c r="C1234" s="80">
        <v>42826</v>
      </c>
      <c r="D1234" s="79" t="s">
        <v>4304</v>
      </c>
      <c r="E1234" s="75" t="s">
        <v>5</v>
      </c>
      <c r="F1234" s="75" t="s">
        <v>101</v>
      </c>
    </row>
    <row r="1235" spans="2:6" ht="27">
      <c r="B1235" s="617">
        <v>42831</v>
      </c>
      <c r="C1235" s="78">
        <v>42826</v>
      </c>
      <c r="D1235" s="79" t="s">
        <v>3404</v>
      </c>
      <c r="E1235" s="75" t="s">
        <v>5</v>
      </c>
      <c r="F1235" s="75" t="s">
        <v>79</v>
      </c>
    </row>
    <row r="1236" spans="2:6">
      <c r="B1236" s="618">
        <v>42835</v>
      </c>
      <c r="C1236" s="61">
        <v>42826</v>
      </c>
      <c r="D1236" s="62" t="s">
        <v>4848</v>
      </c>
      <c r="E1236" s="164" t="s">
        <v>625</v>
      </c>
      <c r="F1236" s="58" t="s">
        <v>183</v>
      </c>
    </row>
    <row r="1237" spans="2:6" ht="27">
      <c r="B1237" s="618">
        <v>42836</v>
      </c>
      <c r="C1237" s="61">
        <v>42826</v>
      </c>
      <c r="D1237" s="62" t="s">
        <v>4591</v>
      </c>
      <c r="E1237" s="58" t="s">
        <v>63</v>
      </c>
      <c r="F1237" s="58" t="s">
        <v>4592</v>
      </c>
    </row>
    <row r="1238" spans="2:6" ht="27">
      <c r="B1238" s="615">
        <v>42843</v>
      </c>
      <c r="C1238" s="300">
        <v>42826</v>
      </c>
      <c r="D1238" s="301" t="s">
        <v>182</v>
      </c>
      <c r="E1238" s="297" t="s">
        <v>63</v>
      </c>
      <c r="F1238" s="297" t="s">
        <v>79</v>
      </c>
    </row>
    <row r="1239" spans="2:6">
      <c r="B1239" s="618">
        <v>42843</v>
      </c>
      <c r="C1239" s="61">
        <v>42826</v>
      </c>
      <c r="D1239" s="62" t="s">
        <v>2456</v>
      </c>
      <c r="E1239" s="58" t="s">
        <v>5</v>
      </c>
      <c r="F1239" s="58" t="s">
        <v>101</v>
      </c>
    </row>
    <row r="1240" spans="2:6" ht="27">
      <c r="B1240" s="618">
        <v>42843</v>
      </c>
      <c r="C1240" s="61">
        <v>42826</v>
      </c>
      <c r="D1240" s="62" t="s">
        <v>4648</v>
      </c>
      <c r="E1240" s="58" t="s">
        <v>63</v>
      </c>
      <c r="F1240" s="58" t="s">
        <v>79</v>
      </c>
    </row>
    <row r="1241" spans="2:6" ht="27">
      <c r="B1241" s="618">
        <v>42844</v>
      </c>
      <c r="C1241" s="61">
        <v>42826</v>
      </c>
      <c r="D1241" s="62" t="s">
        <v>271</v>
      </c>
      <c r="E1241" s="58" t="s">
        <v>625</v>
      </c>
      <c r="F1241" s="58" t="s">
        <v>183</v>
      </c>
    </row>
    <row r="1242" spans="2:6" ht="27">
      <c r="B1242" s="617">
        <v>42844</v>
      </c>
      <c r="C1242" s="78">
        <v>42826</v>
      </c>
      <c r="D1242" s="79" t="s">
        <v>6948</v>
      </c>
      <c r="E1242" s="75" t="s">
        <v>5</v>
      </c>
      <c r="F1242" s="75" t="s">
        <v>107</v>
      </c>
    </row>
    <row r="1243" spans="2:6" ht="27">
      <c r="B1243" s="617">
        <v>42845</v>
      </c>
      <c r="C1243" s="80">
        <v>42826</v>
      </c>
      <c r="D1243" s="79" t="s">
        <v>2741</v>
      </c>
      <c r="E1243" s="75" t="s">
        <v>63</v>
      </c>
      <c r="F1243" s="75" t="s">
        <v>79</v>
      </c>
    </row>
    <row r="1244" spans="2:6" ht="27">
      <c r="B1244" s="617">
        <v>42845</v>
      </c>
      <c r="C1244" s="80">
        <v>42826</v>
      </c>
      <c r="D1244" s="79" t="s">
        <v>2753</v>
      </c>
      <c r="E1244" s="75" t="s">
        <v>63</v>
      </c>
      <c r="F1244" s="75" t="s">
        <v>79</v>
      </c>
    </row>
    <row r="1245" spans="2:6" ht="27">
      <c r="B1245" s="615">
        <v>42845</v>
      </c>
      <c r="C1245" s="300">
        <v>42826</v>
      </c>
      <c r="D1245" s="301" t="s">
        <v>4658</v>
      </c>
      <c r="E1245" s="297" t="s">
        <v>625</v>
      </c>
      <c r="F1245" s="297" t="s">
        <v>2520</v>
      </c>
    </row>
    <row r="1246" spans="2:6" ht="27">
      <c r="B1246" s="615">
        <v>42845</v>
      </c>
      <c r="C1246" s="300">
        <v>42826</v>
      </c>
      <c r="D1246" s="301" t="s">
        <v>6949</v>
      </c>
      <c r="E1246" s="297" t="s">
        <v>171</v>
      </c>
      <c r="F1246" s="297" t="s">
        <v>6950</v>
      </c>
    </row>
    <row r="1247" spans="2:6" ht="27">
      <c r="B1247" s="615">
        <v>42845</v>
      </c>
      <c r="C1247" s="300">
        <v>42826</v>
      </c>
      <c r="D1247" s="301" t="s">
        <v>6951</v>
      </c>
      <c r="E1247" s="297" t="s">
        <v>63</v>
      </c>
      <c r="F1247" s="297" t="s">
        <v>2080</v>
      </c>
    </row>
    <row r="1248" spans="2:6" ht="27">
      <c r="B1248" s="616">
        <v>42845</v>
      </c>
      <c r="C1248" s="21">
        <v>42826</v>
      </c>
      <c r="D1248" s="22" t="s">
        <v>6952</v>
      </c>
      <c r="E1248" s="17" t="s">
        <v>625</v>
      </c>
      <c r="F1248" s="17" t="s">
        <v>3423</v>
      </c>
    </row>
    <row r="1249" spans="2:6" ht="27">
      <c r="B1249" s="617">
        <v>42846</v>
      </c>
      <c r="C1249" s="78">
        <v>42846</v>
      </c>
      <c r="D1249" s="79" t="s">
        <v>2042</v>
      </c>
      <c r="E1249" s="75" t="s">
        <v>63</v>
      </c>
      <c r="F1249" s="75" t="s">
        <v>79</v>
      </c>
    </row>
    <row r="1250" spans="2:6" ht="40.5">
      <c r="B1250" s="615">
        <v>42849</v>
      </c>
      <c r="C1250" s="300">
        <v>42826</v>
      </c>
      <c r="D1250" s="301" t="s">
        <v>4659</v>
      </c>
      <c r="E1250" s="297" t="s">
        <v>625</v>
      </c>
      <c r="F1250" s="297" t="s">
        <v>4660</v>
      </c>
    </row>
    <row r="1251" spans="2:6" ht="27">
      <c r="B1251" s="617">
        <v>42850</v>
      </c>
      <c r="C1251" s="80">
        <v>42826</v>
      </c>
      <c r="D1251" s="79" t="s">
        <v>3783</v>
      </c>
      <c r="E1251" s="75" t="s">
        <v>63</v>
      </c>
      <c r="F1251" s="75" t="s">
        <v>85</v>
      </c>
    </row>
    <row r="1252" spans="2:6" ht="27">
      <c r="B1252" s="618">
        <v>42850</v>
      </c>
      <c r="C1252" s="61">
        <v>42826</v>
      </c>
      <c r="D1252" s="62" t="s">
        <v>2603</v>
      </c>
      <c r="E1252" s="58" t="s">
        <v>63</v>
      </c>
      <c r="F1252" s="58" t="s">
        <v>79</v>
      </c>
    </row>
    <row r="1253" spans="2:6">
      <c r="B1253" s="618">
        <v>42850</v>
      </c>
      <c r="C1253" s="61">
        <v>42826</v>
      </c>
      <c r="D1253" s="62" t="s">
        <v>6953</v>
      </c>
      <c r="E1253" s="58" t="s">
        <v>208</v>
      </c>
      <c r="F1253" s="58" t="s">
        <v>6954</v>
      </c>
    </row>
    <row r="1254" spans="2:6" ht="40.5">
      <c r="B1254" s="617">
        <v>42851</v>
      </c>
      <c r="C1254" s="78">
        <v>42826</v>
      </c>
      <c r="D1254" s="79" t="s">
        <v>6955</v>
      </c>
      <c r="E1254" s="75" t="s">
        <v>63</v>
      </c>
      <c r="F1254" s="75" t="s">
        <v>6956</v>
      </c>
    </row>
    <row r="1255" spans="2:6" ht="27">
      <c r="B1255" s="618">
        <v>42851</v>
      </c>
      <c r="C1255" s="61">
        <v>42826</v>
      </c>
      <c r="D1255" s="117" t="s">
        <v>6957</v>
      </c>
      <c r="E1255" s="117" t="s">
        <v>6066</v>
      </c>
      <c r="F1255" s="117" t="s">
        <v>63</v>
      </c>
    </row>
    <row r="1256" spans="2:6">
      <c r="B1256" s="617">
        <v>42852</v>
      </c>
      <c r="C1256" s="78">
        <v>42826</v>
      </c>
      <c r="D1256" s="79" t="s">
        <v>2742</v>
      </c>
      <c r="E1256" s="75" t="s">
        <v>2743</v>
      </c>
      <c r="F1256" s="75" t="s">
        <v>2744</v>
      </c>
    </row>
    <row r="1257" spans="2:6">
      <c r="B1257" s="617">
        <v>42852</v>
      </c>
      <c r="C1257" s="78">
        <v>42826</v>
      </c>
      <c r="D1257" s="79" t="s">
        <v>2745</v>
      </c>
      <c r="E1257" s="75" t="s">
        <v>2743</v>
      </c>
      <c r="F1257" s="75" t="s">
        <v>2744</v>
      </c>
    </row>
    <row r="1258" spans="2:6">
      <c r="B1258" s="618">
        <v>42853</v>
      </c>
      <c r="C1258" s="61">
        <v>42826</v>
      </c>
      <c r="D1258" s="62" t="s">
        <v>4636</v>
      </c>
      <c r="E1258" s="58" t="s">
        <v>1493</v>
      </c>
      <c r="F1258" s="58" t="s">
        <v>183</v>
      </c>
    </row>
    <row r="1259" spans="2:6" ht="27">
      <c r="B1259" s="617">
        <v>42853</v>
      </c>
      <c r="C1259" s="80">
        <v>42826</v>
      </c>
      <c r="D1259" s="79" t="s">
        <v>4015</v>
      </c>
      <c r="E1259" s="75" t="s">
        <v>5</v>
      </c>
      <c r="F1259" s="75" t="s">
        <v>4016</v>
      </c>
    </row>
    <row r="1260" spans="2:6">
      <c r="B1260" s="618">
        <v>42853</v>
      </c>
      <c r="C1260" s="63">
        <v>42826</v>
      </c>
      <c r="D1260" s="62" t="s">
        <v>4453</v>
      </c>
      <c r="E1260" s="58" t="s">
        <v>1493</v>
      </c>
      <c r="F1260" s="58" t="s">
        <v>183</v>
      </c>
    </row>
    <row r="1261" spans="2:6" ht="27">
      <c r="B1261" s="615">
        <v>42853</v>
      </c>
      <c r="C1261" s="300">
        <v>42826</v>
      </c>
      <c r="D1261" s="301" t="s">
        <v>6958</v>
      </c>
      <c r="E1261" s="297" t="s">
        <v>5</v>
      </c>
      <c r="F1261" s="297" t="s">
        <v>801</v>
      </c>
    </row>
    <row r="1262" spans="2:6" ht="40.5">
      <c r="B1262" s="615">
        <v>42857</v>
      </c>
      <c r="C1262" s="302">
        <v>42856</v>
      </c>
      <c r="D1262" s="301" t="s">
        <v>2661</v>
      </c>
      <c r="E1262" s="297" t="s">
        <v>5</v>
      </c>
      <c r="F1262" s="297" t="s">
        <v>2662</v>
      </c>
    </row>
    <row r="1263" spans="2:6" ht="27">
      <c r="B1263" s="618">
        <v>42858</v>
      </c>
      <c r="C1263" s="63">
        <v>42856</v>
      </c>
      <c r="D1263" s="62" t="s">
        <v>4545</v>
      </c>
      <c r="E1263" s="58" t="s">
        <v>1493</v>
      </c>
      <c r="F1263" s="58" t="s">
        <v>4546</v>
      </c>
    </row>
    <row r="1264" spans="2:6" ht="27">
      <c r="B1264" s="618">
        <v>42858</v>
      </c>
      <c r="C1264" s="61">
        <v>42856</v>
      </c>
      <c r="D1264" s="62" t="s">
        <v>2553</v>
      </c>
      <c r="E1264" s="58" t="s">
        <v>63</v>
      </c>
      <c r="F1264" s="58" t="s">
        <v>85</v>
      </c>
    </row>
    <row r="1265" spans="2:6" ht="27">
      <c r="B1265" s="618">
        <v>42859</v>
      </c>
      <c r="C1265" s="61">
        <v>42856</v>
      </c>
      <c r="D1265" s="62" t="s">
        <v>5165</v>
      </c>
      <c r="E1265" s="58" t="s">
        <v>576</v>
      </c>
      <c r="F1265" s="58" t="s">
        <v>183</v>
      </c>
    </row>
    <row r="1266" spans="2:6" ht="40.5">
      <c r="B1266" s="618">
        <v>42859</v>
      </c>
      <c r="C1266" s="63">
        <v>42856</v>
      </c>
      <c r="D1266" s="62" t="s">
        <v>4765</v>
      </c>
      <c r="E1266" s="58" t="s">
        <v>171</v>
      </c>
      <c r="F1266" s="58" t="s">
        <v>4766</v>
      </c>
    </row>
    <row r="1267" spans="2:6" ht="27">
      <c r="B1267" s="615">
        <v>42859</v>
      </c>
      <c r="C1267" s="300">
        <v>42856</v>
      </c>
      <c r="D1267" s="301" t="s">
        <v>1110</v>
      </c>
      <c r="E1267" s="297" t="s">
        <v>63</v>
      </c>
      <c r="F1267" s="297" t="s">
        <v>107</v>
      </c>
    </row>
    <row r="1268" spans="2:6">
      <c r="B1268" s="615">
        <v>42859</v>
      </c>
      <c r="C1268" s="300">
        <v>42856</v>
      </c>
      <c r="D1268" s="301" t="s">
        <v>2673</v>
      </c>
      <c r="E1268" s="297" t="s">
        <v>208</v>
      </c>
      <c r="F1268" s="297" t="s">
        <v>2674</v>
      </c>
    </row>
    <row r="1269" spans="2:6" ht="40.5">
      <c r="B1269" s="618">
        <v>42859</v>
      </c>
      <c r="C1269" s="61">
        <v>42856</v>
      </c>
      <c r="D1269" s="62" t="s">
        <v>4547</v>
      </c>
      <c r="E1269" s="58" t="s">
        <v>625</v>
      </c>
      <c r="F1269" s="58" t="s">
        <v>4548</v>
      </c>
    </row>
    <row r="1270" spans="2:6" ht="27">
      <c r="B1270" s="618">
        <v>42860</v>
      </c>
      <c r="C1270" s="61">
        <v>42856</v>
      </c>
      <c r="D1270" s="62" t="s">
        <v>4867</v>
      </c>
      <c r="E1270" s="58" t="s">
        <v>5</v>
      </c>
      <c r="F1270" s="58" t="s">
        <v>79</v>
      </c>
    </row>
    <row r="1271" spans="2:6" ht="54">
      <c r="B1271" s="617">
        <v>42860</v>
      </c>
      <c r="C1271" s="78">
        <v>42856</v>
      </c>
      <c r="D1271" s="79" t="s">
        <v>3067</v>
      </c>
      <c r="E1271" s="75" t="s">
        <v>5</v>
      </c>
      <c r="F1271" s="75" t="s">
        <v>3068</v>
      </c>
    </row>
    <row r="1272" spans="2:6">
      <c r="B1272" s="617">
        <v>42860</v>
      </c>
      <c r="C1272" s="78">
        <v>42856</v>
      </c>
      <c r="D1272" s="79" t="s">
        <v>3532</v>
      </c>
      <c r="E1272" s="75" t="s">
        <v>5</v>
      </c>
      <c r="F1272" s="75" t="s">
        <v>582</v>
      </c>
    </row>
    <row r="1273" spans="2:6" ht="27">
      <c r="B1273" s="615">
        <v>42860</v>
      </c>
      <c r="C1273" s="300">
        <v>42856</v>
      </c>
      <c r="D1273" s="301" t="s">
        <v>6959</v>
      </c>
      <c r="E1273" s="297" t="s">
        <v>171</v>
      </c>
      <c r="F1273" s="297" t="s">
        <v>6960</v>
      </c>
    </row>
    <row r="1274" spans="2:6">
      <c r="B1274" s="615">
        <v>42863</v>
      </c>
      <c r="C1274" s="300">
        <v>42856</v>
      </c>
      <c r="D1274" s="301" t="s">
        <v>1046</v>
      </c>
      <c r="E1274" s="297" t="s">
        <v>171</v>
      </c>
      <c r="F1274" s="297" t="s">
        <v>1047</v>
      </c>
    </row>
    <row r="1275" spans="2:6" ht="27">
      <c r="B1275" s="618">
        <v>42863</v>
      </c>
      <c r="C1275" s="61">
        <v>42856</v>
      </c>
      <c r="D1275" s="62" t="s">
        <v>5376</v>
      </c>
      <c r="E1275" s="58" t="s">
        <v>208</v>
      </c>
      <c r="F1275" s="58" t="s">
        <v>107</v>
      </c>
    </row>
    <row r="1276" spans="2:6" ht="27">
      <c r="B1276" s="615">
        <v>42863</v>
      </c>
      <c r="C1276" s="300">
        <v>42856</v>
      </c>
      <c r="D1276" s="301" t="s">
        <v>6961</v>
      </c>
      <c r="E1276" s="297" t="s">
        <v>171</v>
      </c>
      <c r="F1276" s="297" t="s">
        <v>713</v>
      </c>
    </row>
    <row r="1277" spans="2:6">
      <c r="B1277" s="615">
        <v>42864</v>
      </c>
      <c r="C1277" s="302">
        <v>42856</v>
      </c>
      <c r="D1277" s="301" t="s">
        <v>1048</v>
      </c>
      <c r="E1277" s="297" t="s">
        <v>171</v>
      </c>
      <c r="F1277" s="297" t="s">
        <v>421</v>
      </c>
    </row>
    <row r="1278" spans="2:6" ht="27">
      <c r="B1278" s="617">
        <v>42864</v>
      </c>
      <c r="C1278" s="78">
        <v>42856</v>
      </c>
      <c r="D1278" s="79" t="s">
        <v>6962</v>
      </c>
      <c r="E1278" s="75" t="s">
        <v>5</v>
      </c>
      <c r="F1278" s="75" t="s">
        <v>85</v>
      </c>
    </row>
    <row r="1279" spans="2:6" ht="27">
      <c r="B1279" s="616">
        <v>42865</v>
      </c>
      <c r="C1279" s="21">
        <v>42856</v>
      </c>
      <c r="D1279" s="22" t="s">
        <v>271</v>
      </c>
      <c r="E1279" s="17" t="s">
        <v>63</v>
      </c>
      <c r="F1279" s="17" t="s">
        <v>4871</v>
      </c>
    </row>
    <row r="1280" spans="2:6" ht="27">
      <c r="B1280" s="615">
        <v>42865</v>
      </c>
      <c r="C1280" s="300">
        <v>42856</v>
      </c>
      <c r="D1280" s="301" t="s">
        <v>271</v>
      </c>
      <c r="E1280" s="297" t="s">
        <v>63</v>
      </c>
      <c r="F1280" s="297" t="s">
        <v>4871</v>
      </c>
    </row>
    <row r="1281" spans="2:6" ht="27">
      <c r="B1281" s="615">
        <v>42865</v>
      </c>
      <c r="C1281" s="300">
        <v>42856</v>
      </c>
      <c r="D1281" s="301" t="s">
        <v>271</v>
      </c>
      <c r="E1281" s="297" t="s">
        <v>63</v>
      </c>
      <c r="F1281" s="297" t="s">
        <v>4871</v>
      </c>
    </row>
    <row r="1282" spans="2:6" ht="27">
      <c r="B1282" s="615">
        <v>42865</v>
      </c>
      <c r="C1282" s="300">
        <v>42856</v>
      </c>
      <c r="D1282" s="301" t="s">
        <v>271</v>
      </c>
      <c r="E1282" s="297" t="s">
        <v>63</v>
      </c>
      <c r="F1282" s="297" t="s">
        <v>4871</v>
      </c>
    </row>
    <row r="1283" spans="2:6" ht="27">
      <c r="B1283" s="615">
        <v>42865</v>
      </c>
      <c r="C1283" s="300">
        <v>42856</v>
      </c>
      <c r="D1283" s="301" t="s">
        <v>271</v>
      </c>
      <c r="E1283" s="297" t="s">
        <v>63</v>
      </c>
      <c r="F1283" s="297" t="s">
        <v>4871</v>
      </c>
    </row>
    <row r="1284" spans="2:6" ht="27">
      <c r="B1284" s="615">
        <v>42865</v>
      </c>
      <c r="C1284" s="300">
        <v>42856</v>
      </c>
      <c r="D1284" s="301" t="s">
        <v>271</v>
      </c>
      <c r="E1284" s="297" t="s">
        <v>63</v>
      </c>
      <c r="F1284" s="297" t="s">
        <v>4871</v>
      </c>
    </row>
    <row r="1285" spans="2:6">
      <c r="B1285" s="617">
        <v>42865</v>
      </c>
      <c r="C1285" s="78">
        <v>42856</v>
      </c>
      <c r="D1285" s="79" t="s">
        <v>2982</v>
      </c>
      <c r="E1285" s="75" t="s">
        <v>63</v>
      </c>
      <c r="F1285" s="75" t="s">
        <v>2983</v>
      </c>
    </row>
    <row r="1286" spans="2:6" ht="27">
      <c r="B1286" s="618">
        <v>42866</v>
      </c>
      <c r="C1286" s="61">
        <v>42856</v>
      </c>
      <c r="D1286" s="62" t="s">
        <v>182</v>
      </c>
      <c r="E1286" s="58" t="s">
        <v>63</v>
      </c>
      <c r="F1286" s="58" t="s">
        <v>79</v>
      </c>
    </row>
    <row r="1287" spans="2:6" ht="27">
      <c r="B1287" s="615">
        <v>42867</v>
      </c>
      <c r="C1287" s="300">
        <v>42856</v>
      </c>
      <c r="D1287" s="301" t="s">
        <v>4901</v>
      </c>
      <c r="E1287" s="297" t="s">
        <v>4895</v>
      </c>
      <c r="F1287" s="297" t="s">
        <v>101</v>
      </c>
    </row>
    <row r="1288" spans="2:6" ht="27">
      <c r="B1288" s="616">
        <v>42867</v>
      </c>
      <c r="C1288" s="23">
        <v>42856</v>
      </c>
      <c r="D1288" s="22" t="s">
        <v>5090</v>
      </c>
      <c r="E1288" s="17" t="s">
        <v>625</v>
      </c>
      <c r="F1288" s="17" t="s">
        <v>4918</v>
      </c>
    </row>
    <row r="1289" spans="2:6" ht="27">
      <c r="B1289" s="615">
        <v>42868</v>
      </c>
      <c r="C1289" s="302">
        <v>42856</v>
      </c>
      <c r="D1289" s="301" t="s">
        <v>540</v>
      </c>
      <c r="E1289" s="297" t="s">
        <v>5</v>
      </c>
      <c r="F1289" s="297" t="s">
        <v>107</v>
      </c>
    </row>
    <row r="1290" spans="2:6" ht="27">
      <c r="B1290" s="615">
        <v>42870</v>
      </c>
      <c r="C1290" s="300">
        <v>42856</v>
      </c>
      <c r="D1290" s="301" t="s">
        <v>271</v>
      </c>
      <c r="E1290" s="297" t="s">
        <v>63</v>
      </c>
      <c r="F1290" s="297" t="s">
        <v>79</v>
      </c>
    </row>
    <row r="1291" spans="2:6" ht="27">
      <c r="B1291" s="615">
        <v>42870</v>
      </c>
      <c r="C1291" s="300">
        <v>42856</v>
      </c>
      <c r="D1291" s="301" t="s">
        <v>271</v>
      </c>
      <c r="E1291" s="297" t="s">
        <v>63</v>
      </c>
      <c r="F1291" s="297" t="s">
        <v>79</v>
      </c>
    </row>
    <row r="1292" spans="2:6" ht="27">
      <c r="B1292" s="615">
        <v>42870</v>
      </c>
      <c r="C1292" s="300">
        <v>42856</v>
      </c>
      <c r="D1292" s="301" t="s">
        <v>271</v>
      </c>
      <c r="E1292" s="297" t="s">
        <v>63</v>
      </c>
      <c r="F1292" s="297" t="s">
        <v>79</v>
      </c>
    </row>
    <row r="1293" spans="2:6" ht="27">
      <c r="B1293" s="615">
        <v>42870</v>
      </c>
      <c r="C1293" s="300">
        <v>42856</v>
      </c>
      <c r="D1293" s="301" t="s">
        <v>2890</v>
      </c>
      <c r="E1293" s="297" t="s">
        <v>5</v>
      </c>
      <c r="F1293" s="297" t="s">
        <v>336</v>
      </c>
    </row>
    <row r="1294" spans="2:6" ht="27">
      <c r="B1294" s="618">
        <v>42871</v>
      </c>
      <c r="C1294" s="61">
        <v>42856</v>
      </c>
      <c r="D1294" s="62" t="s">
        <v>4431</v>
      </c>
      <c r="E1294" s="58" t="s">
        <v>63</v>
      </c>
      <c r="F1294" s="58" t="s">
        <v>79</v>
      </c>
    </row>
    <row r="1295" spans="2:6" ht="27">
      <c r="B1295" s="617">
        <v>42872</v>
      </c>
      <c r="C1295" s="78">
        <v>42856</v>
      </c>
      <c r="D1295" s="79" t="s">
        <v>2528</v>
      </c>
      <c r="E1295" s="75" t="s">
        <v>5</v>
      </c>
      <c r="F1295" s="75" t="s">
        <v>85</v>
      </c>
    </row>
    <row r="1296" spans="2:6" ht="27">
      <c r="B1296" s="618">
        <v>42872</v>
      </c>
      <c r="C1296" s="63">
        <v>42856</v>
      </c>
      <c r="D1296" s="62" t="s">
        <v>4649</v>
      </c>
      <c r="E1296" s="58" t="s">
        <v>63</v>
      </c>
      <c r="F1296" s="58" t="s">
        <v>85</v>
      </c>
    </row>
    <row r="1297" spans="1:9" ht="27">
      <c r="B1297" s="614">
        <v>42872</v>
      </c>
      <c r="C1297" s="38">
        <v>42856</v>
      </c>
      <c r="D1297" s="39" t="s">
        <v>6963</v>
      </c>
      <c r="E1297" s="34" t="s">
        <v>5</v>
      </c>
      <c r="F1297" s="34" t="s">
        <v>6931</v>
      </c>
    </row>
    <row r="1298" spans="1:9" ht="27">
      <c r="A1298" s="494"/>
      <c r="B1298" s="616">
        <v>42872</v>
      </c>
      <c r="C1298" s="21">
        <v>43602</v>
      </c>
      <c r="D1298" s="22" t="s">
        <v>8899</v>
      </c>
      <c r="E1298" s="422" t="s">
        <v>5</v>
      </c>
      <c r="F1298" s="422" t="s">
        <v>8243</v>
      </c>
      <c r="G1298" s="1"/>
      <c r="H1298" s="1"/>
      <c r="I1298" s="1"/>
    </row>
    <row r="1299" spans="1:9">
      <c r="B1299" s="615">
        <v>42873</v>
      </c>
      <c r="C1299" s="300">
        <v>42856</v>
      </c>
      <c r="D1299" s="301" t="s">
        <v>4511</v>
      </c>
      <c r="E1299" s="297" t="s">
        <v>5</v>
      </c>
      <c r="F1299" s="297" t="s">
        <v>101</v>
      </c>
    </row>
    <row r="1300" spans="1:9" ht="40.5">
      <c r="B1300" s="615">
        <v>42873</v>
      </c>
      <c r="C1300" s="300">
        <v>42856</v>
      </c>
      <c r="D1300" s="301" t="s">
        <v>6964</v>
      </c>
      <c r="E1300" s="297" t="s">
        <v>5</v>
      </c>
      <c r="F1300" s="297" t="s">
        <v>6965</v>
      </c>
    </row>
    <row r="1301" spans="1:9" ht="27">
      <c r="B1301" s="618">
        <v>42874</v>
      </c>
      <c r="C1301" s="61">
        <v>42856</v>
      </c>
      <c r="D1301" s="62" t="s">
        <v>2799</v>
      </c>
      <c r="E1301" s="58" t="s">
        <v>5</v>
      </c>
      <c r="F1301" s="58" t="s">
        <v>79</v>
      </c>
    </row>
    <row r="1302" spans="1:9">
      <c r="B1302" s="618">
        <v>42874</v>
      </c>
      <c r="C1302" s="61">
        <v>42856</v>
      </c>
      <c r="D1302" s="62" t="s">
        <v>3364</v>
      </c>
      <c r="E1302" s="58" t="s">
        <v>5</v>
      </c>
      <c r="F1302" s="58" t="s">
        <v>3365</v>
      </c>
    </row>
    <row r="1303" spans="1:9" ht="27">
      <c r="B1303" s="618">
        <v>42874</v>
      </c>
      <c r="C1303" s="61">
        <v>42856</v>
      </c>
      <c r="D1303" s="62" t="s">
        <v>4485</v>
      </c>
      <c r="E1303" s="58" t="s">
        <v>63</v>
      </c>
      <c r="F1303" s="58" t="s">
        <v>79</v>
      </c>
    </row>
    <row r="1304" spans="1:9" ht="27">
      <c r="B1304" s="618">
        <v>42874</v>
      </c>
      <c r="C1304" s="63">
        <v>42856</v>
      </c>
      <c r="D1304" s="62" t="s">
        <v>4290</v>
      </c>
      <c r="E1304" s="58" t="s">
        <v>5</v>
      </c>
      <c r="F1304" s="58" t="s">
        <v>79</v>
      </c>
    </row>
    <row r="1305" spans="1:9" ht="27">
      <c r="B1305" s="618">
        <v>42874</v>
      </c>
      <c r="C1305" s="61">
        <v>42856</v>
      </c>
      <c r="D1305" s="62" t="s">
        <v>3374</v>
      </c>
      <c r="E1305" s="58" t="s">
        <v>5</v>
      </c>
      <c r="F1305" s="58" t="s">
        <v>3375</v>
      </c>
    </row>
    <row r="1306" spans="1:9" ht="27">
      <c r="B1306" s="618">
        <v>42878</v>
      </c>
      <c r="C1306" s="61">
        <v>42856</v>
      </c>
      <c r="D1306" s="62" t="s">
        <v>271</v>
      </c>
      <c r="E1306" s="58" t="s">
        <v>5</v>
      </c>
      <c r="F1306" s="58" t="s">
        <v>183</v>
      </c>
    </row>
    <row r="1307" spans="1:9" ht="27">
      <c r="B1307" s="618">
        <v>42878</v>
      </c>
      <c r="C1307" s="61">
        <v>42856</v>
      </c>
      <c r="D1307" s="62" t="s">
        <v>5394</v>
      </c>
      <c r="E1307" s="58" t="s">
        <v>5</v>
      </c>
      <c r="F1307" s="58" t="s">
        <v>79</v>
      </c>
    </row>
    <row r="1308" spans="1:9">
      <c r="B1308" s="616">
        <v>42878</v>
      </c>
      <c r="C1308" s="21">
        <v>42856</v>
      </c>
      <c r="D1308" s="22" t="s">
        <v>6966</v>
      </c>
      <c r="E1308" s="422" t="s">
        <v>171</v>
      </c>
      <c r="F1308" s="422" t="s">
        <v>777</v>
      </c>
    </row>
    <row r="1309" spans="1:9" ht="27">
      <c r="B1309" s="618">
        <v>42879</v>
      </c>
      <c r="C1309" s="61">
        <v>42856</v>
      </c>
      <c r="D1309" s="62" t="s">
        <v>271</v>
      </c>
      <c r="E1309" s="58" t="s">
        <v>5</v>
      </c>
      <c r="F1309" s="58" t="s">
        <v>183</v>
      </c>
    </row>
    <row r="1310" spans="1:9">
      <c r="B1310" s="618">
        <v>42879</v>
      </c>
      <c r="C1310" s="61">
        <v>42856</v>
      </c>
      <c r="D1310" s="62" t="s">
        <v>4826</v>
      </c>
      <c r="E1310" s="58" t="s">
        <v>5</v>
      </c>
      <c r="F1310" s="58" t="s">
        <v>582</v>
      </c>
    </row>
    <row r="1311" spans="1:9" ht="27">
      <c r="B1311" s="622">
        <v>42879</v>
      </c>
      <c r="C1311" s="107">
        <v>42856</v>
      </c>
      <c r="D1311" s="108" t="s">
        <v>4327</v>
      </c>
      <c r="E1311" s="105" t="s">
        <v>625</v>
      </c>
      <c r="F1311" s="105" t="s">
        <v>4328</v>
      </c>
    </row>
    <row r="1312" spans="1:9">
      <c r="B1312" s="615">
        <v>42879</v>
      </c>
      <c r="C1312" s="300">
        <v>42856</v>
      </c>
      <c r="D1312" s="301" t="s">
        <v>6967</v>
      </c>
      <c r="E1312" s="297" t="s">
        <v>195</v>
      </c>
      <c r="F1312" s="297" t="s">
        <v>6968</v>
      </c>
    </row>
    <row r="1313" spans="2:6" ht="27">
      <c r="B1313" s="615">
        <v>42880</v>
      </c>
      <c r="C1313" s="300">
        <v>42856</v>
      </c>
      <c r="D1313" s="301" t="s">
        <v>271</v>
      </c>
      <c r="E1313" s="297" t="s">
        <v>63</v>
      </c>
      <c r="F1313" s="297" t="s">
        <v>79</v>
      </c>
    </row>
    <row r="1314" spans="2:6" ht="27">
      <c r="B1314" s="615">
        <v>42880</v>
      </c>
      <c r="C1314" s="300">
        <v>42856</v>
      </c>
      <c r="D1314" s="301" t="s">
        <v>271</v>
      </c>
      <c r="E1314" s="297" t="s">
        <v>63</v>
      </c>
      <c r="F1314" s="297" t="s">
        <v>79</v>
      </c>
    </row>
    <row r="1315" spans="2:6" ht="27">
      <c r="B1315" s="615">
        <v>42880</v>
      </c>
      <c r="C1315" s="300">
        <v>42856</v>
      </c>
      <c r="D1315" s="301" t="s">
        <v>271</v>
      </c>
      <c r="E1315" s="297" t="s">
        <v>63</v>
      </c>
      <c r="F1315" s="297" t="s">
        <v>79</v>
      </c>
    </row>
    <row r="1316" spans="2:6" ht="27">
      <c r="B1316" s="615">
        <v>42880</v>
      </c>
      <c r="C1316" s="300">
        <v>42856</v>
      </c>
      <c r="D1316" s="301" t="s">
        <v>271</v>
      </c>
      <c r="E1316" s="297" t="s">
        <v>63</v>
      </c>
      <c r="F1316" s="297" t="s">
        <v>79</v>
      </c>
    </row>
    <row r="1317" spans="2:6" ht="27">
      <c r="B1317" s="615">
        <v>42880</v>
      </c>
      <c r="C1317" s="300">
        <v>42856</v>
      </c>
      <c r="D1317" s="301" t="s">
        <v>271</v>
      </c>
      <c r="E1317" s="297" t="s">
        <v>63</v>
      </c>
      <c r="F1317" s="297" t="s">
        <v>79</v>
      </c>
    </row>
    <row r="1318" spans="2:6" ht="27">
      <c r="B1318" s="615">
        <v>42880</v>
      </c>
      <c r="C1318" s="300">
        <v>42856</v>
      </c>
      <c r="D1318" s="301" t="s">
        <v>271</v>
      </c>
      <c r="E1318" s="297" t="s">
        <v>63</v>
      </c>
      <c r="F1318" s="297" t="s">
        <v>79</v>
      </c>
    </row>
    <row r="1319" spans="2:6">
      <c r="B1319" s="618">
        <v>42880</v>
      </c>
      <c r="C1319" s="61">
        <v>42856</v>
      </c>
      <c r="D1319" s="62" t="s">
        <v>4956</v>
      </c>
      <c r="E1319" s="58" t="s">
        <v>171</v>
      </c>
      <c r="F1319" s="58" t="s">
        <v>183</v>
      </c>
    </row>
    <row r="1320" spans="2:6">
      <c r="B1320" s="618">
        <v>42880</v>
      </c>
      <c r="C1320" s="61">
        <v>42856</v>
      </c>
      <c r="D1320" s="62" t="s">
        <v>4964</v>
      </c>
      <c r="E1320" s="58" t="s">
        <v>171</v>
      </c>
      <c r="F1320" s="58" t="s">
        <v>183</v>
      </c>
    </row>
    <row r="1321" spans="2:6">
      <c r="B1321" s="618">
        <v>42880</v>
      </c>
      <c r="C1321" s="61">
        <v>42856</v>
      </c>
      <c r="D1321" s="62" t="s">
        <v>4964</v>
      </c>
      <c r="E1321" s="58" t="s">
        <v>171</v>
      </c>
      <c r="F1321" s="58" t="s">
        <v>183</v>
      </c>
    </row>
    <row r="1322" spans="2:6">
      <c r="B1322" s="615">
        <v>42880</v>
      </c>
      <c r="C1322" s="300">
        <v>42856</v>
      </c>
      <c r="D1322" s="301" t="s">
        <v>1863</v>
      </c>
      <c r="E1322" s="297" t="s">
        <v>171</v>
      </c>
      <c r="F1322" s="297" t="s">
        <v>1864</v>
      </c>
    </row>
    <row r="1323" spans="2:6">
      <c r="B1323" s="615">
        <v>42881</v>
      </c>
      <c r="C1323" s="300">
        <v>42856</v>
      </c>
      <c r="D1323" s="301" t="s">
        <v>5060</v>
      </c>
      <c r="E1323" s="297" t="s">
        <v>63</v>
      </c>
      <c r="F1323" s="297" t="s">
        <v>5061</v>
      </c>
    </row>
    <row r="1324" spans="2:6" ht="27">
      <c r="B1324" s="618">
        <v>42881</v>
      </c>
      <c r="C1324" s="61">
        <v>42856</v>
      </c>
      <c r="D1324" s="62" t="s">
        <v>5375</v>
      </c>
      <c r="E1324" s="58" t="s">
        <v>63</v>
      </c>
      <c r="F1324" s="58" t="s">
        <v>79</v>
      </c>
    </row>
    <row r="1325" spans="2:6" ht="27">
      <c r="B1325" s="615">
        <v>42881</v>
      </c>
      <c r="C1325" s="300">
        <v>42856</v>
      </c>
      <c r="D1325" s="301" t="s">
        <v>5384</v>
      </c>
      <c r="E1325" s="297" t="s">
        <v>63</v>
      </c>
      <c r="F1325" s="297" t="s">
        <v>79</v>
      </c>
    </row>
    <row r="1326" spans="2:6" ht="27">
      <c r="B1326" s="615">
        <v>42881</v>
      </c>
      <c r="C1326" s="300">
        <v>42856</v>
      </c>
      <c r="D1326" s="301" t="s">
        <v>1936</v>
      </c>
      <c r="E1326" s="297" t="s">
        <v>5</v>
      </c>
      <c r="F1326" s="297" t="s">
        <v>107</v>
      </c>
    </row>
    <row r="1327" spans="2:6" ht="27">
      <c r="B1327" s="617">
        <v>42881</v>
      </c>
      <c r="C1327" s="78">
        <v>42856</v>
      </c>
      <c r="D1327" s="79" t="s">
        <v>3358</v>
      </c>
      <c r="E1327" s="75" t="s">
        <v>63</v>
      </c>
      <c r="F1327" s="75" t="s">
        <v>570</v>
      </c>
    </row>
    <row r="1328" spans="2:6" ht="27">
      <c r="B1328" s="618">
        <v>42881</v>
      </c>
      <c r="C1328" s="61">
        <v>42856</v>
      </c>
      <c r="D1328" s="62" t="s">
        <v>4894</v>
      </c>
      <c r="E1328" s="58" t="s">
        <v>4895</v>
      </c>
      <c r="F1328" s="58" t="s">
        <v>85</v>
      </c>
    </row>
    <row r="1329" spans="2:6">
      <c r="B1329" s="617">
        <v>42881</v>
      </c>
      <c r="C1329" s="80">
        <v>42856</v>
      </c>
      <c r="D1329" s="79" t="s">
        <v>3247</v>
      </c>
      <c r="E1329" s="103" t="s">
        <v>625</v>
      </c>
      <c r="F1329" s="103" t="s">
        <v>3248</v>
      </c>
    </row>
    <row r="1330" spans="2:6" ht="27">
      <c r="B1330" s="623">
        <v>42881</v>
      </c>
      <c r="C1330" s="129">
        <v>42856</v>
      </c>
      <c r="D1330" s="130" t="s">
        <v>4688</v>
      </c>
      <c r="E1330" s="130" t="s">
        <v>5</v>
      </c>
      <c r="F1330" s="130" t="s">
        <v>85</v>
      </c>
    </row>
    <row r="1331" spans="2:6">
      <c r="B1331" s="617">
        <v>42884</v>
      </c>
      <c r="C1331" s="78">
        <v>42856</v>
      </c>
      <c r="D1331" s="79" t="s">
        <v>2960</v>
      </c>
      <c r="E1331" s="75" t="s">
        <v>625</v>
      </c>
      <c r="F1331" s="75" t="s">
        <v>183</v>
      </c>
    </row>
    <row r="1332" spans="2:6">
      <c r="B1332" s="618">
        <v>42885</v>
      </c>
      <c r="C1332" s="61">
        <v>42856</v>
      </c>
      <c r="D1332" s="62" t="s">
        <v>4984</v>
      </c>
      <c r="E1332" s="58" t="s">
        <v>63</v>
      </c>
      <c r="F1332" s="58" t="s">
        <v>101</v>
      </c>
    </row>
    <row r="1333" spans="2:6" ht="27">
      <c r="B1333" s="618">
        <v>42885</v>
      </c>
      <c r="C1333" s="61">
        <v>42856</v>
      </c>
      <c r="D1333" s="62" t="s">
        <v>5400</v>
      </c>
      <c r="E1333" s="58" t="s">
        <v>63</v>
      </c>
      <c r="F1333" s="58" t="s">
        <v>4546</v>
      </c>
    </row>
    <row r="1334" spans="2:6">
      <c r="B1334" s="618">
        <v>42885</v>
      </c>
      <c r="C1334" s="61">
        <v>42856</v>
      </c>
      <c r="D1334" s="62" t="s">
        <v>3811</v>
      </c>
      <c r="E1334" s="58" t="s">
        <v>625</v>
      </c>
      <c r="F1334" s="58" t="s">
        <v>183</v>
      </c>
    </row>
    <row r="1335" spans="2:6" ht="27">
      <c r="B1335" s="618">
        <v>42885</v>
      </c>
      <c r="C1335" s="61">
        <v>42856</v>
      </c>
      <c r="D1335" s="62" t="s">
        <v>5323</v>
      </c>
      <c r="E1335" s="58" t="s">
        <v>63</v>
      </c>
      <c r="F1335" s="58" t="s">
        <v>79</v>
      </c>
    </row>
    <row r="1336" spans="2:6">
      <c r="B1336" s="615">
        <v>42885</v>
      </c>
      <c r="C1336" s="302">
        <v>42856</v>
      </c>
      <c r="D1336" s="301" t="s">
        <v>2725</v>
      </c>
      <c r="E1336" s="297" t="s">
        <v>1493</v>
      </c>
      <c r="F1336" s="297" t="s">
        <v>183</v>
      </c>
    </row>
    <row r="1337" spans="2:6" ht="27">
      <c r="B1337" s="615">
        <v>42886</v>
      </c>
      <c r="C1337" s="302">
        <v>42856</v>
      </c>
      <c r="D1337" s="301" t="s">
        <v>2318</v>
      </c>
      <c r="E1337" s="297" t="s">
        <v>208</v>
      </c>
      <c r="F1337" s="297" t="s">
        <v>1200</v>
      </c>
    </row>
    <row r="1338" spans="2:6" ht="27">
      <c r="B1338" s="617">
        <v>42886</v>
      </c>
      <c r="C1338" s="78">
        <v>42856</v>
      </c>
      <c r="D1338" s="79" t="s">
        <v>2948</v>
      </c>
      <c r="E1338" s="75" t="s">
        <v>63</v>
      </c>
      <c r="F1338" s="75" t="s">
        <v>2832</v>
      </c>
    </row>
    <row r="1339" spans="2:6">
      <c r="B1339" s="616">
        <v>42887</v>
      </c>
      <c r="C1339" s="21">
        <v>42887</v>
      </c>
      <c r="D1339" s="22" t="s">
        <v>4993</v>
      </c>
      <c r="E1339" s="422" t="s">
        <v>5</v>
      </c>
      <c r="F1339" s="422" t="s">
        <v>101</v>
      </c>
    </row>
    <row r="1340" spans="2:6" ht="27">
      <c r="B1340" s="615">
        <v>42887</v>
      </c>
      <c r="C1340" s="300">
        <v>42856</v>
      </c>
      <c r="D1340" s="301" t="s">
        <v>271</v>
      </c>
      <c r="E1340" s="297" t="s">
        <v>63</v>
      </c>
      <c r="F1340" s="297" t="s">
        <v>101</v>
      </c>
    </row>
    <row r="1341" spans="2:6" ht="27">
      <c r="B1341" s="616">
        <v>42887</v>
      </c>
      <c r="C1341" s="21">
        <v>42887</v>
      </c>
      <c r="D1341" s="22" t="s">
        <v>5678</v>
      </c>
      <c r="E1341" s="422" t="s">
        <v>5</v>
      </c>
      <c r="F1341" s="422" t="s">
        <v>79</v>
      </c>
    </row>
    <row r="1342" spans="2:6">
      <c r="B1342" s="618">
        <v>42887</v>
      </c>
      <c r="C1342" s="63">
        <v>42887</v>
      </c>
      <c r="D1342" s="62" t="s">
        <v>3981</v>
      </c>
      <c r="E1342" s="58" t="s">
        <v>63</v>
      </c>
      <c r="F1342" s="58" t="s">
        <v>101</v>
      </c>
    </row>
    <row r="1343" spans="2:6">
      <c r="B1343" s="617">
        <v>42887</v>
      </c>
      <c r="C1343" s="78">
        <v>42887</v>
      </c>
      <c r="D1343" s="79" t="s">
        <v>6969</v>
      </c>
      <c r="E1343" s="75" t="s">
        <v>63</v>
      </c>
      <c r="F1343" s="75" t="s">
        <v>4662</v>
      </c>
    </row>
    <row r="1344" spans="2:6" ht="27">
      <c r="B1344" s="618">
        <v>42887</v>
      </c>
      <c r="C1344" s="61">
        <v>42887</v>
      </c>
      <c r="D1344" s="62" t="s">
        <v>4432</v>
      </c>
      <c r="E1344" s="58" t="s">
        <v>63</v>
      </c>
      <c r="F1344" s="58" t="s">
        <v>79</v>
      </c>
    </row>
    <row r="1345" spans="2:6" ht="54">
      <c r="B1345" s="615">
        <v>42888</v>
      </c>
      <c r="C1345" s="337">
        <v>42887</v>
      </c>
      <c r="D1345" s="301" t="s">
        <v>1963</v>
      </c>
      <c r="E1345" s="297" t="s">
        <v>5</v>
      </c>
      <c r="F1345" s="297" t="s">
        <v>1964</v>
      </c>
    </row>
    <row r="1346" spans="2:6" ht="27">
      <c r="B1346" s="617">
        <v>42888</v>
      </c>
      <c r="C1346" s="78">
        <v>42887</v>
      </c>
      <c r="D1346" s="79" t="s">
        <v>3052</v>
      </c>
      <c r="E1346" s="75" t="s">
        <v>63</v>
      </c>
      <c r="F1346" s="75" t="s">
        <v>79</v>
      </c>
    </row>
    <row r="1347" spans="2:6" ht="27">
      <c r="B1347" s="615">
        <v>42891</v>
      </c>
      <c r="C1347" s="367">
        <v>42887</v>
      </c>
      <c r="D1347" s="301" t="s">
        <v>4740</v>
      </c>
      <c r="E1347" s="297" t="s">
        <v>5</v>
      </c>
      <c r="F1347" s="297" t="s">
        <v>336</v>
      </c>
    </row>
    <row r="1348" spans="2:6" ht="27">
      <c r="B1348" s="615">
        <v>42891</v>
      </c>
      <c r="C1348" s="300">
        <v>42887</v>
      </c>
      <c r="D1348" s="301" t="s">
        <v>964</v>
      </c>
      <c r="E1348" s="297" t="s">
        <v>208</v>
      </c>
      <c r="F1348" s="297" t="s">
        <v>107</v>
      </c>
    </row>
    <row r="1349" spans="2:6" ht="27">
      <c r="B1349" s="617">
        <v>42892</v>
      </c>
      <c r="C1349" s="78">
        <v>42887</v>
      </c>
      <c r="D1349" s="79" t="s">
        <v>3863</v>
      </c>
      <c r="E1349" s="75" t="s">
        <v>503</v>
      </c>
      <c r="F1349" s="75" t="s">
        <v>3864</v>
      </c>
    </row>
    <row r="1350" spans="2:6">
      <c r="B1350" s="615">
        <v>42892</v>
      </c>
      <c r="C1350" s="300">
        <v>42887</v>
      </c>
      <c r="D1350" s="301" t="s">
        <v>6970</v>
      </c>
      <c r="E1350" s="297" t="s">
        <v>171</v>
      </c>
      <c r="F1350" s="297"/>
    </row>
    <row r="1351" spans="2:6" ht="27">
      <c r="B1351" s="617">
        <v>42893</v>
      </c>
      <c r="C1351" s="78">
        <v>42887</v>
      </c>
      <c r="D1351" s="79" t="s">
        <v>2279</v>
      </c>
      <c r="E1351" s="75" t="s">
        <v>208</v>
      </c>
      <c r="F1351" s="75" t="s">
        <v>107</v>
      </c>
    </row>
    <row r="1352" spans="2:6" ht="27">
      <c r="B1352" s="617">
        <v>42893</v>
      </c>
      <c r="C1352" s="78">
        <v>42887</v>
      </c>
      <c r="D1352" s="79" t="s">
        <v>3069</v>
      </c>
      <c r="E1352" s="75" t="s">
        <v>3070</v>
      </c>
      <c r="F1352" s="75" t="s">
        <v>2676</v>
      </c>
    </row>
    <row r="1353" spans="2:6" ht="27">
      <c r="B1353" s="615">
        <v>42894</v>
      </c>
      <c r="C1353" s="300">
        <v>42887</v>
      </c>
      <c r="D1353" s="301" t="s">
        <v>1323</v>
      </c>
      <c r="E1353" s="297" t="s">
        <v>208</v>
      </c>
      <c r="F1353" s="297" t="s">
        <v>107</v>
      </c>
    </row>
    <row r="1354" spans="2:6" ht="27">
      <c r="B1354" s="617">
        <v>42899</v>
      </c>
      <c r="C1354" s="78">
        <v>42887</v>
      </c>
      <c r="D1354" s="79" t="s">
        <v>6971</v>
      </c>
      <c r="E1354" s="75" t="s">
        <v>5</v>
      </c>
      <c r="F1354" s="75" t="s">
        <v>2080</v>
      </c>
    </row>
    <row r="1355" spans="2:6" ht="27">
      <c r="B1355" s="618">
        <v>42900</v>
      </c>
      <c r="C1355" s="63">
        <v>42887</v>
      </c>
      <c r="D1355" s="62" t="s">
        <v>4722</v>
      </c>
      <c r="E1355" s="58" t="s">
        <v>5</v>
      </c>
      <c r="F1355" s="58" t="s">
        <v>107</v>
      </c>
    </row>
    <row r="1356" spans="2:6" ht="27">
      <c r="B1356" s="623">
        <v>42900</v>
      </c>
      <c r="C1356" s="129">
        <v>42887</v>
      </c>
      <c r="D1356" s="130" t="s">
        <v>4689</v>
      </c>
      <c r="E1356" s="130" t="s">
        <v>5</v>
      </c>
      <c r="F1356" s="130" t="s">
        <v>3510</v>
      </c>
    </row>
    <row r="1357" spans="2:6" ht="27">
      <c r="B1357" s="617">
        <v>42900</v>
      </c>
      <c r="C1357" s="78">
        <v>42887</v>
      </c>
      <c r="D1357" s="79" t="s">
        <v>6972</v>
      </c>
      <c r="E1357" s="75" t="s">
        <v>63</v>
      </c>
      <c r="F1357" s="75" t="s">
        <v>2832</v>
      </c>
    </row>
    <row r="1358" spans="2:6" ht="27">
      <c r="B1358" s="618">
        <v>42902</v>
      </c>
      <c r="C1358" s="61">
        <v>42887</v>
      </c>
      <c r="D1358" s="62" t="s">
        <v>271</v>
      </c>
      <c r="E1358" s="58" t="s">
        <v>63</v>
      </c>
      <c r="F1358" s="58" t="s">
        <v>183</v>
      </c>
    </row>
    <row r="1359" spans="2:6" ht="27">
      <c r="B1359" s="618">
        <v>42902</v>
      </c>
      <c r="C1359" s="61">
        <v>42887</v>
      </c>
      <c r="D1359" s="62" t="s">
        <v>271</v>
      </c>
      <c r="E1359" s="58" t="s">
        <v>5</v>
      </c>
      <c r="F1359" s="58" t="s">
        <v>101</v>
      </c>
    </row>
    <row r="1360" spans="2:6" ht="27">
      <c r="B1360" s="615">
        <v>42902</v>
      </c>
      <c r="C1360" s="300">
        <v>42887</v>
      </c>
      <c r="D1360" s="301" t="s">
        <v>271</v>
      </c>
      <c r="E1360" s="297" t="s">
        <v>63</v>
      </c>
      <c r="F1360" s="297" t="s">
        <v>101</v>
      </c>
    </row>
    <row r="1361" spans="2:6" ht="27">
      <c r="B1361" s="615">
        <v>42902</v>
      </c>
      <c r="C1361" s="300">
        <v>42887</v>
      </c>
      <c r="D1361" s="301" t="s">
        <v>271</v>
      </c>
      <c r="E1361" s="297" t="s">
        <v>63</v>
      </c>
      <c r="F1361" s="297" t="s">
        <v>101</v>
      </c>
    </row>
    <row r="1362" spans="2:6" ht="27">
      <c r="B1362" s="615">
        <v>42902</v>
      </c>
      <c r="C1362" s="300">
        <v>42887</v>
      </c>
      <c r="D1362" s="301" t="s">
        <v>271</v>
      </c>
      <c r="E1362" s="297" t="s">
        <v>63</v>
      </c>
      <c r="F1362" s="297" t="s">
        <v>101</v>
      </c>
    </row>
    <row r="1363" spans="2:6" ht="27">
      <c r="B1363" s="615">
        <v>42902</v>
      </c>
      <c r="C1363" s="300">
        <v>42887</v>
      </c>
      <c r="D1363" s="301" t="s">
        <v>271</v>
      </c>
      <c r="E1363" s="297" t="s">
        <v>63</v>
      </c>
      <c r="F1363" s="297" t="s">
        <v>101</v>
      </c>
    </row>
    <row r="1364" spans="2:6" ht="27">
      <c r="B1364" s="615">
        <v>42906</v>
      </c>
      <c r="C1364" s="300">
        <v>42887</v>
      </c>
      <c r="D1364" s="301" t="s">
        <v>271</v>
      </c>
      <c r="E1364" s="297" t="s">
        <v>286</v>
      </c>
      <c r="F1364" s="297" t="s">
        <v>336</v>
      </c>
    </row>
    <row r="1365" spans="2:6">
      <c r="B1365" s="618">
        <v>42906</v>
      </c>
      <c r="C1365" s="61">
        <v>42887</v>
      </c>
      <c r="D1365" s="62" t="s">
        <v>5068</v>
      </c>
      <c r="E1365" s="58" t="s">
        <v>625</v>
      </c>
      <c r="F1365" s="58" t="s">
        <v>183</v>
      </c>
    </row>
    <row r="1366" spans="2:6">
      <c r="B1366" s="615">
        <v>42907</v>
      </c>
      <c r="C1366" s="300">
        <v>42887</v>
      </c>
      <c r="D1366" s="301" t="s">
        <v>6973</v>
      </c>
      <c r="E1366" s="297" t="s">
        <v>63</v>
      </c>
      <c r="F1366" s="297" t="s">
        <v>6974</v>
      </c>
    </row>
    <row r="1367" spans="2:6">
      <c r="B1367" s="616">
        <v>42909</v>
      </c>
      <c r="C1367" s="21">
        <v>42887</v>
      </c>
      <c r="D1367" s="22" t="s">
        <v>4839</v>
      </c>
      <c r="E1367" s="422" t="s">
        <v>195</v>
      </c>
      <c r="F1367" s="422" t="s">
        <v>183</v>
      </c>
    </row>
    <row r="1368" spans="2:6" ht="27">
      <c r="B1368" s="618">
        <v>42909</v>
      </c>
      <c r="C1368" s="61">
        <v>42887</v>
      </c>
      <c r="D1368" s="62" t="s">
        <v>4767</v>
      </c>
      <c r="E1368" s="58" t="s">
        <v>5</v>
      </c>
      <c r="F1368" s="58" t="s">
        <v>79</v>
      </c>
    </row>
    <row r="1369" spans="2:6" ht="27">
      <c r="B1369" s="615">
        <v>42913</v>
      </c>
      <c r="C1369" s="300">
        <v>42887</v>
      </c>
      <c r="D1369" s="301" t="s">
        <v>271</v>
      </c>
      <c r="E1369" s="297" t="s">
        <v>63</v>
      </c>
      <c r="F1369" s="297" t="s">
        <v>101</v>
      </c>
    </row>
    <row r="1370" spans="2:6" ht="27">
      <c r="B1370" s="615">
        <v>42913</v>
      </c>
      <c r="C1370" s="300">
        <v>42887</v>
      </c>
      <c r="D1370" s="301" t="s">
        <v>271</v>
      </c>
      <c r="E1370" s="297" t="s">
        <v>63</v>
      </c>
      <c r="F1370" s="297" t="s">
        <v>101</v>
      </c>
    </row>
    <row r="1371" spans="2:6" ht="27">
      <c r="B1371" s="615">
        <v>42913</v>
      </c>
      <c r="C1371" s="300">
        <v>42887</v>
      </c>
      <c r="D1371" s="301" t="s">
        <v>271</v>
      </c>
      <c r="E1371" s="297" t="s">
        <v>63</v>
      </c>
      <c r="F1371" s="297" t="s">
        <v>101</v>
      </c>
    </row>
    <row r="1372" spans="2:6" ht="27">
      <c r="B1372" s="615">
        <v>42913</v>
      </c>
      <c r="C1372" s="300">
        <v>42887</v>
      </c>
      <c r="D1372" s="301" t="s">
        <v>271</v>
      </c>
      <c r="E1372" s="297" t="s">
        <v>63</v>
      </c>
      <c r="F1372" s="297" t="s">
        <v>101</v>
      </c>
    </row>
    <row r="1373" spans="2:6" ht="27">
      <c r="B1373" s="615">
        <v>42913</v>
      </c>
      <c r="C1373" s="300">
        <v>42887</v>
      </c>
      <c r="D1373" s="301" t="s">
        <v>271</v>
      </c>
      <c r="E1373" s="297" t="s">
        <v>63</v>
      </c>
      <c r="F1373" s="297" t="s">
        <v>101</v>
      </c>
    </row>
    <row r="1374" spans="2:6" ht="27">
      <c r="B1374" s="615">
        <v>42913</v>
      </c>
      <c r="C1374" s="300">
        <v>42887</v>
      </c>
      <c r="D1374" s="301" t="s">
        <v>271</v>
      </c>
      <c r="E1374" s="297" t="s">
        <v>63</v>
      </c>
      <c r="F1374" s="297" t="s">
        <v>101</v>
      </c>
    </row>
    <row r="1375" spans="2:6" ht="27">
      <c r="B1375" s="617">
        <v>42913</v>
      </c>
      <c r="C1375" s="78">
        <v>42887</v>
      </c>
      <c r="D1375" s="79" t="s">
        <v>6975</v>
      </c>
      <c r="E1375" s="75" t="s">
        <v>6976</v>
      </c>
      <c r="F1375" s="75" t="s">
        <v>1213</v>
      </c>
    </row>
    <row r="1376" spans="2:6" ht="27">
      <c r="B1376" s="615">
        <v>42914</v>
      </c>
      <c r="C1376" s="302">
        <v>42887</v>
      </c>
      <c r="D1376" s="301" t="s">
        <v>3936</v>
      </c>
      <c r="E1376" s="297" t="s">
        <v>63</v>
      </c>
      <c r="F1376" s="297" t="s">
        <v>79</v>
      </c>
    </row>
    <row r="1377" spans="2:6">
      <c r="B1377" s="618">
        <v>42915</v>
      </c>
      <c r="C1377" s="61">
        <v>42887</v>
      </c>
      <c r="D1377" s="62" t="s">
        <v>5053</v>
      </c>
      <c r="E1377" s="58" t="s">
        <v>625</v>
      </c>
      <c r="F1377" s="58" t="s">
        <v>183</v>
      </c>
    </row>
    <row r="1378" spans="2:6" ht="27">
      <c r="B1378" s="618">
        <v>42915</v>
      </c>
      <c r="C1378" s="61">
        <v>42887</v>
      </c>
      <c r="D1378" s="62" t="s">
        <v>5449</v>
      </c>
      <c r="E1378" s="58" t="s">
        <v>625</v>
      </c>
      <c r="F1378" s="58" t="s">
        <v>4254</v>
      </c>
    </row>
    <row r="1379" spans="2:6" ht="27">
      <c r="B1379" s="615">
        <v>42915</v>
      </c>
      <c r="C1379" s="302">
        <v>42887</v>
      </c>
      <c r="D1379" s="301" t="s">
        <v>4512</v>
      </c>
      <c r="E1379" s="297" t="s">
        <v>5</v>
      </c>
      <c r="F1379" s="297" t="s">
        <v>85</v>
      </c>
    </row>
    <row r="1380" spans="2:6">
      <c r="B1380" s="618">
        <v>42915</v>
      </c>
      <c r="C1380" s="61">
        <v>42887</v>
      </c>
      <c r="D1380" s="62" t="s">
        <v>4549</v>
      </c>
      <c r="E1380" s="58" t="s">
        <v>171</v>
      </c>
      <c r="F1380" s="58" t="s">
        <v>4550</v>
      </c>
    </row>
    <row r="1381" spans="2:6" ht="27">
      <c r="B1381" s="615">
        <v>42920</v>
      </c>
      <c r="C1381" s="300">
        <v>42917</v>
      </c>
      <c r="D1381" s="301" t="s">
        <v>6977</v>
      </c>
      <c r="E1381" s="297" t="s">
        <v>5</v>
      </c>
      <c r="F1381" s="297" t="s">
        <v>85</v>
      </c>
    </row>
    <row r="1382" spans="2:6" ht="40.5">
      <c r="B1382" s="624">
        <v>42921</v>
      </c>
      <c r="C1382" s="84">
        <v>42917</v>
      </c>
      <c r="D1382" s="89" t="s">
        <v>1786</v>
      </c>
      <c r="E1382" s="85" t="s">
        <v>5</v>
      </c>
      <c r="F1382" s="85" t="s">
        <v>1787</v>
      </c>
    </row>
    <row r="1383" spans="2:6" ht="54">
      <c r="B1383" s="615">
        <v>42921</v>
      </c>
      <c r="C1383" s="300">
        <v>42917</v>
      </c>
      <c r="D1383" s="301" t="s">
        <v>5040</v>
      </c>
      <c r="E1383" s="297" t="s">
        <v>5</v>
      </c>
      <c r="F1383" s="297" t="s">
        <v>5041</v>
      </c>
    </row>
    <row r="1384" spans="2:6">
      <c r="B1384" s="618">
        <v>42921</v>
      </c>
      <c r="C1384" s="61">
        <v>42917</v>
      </c>
      <c r="D1384" s="62" t="s">
        <v>4723</v>
      </c>
      <c r="E1384" s="58" t="s">
        <v>625</v>
      </c>
      <c r="F1384" s="58" t="s">
        <v>4550</v>
      </c>
    </row>
    <row r="1385" spans="2:6" ht="27">
      <c r="B1385" s="615">
        <v>42921</v>
      </c>
      <c r="C1385" s="300">
        <v>42917</v>
      </c>
      <c r="D1385" s="301" t="s">
        <v>6978</v>
      </c>
      <c r="E1385" s="297" t="s">
        <v>171</v>
      </c>
      <c r="F1385" s="297" t="s">
        <v>6979</v>
      </c>
    </row>
    <row r="1386" spans="2:6" ht="27">
      <c r="B1386" s="618">
        <v>42922</v>
      </c>
      <c r="C1386" s="61">
        <v>42917</v>
      </c>
      <c r="D1386" s="62" t="s">
        <v>271</v>
      </c>
      <c r="E1386" s="58" t="s">
        <v>171</v>
      </c>
      <c r="F1386" s="58" t="s">
        <v>4918</v>
      </c>
    </row>
    <row r="1387" spans="2:6" ht="40.5">
      <c r="B1387" s="616">
        <v>42922</v>
      </c>
      <c r="C1387" s="23">
        <v>42917</v>
      </c>
      <c r="D1387" s="22" t="s">
        <v>4840</v>
      </c>
      <c r="E1387" s="422" t="s">
        <v>63</v>
      </c>
      <c r="F1387" s="422" t="s">
        <v>4841</v>
      </c>
    </row>
    <row r="1388" spans="2:6" ht="27">
      <c r="B1388" s="615">
        <v>42922</v>
      </c>
      <c r="C1388" s="300">
        <v>42917</v>
      </c>
      <c r="D1388" s="301" t="s">
        <v>6980</v>
      </c>
      <c r="E1388" s="297" t="s">
        <v>171</v>
      </c>
      <c r="F1388" s="297" t="s">
        <v>6979</v>
      </c>
    </row>
    <row r="1389" spans="2:6" ht="40.5">
      <c r="B1389" s="615">
        <v>42922</v>
      </c>
      <c r="C1389" s="300">
        <v>42917</v>
      </c>
      <c r="D1389" s="301" t="s">
        <v>6981</v>
      </c>
      <c r="E1389" s="297" t="s">
        <v>171</v>
      </c>
      <c r="F1389" s="297" t="s">
        <v>6982</v>
      </c>
    </row>
    <row r="1390" spans="2:6" ht="27">
      <c r="B1390" s="617">
        <v>42923</v>
      </c>
      <c r="C1390" s="78">
        <v>42917</v>
      </c>
      <c r="D1390" s="79" t="s">
        <v>4773</v>
      </c>
      <c r="E1390" s="75" t="s">
        <v>5</v>
      </c>
      <c r="F1390" s="75" t="s">
        <v>79</v>
      </c>
    </row>
    <row r="1391" spans="2:6" ht="27">
      <c r="B1391" s="618">
        <v>42923</v>
      </c>
      <c r="C1391" s="61">
        <v>42917</v>
      </c>
      <c r="D1391" s="62" t="s">
        <v>2518</v>
      </c>
      <c r="E1391" s="58" t="s">
        <v>5</v>
      </c>
      <c r="F1391" s="58" t="s">
        <v>79</v>
      </c>
    </row>
    <row r="1392" spans="2:6" ht="27">
      <c r="B1392" s="618">
        <v>42926</v>
      </c>
      <c r="C1392" s="61">
        <v>42917</v>
      </c>
      <c r="D1392" s="62" t="s">
        <v>5105</v>
      </c>
      <c r="E1392" s="58" t="s">
        <v>5</v>
      </c>
      <c r="F1392" s="58" t="s">
        <v>3510</v>
      </c>
    </row>
    <row r="1393" spans="2:6" ht="27">
      <c r="B1393" s="618">
        <v>42926</v>
      </c>
      <c r="C1393" s="63">
        <v>42917</v>
      </c>
      <c r="D1393" s="62" t="s">
        <v>3430</v>
      </c>
      <c r="E1393" s="58" t="s">
        <v>5</v>
      </c>
      <c r="F1393" s="58" t="s">
        <v>570</v>
      </c>
    </row>
    <row r="1394" spans="2:6" ht="27">
      <c r="B1394" s="617">
        <v>42927</v>
      </c>
      <c r="C1394" s="80">
        <v>42917</v>
      </c>
      <c r="D1394" s="79" t="s">
        <v>3134</v>
      </c>
      <c r="E1394" s="75" t="s">
        <v>5</v>
      </c>
      <c r="F1394" s="75" t="s">
        <v>85</v>
      </c>
    </row>
    <row r="1395" spans="2:6" ht="27">
      <c r="B1395" s="618">
        <v>42928</v>
      </c>
      <c r="C1395" s="61">
        <v>42917</v>
      </c>
      <c r="D1395" s="62" t="s">
        <v>4185</v>
      </c>
      <c r="E1395" s="58" t="s">
        <v>5</v>
      </c>
      <c r="F1395" s="58" t="s">
        <v>79</v>
      </c>
    </row>
    <row r="1396" spans="2:6" ht="27">
      <c r="B1396" s="618">
        <v>42928</v>
      </c>
      <c r="C1396" s="63">
        <v>42917</v>
      </c>
      <c r="D1396" s="62" t="s">
        <v>2713</v>
      </c>
      <c r="E1396" s="58" t="s">
        <v>5</v>
      </c>
      <c r="F1396" s="58" t="s">
        <v>79</v>
      </c>
    </row>
    <row r="1397" spans="2:6" ht="27">
      <c r="B1397" s="617">
        <v>42928</v>
      </c>
      <c r="C1397" s="78">
        <v>42917</v>
      </c>
      <c r="D1397" s="79" t="s">
        <v>3595</v>
      </c>
      <c r="E1397" s="75" t="s">
        <v>5</v>
      </c>
      <c r="F1397" s="75" t="s">
        <v>3510</v>
      </c>
    </row>
    <row r="1398" spans="2:6" ht="27">
      <c r="B1398" s="616">
        <v>42928</v>
      </c>
      <c r="C1398" s="21">
        <v>42917</v>
      </c>
      <c r="D1398" s="22" t="s">
        <v>5091</v>
      </c>
      <c r="E1398" s="422" t="s">
        <v>5</v>
      </c>
      <c r="F1398" s="422" t="s">
        <v>3510</v>
      </c>
    </row>
    <row r="1399" spans="2:6" ht="27">
      <c r="B1399" s="615">
        <v>42930</v>
      </c>
      <c r="C1399" s="300">
        <v>42917</v>
      </c>
      <c r="D1399" s="301" t="s">
        <v>5113</v>
      </c>
      <c r="E1399" s="297" t="s">
        <v>5</v>
      </c>
      <c r="F1399" s="297" t="s">
        <v>4871</v>
      </c>
    </row>
    <row r="1400" spans="2:6" ht="27">
      <c r="B1400" s="615">
        <v>42930</v>
      </c>
      <c r="C1400" s="300">
        <v>42917</v>
      </c>
      <c r="D1400" s="301" t="s">
        <v>5409</v>
      </c>
      <c r="E1400" s="297" t="s">
        <v>5</v>
      </c>
      <c r="F1400" s="297" t="s">
        <v>79</v>
      </c>
    </row>
    <row r="1401" spans="2:6" ht="27">
      <c r="B1401" s="617">
        <v>42930</v>
      </c>
      <c r="C1401" s="78">
        <v>42917</v>
      </c>
      <c r="D1401" s="79" t="s">
        <v>3050</v>
      </c>
      <c r="E1401" s="75" t="s">
        <v>63</v>
      </c>
      <c r="F1401" s="75" t="s">
        <v>336</v>
      </c>
    </row>
    <row r="1402" spans="2:6" ht="27">
      <c r="B1402" s="618">
        <v>42930</v>
      </c>
      <c r="C1402" s="61">
        <v>42917</v>
      </c>
      <c r="D1402" s="62" t="s">
        <v>5166</v>
      </c>
      <c r="E1402" s="58" t="s">
        <v>5</v>
      </c>
      <c r="F1402" s="58" t="s">
        <v>79</v>
      </c>
    </row>
    <row r="1403" spans="2:6" ht="27">
      <c r="B1403" s="615">
        <v>42930</v>
      </c>
      <c r="C1403" s="302">
        <v>42917</v>
      </c>
      <c r="D1403" s="301" t="s">
        <v>1269</v>
      </c>
      <c r="E1403" s="297" t="s">
        <v>208</v>
      </c>
      <c r="F1403" s="297" t="s">
        <v>107</v>
      </c>
    </row>
    <row r="1404" spans="2:6" ht="27">
      <c r="B1404" s="618">
        <v>42930</v>
      </c>
      <c r="C1404" s="63">
        <v>42917</v>
      </c>
      <c r="D1404" s="62" t="s">
        <v>4234</v>
      </c>
      <c r="E1404" s="58" t="s">
        <v>63</v>
      </c>
      <c r="F1404" s="58" t="s">
        <v>79</v>
      </c>
    </row>
    <row r="1405" spans="2:6" ht="27">
      <c r="B1405" s="617">
        <v>42933</v>
      </c>
      <c r="C1405" s="78">
        <v>42917</v>
      </c>
      <c r="D1405" s="79" t="s">
        <v>2618</v>
      </c>
      <c r="E1405" s="75" t="s">
        <v>5</v>
      </c>
      <c r="F1405" s="75" t="s">
        <v>79</v>
      </c>
    </row>
    <row r="1406" spans="2:6" ht="40.5">
      <c r="B1406" s="615">
        <v>42934</v>
      </c>
      <c r="C1406" s="300">
        <v>42917</v>
      </c>
      <c r="D1406" s="301" t="s">
        <v>2319</v>
      </c>
      <c r="E1406" s="297" t="s">
        <v>5</v>
      </c>
      <c r="F1406" s="297" t="s">
        <v>2320</v>
      </c>
    </row>
    <row r="1407" spans="2:6" ht="27">
      <c r="B1407" s="617">
        <v>42934</v>
      </c>
      <c r="C1407" s="78">
        <v>42917</v>
      </c>
      <c r="D1407" s="79" t="s">
        <v>3459</v>
      </c>
      <c r="E1407" s="75" t="s">
        <v>5</v>
      </c>
      <c r="F1407" s="75" t="s">
        <v>3460</v>
      </c>
    </row>
    <row r="1408" spans="2:6" ht="27">
      <c r="B1408" s="615">
        <v>42937</v>
      </c>
      <c r="C1408" s="300">
        <v>42917</v>
      </c>
      <c r="D1408" s="301" t="s">
        <v>6983</v>
      </c>
      <c r="E1408" s="297" t="s">
        <v>208</v>
      </c>
      <c r="F1408" s="297" t="s">
        <v>6984</v>
      </c>
    </row>
    <row r="1409" spans="2:6" ht="27">
      <c r="B1409" s="615">
        <v>42940</v>
      </c>
      <c r="C1409" s="300">
        <v>42917</v>
      </c>
      <c r="D1409" s="301" t="s">
        <v>2079</v>
      </c>
      <c r="E1409" s="297" t="s">
        <v>63</v>
      </c>
      <c r="F1409" s="297" t="s">
        <v>2080</v>
      </c>
    </row>
    <row r="1410" spans="2:6">
      <c r="B1410" s="618">
        <v>42940</v>
      </c>
      <c r="C1410" s="61">
        <v>42917</v>
      </c>
      <c r="D1410" s="62" t="s">
        <v>4576</v>
      </c>
      <c r="E1410" s="58" t="s">
        <v>63</v>
      </c>
      <c r="F1410" s="58" t="s">
        <v>101</v>
      </c>
    </row>
    <row r="1411" spans="2:6" ht="27">
      <c r="B1411" s="618">
        <v>42940</v>
      </c>
      <c r="C1411" s="61">
        <v>42917</v>
      </c>
      <c r="D1411" s="62" t="s">
        <v>4622</v>
      </c>
      <c r="E1411" s="58" t="s">
        <v>63</v>
      </c>
      <c r="F1411" s="58" t="s">
        <v>79</v>
      </c>
    </row>
    <row r="1412" spans="2:6" ht="27">
      <c r="B1412" s="622">
        <v>42940</v>
      </c>
      <c r="C1412" s="109">
        <v>42917</v>
      </c>
      <c r="D1412" s="108" t="s">
        <v>3290</v>
      </c>
      <c r="E1412" s="105" t="s">
        <v>3291</v>
      </c>
      <c r="F1412" s="105" t="s">
        <v>85</v>
      </c>
    </row>
    <row r="1413" spans="2:6" ht="27">
      <c r="B1413" s="617">
        <v>42940</v>
      </c>
      <c r="C1413" s="78">
        <v>42917</v>
      </c>
      <c r="D1413" s="79" t="s">
        <v>2754</v>
      </c>
      <c r="E1413" s="75" t="s">
        <v>63</v>
      </c>
      <c r="F1413" s="75" t="s">
        <v>79</v>
      </c>
    </row>
    <row r="1414" spans="2:6" ht="27">
      <c r="B1414" s="617">
        <v>42940</v>
      </c>
      <c r="C1414" s="78">
        <v>42917</v>
      </c>
      <c r="D1414" s="79" t="s">
        <v>6985</v>
      </c>
      <c r="E1414" s="75" t="s">
        <v>6986</v>
      </c>
      <c r="F1414" s="75" t="s">
        <v>107</v>
      </c>
    </row>
    <row r="1415" spans="2:6" ht="27">
      <c r="B1415" s="618">
        <v>42941</v>
      </c>
      <c r="C1415" s="61">
        <v>42917</v>
      </c>
      <c r="D1415" s="62" t="s">
        <v>4047</v>
      </c>
      <c r="E1415" s="58" t="s">
        <v>198</v>
      </c>
      <c r="F1415" s="58" t="s">
        <v>1491</v>
      </c>
    </row>
    <row r="1416" spans="2:6" ht="27">
      <c r="B1416" s="617">
        <v>42941</v>
      </c>
      <c r="C1416" s="80">
        <v>42917</v>
      </c>
      <c r="D1416" s="79" t="s">
        <v>3003</v>
      </c>
      <c r="E1416" s="75" t="s">
        <v>63</v>
      </c>
      <c r="F1416" s="75" t="s">
        <v>85</v>
      </c>
    </row>
    <row r="1417" spans="2:6" ht="27">
      <c r="B1417" s="615">
        <v>42941</v>
      </c>
      <c r="C1417" s="300">
        <v>42917</v>
      </c>
      <c r="D1417" s="301" t="s">
        <v>6987</v>
      </c>
      <c r="E1417" s="297" t="s">
        <v>63</v>
      </c>
      <c r="F1417" s="297" t="s">
        <v>79</v>
      </c>
    </row>
    <row r="1418" spans="2:6">
      <c r="B1418" s="615">
        <v>42941</v>
      </c>
      <c r="C1418" s="300">
        <v>42917</v>
      </c>
      <c r="D1418" s="301" t="s">
        <v>6987</v>
      </c>
      <c r="E1418" s="297" t="s">
        <v>63</v>
      </c>
      <c r="F1418" s="297"/>
    </row>
    <row r="1419" spans="2:6" ht="27">
      <c r="B1419" s="617">
        <v>42943</v>
      </c>
      <c r="C1419" s="78">
        <v>42917</v>
      </c>
      <c r="D1419" s="79" t="s">
        <v>4204</v>
      </c>
      <c r="E1419" s="75" t="s">
        <v>63</v>
      </c>
      <c r="F1419" s="75" t="s">
        <v>2378</v>
      </c>
    </row>
    <row r="1420" spans="2:6" ht="27">
      <c r="B1420" s="618">
        <v>42943</v>
      </c>
      <c r="C1420" s="63">
        <v>42917</v>
      </c>
      <c r="D1420" s="62" t="s">
        <v>4048</v>
      </c>
      <c r="E1420" s="58" t="s">
        <v>198</v>
      </c>
      <c r="F1420" s="58" t="s">
        <v>352</v>
      </c>
    </row>
    <row r="1421" spans="2:6" ht="27">
      <c r="B1421" s="617">
        <v>42943</v>
      </c>
      <c r="C1421" s="78">
        <v>42917</v>
      </c>
      <c r="D1421" s="79" t="s">
        <v>4207</v>
      </c>
      <c r="E1421" s="75" t="s">
        <v>63</v>
      </c>
      <c r="F1421" s="75" t="s">
        <v>4208</v>
      </c>
    </row>
    <row r="1422" spans="2:6" ht="27">
      <c r="B1422" s="617">
        <v>42944</v>
      </c>
      <c r="C1422" s="78">
        <v>42917</v>
      </c>
      <c r="D1422" s="79" t="s">
        <v>3246</v>
      </c>
      <c r="E1422" s="75" t="s">
        <v>5</v>
      </c>
      <c r="F1422" s="75" t="s">
        <v>79</v>
      </c>
    </row>
    <row r="1423" spans="2:6" ht="27">
      <c r="B1423" s="618">
        <v>42944</v>
      </c>
      <c r="C1423" s="61">
        <v>42917</v>
      </c>
      <c r="D1423" s="62" t="s">
        <v>2519</v>
      </c>
      <c r="E1423" s="58" t="s">
        <v>171</v>
      </c>
      <c r="F1423" s="58" t="s">
        <v>2520</v>
      </c>
    </row>
    <row r="1424" spans="2:6" ht="40.5">
      <c r="B1424" s="617">
        <v>42944</v>
      </c>
      <c r="C1424" s="78">
        <v>42917</v>
      </c>
      <c r="D1424" s="79" t="s">
        <v>6988</v>
      </c>
      <c r="E1424" s="75" t="s">
        <v>5</v>
      </c>
      <c r="F1424" s="75" t="s">
        <v>6989</v>
      </c>
    </row>
    <row r="1425" spans="2:6" ht="27">
      <c r="B1425" s="617">
        <v>42948</v>
      </c>
      <c r="C1425" s="80">
        <v>42948</v>
      </c>
      <c r="D1425" s="79" t="s">
        <v>4205</v>
      </c>
      <c r="E1425" s="75" t="s">
        <v>63</v>
      </c>
      <c r="F1425" s="75" t="s">
        <v>4206</v>
      </c>
    </row>
    <row r="1426" spans="2:6" ht="54">
      <c r="B1426" s="617">
        <v>42948</v>
      </c>
      <c r="C1426" s="78">
        <v>42948</v>
      </c>
      <c r="D1426" s="79" t="s">
        <v>4205</v>
      </c>
      <c r="E1426" s="75" t="s">
        <v>63</v>
      </c>
      <c r="F1426" s="75" t="s">
        <v>4209</v>
      </c>
    </row>
    <row r="1427" spans="2:6" ht="27">
      <c r="B1427" s="618">
        <v>42949</v>
      </c>
      <c r="C1427" s="63">
        <v>42948</v>
      </c>
      <c r="D1427" s="62" t="s">
        <v>4593</v>
      </c>
      <c r="E1427" s="58" t="s">
        <v>63</v>
      </c>
      <c r="F1427" s="58" t="s">
        <v>79</v>
      </c>
    </row>
    <row r="1428" spans="2:6" ht="27">
      <c r="B1428" s="615">
        <v>42949</v>
      </c>
      <c r="C1428" s="300">
        <v>42948</v>
      </c>
      <c r="D1428" s="301" t="s">
        <v>532</v>
      </c>
      <c r="E1428" s="297" t="s">
        <v>63</v>
      </c>
      <c r="F1428" s="297" t="s">
        <v>107</v>
      </c>
    </row>
    <row r="1429" spans="2:6">
      <c r="B1429" s="614">
        <v>42949</v>
      </c>
      <c r="C1429" s="38">
        <v>43313</v>
      </c>
      <c r="D1429" s="39" t="s">
        <v>6990</v>
      </c>
      <c r="E1429" s="34" t="s">
        <v>581</v>
      </c>
      <c r="F1429" s="34" t="s">
        <v>418</v>
      </c>
    </row>
    <row r="1430" spans="2:6">
      <c r="B1430" s="617">
        <v>42950</v>
      </c>
      <c r="C1430" s="80">
        <v>42948</v>
      </c>
      <c r="D1430" s="79" t="s">
        <v>3146</v>
      </c>
      <c r="E1430" s="75" t="s">
        <v>63</v>
      </c>
      <c r="F1430" s="75" t="s">
        <v>101</v>
      </c>
    </row>
    <row r="1431" spans="2:6" ht="27">
      <c r="B1431" s="617">
        <v>42950</v>
      </c>
      <c r="C1431" s="80">
        <v>42948</v>
      </c>
      <c r="D1431" s="79" t="s">
        <v>3154</v>
      </c>
      <c r="E1431" s="75" t="s">
        <v>63</v>
      </c>
      <c r="F1431" s="75" t="s">
        <v>3155</v>
      </c>
    </row>
    <row r="1432" spans="2:6" ht="67.5">
      <c r="B1432" s="617">
        <v>42950</v>
      </c>
      <c r="C1432" s="78">
        <v>42948</v>
      </c>
      <c r="D1432" s="79" t="s">
        <v>3146</v>
      </c>
      <c r="E1432" s="75" t="s">
        <v>63</v>
      </c>
      <c r="F1432" s="75" t="s">
        <v>3147</v>
      </c>
    </row>
    <row r="1433" spans="2:6" ht="27">
      <c r="B1433" s="615">
        <v>42950</v>
      </c>
      <c r="C1433" s="300">
        <v>42948</v>
      </c>
      <c r="D1433" s="301" t="s">
        <v>6991</v>
      </c>
      <c r="E1433" s="297" t="s">
        <v>63</v>
      </c>
      <c r="F1433" s="297" t="s">
        <v>85</v>
      </c>
    </row>
    <row r="1434" spans="2:6" ht="27">
      <c r="B1434" s="615">
        <v>42951</v>
      </c>
      <c r="C1434" s="300">
        <v>42948</v>
      </c>
      <c r="D1434" s="301" t="s">
        <v>6992</v>
      </c>
      <c r="E1434" s="297" t="s">
        <v>5</v>
      </c>
      <c r="F1434" s="297" t="s">
        <v>85</v>
      </c>
    </row>
    <row r="1435" spans="2:6" ht="27">
      <c r="B1435" s="617">
        <v>42955</v>
      </c>
      <c r="C1435" s="78">
        <v>42948</v>
      </c>
      <c r="D1435" s="79" t="s">
        <v>6993</v>
      </c>
      <c r="E1435" s="75" t="s">
        <v>3534</v>
      </c>
      <c r="F1435" s="75" t="s">
        <v>6994</v>
      </c>
    </row>
    <row r="1436" spans="2:6" ht="27">
      <c r="B1436" s="614">
        <v>42956</v>
      </c>
      <c r="C1436" s="38">
        <v>42948</v>
      </c>
      <c r="D1436" s="39" t="s">
        <v>5081</v>
      </c>
      <c r="E1436" s="34" t="s">
        <v>171</v>
      </c>
      <c r="F1436" s="34" t="s">
        <v>4918</v>
      </c>
    </row>
    <row r="1437" spans="2:6" ht="27">
      <c r="B1437" s="617">
        <v>42956</v>
      </c>
      <c r="C1437" s="80">
        <v>42948</v>
      </c>
      <c r="D1437" s="79" t="s">
        <v>2619</v>
      </c>
      <c r="E1437" s="75" t="s">
        <v>5</v>
      </c>
      <c r="F1437" s="75" t="s">
        <v>85</v>
      </c>
    </row>
    <row r="1438" spans="2:6" ht="27">
      <c r="B1438" s="618">
        <v>42956</v>
      </c>
      <c r="C1438" s="63">
        <v>42948</v>
      </c>
      <c r="D1438" s="62" t="s">
        <v>4505</v>
      </c>
      <c r="E1438" s="58" t="s">
        <v>171</v>
      </c>
      <c r="F1438" s="58" t="s">
        <v>4506</v>
      </c>
    </row>
    <row r="1439" spans="2:6" ht="40.5">
      <c r="B1439" s="617">
        <v>42958</v>
      </c>
      <c r="C1439" s="78">
        <v>42948</v>
      </c>
      <c r="D1439" s="79" t="s">
        <v>6995</v>
      </c>
      <c r="E1439" s="75" t="s">
        <v>6996</v>
      </c>
      <c r="F1439" s="75" t="s">
        <v>107</v>
      </c>
    </row>
    <row r="1440" spans="2:6" ht="27">
      <c r="B1440" s="615">
        <v>42961</v>
      </c>
      <c r="C1440" s="300">
        <v>42948</v>
      </c>
      <c r="D1440" s="301" t="s">
        <v>1214</v>
      </c>
      <c r="E1440" s="297" t="s">
        <v>208</v>
      </c>
      <c r="F1440" s="297" t="s">
        <v>107</v>
      </c>
    </row>
    <row r="1441" spans="2:6" ht="27">
      <c r="B1441" s="617">
        <v>42961</v>
      </c>
      <c r="C1441" s="78">
        <v>42948</v>
      </c>
      <c r="D1441" s="79" t="s">
        <v>1530</v>
      </c>
      <c r="E1441" s="75" t="s">
        <v>503</v>
      </c>
      <c r="F1441" s="75" t="s">
        <v>1531</v>
      </c>
    </row>
    <row r="1442" spans="2:6" ht="27">
      <c r="B1442" s="617">
        <v>42961</v>
      </c>
      <c r="C1442" s="78">
        <v>42948</v>
      </c>
      <c r="D1442" s="79" t="s">
        <v>6997</v>
      </c>
      <c r="E1442" s="75" t="s">
        <v>5</v>
      </c>
      <c r="F1442" s="75" t="s">
        <v>107</v>
      </c>
    </row>
    <row r="1443" spans="2:6" ht="40.5">
      <c r="B1443" s="617">
        <v>42961</v>
      </c>
      <c r="C1443" s="78">
        <v>42948</v>
      </c>
      <c r="D1443" s="79" t="s">
        <v>6998</v>
      </c>
      <c r="E1443" s="75" t="s">
        <v>6996</v>
      </c>
      <c r="F1443" s="75" t="s">
        <v>107</v>
      </c>
    </row>
    <row r="1444" spans="2:6" ht="27">
      <c r="B1444" s="618">
        <v>42962</v>
      </c>
      <c r="C1444" s="61">
        <v>42948</v>
      </c>
      <c r="D1444" s="62" t="s">
        <v>5419</v>
      </c>
      <c r="E1444" s="58" t="s">
        <v>625</v>
      </c>
      <c r="F1444" s="58" t="s">
        <v>5420</v>
      </c>
    </row>
    <row r="1445" spans="2:6">
      <c r="B1445" s="618">
        <v>42962</v>
      </c>
      <c r="C1445" s="61">
        <v>42948</v>
      </c>
      <c r="D1445" s="62" t="s">
        <v>5447</v>
      </c>
      <c r="E1445" s="58" t="s">
        <v>171</v>
      </c>
      <c r="F1445" s="58" t="s">
        <v>5448</v>
      </c>
    </row>
    <row r="1446" spans="2:6">
      <c r="B1446" s="618">
        <v>42962</v>
      </c>
      <c r="C1446" s="61">
        <v>42948</v>
      </c>
      <c r="D1446" s="62" t="s">
        <v>5447</v>
      </c>
      <c r="E1446" s="58" t="s">
        <v>171</v>
      </c>
      <c r="F1446" s="58" t="s">
        <v>5448</v>
      </c>
    </row>
    <row r="1447" spans="2:6" ht="27">
      <c r="B1447" s="615">
        <v>42962</v>
      </c>
      <c r="C1447" s="300">
        <v>42948</v>
      </c>
      <c r="D1447" s="301" t="s">
        <v>1198</v>
      </c>
      <c r="E1447" s="297" t="s">
        <v>1199</v>
      </c>
      <c r="F1447" s="297" t="s">
        <v>79</v>
      </c>
    </row>
    <row r="1448" spans="2:6" ht="27">
      <c r="B1448" s="615">
        <v>42962</v>
      </c>
      <c r="C1448" s="302">
        <v>42948</v>
      </c>
      <c r="D1448" s="301" t="s">
        <v>1198</v>
      </c>
      <c r="E1448" s="297" t="s">
        <v>5</v>
      </c>
      <c r="F1448" s="297" t="s">
        <v>1200</v>
      </c>
    </row>
    <row r="1449" spans="2:6" ht="27">
      <c r="B1449" s="615">
        <v>42962</v>
      </c>
      <c r="C1449" s="302">
        <v>42948</v>
      </c>
      <c r="D1449" s="301" t="s">
        <v>4741</v>
      </c>
      <c r="E1449" s="297" t="s">
        <v>5</v>
      </c>
      <c r="F1449" s="297" t="s">
        <v>4742</v>
      </c>
    </row>
    <row r="1450" spans="2:6" ht="27">
      <c r="B1450" s="618">
        <v>42963</v>
      </c>
      <c r="C1450" s="61">
        <v>42948</v>
      </c>
      <c r="D1450" s="62" t="s">
        <v>5692</v>
      </c>
      <c r="E1450" s="58" t="s">
        <v>1974</v>
      </c>
      <c r="F1450" s="58" t="s">
        <v>5693</v>
      </c>
    </row>
    <row r="1451" spans="2:6" ht="27">
      <c r="B1451" s="617">
        <v>42963</v>
      </c>
      <c r="C1451" s="78">
        <v>42948</v>
      </c>
      <c r="D1451" s="79" t="s">
        <v>2718</v>
      </c>
      <c r="E1451" s="75" t="s">
        <v>208</v>
      </c>
      <c r="F1451" s="75" t="s">
        <v>107</v>
      </c>
    </row>
    <row r="1452" spans="2:6" ht="27">
      <c r="B1452" s="618">
        <v>42963</v>
      </c>
      <c r="C1452" s="61">
        <v>42948</v>
      </c>
      <c r="D1452" s="62" t="s">
        <v>271</v>
      </c>
      <c r="E1452" s="58" t="s">
        <v>625</v>
      </c>
      <c r="F1452" s="58" t="s">
        <v>4254</v>
      </c>
    </row>
    <row r="1453" spans="2:6" ht="27">
      <c r="B1453" s="618">
        <v>42964</v>
      </c>
      <c r="C1453" s="61">
        <v>42948</v>
      </c>
      <c r="D1453" s="62" t="s">
        <v>5176</v>
      </c>
      <c r="E1453" s="58" t="s">
        <v>5</v>
      </c>
      <c r="F1453" s="58" t="s">
        <v>79</v>
      </c>
    </row>
    <row r="1454" spans="2:6" ht="27">
      <c r="B1454" s="615">
        <v>42964</v>
      </c>
      <c r="C1454" s="300">
        <v>42948</v>
      </c>
      <c r="D1454" s="301" t="s">
        <v>5191</v>
      </c>
      <c r="E1454" s="297" t="s">
        <v>208</v>
      </c>
      <c r="F1454" s="297" t="s">
        <v>85</v>
      </c>
    </row>
    <row r="1455" spans="2:6" ht="27">
      <c r="B1455" s="615">
        <v>42964</v>
      </c>
      <c r="C1455" s="300">
        <v>42948</v>
      </c>
      <c r="D1455" s="301" t="s">
        <v>5431</v>
      </c>
      <c r="E1455" s="297" t="s">
        <v>5</v>
      </c>
      <c r="F1455" s="297" t="s">
        <v>79</v>
      </c>
    </row>
    <row r="1456" spans="2:6" ht="27">
      <c r="B1456" s="617">
        <v>42964</v>
      </c>
      <c r="C1456" s="78">
        <v>42948</v>
      </c>
      <c r="D1456" s="79" t="s">
        <v>3341</v>
      </c>
      <c r="E1456" s="75" t="s">
        <v>5</v>
      </c>
      <c r="F1456" s="75" t="s">
        <v>2080</v>
      </c>
    </row>
    <row r="1457" spans="2:6">
      <c r="B1457" s="617">
        <v>42964</v>
      </c>
      <c r="C1457" s="78">
        <v>42948</v>
      </c>
      <c r="D1457" s="79" t="s">
        <v>6999</v>
      </c>
      <c r="E1457" s="75" t="s">
        <v>5</v>
      </c>
      <c r="F1457" s="75" t="s">
        <v>131</v>
      </c>
    </row>
    <row r="1458" spans="2:6" ht="27">
      <c r="B1458" s="617">
        <v>42964</v>
      </c>
      <c r="C1458" s="78">
        <v>42948</v>
      </c>
      <c r="D1458" s="79" t="s">
        <v>3341</v>
      </c>
      <c r="E1458" s="75" t="s">
        <v>5</v>
      </c>
      <c r="F1458" s="75" t="s">
        <v>2080</v>
      </c>
    </row>
    <row r="1459" spans="2:6" ht="27">
      <c r="B1459" s="617">
        <v>42964</v>
      </c>
      <c r="C1459" s="78">
        <v>42948</v>
      </c>
      <c r="D1459" s="79" t="s">
        <v>7000</v>
      </c>
      <c r="E1459" s="75" t="s">
        <v>208</v>
      </c>
      <c r="F1459" s="75" t="s">
        <v>107</v>
      </c>
    </row>
    <row r="1460" spans="2:6" ht="27">
      <c r="B1460" s="618">
        <v>42965</v>
      </c>
      <c r="C1460" s="61">
        <v>42965</v>
      </c>
      <c r="D1460" s="62" t="s">
        <v>4974</v>
      </c>
      <c r="E1460" s="58" t="s">
        <v>5</v>
      </c>
      <c r="F1460" s="58" t="s">
        <v>79</v>
      </c>
    </row>
    <row r="1461" spans="2:6" ht="27">
      <c r="B1461" s="618">
        <v>42965</v>
      </c>
      <c r="C1461" s="61">
        <v>42948</v>
      </c>
      <c r="D1461" s="62" t="s">
        <v>4454</v>
      </c>
      <c r="E1461" s="58" t="s">
        <v>5</v>
      </c>
      <c r="F1461" s="58" t="s">
        <v>3510</v>
      </c>
    </row>
    <row r="1462" spans="2:6" ht="27">
      <c r="B1462" s="617">
        <v>42965</v>
      </c>
      <c r="C1462" s="78">
        <v>42948</v>
      </c>
      <c r="D1462" s="79" t="s">
        <v>7001</v>
      </c>
      <c r="E1462" s="75" t="s">
        <v>208</v>
      </c>
      <c r="F1462" s="75" t="s">
        <v>107</v>
      </c>
    </row>
    <row r="1463" spans="2:6" ht="27">
      <c r="B1463" s="618">
        <v>42969</v>
      </c>
      <c r="C1463" s="61">
        <v>42948</v>
      </c>
      <c r="D1463" s="62" t="s">
        <v>4915</v>
      </c>
      <c r="E1463" s="58" t="s">
        <v>625</v>
      </c>
      <c r="F1463" s="58" t="s">
        <v>4916</v>
      </c>
    </row>
    <row r="1464" spans="2:6">
      <c r="B1464" s="615">
        <v>42969</v>
      </c>
      <c r="C1464" s="300">
        <v>42948</v>
      </c>
      <c r="D1464" s="301" t="s">
        <v>7002</v>
      </c>
      <c r="E1464" s="297" t="s">
        <v>63</v>
      </c>
      <c r="F1464" s="297" t="s">
        <v>1864</v>
      </c>
    </row>
    <row r="1465" spans="2:6" ht="27">
      <c r="B1465" s="617">
        <v>42970</v>
      </c>
      <c r="C1465" s="78">
        <v>42948</v>
      </c>
      <c r="D1465" s="79" t="s">
        <v>2740</v>
      </c>
      <c r="E1465" s="75" t="s">
        <v>5</v>
      </c>
      <c r="F1465" s="75" t="s">
        <v>85</v>
      </c>
    </row>
    <row r="1466" spans="2:6" ht="27">
      <c r="B1466" s="618">
        <v>42970</v>
      </c>
      <c r="C1466" s="61">
        <v>42948</v>
      </c>
      <c r="D1466" s="62" t="s">
        <v>4849</v>
      </c>
      <c r="E1466" s="58" t="s">
        <v>63</v>
      </c>
      <c r="F1466" s="58" t="s">
        <v>4850</v>
      </c>
    </row>
    <row r="1467" spans="2:6" ht="27">
      <c r="B1467" s="618">
        <v>42970</v>
      </c>
      <c r="C1467" s="61">
        <v>42948</v>
      </c>
      <c r="D1467" s="62" t="s">
        <v>5069</v>
      </c>
      <c r="E1467" s="58" t="s">
        <v>63</v>
      </c>
      <c r="F1467" s="58" t="s">
        <v>5070</v>
      </c>
    </row>
    <row r="1468" spans="2:6" ht="27">
      <c r="B1468" s="618">
        <v>42971</v>
      </c>
      <c r="C1468" s="61">
        <v>42948</v>
      </c>
      <c r="D1468" s="62" t="s">
        <v>5322</v>
      </c>
      <c r="E1468" s="58" t="s">
        <v>63</v>
      </c>
      <c r="F1468" s="58" t="s">
        <v>85</v>
      </c>
    </row>
    <row r="1469" spans="2:6" ht="27">
      <c r="B1469" s="618">
        <v>42971</v>
      </c>
      <c r="C1469" s="61">
        <v>42948</v>
      </c>
      <c r="D1469" s="62" t="s">
        <v>3634</v>
      </c>
      <c r="E1469" s="58" t="s">
        <v>2346</v>
      </c>
      <c r="F1469" s="58" t="s">
        <v>107</v>
      </c>
    </row>
    <row r="1470" spans="2:6" ht="27">
      <c r="B1470" s="618">
        <v>42971</v>
      </c>
      <c r="C1470" s="61">
        <v>42948</v>
      </c>
      <c r="D1470" s="62" t="s">
        <v>4985</v>
      </c>
      <c r="E1470" s="58" t="s">
        <v>63</v>
      </c>
      <c r="F1470" s="58" t="s">
        <v>79</v>
      </c>
    </row>
    <row r="1471" spans="2:6" ht="27">
      <c r="B1471" s="617">
        <v>42972</v>
      </c>
      <c r="C1471" s="78">
        <v>42948</v>
      </c>
      <c r="D1471" s="79" t="s">
        <v>2752</v>
      </c>
      <c r="E1471" s="75" t="s">
        <v>503</v>
      </c>
      <c r="F1471" s="75" t="s">
        <v>1114</v>
      </c>
    </row>
    <row r="1472" spans="2:6" ht="27">
      <c r="B1472" s="615">
        <v>42972</v>
      </c>
      <c r="C1472" s="302">
        <v>42948</v>
      </c>
      <c r="D1472" s="301" t="s">
        <v>2780</v>
      </c>
      <c r="E1472" s="297" t="s">
        <v>5</v>
      </c>
      <c r="F1472" s="297" t="s">
        <v>2781</v>
      </c>
    </row>
    <row r="1473" spans="2:6" ht="27">
      <c r="B1473" s="618">
        <v>42972</v>
      </c>
      <c r="C1473" s="61">
        <v>42948</v>
      </c>
      <c r="D1473" s="62" t="s">
        <v>2568</v>
      </c>
      <c r="E1473" s="58" t="s">
        <v>5</v>
      </c>
      <c r="F1473" s="58" t="s">
        <v>85</v>
      </c>
    </row>
    <row r="1474" spans="2:6">
      <c r="B1474" s="618">
        <v>42972</v>
      </c>
      <c r="C1474" s="61">
        <v>42948</v>
      </c>
      <c r="D1474" s="62" t="s">
        <v>2569</v>
      </c>
      <c r="E1474" s="58" t="s">
        <v>208</v>
      </c>
      <c r="F1474" s="58" t="s">
        <v>131</v>
      </c>
    </row>
    <row r="1475" spans="2:6" ht="27">
      <c r="B1475" s="617">
        <v>42975</v>
      </c>
      <c r="C1475" s="80">
        <v>42948</v>
      </c>
      <c r="D1475" s="79" t="s">
        <v>3509</v>
      </c>
      <c r="E1475" s="75" t="s">
        <v>5</v>
      </c>
      <c r="F1475" s="75" t="s">
        <v>3510</v>
      </c>
    </row>
    <row r="1476" spans="2:6" ht="27">
      <c r="B1476" s="618">
        <v>42976</v>
      </c>
      <c r="C1476" s="61">
        <v>42948</v>
      </c>
      <c r="D1476" s="62" t="s">
        <v>4957</v>
      </c>
      <c r="E1476" s="58" t="s">
        <v>625</v>
      </c>
      <c r="F1476" s="58" t="s">
        <v>4958</v>
      </c>
    </row>
    <row r="1477" spans="2:6" ht="27">
      <c r="B1477" s="618">
        <v>42976</v>
      </c>
      <c r="C1477" s="63">
        <v>42948</v>
      </c>
      <c r="D1477" s="62" t="s">
        <v>3635</v>
      </c>
      <c r="E1477" s="58" t="s">
        <v>2346</v>
      </c>
      <c r="F1477" s="58" t="s">
        <v>107</v>
      </c>
    </row>
    <row r="1478" spans="2:6" ht="27">
      <c r="B1478" s="614">
        <v>42977</v>
      </c>
      <c r="C1478" s="38">
        <v>42948</v>
      </c>
      <c r="D1478" s="39" t="s">
        <v>5205</v>
      </c>
      <c r="E1478" s="34" t="s">
        <v>625</v>
      </c>
      <c r="F1478" s="34" t="s">
        <v>4918</v>
      </c>
    </row>
    <row r="1479" spans="2:6" ht="27">
      <c r="B1479" s="618">
        <v>42977</v>
      </c>
      <c r="C1479" s="61">
        <v>42948</v>
      </c>
      <c r="D1479" s="62" t="s">
        <v>5212</v>
      </c>
      <c r="E1479" s="58" t="s">
        <v>5</v>
      </c>
      <c r="F1479" s="58" t="s">
        <v>5213</v>
      </c>
    </row>
    <row r="1480" spans="2:6" ht="27">
      <c r="B1480" s="618">
        <v>42977</v>
      </c>
      <c r="C1480" s="61">
        <v>42948</v>
      </c>
      <c r="D1480" s="62" t="s">
        <v>5260</v>
      </c>
      <c r="E1480" s="58" t="s">
        <v>625</v>
      </c>
      <c r="F1480" s="58" t="s">
        <v>4918</v>
      </c>
    </row>
    <row r="1481" spans="2:6" ht="27">
      <c r="B1481" s="618">
        <v>42977</v>
      </c>
      <c r="C1481" s="61">
        <v>42948</v>
      </c>
      <c r="D1481" s="62" t="s">
        <v>5267</v>
      </c>
      <c r="E1481" s="58" t="s">
        <v>625</v>
      </c>
      <c r="F1481" s="58" t="s">
        <v>4918</v>
      </c>
    </row>
    <row r="1482" spans="2:6" ht="27">
      <c r="B1482" s="618">
        <v>42977</v>
      </c>
      <c r="C1482" s="61">
        <v>42948</v>
      </c>
      <c r="D1482" s="62" t="s">
        <v>5275</v>
      </c>
      <c r="E1482" s="58" t="s">
        <v>625</v>
      </c>
      <c r="F1482" s="58" t="s">
        <v>4918</v>
      </c>
    </row>
    <row r="1483" spans="2:6">
      <c r="B1483" s="615">
        <v>42977</v>
      </c>
      <c r="C1483" s="300">
        <v>42948</v>
      </c>
      <c r="D1483" s="301" t="s">
        <v>2130</v>
      </c>
      <c r="E1483" s="297" t="s">
        <v>5</v>
      </c>
      <c r="F1483" s="297" t="s">
        <v>2131</v>
      </c>
    </row>
    <row r="1484" spans="2:6">
      <c r="B1484" s="617">
        <v>42977</v>
      </c>
      <c r="C1484" s="80">
        <v>42948</v>
      </c>
      <c r="D1484" s="79" t="s">
        <v>1742</v>
      </c>
      <c r="E1484" s="75" t="s">
        <v>208</v>
      </c>
      <c r="F1484" s="75" t="s">
        <v>131</v>
      </c>
    </row>
    <row r="1485" spans="2:6">
      <c r="B1485" s="617">
        <v>42977</v>
      </c>
      <c r="C1485" s="80">
        <v>42948</v>
      </c>
      <c r="D1485" s="79" t="s">
        <v>2208</v>
      </c>
      <c r="E1485" s="75" t="s">
        <v>171</v>
      </c>
      <c r="F1485" s="75" t="s">
        <v>1213</v>
      </c>
    </row>
    <row r="1486" spans="2:6" ht="27">
      <c r="B1486" s="617">
        <v>42977</v>
      </c>
      <c r="C1486" s="80">
        <v>42948</v>
      </c>
      <c r="D1486" s="79" t="s">
        <v>4774</v>
      </c>
      <c r="E1486" s="75" t="s">
        <v>5</v>
      </c>
      <c r="F1486" s="75" t="s">
        <v>85</v>
      </c>
    </row>
    <row r="1487" spans="2:6" ht="27">
      <c r="B1487" s="622">
        <v>42977</v>
      </c>
      <c r="C1487" s="107">
        <v>42948</v>
      </c>
      <c r="D1487" s="108" t="s">
        <v>4329</v>
      </c>
      <c r="E1487" s="105" t="s">
        <v>625</v>
      </c>
      <c r="F1487" s="105" t="s">
        <v>4330</v>
      </c>
    </row>
    <row r="1488" spans="2:6" ht="54">
      <c r="B1488" s="618">
        <v>42979</v>
      </c>
      <c r="C1488" s="61">
        <v>42979</v>
      </c>
      <c r="D1488" s="62" t="s">
        <v>4926</v>
      </c>
      <c r="E1488" s="58" t="s">
        <v>5</v>
      </c>
      <c r="F1488" s="58" t="s">
        <v>4927</v>
      </c>
    </row>
    <row r="1489" spans="2:6" ht="27">
      <c r="B1489" s="618">
        <v>42979</v>
      </c>
      <c r="C1489" s="61">
        <v>42979</v>
      </c>
      <c r="D1489" s="62" t="s">
        <v>5054</v>
      </c>
      <c r="E1489" s="58" t="s">
        <v>5</v>
      </c>
      <c r="F1489" s="58" t="s">
        <v>79</v>
      </c>
    </row>
    <row r="1490" spans="2:6">
      <c r="B1490" s="617">
        <v>42979</v>
      </c>
      <c r="C1490" s="78">
        <v>42979</v>
      </c>
      <c r="D1490" s="79" t="s">
        <v>2464</v>
      </c>
      <c r="E1490" s="75" t="s">
        <v>171</v>
      </c>
      <c r="F1490" s="75" t="s">
        <v>1854</v>
      </c>
    </row>
    <row r="1491" spans="2:6" ht="27">
      <c r="B1491" s="615">
        <v>42982</v>
      </c>
      <c r="C1491" s="300">
        <v>42979</v>
      </c>
      <c r="D1491" s="301" t="s">
        <v>7003</v>
      </c>
      <c r="E1491" s="297" t="s">
        <v>171</v>
      </c>
      <c r="F1491" s="297" t="s">
        <v>7004</v>
      </c>
    </row>
    <row r="1492" spans="2:6" ht="27">
      <c r="B1492" s="615">
        <v>42983</v>
      </c>
      <c r="C1492" s="300">
        <v>42979</v>
      </c>
      <c r="D1492" s="301" t="s">
        <v>7005</v>
      </c>
      <c r="E1492" s="297" t="s">
        <v>171</v>
      </c>
      <c r="F1492" s="297" t="s">
        <v>7004</v>
      </c>
    </row>
    <row r="1493" spans="2:6" ht="27">
      <c r="B1493" s="618">
        <v>42984</v>
      </c>
      <c r="C1493" s="61">
        <v>42979</v>
      </c>
      <c r="D1493" s="62" t="s">
        <v>5221</v>
      </c>
      <c r="E1493" s="58" t="s">
        <v>625</v>
      </c>
      <c r="F1493" s="58" t="s">
        <v>4918</v>
      </c>
    </row>
    <row r="1494" spans="2:6" ht="27">
      <c r="B1494" s="618">
        <v>42984</v>
      </c>
      <c r="C1494" s="61">
        <v>42979</v>
      </c>
      <c r="D1494" s="62" t="s">
        <v>5228</v>
      </c>
      <c r="E1494" s="58" t="s">
        <v>625</v>
      </c>
      <c r="F1494" s="58" t="s">
        <v>4918</v>
      </c>
    </row>
    <row r="1495" spans="2:6" ht="27">
      <c r="B1495" s="625">
        <v>42984</v>
      </c>
      <c r="C1495" s="45">
        <v>42979</v>
      </c>
      <c r="D1495" s="46" t="s">
        <v>5236</v>
      </c>
      <c r="E1495" s="42" t="s">
        <v>625</v>
      </c>
      <c r="F1495" s="42" t="s">
        <v>4918</v>
      </c>
    </row>
    <row r="1496" spans="2:6" ht="27">
      <c r="B1496" s="618">
        <v>42984</v>
      </c>
      <c r="C1496" s="61">
        <v>42979</v>
      </c>
      <c r="D1496" s="62" t="s">
        <v>5254</v>
      </c>
      <c r="E1496" s="58" t="s">
        <v>625</v>
      </c>
      <c r="F1496" s="58" t="s">
        <v>4918</v>
      </c>
    </row>
    <row r="1497" spans="2:6" ht="27">
      <c r="B1497" s="618">
        <v>42984</v>
      </c>
      <c r="C1497" s="61">
        <v>42979</v>
      </c>
      <c r="D1497" s="62" t="s">
        <v>5338</v>
      </c>
      <c r="E1497" s="58" t="s">
        <v>625</v>
      </c>
      <c r="F1497" s="58" t="s">
        <v>4918</v>
      </c>
    </row>
    <row r="1498" spans="2:6" ht="27">
      <c r="B1498" s="618">
        <v>42984</v>
      </c>
      <c r="C1498" s="61">
        <v>42979</v>
      </c>
      <c r="D1498" s="62" t="s">
        <v>5343</v>
      </c>
      <c r="E1498" s="58" t="s">
        <v>625</v>
      </c>
      <c r="F1498" s="58" t="s">
        <v>4918</v>
      </c>
    </row>
    <row r="1499" spans="2:6" ht="27">
      <c r="B1499" s="618">
        <v>42984</v>
      </c>
      <c r="C1499" s="61">
        <v>42979</v>
      </c>
      <c r="D1499" s="62" t="s">
        <v>5222</v>
      </c>
      <c r="E1499" s="58" t="s">
        <v>198</v>
      </c>
      <c r="F1499" s="58" t="s">
        <v>352</v>
      </c>
    </row>
    <row r="1500" spans="2:6" ht="27">
      <c r="B1500" s="618">
        <v>42985</v>
      </c>
      <c r="C1500" s="63">
        <v>42979</v>
      </c>
      <c r="D1500" s="62" t="s">
        <v>4917</v>
      </c>
      <c r="E1500" s="58" t="s">
        <v>625</v>
      </c>
      <c r="F1500" s="58" t="s">
        <v>4918</v>
      </c>
    </row>
    <row r="1501" spans="2:6" ht="27">
      <c r="B1501" s="615">
        <v>42986</v>
      </c>
      <c r="C1501" s="302">
        <v>42979</v>
      </c>
      <c r="D1501" s="301" t="s">
        <v>1321</v>
      </c>
      <c r="E1501" s="297" t="s">
        <v>208</v>
      </c>
      <c r="F1501" s="297" t="s">
        <v>107</v>
      </c>
    </row>
    <row r="1502" spans="2:6" ht="27">
      <c r="B1502" s="618">
        <v>42986</v>
      </c>
      <c r="C1502" s="63">
        <v>42979</v>
      </c>
      <c r="D1502" s="62" t="s">
        <v>4928</v>
      </c>
      <c r="E1502" s="58" t="s">
        <v>625</v>
      </c>
      <c r="F1502" s="58" t="s">
        <v>4918</v>
      </c>
    </row>
    <row r="1503" spans="2:6" ht="40.5">
      <c r="B1503" s="618">
        <v>42986</v>
      </c>
      <c r="C1503" s="61" t="s">
        <v>9244</v>
      </c>
      <c r="D1503" s="117" t="s">
        <v>7006</v>
      </c>
      <c r="E1503" s="117" t="s">
        <v>63</v>
      </c>
      <c r="F1503" s="117" t="s">
        <v>7007</v>
      </c>
    </row>
    <row r="1504" spans="2:6" ht="27">
      <c r="B1504" s="618">
        <v>42989</v>
      </c>
      <c r="C1504" s="61">
        <v>42979</v>
      </c>
      <c r="D1504" s="62" t="s">
        <v>3636</v>
      </c>
      <c r="E1504" s="58" t="s">
        <v>5</v>
      </c>
      <c r="F1504" s="58" t="s">
        <v>1114</v>
      </c>
    </row>
    <row r="1505" spans="2:6">
      <c r="B1505" s="615">
        <v>42989</v>
      </c>
      <c r="C1505" s="300">
        <v>42979</v>
      </c>
      <c r="D1505" s="301" t="s">
        <v>3714</v>
      </c>
      <c r="E1505" s="297" t="s">
        <v>5</v>
      </c>
      <c r="F1505" s="297" t="s">
        <v>3365</v>
      </c>
    </row>
    <row r="1506" spans="2:6" ht="27">
      <c r="B1506" s="614">
        <v>42990</v>
      </c>
      <c r="C1506" s="38">
        <v>42979</v>
      </c>
      <c r="D1506" s="39" t="s">
        <v>5241</v>
      </c>
      <c r="E1506" s="34" t="s">
        <v>625</v>
      </c>
      <c r="F1506" s="34" t="s">
        <v>4918</v>
      </c>
    </row>
    <row r="1507" spans="2:6" ht="27">
      <c r="B1507" s="616">
        <v>42990</v>
      </c>
      <c r="C1507" s="21">
        <v>42979</v>
      </c>
      <c r="D1507" s="22" t="s">
        <v>7008</v>
      </c>
      <c r="E1507" s="422" t="s">
        <v>152</v>
      </c>
      <c r="F1507" s="422" t="s">
        <v>1114</v>
      </c>
    </row>
    <row r="1508" spans="2:6" ht="27">
      <c r="B1508" s="618">
        <v>42990</v>
      </c>
      <c r="C1508" s="61">
        <v>42979</v>
      </c>
      <c r="D1508" s="62" t="s">
        <v>7009</v>
      </c>
      <c r="E1508" s="58" t="s">
        <v>171</v>
      </c>
      <c r="F1508" s="58" t="s">
        <v>3423</v>
      </c>
    </row>
    <row r="1509" spans="2:6">
      <c r="B1509" s="615">
        <v>42990</v>
      </c>
      <c r="C1509" s="300">
        <v>42979</v>
      </c>
      <c r="D1509" s="301" t="s">
        <v>3214</v>
      </c>
      <c r="E1509" s="297" t="s">
        <v>5</v>
      </c>
      <c r="F1509" s="297" t="s">
        <v>3215</v>
      </c>
    </row>
    <row r="1510" spans="2:6" ht="27">
      <c r="B1510" s="617">
        <v>42990</v>
      </c>
      <c r="C1510" s="78">
        <v>42979</v>
      </c>
      <c r="D1510" s="79" t="s">
        <v>4017</v>
      </c>
      <c r="E1510" s="75" t="s">
        <v>5</v>
      </c>
      <c r="F1510" s="75" t="s">
        <v>107</v>
      </c>
    </row>
    <row r="1511" spans="2:6" ht="27">
      <c r="B1511" s="618">
        <v>42991</v>
      </c>
      <c r="C1511" s="61">
        <v>42979</v>
      </c>
      <c r="D1511" s="62" t="s">
        <v>3085</v>
      </c>
      <c r="E1511" s="58" t="s">
        <v>63</v>
      </c>
      <c r="F1511" s="58" t="s">
        <v>79</v>
      </c>
    </row>
    <row r="1512" spans="2:6" ht="27">
      <c r="B1512" s="615">
        <v>42991</v>
      </c>
      <c r="C1512" s="300">
        <v>42979</v>
      </c>
      <c r="D1512" s="301" t="s">
        <v>2675</v>
      </c>
      <c r="E1512" s="297" t="s">
        <v>5</v>
      </c>
      <c r="F1512" s="297" t="s">
        <v>2676</v>
      </c>
    </row>
    <row r="1513" spans="2:6" ht="27">
      <c r="B1513" s="614">
        <v>42991</v>
      </c>
      <c r="C1513" s="38">
        <v>42979</v>
      </c>
      <c r="D1513" s="39" t="s">
        <v>7010</v>
      </c>
      <c r="E1513" s="34" t="s">
        <v>5</v>
      </c>
      <c r="F1513" s="34" t="s">
        <v>7011</v>
      </c>
    </row>
    <row r="1514" spans="2:6" ht="27">
      <c r="B1514" s="618">
        <v>42992</v>
      </c>
      <c r="C1514" s="61">
        <v>42979</v>
      </c>
      <c r="D1514" s="62" t="s">
        <v>5229</v>
      </c>
      <c r="E1514" s="58" t="s">
        <v>198</v>
      </c>
      <c r="F1514" s="58" t="s">
        <v>352</v>
      </c>
    </row>
    <row r="1515" spans="2:6" ht="27">
      <c r="B1515" s="618">
        <v>42992</v>
      </c>
      <c r="C1515" s="61">
        <v>42979</v>
      </c>
      <c r="D1515" s="62" t="s">
        <v>4919</v>
      </c>
      <c r="E1515" s="58" t="s">
        <v>152</v>
      </c>
      <c r="F1515" s="58" t="s">
        <v>4920</v>
      </c>
    </row>
    <row r="1516" spans="2:6" ht="27">
      <c r="B1516" s="618">
        <v>42996</v>
      </c>
      <c r="C1516" s="61">
        <v>42979</v>
      </c>
      <c r="D1516" s="62" t="s">
        <v>5009</v>
      </c>
      <c r="E1516" s="58" t="s">
        <v>625</v>
      </c>
      <c r="F1516" s="58" t="s">
        <v>4918</v>
      </c>
    </row>
    <row r="1517" spans="2:6">
      <c r="B1517" s="615">
        <v>42996</v>
      </c>
      <c r="C1517" s="300">
        <v>42979</v>
      </c>
      <c r="D1517" s="301" t="s">
        <v>1212</v>
      </c>
      <c r="E1517" s="297" t="s">
        <v>208</v>
      </c>
      <c r="F1517" s="297" t="s">
        <v>1213</v>
      </c>
    </row>
    <row r="1518" spans="2:6" ht="27">
      <c r="B1518" s="618">
        <v>42997</v>
      </c>
      <c r="C1518" s="61">
        <v>42979</v>
      </c>
      <c r="D1518" s="62" t="s">
        <v>5294</v>
      </c>
      <c r="E1518" s="58" t="s">
        <v>625</v>
      </c>
      <c r="F1518" s="58" t="s">
        <v>4918</v>
      </c>
    </row>
    <row r="1519" spans="2:6" ht="40.5">
      <c r="B1519" s="618">
        <v>42997</v>
      </c>
      <c r="C1519" s="61">
        <v>42979</v>
      </c>
      <c r="D1519" s="62" t="s">
        <v>4720</v>
      </c>
      <c r="E1519" s="58" t="s">
        <v>625</v>
      </c>
      <c r="F1519" s="58" t="s">
        <v>4721</v>
      </c>
    </row>
    <row r="1520" spans="2:6">
      <c r="B1520" s="618">
        <v>42998</v>
      </c>
      <c r="C1520" s="61">
        <v>42979</v>
      </c>
      <c r="D1520" s="62" t="s">
        <v>2175</v>
      </c>
      <c r="E1520" s="58" t="s">
        <v>5</v>
      </c>
      <c r="F1520" s="58" t="s">
        <v>418</v>
      </c>
    </row>
    <row r="1521" spans="2:6" ht="27">
      <c r="B1521" s="618">
        <v>42998</v>
      </c>
      <c r="C1521" s="61">
        <v>42979</v>
      </c>
      <c r="D1521" s="62" t="s">
        <v>5344</v>
      </c>
      <c r="E1521" s="58" t="s">
        <v>195</v>
      </c>
      <c r="F1521" s="58" t="s">
        <v>5345</v>
      </c>
    </row>
    <row r="1522" spans="2:6" ht="27">
      <c r="B1522" s="618">
        <v>42998</v>
      </c>
      <c r="C1522" s="63">
        <v>42979</v>
      </c>
      <c r="D1522" s="62" t="s">
        <v>5223</v>
      </c>
      <c r="E1522" s="58" t="s">
        <v>198</v>
      </c>
      <c r="F1522" s="58" t="s">
        <v>352</v>
      </c>
    </row>
    <row r="1523" spans="2:6" ht="27">
      <c r="B1523" s="618">
        <v>42998</v>
      </c>
      <c r="C1523" s="61">
        <v>42979</v>
      </c>
      <c r="D1523" s="62" t="s">
        <v>4921</v>
      </c>
      <c r="E1523" s="58" t="s">
        <v>198</v>
      </c>
      <c r="F1523" s="58" t="s">
        <v>352</v>
      </c>
    </row>
    <row r="1524" spans="2:6">
      <c r="B1524" s="616">
        <v>42999</v>
      </c>
      <c r="C1524" s="21">
        <v>42979</v>
      </c>
      <c r="D1524" s="22" t="s">
        <v>5314</v>
      </c>
      <c r="E1524" s="422" t="s">
        <v>5</v>
      </c>
      <c r="F1524" s="422" t="s">
        <v>582</v>
      </c>
    </row>
    <row r="1525" spans="2:6" ht="27">
      <c r="B1525" s="618">
        <v>43000</v>
      </c>
      <c r="C1525" s="61">
        <v>42979</v>
      </c>
      <c r="D1525" s="62" t="s">
        <v>271</v>
      </c>
      <c r="E1525" s="58" t="s">
        <v>625</v>
      </c>
      <c r="F1525" s="58" t="s">
        <v>3423</v>
      </c>
    </row>
    <row r="1526" spans="2:6" ht="27">
      <c r="B1526" s="618">
        <v>43000</v>
      </c>
      <c r="C1526" s="61">
        <v>42979</v>
      </c>
      <c r="D1526" s="62" t="s">
        <v>7012</v>
      </c>
      <c r="E1526" s="58" t="s">
        <v>5</v>
      </c>
      <c r="F1526" s="58" t="s">
        <v>79</v>
      </c>
    </row>
    <row r="1527" spans="2:6" ht="27">
      <c r="B1527" s="618">
        <v>43003</v>
      </c>
      <c r="C1527" s="61">
        <v>42979</v>
      </c>
      <c r="D1527" s="62" t="s">
        <v>5247</v>
      </c>
      <c r="E1527" s="58" t="s">
        <v>625</v>
      </c>
      <c r="F1527" s="58" t="s">
        <v>4918</v>
      </c>
    </row>
    <row r="1528" spans="2:6" ht="27">
      <c r="B1528" s="618">
        <v>43003</v>
      </c>
      <c r="C1528" s="61">
        <v>42979</v>
      </c>
      <c r="D1528" s="62" t="s">
        <v>271</v>
      </c>
      <c r="E1528" s="58" t="s">
        <v>625</v>
      </c>
      <c r="F1528" s="58" t="s">
        <v>1167</v>
      </c>
    </row>
    <row r="1529" spans="2:6" ht="27">
      <c r="B1529" s="618">
        <v>43003</v>
      </c>
      <c r="C1529" s="61">
        <v>42979</v>
      </c>
      <c r="D1529" s="62" t="s">
        <v>271</v>
      </c>
      <c r="E1529" s="58" t="s">
        <v>625</v>
      </c>
      <c r="F1529" s="58" t="s">
        <v>4254</v>
      </c>
    </row>
    <row r="1530" spans="2:6" ht="27">
      <c r="B1530" s="615">
        <v>43004</v>
      </c>
      <c r="C1530" s="302">
        <v>42979</v>
      </c>
      <c r="D1530" s="301" t="s">
        <v>4656</v>
      </c>
      <c r="E1530" s="297" t="s">
        <v>5</v>
      </c>
      <c r="F1530" s="297" t="s">
        <v>4657</v>
      </c>
    </row>
    <row r="1531" spans="2:6" ht="40.5">
      <c r="B1531" s="618">
        <v>43005</v>
      </c>
      <c r="C1531" s="61">
        <v>42979</v>
      </c>
      <c r="D1531" s="62" t="s">
        <v>5650</v>
      </c>
      <c r="E1531" s="58" t="s">
        <v>208</v>
      </c>
      <c r="F1531" s="58" t="s">
        <v>5651</v>
      </c>
    </row>
    <row r="1532" spans="2:6" ht="40.5">
      <c r="B1532" s="615">
        <v>43005</v>
      </c>
      <c r="C1532" s="300">
        <v>42979</v>
      </c>
      <c r="D1532" s="301" t="s">
        <v>3193</v>
      </c>
      <c r="E1532" s="297" t="s">
        <v>625</v>
      </c>
      <c r="F1532" s="297" t="s">
        <v>3194</v>
      </c>
    </row>
    <row r="1533" spans="2:6" ht="40.5">
      <c r="B1533" s="615">
        <v>43006</v>
      </c>
      <c r="C1533" s="302">
        <v>42979</v>
      </c>
      <c r="D1533" s="301" t="s">
        <v>3195</v>
      </c>
      <c r="E1533" s="297" t="s">
        <v>625</v>
      </c>
      <c r="F1533" s="297" t="s">
        <v>3194</v>
      </c>
    </row>
    <row r="1534" spans="2:6" ht="27">
      <c r="B1534" s="618">
        <v>43007</v>
      </c>
      <c r="C1534" s="61">
        <v>42979</v>
      </c>
      <c r="D1534" s="62" t="s">
        <v>4863</v>
      </c>
      <c r="E1534" s="58" t="s">
        <v>5</v>
      </c>
      <c r="F1534" s="58" t="s">
        <v>79</v>
      </c>
    </row>
    <row r="1535" spans="2:6">
      <c r="B1535" s="614">
        <v>43010</v>
      </c>
      <c r="C1535" s="38">
        <v>43009</v>
      </c>
      <c r="D1535" s="39" t="s">
        <v>7013</v>
      </c>
      <c r="E1535" s="34" t="s">
        <v>208</v>
      </c>
      <c r="F1535" s="34" t="s">
        <v>7014</v>
      </c>
    </row>
    <row r="1536" spans="2:6" ht="27">
      <c r="B1536" s="617">
        <v>43010</v>
      </c>
      <c r="C1536" s="78">
        <v>43009</v>
      </c>
      <c r="D1536" s="79" t="s">
        <v>7015</v>
      </c>
      <c r="E1536" s="75" t="s">
        <v>63</v>
      </c>
      <c r="F1536" s="75" t="s">
        <v>2832</v>
      </c>
    </row>
    <row r="1537" spans="1:6" ht="27">
      <c r="B1537" s="618">
        <v>43012</v>
      </c>
      <c r="C1537" s="61">
        <v>43009</v>
      </c>
      <c r="D1537" s="62" t="s">
        <v>5458</v>
      </c>
      <c r="E1537" s="58" t="s">
        <v>625</v>
      </c>
      <c r="F1537" s="58" t="s">
        <v>4254</v>
      </c>
    </row>
    <row r="1538" spans="1:6" ht="27">
      <c r="B1538" s="619">
        <v>43012</v>
      </c>
      <c r="C1538" s="144">
        <v>43009</v>
      </c>
      <c r="D1538" s="145" t="s">
        <v>5660</v>
      </c>
      <c r="E1538" s="141" t="s">
        <v>5</v>
      </c>
      <c r="F1538" s="141" t="s">
        <v>5661</v>
      </c>
    </row>
    <row r="1539" spans="1:6" ht="27">
      <c r="B1539" s="618">
        <v>43012</v>
      </c>
      <c r="C1539" s="61">
        <v>43009</v>
      </c>
      <c r="D1539" s="62" t="s">
        <v>5672</v>
      </c>
      <c r="E1539" s="58" t="s">
        <v>63</v>
      </c>
      <c r="F1539" s="58" t="s">
        <v>79</v>
      </c>
    </row>
    <row r="1540" spans="1:6" ht="27">
      <c r="B1540" s="618">
        <v>43013</v>
      </c>
      <c r="C1540" s="61">
        <v>43009</v>
      </c>
      <c r="D1540" s="62" t="s">
        <v>5356</v>
      </c>
      <c r="E1540" s="58" t="s">
        <v>5</v>
      </c>
      <c r="F1540" s="58" t="s">
        <v>3375</v>
      </c>
    </row>
    <row r="1541" spans="1:6" ht="27">
      <c r="B1541" s="618">
        <v>43013</v>
      </c>
      <c r="C1541" s="61">
        <v>43009</v>
      </c>
      <c r="D1541" s="62" t="s">
        <v>4250</v>
      </c>
      <c r="E1541" s="58" t="s">
        <v>5</v>
      </c>
      <c r="F1541" s="58" t="s">
        <v>3375</v>
      </c>
    </row>
    <row r="1542" spans="1:6" ht="27">
      <c r="B1542" s="615">
        <v>43013</v>
      </c>
      <c r="C1542" s="302">
        <v>43009</v>
      </c>
      <c r="D1542" s="301" t="s">
        <v>3095</v>
      </c>
      <c r="E1542" s="297" t="s">
        <v>208</v>
      </c>
      <c r="F1542" s="297" t="s">
        <v>3096</v>
      </c>
    </row>
    <row r="1543" spans="1:6" ht="54">
      <c r="B1543" s="617">
        <v>43013</v>
      </c>
      <c r="C1543" s="78">
        <v>43009</v>
      </c>
      <c r="D1543" s="79" t="s">
        <v>3612</v>
      </c>
      <c r="E1543" s="75" t="s">
        <v>5</v>
      </c>
      <c r="F1543" s="75" t="s">
        <v>3613</v>
      </c>
    </row>
    <row r="1544" spans="1:6" ht="27">
      <c r="B1544" s="618">
        <v>43013</v>
      </c>
      <c r="C1544" s="61">
        <v>43009</v>
      </c>
      <c r="D1544" s="62" t="s">
        <v>7016</v>
      </c>
      <c r="E1544" s="58" t="s">
        <v>5</v>
      </c>
      <c r="F1544" s="58" t="s">
        <v>570</v>
      </c>
    </row>
    <row r="1545" spans="1:6" ht="27">
      <c r="B1545" s="618">
        <v>43014</v>
      </c>
      <c r="C1545" s="61">
        <v>43009</v>
      </c>
      <c r="D1545" s="62" t="s">
        <v>5577</v>
      </c>
      <c r="E1545" s="58" t="s">
        <v>3423</v>
      </c>
      <c r="F1545" s="58" t="s">
        <v>625</v>
      </c>
    </row>
    <row r="1546" spans="1:6" ht="40.5">
      <c r="B1546" s="615">
        <v>43014</v>
      </c>
      <c r="C1546" s="300">
        <v>43009</v>
      </c>
      <c r="D1546" s="301" t="s">
        <v>3093</v>
      </c>
      <c r="E1546" s="297" t="s">
        <v>2743</v>
      </c>
      <c r="F1546" s="297" t="s">
        <v>3094</v>
      </c>
    </row>
    <row r="1547" spans="1:6" ht="27">
      <c r="B1547" s="618">
        <v>43017</v>
      </c>
      <c r="C1547" s="61">
        <v>43009</v>
      </c>
      <c r="D1547" s="62" t="s">
        <v>5488</v>
      </c>
      <c r="E1547" s="58" t="s">
        <v>625</v>
      </c>
      <c r="F1547" s="58" t="s">
        <v>3423</v>
      </c>
    </row>
    <row r="1548" spans="1:6" ht="27">
      <c r="B1548" s="615">
        <v>43017</v>
      </c>
      <c r="C1548" s="300">
        <v>43009</v>
      </c>
      <c r="D1548" s="301" t="s">
        <v>7017</v>
      </c>
      <c r="E1548" s="297" t="s">
        <v>171</v>
      </c>
      <c r="F1548" s="297" t="s">
        <v>6960</v>
      </c>
    </row>
    <row r="1549" spans="1:6" ht="27">
      <c r="A1549" s="494"/>
      <c r="B1549" s="615">
        <v>43017</v>
      </c>
      <c r="C1549" s="300">
        <v>43017</v>
      </c>
      <c r="D1549" s="301" t="s">
        <v>3098</v>
      </c>
      <c r="E1549" s="297" t="s">
        <v>208</v>
      </c>
      <c r="F1549" s="297" t="s">
        <v>3099</v>
      </c>
    </row>
    <row r="1550" spans="1:6" ht="27">
      <c r="B1550" s="618">
        <v>43018</v>
      </c>
      <c r="C1550" s="61">
        <v>43009</v>
      </c>
      <c r="D1550" s="62" t="s">
        <v>5526</v>
      </c>
      <c r="E1550" s="58" t="s">
        <v>625</v>
      </c>
      <c r="F1550" s="58" t="s">
        <v>3423</v>
      </c>
    </row>
    <row r="1551" spans="1:6" ht="54">
      <c r="B1551" s="617">
        <v>43018</v>
      </c>
      <c r="C1551" s="78">
        <v>43009</v>
      </c>
      <c r="D1551" s="79" t="s">
        <v>3461</v>
      </c>
      <c r="E1551" s="75" t="s">
        <v>5</v>
      </c>
      <c r="F1551" s="75" t="s">
        <v>3462</v>
      </c>
    </row>
    <row r="1552" spans="1:6" ht="27">
      <c r="B1552" s="618">
        <v>43019</v>
      </c>
      <c r="C1552" s="61">
        <v>43009</v>
      </c>
      <c r="D1552" s="62" t="s">
        <v>5464</v>
      </c>
      <c r="E1552" s="58" t="s">
        <v>625</v>
      </c>
      <c r="F1552" s="58" t="s">
        <v>3423</v>
      </c>
    </row>
    <row r="1553" spans="2:6" ht="27">
      <c r="B1553" s="618">
        <v>43019</v>
      </c>
      <c r="C1553" s="61">
        <v>43009</v>
      </c>
      <c r="D1553" s="62" t="s">
        <v>5472</v>
      </c>
      <c r="E1553" s="58" t="s">
        <v>625</v>
      </c>
      <c r="F1553" s="58" t="s">
        <v>3423</v>
      </c>
    </row>
    <row r="1554" spans="2:6" ht="27">
      <c r="B1554" s="618">
        <v>43019</v>
      </c>
      <c r="C1554" s="61">
        <v>43009</v>
      </c>
      <c r="D1554" s="62" t="s">
        <v>5482</v>
      </c>
      <c r="E1554" s="58" t="s">
        <v>625</v>
      </c>
      <c r="F1554" s="58" t="s">
        <v>3423</v>
      </c>
    </row>
    <row r="1555" spans="2:6" ht="27">
      <c r="B1555" s="618">
        <v>43019</v>
      </c>
      <c r="C1555" s="61">
        <v>43009</v>
      </c>
      <c r="D1555" s="62" t="s">
        <v>5494</v>
      </c>
      <c r="E1555" s="58" t="s">
        <v>625</v>
      </c>
      <c r="F1555" s="58" t="s">
        <v>3423</v>
      </c>
    </row>
    <row r="1556" spans="2:6">
      <c r="B1556" s="618">
        <v>43019</v>
      </c>
      <c r="C1556" s="63">
        <v>43009</v>
      </c>
      <c r="D1556" s="62" t="s">
        <v>4473</v>
      </c>
      <c r="E1556" s="58" t="s">
        <v>171</v>
      </c>
      <c r="F1556" s="58" t="s">
        <v>1544</v>
      </c>
    </row>
    <row r="1557" spans="2:6" ht="27">
      <c r="B1557" s="618">
        <v>43019</v>
      </c>
      <c r="C1557" s="61">
        <v>43009</v>
      </c>
      <c r="D1557" s="62" t="s">
        <v>7018</v>
      </c>
      <c r="E1557" s="58" t="s">
        <v>625</v>
      </c>
      <c r="F1557" s="58" t="s">
        <v>4254</v>
      </c>
    </row>
    <row r="1558" spans="2:6" ht="27">
      <c r="B1558" s="616">
        <v>43021</v>
      </c>
      <c r="C1558" s="21">
        <v>43009</v>
      </c>
      <c r="D1558" s="22" t="s">
        <v>5315</v>
      </c>
      <c r="E1558" s="422" t="s">
        <v>5</v>
      </c>
      <c r="F1558" s="422" t="s">
        <v>5316</v>
      </c>
    </row>
    <row r="1559" spans="2:6" ht="40.5">
      <c r="B1559" s="615">
        <v>43021</v>
      </c>
      <c r="C1559" s="300">
        <v>43009</v>
      </c>
      <c r="D1559" s="301" t="s">
        <v>1573</v>
      </c>
      <c r="E1559" s="297" t="s">
        <v>171</v>
      </c>
      <c r="F1559" s="297" t="s">
        <v>1574</v>
      </c>
    </row>
    <row r="1560" spans="2:6" ht="27">
      <c r="B1560" s="618">
        <v>43024</v>
      </c>
      <c r="C1560" s="61">
        <v>43009</v>
      </c>
      <c r="D1560" s="62" t="s">
        <v>5509</v>
      </c>
      <c r="E1560" s="58" t="s">
        <v>625</v>
      </c>
      <c r="F1560" s="58" t="s">
        <v>3423</v>
      </c>
    </row>
    <row r="1561" spans="2:6" ht="27">
      <c r="B1561" s="618">
        <v>43025</v>
      </c>
      <c r="C1561" s="61">
        <v>43009</v>
      </c>
      <c r="D1561" s="62" t="s">
        <v>5546</v>
      </c>
      <c r="E1561" s="58" t="s">
        <v>79</v>
      </c>
      <c r="F1561" s="58" t="s">
        <v>5</v>
      </c>
    </row>
    <row r="1562" spans="2:6" ht="40.5">
      <c r="B1562" s="615">
        <v>43025</v>
      </c>
      <c r="C1562" s="302">
        <v>43009</v>
      </c>
      <c r="D1562" s="335" t="s">
        <v>1834</v>
      </c>
      <c r="E1562" s="336" t="s">
        <v>171</v>
      </c>
      <c r="F1562" s="336" t="s">
        <v>1835</v>
      </c>
    </row>
    <row r="1563" spans="2:6" ht="27">
      <c r="B1563" s="615">
        <v>43025</v>
      </c>
      <c r="C1563" s="300">
        <v>43009</v>
      </c>
      <c r="D1563" s="301" t="s">
        <v>549</v>
      </c>
      <c r="E1563" s="297" t="s">
        <v>63</v>
      </c>
      <c r="F1563" s="297" t="s">
        <v>107</v>
      </c>
    </row>
    <row r="1564" spans="2:6" ht="40.5">
      <c r="B1564" s="615">
        <v>43025</v>
      </c>
      <c r="C1564" s="300">
        <v>43009</v>
      </c>
      <c r="D1564" s="335" t="s">
        <v>1834</v>
      </c>
      <c r="E1564" s="336" t="s">
        <v>171</v>
      </c>
      <c r="F1564" s="336" t="s">
        <v>1835</v>
      </c>
    </row>
    <row r="1565" spans="2:6" ht="40.5">
      <c r="B1565" s="615">
        <v>43025</v>
      </c>
      <c r="C1565" s="300">
        <v>43009</v>
      </c>
      <c r="D1565" s="335" t="s">
        <v>1834</v>
      </c>
      <c r="E1565" s="336" t="s">
        <v>171</v>
      </c>
      <c r="F1565" s="336" t="s">
        <v>1835</v>
      </c>
    </row>
    <row r="1566" spans="2:6" ht="27">
      <c r="B1566" s="618">
        <v>43026</v>
      </c>
      <c r="C1566" s="61">
        <v>43009</v>
      </c>
      <c r="D1566" s="62" t="s">
        <v>5515</v>
      </c>
      <c r="E1566" s="58" t="s">
        <v>625</v>
      </c>
      <c r="F1566" s="58" t="s">
        <v>3423</v>
      </c>
    </row>
    <row r="1567" spans="2:6" ht="27">
      <c r="B1567" s="618">
        <v>43026</v>
      </c>
      <c r="C1567" s="61">
        <v>43009</v>
      </c>
      <c r="D1567" s="62" t="s">
        <v>5522</v>
      </c>
      <c r="E1567" s="58" t="s">
        <v>625</v>
      </c>
      <c r="F1567" s="58" t="s">
        <v>3423</v>
      </c>
    </row>
    <row r="1568" spans="2:6" ht="27">
      <c r="B1568" s="618">
        <v>43026</v>
      </c>
      <c r="C1568" s="61">
        <v>43009</v>
      </c>
      <c r="D1568" s="62" t="s">
        <v>5537</v>
      </c>
      <c r="E1568" s="58" t="s">
        <v>576</v>
      </c>
      <c r="F1568" s="58" t="s">
        <v>5538</v>
      </c>
    </row>
    <row r="1569" spans="2:6" ht="27">
      <c r="B1569" s="615">
        <v>43026</v>
      </c>
      <c r="C1569" s="300">
        <v>43009</v>
      </c>
      <c r="D1569" s="301" t="s">
        <v>5616</v>
      </c>
      <c r="E1569" s="297" t="s">
        <v>208</v>
      </c>
      <c r="F1569" s="297" t="s">
        <v>1114</v>
      </c>
    </row>
    <row r="1570" spans="2:6" ht="27">
      <c r="B1570" s="618">
        <v>43026</v>
      </c>
      <c r="C1570" s="63">
        <v>43026</v>
      </c>
      <c r="D1570" s="62" t="s">
        <v>5750</v>
      </c>
      <c r="E1570" s="58" t="s">
        <v>576</v>
      </c>
      <c r="F1570" s="58" t="s">
        <v>1491</v>
      </c>
    </row>
    <row r="1571" spans="2:6" ht="27">
      <c r="B1571" s="618">
        <v>43027</v>
      </c>
      <c r="C1571" s="61">
        <v>43009</v>
      </c>
      <c r="D1571" s="62" t="s">
        <v>5555</v>
      </c>
      <c r="E1571" s="58" t="s">
        <v>3423</v>
      </c>
      <c r="F1571" s="58" t="s">
        <v>625</v>
      </c>
    </row>
    <row r="1572" spans="2:6" ht="27">
      <c r="B1572" s="618">
        <v>43027</v>
      </c>
      <c r="C1572" s="61">
        <v>43009</v>
      </c>
      <c r="D1572" s="62" t="s">
        <v>5572</v>
      </c>
      <c r="E1572" s="58" t="s">
        <v>3423</v>
      </c>
      <c r="F1572" s="58" t="s">
        <v>625</v>
      </c>
    </row>
    <row r="1573" spans="2:6" ht="27">
      <c r="B1573" s="615">
        <v>43027</v>
      </c>
      <c r="C1573" s="302">
        <v>43009</v>
      </c>
      <c r="D1573" s="301" t="s">
        <v>5617</v>
      </c>
      <c r="E1573" s="297" t="s">
        <v>208</v>
      </c>
      <c r="F1573" s="297" t="s">
        <v>107</v>
      </c>
    </row>
    <row r="1574" spans="2:6" ht="54">
      <c r="B1574" s="615">
        <v>43027</v>
      </c>
      <c r="C1574" s="300">
        <v>43009</v>
      </c>
      <c r="D1574" s="301" t="s">
        <v>2782</v>
      </c>
      <c r="E1574" s="297" t="s">
        <v>171</v>
      </c>
      <c r="F1574" s="297" t="s">
        <v>2783</v>
      </c>
    </row>
    <row r="1575" spans="2:6" ht="27">
      <c r="B1575" s="618">
        <v>43031</v>
      </c>
      <c r="C1575" s="61">
        <v>43009</v>
      </c>
      <c r="D1575" s="62" t="s">
        <v>5543</v>
      </c>
      <c r="E1575" s="58" t="s">
        <v>625</v>
      </c>
      <c r="F1575" s="58" t="s">
        <v>3423</v>
      </c>
    </row>
    <row r="1576" spans="2:6" ht="27">
      <c r="B1576" s="616">
        <v>43031</v>
      </c>
      <c r="C1576" s="21">
        <v>43009</v>
      </c>
      <c r="D1576" s="22" t="s">
        <v>271</v>
      </c>
      <c r="E1576" s="422" t="s">
        <v>171</v>
      </c>
      <c r="F1576" s="422" t="s">
        <v>5789</v>
      </c>
    </row>
    <row r="1577" spans="2:6" ht="27">
      <c r="B1577" s="618">
        <v>43031</v>
      </c>
      <c r="C1577" s="61">
        <v>43009</v>
      </c>
      <c r="D1577" s="62" t="s">
        <v>5439</v>
      </c>
      <c r="E1577" s="58" t="s">
        <v>1493</v>
      </c>
      <c r="F1577" s="58" t="s">
        <v>3423</v>
      </c>
    </row>
    <row r="1578" spans="2:6" ht="27">
      <c r="B1578" s="618">
        <v>43032</v>
      </c>
      <c r="C1578" s="61">
        <v>43009</v>
      </c>
      <c r="D1578" s="62" t="s">
        <v>5459</v>
      </c>
      <c r="E1578" s="58" t="s">
        <v>625</v>
      </c>
      <c r="F1578" s="58" t="s">
        <v>352</v>
      </c>
    </row>
    <row r="1579" spans="2:6" ht="54">
      <c r="B1579" s="618">
        <v>43032</v>
      </c>
      <c r="C1579" s="63">
        <v>43009</v>
      </c>
      <c r="D1579" s="62" t="s">
        <v>3010</v>
      </c>
      <c r="E1579" s="58" t="s">
        <v>63</v>
      </c>
      <c r="F1579" s="58" t="s">
        <v>3011</v>
      </c>
    </row>
    <row r="1580" spans="2:6">
      <c r="B1580" s="618">
        <v>43032</v>
      </c>
      <c r="C1580" s="63">
        <v>43009</v>
      </c>
      <c r="D1580" s="62" t="s">
        <v>4269</v>
      </c>
      <c r="E1580" s="58" t="s">
        <v>171</v>
      </c>
      <c r="F1580" s="58" t="s">
        <v>777</v>
      </c>
    </row>
    <row r="1581" spans="2:6" ht="54">
      <c r="B1581" s="618">
        <v>43032</v>
      </c>
      <c r="C1581" s="63">
        <v>43009</v>
      </c>
      <c r="D1581" s="62" t="s">
        <v>4577</v>
      </c>
      <c r="E1581" s="58" t="s">
        <v>63</v>
      </c>
      <c r="F1581" s="58" t="s">
        <v>4578</v>
      </c>
    </row>
    <row r="1582" spans="2:6" ht="54">
      <c r="B1582" s="618">
        <v>43032</v>
      </c>
      <c r="C1582" s="63">
        <v>43009</v>
      </c>
      <c r="D1582" s="62" t="s">
        <v>4623</v>
      </c>
      <c r="E1582" s="58" t="s">
        <v>63</v>
      </c>
      <c r="F1582" s="58" t="s">
        <v>4624</v>
      </c>
    </row>
    <row r="1583" spans="2:6" ht="27">
      <c r="B1583" s="618">
        <v>43032</v>
      </c>
      <c r="C1583" s="63">
        <v>43009</v>
      </c>
      <c r="D1583" s="62" t="s">
        <v>4851</v>
      </c>
      <c r="E1583" s="58" t="s">
        <v>63</v>
      </c>
      <c r="F1583" s="58" t="s">
        <v>79</v>
      </c>
    </row>
    <row r="1584" spans="2:6" ht="54">
      <c r="B1584" s="617">
        <v>43032</v>
      </c>
      <c r="C1584" s="78">
        <v>43009</v>
      </c>
      <c r="D1584" s="79" t="s">
        <v>3496</v>
      </c>
      <c r="E1584" s="75" t="s">
        <v>63</v>
      </c>
      <c r="F1584" s="75" t="s">
        <v>3284</v>
      </c>
    </row>
    <row r="1585" spans="2:6" ht="54">
      <c r="B1585" s="617">
        <v>43032</v>
      </c>
      <c r="C1585" s="78">
        <v>43009</v>
      </c>
      <c r="D1585" s="79" t="s">
        <v>4087</v>
      </c>
      <c r="E1585" s="75" t="s">
        <v>63</v>
      </c>
      <c r="F1585" s="75" t="s">
        <v>4088</v>
      </c>
    </row>
    <row r="1586" spans="2:6" ht="54">
      <c r="B1586" s="617">
        <v>43032</v>
      </c>
      <c r="C1586" s="78">
        <v>43009</v>
      </c>
      <c r="D1586" s="79" t="s">
        <v>4173</v>
      </c>
      <c r="E1586" s="75" t="s">
        <v>63</v>
      </c>
      <c r="F1586" s="75" t="s">
        <v>3284</v>
      </c>
    </row>
    <row r="1587" spans="2:6" ht="54">
      <c r="B1587" s="618">
        <v>43032</v>
      </c>
      <c r="C1587" s="61">
        <v>43009</v>
      </c>
      <c r="D1587" s="62" t="s">
        <v>4235</v>
      </c>
      <c r="E1587" s="58" t="s">
        <v>63</v>
      </c>
      <c r="F1587" s="58" t="s">
        <v>4236</v>
      </c>
    </row>
    <row r="1588" spans="2:6" ht="54">
      <c r="B1588" s="617">
        <v>43032</v>
      </c>
      <c r="C1588" s="78">
        <v>43009</v>
      </c>
      <c r="D1588" s="79" t="s">
        <v>7019</v>
      </c>
      <c r="E1588" s="75" t="s">
        <v>63</v>
      </c>
      <c r="F1588" s="75" t="s">
        <v>7020</v>
      </c>
    </row>
    <row r="1589" spans="2:6" ht="54">
      <c r="B1589" s="617">
        <v>43032</v>
      </c>
      <c r="C1589" s="78">
        <v>43009</v>
      </c>
      <c r="D1589" s="79" t="s">
        <v>3283</v>
      </c>
      <c r="E1589" s="75" t="s">
        <v>63</v>
      </c>
      <c r="F1589" s="75" t="s">
        <v>3284</v>
      </c>
    </row>
    <row r="1590" spans="2:6" ht="54">
      <c r="B1590" s="618">
        <v>43032</v>
      </c>
      <c r="C1590" s="61">
        <v>43009</v>
      </c>
      <c r="D1590" s="62" t="s">
        <v>7021</v>
      </c>
      <c r="E1590" s="58" t="s">
        <v>63</v>
      </c>
      <c r="F1590" s="58" t="s">
        <v>3284</v>
      </c>
    </row>
    <row r="1591" spans="2:6" ht="27">
      <c r="B1591" s="617">
        <v>43032</v>
      </c>
      <c r="C1591" s="78">
        <v>43009</v>
      </c>
      <c r="D1591" s="79" t="s">
        <v>7022</v>
      </c>
      <c r="E1591" s="75" t="s">
        <v>63</v>
      </c>
      <c r="F1591" s="75" t="s">
        <v>79</v>
      </c>
    </row>
    <row r="1592" spans="2:6" ht="27">
      <c r="B1592" s="618">
        <v>43033</v>
      </c>
      <c r="C1592" s="61">
        <v>43009</v>
      </c>
      <c r="D1592" s="62" t="s">
        <v>5586</v>
      </c>
      <c r="E1592" s="58" t="s">
        <v>3423</v>
      </c>
      <c r="F1592" s="58" t="s">
        <v>625</v>
      </c>
    </row>
    <row r="1593" spans="2:6" ht="27">
      <c r="B1593" s="615">
        <v>43033</v>
      </c>
      <c r="C1593" s="300">
        <v>43009</v>
      </c>
      <c r="D1593" s="301" t="s">
        <v>271</v>
      </c>
      <c r="E1593" s="297" t="s">
        <v>171</v>
      </c>
      <c r="F1593" s="297" t="s">
        <v>464</v>
      </c>
    </row>
    <row r="1594" spans="2:6" ht="27">
      <c r="B1594" s="618">
        <v>43033</v>
      </c>
      <c r="C1594" s="63">
        <v>43009</v>
      </c>
      <c r="D1594" s="62" t="s">
        <v>5106</v>
      </c>
      <c r="E1594" s="58" t="s">
        <v>171</v>
      </c>
      <c r="F1594" s="58" t="s">
        <v>4918</v>
      </c>
    </row>
    <row r="1595" spans="2:6">
      <c r="B1595" s="618">
        <v>43033</v>
      </c>
      <c r="C1595" s="63">
        <v>43009</v>
      </c>
      <c r="D1595" s="62" t="s">
        <v>5460</v>
      </c>
      <c r="E1595" s="164" t="s">
        <v>195</v>
      </c>
      <c r="F1595" s="58"/>
    </row>
    <row r="1596" spans="2:6" ht="27">
      <c r="B1596" s="618">
        <v>43034</v>
      </c>
      <c r="C1596" s="61">
        <v>43009</v>
      </c>
      <c r="D1596" s="62" t="s">
        <v>5563</v>
      </c>
      <c r="E1596" s="58" t="s">
        <v>1491</v>
      </c>
      <c r="F1596" s="58" t="s">
        <v>198</v>
      </c>
    </row>
    <row r="1597" spans="2:6" ht="27">
      <c r="B1597" s="618">
        <v>43034</v>
      </c>
      <c r="C1597" s="61">
        <v>43009</v>
      </c>
      <c r="D1597" s="62" t="s">
        <v>5607</v>
      </c>
      <c r="E1597" s="58" t="s">
        <v>5</v>
      </c>
      <c r="F1597" s="58" t="s">
        <v>3510</v>
      </c>
    </row>
    <row r="1598" spans="2:6" ht="27">
      <c r="B1598" s="618">
        <v>43038</v>
      </c>
      <c r="C1598" s="61">
        <v>43009</v>
      </c>
      <c r="D1598" s="62" t="s">
        <v>5596</v>
      </c>
      <c r="E1598" s="58" t="s">
        <v>3423</v>
      </c>
      <c r="F1598" s="58" t="s">
        <v>576</v>
      </c>
    </row>
    <row r="1599" spans="2:6" ht="40.5">
      <c r="B1599" s="618">
        <v>43039</v>
      </c>
      <c r="C1599" s="61">
        <v>43009</v>
      </c>
      <c r="D1599" s="62" t="s">
        <v>5214</v>
      </c>
      <c r="E1599" s="58" t="s">
        <v>5</v>
      </c>
      <c r="F1599" s="58" t="s">
        <v>5215</v>
      </c>
    </row>
    <row r="1600" spans="2:6" ht="27">
      <c r="B1600" s="615">
        <v>43039</v>
      </c>
      <c r="C1600" s="302">
        <v>43009</v>
      </c>
      <c r="D1600" s="301" t="s">
        <v>4163</v>
      </c>
      <c r="E1600" s="297" t="s">
        <v>5</v>
      </c>
      <c r="F1600" s="297" t="s">
        <v>85</v>
      </c>
    </row>
    <row r="1601" spans="2:6" ht="27">
      <c r="B1601" s="618">
        <v>43042</v>
      </c>
      <c r="C1601" s="61">
        <v>43040</v>
      </c>
      <c r="D1601" s="62" t="s">
        <v>5564</v>
      </c>
      <c r="E1601" s="58" t="s">
        <v>625</v>
      </c>
      <c r="F1601" s="292" t="s">
        <v>3423</v>
      </c>
    </row>
    <row r="1602" spans="2:6" ht="27">
      <c r="B1602" s="618">
        <v>43042</v>
      </c>
      <c r="C1602" s="61">
        <v>43040</v>
      </c>
      <c r="D1602" s="62" t="s">
        <v>5578</v>
      </c>
      <c r="E1602" s="58" t="s">
        <v>625</v>
      </c>
      <c r="F1602" s="58" t="s">
        <v>3423</v>
      </c>
    </row>
    <row r="1603" spans="2:6" ht="27">
      <c r="B1603" s="618">
        <v>43046</v>
      </c>
      <c r="C1603" s="61">
        <v>43040</v>
      </c>
      <c r="D1603" s="62" t="s">
        <v>5768</v>
      </c>
      <c r="E1603" s="58" t="s">
        <v>576</v>
      </c>
      <c r="F1603" s="58" t="s">
        <v>4254</v>
      </c>
    </row>
    <row r="1604" spans="2:6" ht="27">
      <c r="B1604" s="618">
        <v>43046</v>
      </c>
      <c r="C1604" s="61">
        <v>43040</v>
      </c>
      <c r="D1604" s="62" t="s">
        <v>5783</v>
      </c>
      <c r="E1604" s="58" t="s">
        <v>625</v>
      </c>
      <c r="F1604" s="58" t="s">
        <v>3423</v>
      </c>
    </row>
    <row r="1605" spans="2:6" ht="27">
      <c r="B1605" s="615">
        <v>43046</v>
      </c>
      <c r="C1605" s="300">
        <v>43040</v>
      </c>
      <c r="D1605" s="301" t="s">
        <v>944</v>
      </c>
      <c r="E1605" s="297" t="s">
        <v>5</v>
      </c>
      <c r="F1605" s="297" t="s">
        <v>79</v>
      </c>
    </row>
    <row r="1606" spans="2:6" ht="27">
      <c r="B1606" s="618">
        <v>43046</v>
      </c>
      <c r="C1606" s="61">
        <v>43040</v>
      </c>
      <c r="D1606" s="62" t="s">
        <v>5473</v>
      </c>
      <c r="E1606" s="58" t="s">
        <v>625</v>
      </c>
      <c r="F1606" s="58" t="s">
        <v>3423</v>
      </c>
    </row>
    <row r="1607" spans="2:6" ht="27">
      <c r="B1607" s="618">
        <v>43046</v>
      </c>
      <c r="C1607" s="61">
        <v>43040</v>
      </c>
      <c r="D1607" s="62" t="s">
        <v>5483</v>
      </c>
      <c r="E1607" s="58" t="s">
        <v>625</v>
      </c>
      <c r="F1607" s="58" t="s">
        <v>3423</v>
      </c>
    </row>
    <row r="1608" spans="2:6" ht="27">
      <c r="B1608" s="618">
        <v>43046</v>
      </c>
      <c r="C1608" s="61">
        <v>43040</v>
      </c>
      <c r="D1608" s="62" t="s">
        <v>5523</v>
      </c>
      <c r="E1608" s="58" t="s">
        <v>625</v>
      </c>
      <c r="F1608" s="58" t="s">
        <v>3423</v>
      </c>
    </row>
    <row r="1609" spans="2:6" ht="27">
      <c r="B1609" s="618">
        <v>43046</v>
      </c>
      <c r="C1609" s="61">
        <v>43040</v>
      </c>
      <c r="D1609" s="62" t="s">
        <v>5527</v>
      </c>
      <c r="E1609" s="58" t="s">
        <v>625</v>
      </c>
      <c r="F1609" s="58" t="s">
        <v>3423</v>
      </c>
    </row>
    <row r="1610" spans="2:6" ht="27">
      <c r="B1610" s="618">
        <v>43046</v>
      </c>
      <c r="C1610" s="61">
        <v>43040</v>
      </c>
      <c r="D1610" s="62" t="s">
        <v>7023</v>
      </c>
      <c r="E1610" s="58" t="s">
        <v>625</v>
      </c>
      <c r="F1610" s="58" t="s">
        <v>3423</v>
      </c>
    </row>
    <row r="1611" spans="2:6" ht="27">
      <c r="B1611" s="617">
        <v>43048</v>
      </c>
      <c r="C1611" s="80">
        <v>43040</v>
      </c>
      <c r="D1611" s="79" t="s">
        <v>2197</v>
      </c>
      <c r="E1611" s="75" t="s">
        <v>5</v>
      </c>
      <c r="F1611" s="75" t="s">
        <v>85</v>
      </c>
    </row>
    <row r="1612" spans="2:6">
      <c r="B1612" s="618">
        <v>43051</v>
      </c>
      <c r="C1612" s="61">
        <v>43040</v>
      </c>
      <c r="D1612" s="62" t="s">
        <v>6124</v>
      </c>
      <c r="E1612" s="58" t="s">
        <v>171</v>
      </c>
      <c r="F1612" s="58" t="s">
        <v>1167</v>
      </c>
    </row>
    <row r="1613" spans="2:6" ht="27">
      <c r="B1613" s="618">
        <v>43053</v>
      </c>
      <c r="C1613" s="61">
        <v>43040</v>
      </c>
      <c r="D1613" s="62" t="s">
        <v>5597</v>
      </c>
      <c r="E1613" s="58" t="s">
        <v>195</v>
      </c>
      <c r="F1613" s="58" t="s">
        <v>1491</v>
      </c>
    </row>
    <row r="1614" spans="2:6" ht="27">
      <c r="B1614" s="619">
        <v>43053</v>
      </c>
      <c r="C1614" s="144">
        <v>43040</v>
      </c>
      <c r="D1614" s="145" t="s">
        <v>5662</v>
      </c>
      <c r="E1614" s="141" t="s">
        <v>5</v>
      </c>
      <c r="F1614" s="141" t="s">
        <v>5663</v>
      </c>
    </row>
    <row r="1615" spans="2:6" ht="27">
      <c r="B1615" s="618">
        <v>43053</v>
      </c>
      <c r="C1615" s="61">
        <v>43040</v>
      </c>
      <c r="D1615" s="62" t="s">
        <v>5673</v>
      </c>
      <c r="E1615" s="58" t="s">
        <v>63</v>
      </c>
      <c r="F1615" s="58" t="s">
        <v>79</v>
      </c>
    </row>
    <row r="1616" spans="2:6" ht="27">
      <c r="B1616" s="618">
        <v>43053</v>
      </c>
      <c r="C1616" s="61">
        <v>43040</v>
      </c>
      <c r="D1616" s="62" t="s">
        <v>4051</v>
      </c>
      <c r="E1616" s="58" t="s">
        <v>5</v>
      </c>
      <c r="F1616" s="58" t="s">
        <v>79</v>
      </c>
    </row>
    <row r="1617" spans="2:6" ht="27">
      <c r="B1617" s="618">
        <v>43054</v>
      </c>
      <c r="C1617" s="61">
        <v>43040</v>
      </c>
      <c r="D1617" s="62" t="s">
        <v>5635</v>
      </c>
      <c r="E1617" s="58" t="s">
        <v>625</v>
      </c>
      <c r="F1617" s="58" t="s">
        <v>4254</v>
      </c>
    </row>
    <row r="1618" spans="2:6" ht="27">
      <c r="B1618" s="618">
        <v>43054</v>
      </c>
      <c r="C1618" s="61">
        <v>43040</v>
      </c>
      <c r="D1618" s="62" t="s">
        <v>5643</v>
      </c>
      <c r="E1618" s="58" t="s">
        <v>625</v>
      </c>
      <c r="F1618" s="58" t="s">
        <v>4254</v>
      </c>
    </row>
    <row r="1619" spans="2:6" ht="27">
      <c r="B1619" s="618">
        <v>43054</v>
      </c>
      <c r="C1619" s="61">
        <v>43040</v>
      </c>
      <c r="D1619" s="62" t="s">
        <v>5652</v>
      </c>
      <c r="E1619" s="58" t="s">
        <v>208</v>
      </c>
      <c r="F1619" s="58" t="s">
        <v>5653</v>
      </c>
    </row>
    <row r="1620" spans="2:6" ht="27">
      <c r="B1620" s="618">
        <v>43055</v>
      </c>
      <c r="C1620" s="61">
        <v>43040</v>
      </c>
      <c r="D1620" s="62" t="s">
        <v>5762</v>
      </c>
      <c r="E1620" s="58" t="s">
        <v>576</v>
      </c>
      <c r="F1620" s="58" t="s">
        <v>4254</v>
      </c>
    </row>
    <row r="1621" spans="2:6" ht="27">
      <c r="B1621" s="618">
        <v>43055</v>
      </c>
      <c r="C1621" s="61">
        <v>43040</v>
      </c>
      <c r="D1621" s="62" t="s">
        <v>5644</v>
      </c>
      <c r="E1621" s="58" t="s">
        <v>625</v>
      </c>
      <c r="F1621" s="58" t="s">
        <v>4254</v>
      </c>
    </row>
    <row r="1622" spans="2:6" ht="27">
      <c r="B1622" s="618">
        <v>43056</v>
      </c>
      <c r="C1622" s="61">
        <v>43040</v>
      </c>
      <c r="D1622" s="62" t="s">
        <v>5510</v>
      </c>
      <c r="E1622" s="58" t="s">
        <v>625</v>
      </c>
      <c r="F1622" s="58" t="s">
        <v>3423</v>
      </c>
    </row>
    <row r="1623" spans="2:6" ht="27">
      <c r="B1623" s="622">
        <v>43056</v>
      </c>
      <c r="C1623" s="107">
        <v>43040</v>
      </c>
      <c r="D1623" s="108" t="s">
        <v>7024</v>
      </c>
      <c r="E1623" s="105" t="s">
        <v>7025</v>
      </c>
      <c r="F1623" s="105" t="s">
        <v>7026</v>
      </c>
    </row>
    <row r="1624" spans="2:6" ht="27">
      <c r="B1624" s="618">
        <v>43060</v>
      </c>
      <c r="C1624" s="61">
        <v>43040</v>
      </c>
      <c r="D1624" s="62" t="s">
        <v>5286</v>
      </c>
      <c r="E1624" s="58" t="s">
        <v>5</v>
      </c>
      <c r="F1624" s="58" t="s">
        <v>79</v>
      </c>
    </row>
    <row r="1625" spans="2:6" ht="27">
      <c r="B1625" s="616">
        <v>43060</v>
      </c>
      <c r="C1625" s="21">
        <v>43040</v>
      </c>
      <c r="D1625" s="22" t="s">
        <v>5679</v>
      </c>
      <c r="E1625" s="422" t="s">
        <v>5</v>
      </c>
      <c r="F1625" s="422" t="s">
        <v>5680</v>
      </c>
    </row>
    <row r="1626" spans="2:6" ht="27">
      <c r="B1626" s="618">
        <v>43060</v>
      </c>
      <c r="C1626" s="63">
        <v>43040</v>
      </c>
      <c r="D1626" s="62" t="s">
        <v>5248</v>
      </c>
      <c r="E1626" s="58" t="s">
        <v>5</v>
      </c>
      <c r="F1626" s="58" t="s">
        <v>79</v>
      </c>
    </row>
    <row r="1627" spans="2:6" ht="27">
      <c r="B1627" s="615">
        <v>43060</v>
      </c>
      <c r="C1627" s="300">
        <v>43040</v>
      </c>
      <c r="D1627" s="301" t="s">
        <v>7027</v>
      </c>
      <c r="E1627" s="297" t="s">
        <v>208</v>
      </c>
      <c r="F1627" s="297" t="s">
        <v>107</v>
      </c>
    </row>
    <row r="1628" spans="2:6" ht="27">
      <c r="B1628" s="615">
        <v>43061</v>
      </c>
      <c r="C1628" s="302">
        <v>43040</v>
      </c>
      <c r="D1628" s="301" t="s">
        <v>271</v>
      </c>
      <c r="E1628" s="297" t="s">
        <v>171</v>
      </c>
      <c r="F1628" s="297" t="s">
        <v>1393</v>
      </c>
    </row>
    <row r="1629" spans="2:6" ht="27">
      <c r="B1629" s="618">
        <v>43061</v>
      </c>
      <c r="C1629" s="61">
        <v>43040</v>
      </c>
      <c r="D1629" s="62" t="s">
        <v>3422</v>
      </c>
      <c r="E1629" s="58" t="s">
        <v>171</v>
      </c>
      <c r="F1629" s="58" t="s">
        <v>3423</v>
      </c>
    </row>
    <row r="1630" spans="2:6" ht="40.5">
      <c r="B1630" s="618">
        <v>43062</v>
      </c>
      <c r="C1630" s="63">
        <v>43040</v>
      </c>
      <c r="D1630" s="62" t="s">
        <v>5528</v>
      </c>
      <c r="E1630" s="58" t="s">
        <v>195</v>
      </c>
      <c r="F1630" s="58" t="s">
        <v>5529</v>
      </c>
    </row>
    <row r="1631" spans="2:6" ht="27">
      <c r="B1631" s="619">
        <v>43063</v>
      </c>
      <c r="C1631" s="144">
        <v>43040</v>
      </c>
      <c r="D1631" s="145" t="s">
        <v>5755</v>
      </c>
      <c r="E1631" s="141" t="s">
        <v>625</v>
      </c>
      <c r="F1631" s="141" t="s">
        <v>4254</v>
      </c>
    </row>
    <row r="1632" spans="2:6" ht="27">
      <c r="B1632" s="615">
        <v>43063</v>
      </c>
      <c r="C1632" s="300">
        <v>43040</v>
      </c>
      <c r="D1632" s="301" t="s">
        <v>7028</v>
      </c>
      <c r="E1632" s="297" t="s">
        <v>208</v>
      </c>
      <c r="F1632" s="297" t="s">
        <v>85</v>
      </c>
    </row>
    <row r="1633" spans="2:6" ht="40.5">
      <c r="B1633" s="615">
        <v>43066</v>
      </c>
      <c r="C1633" s="302">
        <v>43040</v>
      </c>
      <c r="D1633" s="301" t="s">
        <v>5194</v>
      </c>
      <c r="E1633" s="297" t="s">
        <v>5193</v>
      </c>
      <c r="F1633" s="297" t="s">
        <v>5195</v>
      </c>
    </row>
    <row r="1634" spans="2:6" ht="27">
      <c r="B1634" s="615">
        <v>43066</v>
      </c>
      <c r="C1634" s="300">
        <v>43040</v>
      </c>
      <c r="D1634" s="301" t="s">
        <v>1394</v>
      </c>
      <c r="E1634" s="297" t="s">
        <v>171</v>
      </c>
      <c r="F1634" s="297" t="s">
        <v>1000</v>
      </c>
    </row>
    <row r="1635" spans="2:6" ht="27">
      <c r="B1635" s="615">
        <v>43066</v>
      </c>
      <c r="C1635" s="300">
        <v>43040</v>
      </c>
      <c r="D1635" s="301" t="s">
        <v>999</v>
      </c>
      <c r="E1635" s="297" t="s">
        <v>171</v>
      </c>
      <c r="F1635" s="297" t="s">
        <v>1000</v>
      </c>
    </row>
    <row r="1636" spans="2:6" ht="27">
      <c r="B1636" s="615">
        <v>43066</v>
      </c>
      <c r="C1636" s="300">
        <v>43040</v>
      </c>
      <c r="D1636" s="301" t="s">
        <v>7029</v>
      </c>
      <c r="E1636" s="297" t="s">
        <v>63</v>
      </c>
      <c r="F1636" s="297" t="s">
        <v>7030</v>
      </c>
    </row>
    <row r="1637" spans="2:6" ht="27">
      <c r="B1637" s="618">
        <v>43067</v>
      </c>
      <c r="C1637" s="61">
        <v>43040</v>
      </c>
      <c r="D1637" s="62" t="s">
        <v>5587</v>
      </c>
      <c r="E1637" s="58" t="s">
        <v>625</v>
      </c>
      <c r="F1637" s="58" t="s">
        <v>3423</v>
      </c>
    </row>
    <row r="1638" spans="2:6" ht="27">
      <c r="B1638" s="618">
        <v>43067</v>
      </c>
      <c r="C1638" s="61">
        <v>43040</v>
      </c>
      <c r="D1638" s="62" t="s">
        <v>5636</v>
      </c>
      <c r="E1638" s="58" t="s">
        <v>625</v>
      </c>
      <c r="F1638" s="58" t="s">
        <v>3423</v>
      </c>
    </row>
    <row r="1639" spans="2:6" ht="27">
      <c r="B1639" s="618">
        <v>43067</v>
      </c>
      <c r="C1639" s="63">
        <v>43040</v>
      </c>
      <c r="D1639" s="62" t="s">
        <v>5588</v>
      </c>
      <c r="E1639" s="58" t="s">
        <v>198</v>
      </c>
      <c r="F1639" s="58" t="s">
        <v>1491</v>
      </c>
    </row>
    <row r="1640" spans="2:6" ht="27">
      <c r="B1640" s="618">
        <v>43067</v>
      </c>
      <c r="C1640" s="63">
        <v>43040</v>
      </c>
      <c r="D1640" s="62" t="s">
        <v>5645</v>
      </c>
      <c r="E1640" s="58" t="s">
        <v>625</v>
      </c>
      <c r="F1640" s="58" t="s">
        <v>3423</v>
      </c>
    </row>
    <row r="1641" spans="2:6" ht="27">
      <c r="B1641" s="622">
        <v>43067</v>
      </c>
      <c r="C1641" s="107">
        <v>43067</v>
      </c>
      <c r="D1641" s="108" t="s">
        <v>3292</v>
      </c>
      <c r="E1641" s="105" t="s">
        <v>3293</v>
      </c>
      <c r="F1641" s="105" t="s">
        <v>107</v>
      </c>
    </row>
    <row r="1642" spans="2:6" ht="27">
      <c r="B1642" s="615">
        <v>43068</v>
      </c>
      <c r="C1642" s="300">
        <v>43040</v>
      </c>
      <c r="D1642" s="301" t="s">
        <v>5192</v>
      </c>
      <c r="E1642" s="297" t="s">
        <v>5193</v>
      </c>
      <c r="F1642" s="297" t="s">
        <v>1114</v>
      </c>
    </row>
    <row r="1643" spans="2:6">
      <c r="B1643" s="618">
        <v>43069</v>
      </c>
      <c r="C1643" s="61">
        <v>43040</v>
      </c>
      <c r="D1643" s="62" t="s">
        <v>3254</v>
      </c>
      <c r="E1643" s="58" t="s">
        <v>5</v>
      </c>
      <c r="F1643" s="58" t="s">
        <v>169</v>
      </c>
    </row>
    <row r="1644" spans="2:6">
      <c r="B1644" s="618">
        <v>43069</v>
      </c>
      <c r="C1644" s="61">
        <v>43040</v>
      </c>
      <c r="D1644" s="62"/>
      <c r="E1644" s="58"/>
      <c r="F1644" s="58"/>
    </row>
    <row r="1645" spans="2:6" ht="27">
      <c r="B1645" s="618">
        <v>43069</v>
      </c>
      <c r="C1645" s="63">
        <v>43040</v>
      </c>
      <c r="D1645" s="62" t="s">
        <v>5474</v>
      </c>
      <c r="E1645" s="58" t="s">
        <v>195</v>
      </c>
      <c r="F1645" s="58" t="s">
        <v>4189</v>
      </c>
    </row>
    <row r="1646" spans="2:6" ht="27">
      <c r="B1646" s="618">
        <v>43069</v>
      </c>
      <c r="C1646" s="63">
        <v>43040</v>
      </c>
      <c r="D1646" s="62" t="s">
        <v>5524</v>
      </c>
      <c r="E1646" s="58" t="s">
        <v>195</v>
      </c>
      <c r="F1646" s="58" t="s">
        <v>4189</v>
      </c>
    </row>
    <row r="1647" spans="2:6" ht="27">
      <c r="B1647" s="618">
        <v>43069</v>
      </c>
      <c r="C1647" s="63">
        <v>43040</v>
      </c>
      <c r="D1647" s="62" t="s">
        <v>5565</v>
      </c>
      <c r="E1647" s="58" t="s">
        <v>195</v>
      </c>
      <c r="F1647" s="58" t="s">
        <v>4189</v>
      </c>
    </row>
    <row r="1648" spans="2:6" ht="27">
      <c r="B1648" s="618">
        <v>43069</v>
      </c>
      <c r="C1648" s="63">
        <v>43040</v>
      </c>
      <c r="D1648" s="62" t="s">
        <v>5579</v>
      </c>
      <c r="E1648" s="58" t="s">
        <v>195</v>
      </c>
      <c r="F1648" s="58" t="s">
        <v>1491</v>
      </c>
    </row>
    <row r="1649" spans="2:6" ht="27">
      <c r="B1649" s="615">
        <v>43069</v>
      </c>
      <c r="C1649" s="300">
        <v>43040</v>
      </c>
      <c r="D1649" s="301" t="s">
        <v>7031</v>
      </c>
      <c r="E1649" s="297" t="s">
        <v>581</v>
      </c>
      <c r="F1649" s="297" t="s">
        <v>7032</v>
      </c>
    </row>
    <row r="1650" spans="2:6" ht="40.5">
      <c r="B1650" s="618">
        <v>43069</v>
      </c>
      <c r="C1650" s="61">
        <v>43040</v>
      </c>
      <c r="D1650" s="117" t="s">
        <v>7033</v>
      </c>
      <c r="E1650" s="117" t="s">
        <v>1189</v>
      </c>
      <c r="F1650" s="117" t="s">
        <v>63</v>
      </c>
    </row>
    <row r="1651" spans="2:6" ht="27">
      <c r="B1651" s="618">
        <v>43069</v>
      </c>
      <c r="C1651" s="61">
        <v>43040</v>
      </c>
      <c r="D1651" s="62" t="s">
        <v>7034</v>
      </c>
      <c r="E1651" s="58" t="s">
        <v>195</v>
      </c>
      <c r="F1651" s="58" t="s">
        <v>4189</v>
      </c>
    </row>
    <row r="1652" spans="2:6" ht="27">
      <c r="B1652" s="618">
        <v>43069</v>
      </c>
      <c r="C1652" s="61">
        <v>43040</v>
      </c>
      <c r="D1652" s="62" t="s">
        <v>7035</v>
      </c>
      <c r="E1652" s="58" t="s">
        <v>195</v>
      </c>
      <c r="F1652" s="58" t="s">
        <v>4189</v>
      </c>
    </row>
    <row r="1653" spans="2:6" ht="27">
      <c r="B1653" s="618">
        <v>43070</v>
      </c>
      <c r="C1653" s="61">
        <v>43070</v>
      </c>
      <c r="D1653" s="62" t="s">
        <v>5699</v>
      </c>
      <c r="E1653" s="58" t="s">
        <v>5</v>
      </c>
      <c r="F1653" s="58" t="s">
        <v>3375</v>
      </c>
    </row>
    <row r="1654" spans="2:6" ht="27">
      <c r="B1654" s="618">
        <v>43070</v>
      </c>
      <c r="C1654" s="61">
        <v>43070</v>
      </c>
      <c r="D1654" s="62" t="s">
        <v>5711</v>
      </c>
      <c r="E1654" s="58" t="s">
        <v>5</v>
      </c>
      <c r="F1654" s="58" t="s">
        <v>570</v>
      </c>
    </row>
    <row r="1655" spans="2:6" ht="27">
      <c r="B1655" s="618">
        <v>43070</v>
      </c>
      <c r="C1655" s="61">
        <v>43070</v>
      </c>
      <c r="D1655" s="62" t="s">
        <v>5716</v>
      </c>
      <c r="E1655" s="58" t="s">
        <v>5</v>
      </c>
      <c r="F1655" s="58" t="s">
        <v>570</v>
      </c>
    </row>
    <row r="1656" spans="2:6" ht="27">
      <c r="B1656" s="618">
        <v>43070</v>
      </c>
      <c r="C1656" s="61">
        <v>43070</v>
      </c>
      <c r="D1656" s="62" t="s">
        <v>5455</v>
      </c>
      <c r="E1656" s="58" t="s">
        <v>5</v>
      </c>
      <c r="F1656" s="58" t="s">
        <v>3510</v>
      </c>
    </row>
    <row r="1657" spans="2:6" ht="27">
      <c r="B1657" s="618">
        <v>43070</v>
      </c>
      <c r="C1657" s="61">
        <v>43070</v>
      </c>
      <c r="D1657" s="62" t="s">
        <v>4031</v>
      </c>
      <c r="E1657" s="58" t="s">
        <v>5</v>
      </c>
      <c r="F1657" s="58" t="s">
        <v>570</v>
      </c>
    </row>
    <row r="1658" spans="2:6">
      <c r="B1658" s="617">
        <v>43070</v>
      </c>
      <c r="C1658" s="78">
        <v>43070</v>
      </c>
      <c r="D1658" s="79" t="s">
        <v>3345</v>
      </c>
      <c r="E1658" s="75" t="s">
        <v>3346</v>
      </c>
      <c r="F1658" s="75" t="s">
        <v>3347</v>
      </c>
    </row>
    <row r="1659" spans="2:6">
      <c r="B1659" s="615">
        <v>43073</v>
      </c>
      <c r="C1659" s="300">
        <v>43070</v>
      </c>
      <c r="D1659" s="301" t="s">
        <v>1671</v>
      </c>
      <c r="E1659" s="297" t="s">
        <v>63</v>
      </c>
      <c r="F1659" s="297" t="s">
        <v>287</v>
      </c>
    </row>
    <row r="1660" spans="2:6" ht="27">
      <c r="B1660" s="618">
        <v>43073</v>
      </c>
      <c r="C1660" s="61">
        <v>43070</v>
      </c>
      <c r="D1660" s="62" t="s">
        <v>5694</v>
      </c>
      <c r="E1660" s="58" t="s">
        <v>5</v>
      </c>
      <c r="F1660" s="58" t="s">
        <v>79</v>
      </c>
    </row>
    <row r="1661" spans="2:6">
      <c r="B1661" s="618">
        <v>43073</v>
      </c>
      <c r="C1661" s="61">
        <v>43070</v>
      </c>
      <c r="D1661" s="62" t="s">
        <v>2542</v>
      </c>
      <c r="E1661" s="164" t="s">
        <v>63</v>
      </c>
      <c r="F1661" s="58" t="s">
        <v>287</v>
      </c>
    </row>
    <row r="1662" spans="2:6" ht="27">
      <c r="B1662" s="617">
        <v>43073</v>
      </c>
      <c r="C1662" s="78">
        <v>43070</v>
      </c>
      <c r="D1662" s="79" t="s">
        <v>3018</v>
      </c>
      <c r="E1662" s="75" t="s">
        <v>5</v>
      </c>
      <c r="F1662" s="75" t="s">
        <v>3019</v>
      </c>
    </row>
    <row r="1663" spans="2:6" ht="40.5">
      <c r="B1663" s="617">
        <v>43073</v>
      </c>
      <c r="C1663" s="78">
        <v>43070</v>
      </c>
      <c r="D1663" s="79" t="s">
        <v>3028</v>
      </c>
      <c r="E1663" s="75" t="s">
        <v>63</v>
      </c>
      <c r="F1663" s="75" t="s">
        <v>3029</v>
      </c>
    </row>
    <row r="1664" spans="2:6" ht="27">
      <c r="B1664" s="617">
        <v>43073</v>
      </c>
      <c r="C1664" s="78">
        <v>43070</v>
      </c>
      <c r="D1664" s="79" t="s">
        <v>3034</v>
      </c>
      <c r="E1664" s="75" t="s">
        <v>63</v>
      </c>
      <c r="F1664" s="75" t="s">
        <v>3035</v>
      </c>
    </row>
    <row r="1665" spans="2:6" ht="27">
      <c r="B1665" s="616">
        <v>43073</v>
      </c>
      <c r="C1665" s="21">
        <v>43073</v>
      </c>
      <c r="D1665" s="22" t="s">
        <v>4842</v>
      </c>
      <c r="E1665" s="422" t="s">
        <v>63</v>
      </c>
      <c r="F1665" s="422" t="s">
        <v>4843</v>
      </c>
    </row>
    <row r="1666" spans="2:6" ht="27">
      <c r="B1666" s="617">
        <v>43073</v>
      </c>
      <c r="C1666" s="78">
        <v>43073</v>
      </c>
      <c r="D1666" s="79" t="s">
        <v>3533</v>
      </c>
      <c r="E1666" s="75" t="s">
        <v>3534</v>
      </c>
      <c r="F1666" s="75" t="s">
        <v>1114</v>
      </c>
    </row>
    <row r="1667" spans="2:6" ht="40.5">
      <c r="B1667" s="618">
        <v>43074</v>
      </c>
      <c r="C1667" s="61">
        <v>43070</v>
      </c>
      <c r="D1667" s="62" t="s">
        <v>5684</v>
      </c>
      <c r="E1667" s="58" t="s">
        <v>5</v>
      </c>
      <c r="F1667" s="58" t="s">
        <v>5685</v>
      </c>
    </row>
    <row r="1668" spans="2:6" ht="27">
      <c r="B1668" s="618">
        <v>43074</v>
      </c>
      <c r="C1668" s="61">
        <v>43074</v>
      </c>
      <c r="D1668" s="62" t="s">
        <v>5801</v>
      </c>
      <c r="E1668" s="58" t="s">
        <v>5</v>
      </c>
      <c r="F1668" s="58" t="s">
        <v>570</v>
      </c>
    </row>
    <row r="1669" spans="2:6">
      <c r="B1669" s="618">
        <v>43074</v>
      </c>
      <c r="C1669" s="61">
        <v>43070</v>
      </c>
      <c r="D1669" s="62" t="s">
        <v>5516</v>
      </c>
      <c r="E1669" s="58" t="s">
        <v>1997</v>
      </c>
      <c r="F1669" s="58" t="s">
        <v>777</v>
      </c>
    </row>
    <row r="1670" spans="2:6" ht="27">
      <c r="B1670" s="618">
        <v>43076</v>
      </c>
      <c r="C1670" s="63">
        <v>43070</v>
      </c>
      <c r="D1670" s="62" t="s">
        <v>5637</v>
      </c>
      <c r="E1670" s="58" t="s">
        <v>195</v>
      </c>
      <c r="F1670" s="58" t="s">
        <v>1491</v>
      </c>
    </row>
    <row r="1671" spans="2:6" ht="27">
      <c r="B1671" s="618">
        <v>43076</v>
      </c>
      <c r="C1671" s="61">
        <v>43070</v>
      </c>
      <c r="D1671" s="62" t="s">
        <v>5589</v>
      </c>
      <c r="E1671" s="58" t="s">
        <v>195</v>
      </c>
      <c r="F1671" s="58" t="s">
        <v>4920</v>
      </c>
    </row>
    <row r="1672" spans="2:6">
      <c r="B1672" s="618">
        <v>43076</v>
      </c>
      <c r="C1672" s="61">
        <v>43070</v>
      </c>
      <c r="D1672" s="62" t="s">
        <v>7036</v>
      </c>
      <c r="E1672" s="58" t="s">
        <v>171</v>
      </c>
      <c r="F1672" s="58" t="s">
        <v>777</v>
      </c>
    </row>
    <row r="1673" spans="2:6" ht="27">
      <c r="B1673" s="618">
        <v>43076</v>
      </c>
      <c r="C1673" s="61">
        <v>43076</v>
      </c>
      <c r="D1673" s="62" t="s">
        <v>5646</v>
      </c>
      <c r="E1673" s="58" t="s">
        <v>195</v>
      </c>
      <c r="F1673" s="58" t="s">
        <v>4920</v>
      </c>
    </row>
    <row r="1674" spans="2:6" ht="40.5">
      <c r="B1674" s="618">
        <v>43080</v>
      </c>
      <c r="C1674" s="61">
        <v>43070</v>
      </c>
      <c r="D1674" s="62" t="s">
        <v>5006</v>
      </c>
      <c r="E1674" s="58" t="s">
        <v>5</v>
      </c>
      <c r="F1674" s="58" t="s">
        <v>1189</v>
      </c>
    </row>
    <row r="1675" spans="2:6">
      <c r="B1675" s="618">
        <v>43081</v>
      </c>
      <c r="C1675" s="61">
        <v>43070</v>
      </c>
      <c r="D1675" s="62" t="s">
        <v>3486</v>
      </c>
      <c r="E1675" s="58" t="s">
        <v>171</v>
      </c>
      <c r="F1675" s="58" t="s">
        <v>2411</v>
      </c>
    </row>
    <row r="1676" spans="2:6" ht="27">
      <c r="B1676" s="616">
        <v>43082</v>
      </c>
      <c r="C1676" s="21">
        <v>43070</v>
      </c>
      <c r="D1676" s="22" t="s">
        <v>5729</v>
      </c>
      <c r="E1676" s="422" t="s">
        <v>171</v>
      </c>
      <c r="F1676" s="422" t="s">
        <v>3423</v>
      </c>
    </row>
    <row r="1677" spans="2:6" ht="27">
      <c r="B1677" s="618">
        <v>43082</v>
      </c>
      <c r="C1677" s="63">
        <v>43070</v>
      </c>
      <c r="D1677" s="62" t="s">
        <v>3469</v>
      </c>
      <c r="E1677" s="58" t="s">
        <v>208</v>
      </c>
      <c r="F1677" s="58" t="s">
        <v>2080</v>
      </c>
    </row>
    <row r="1678" spans="2:6">
      <c r="B1678" s="618">
        <v>43082</v>
      </c>
      <c r="C1678" s="61">
        <v>43070</v>
      </c>
      <c r="D1678" s="62" t="s">
        <v>4049</v>
      </c>
      <c r="E1678" s="58" t="s">
        <v>5</v>
      </c>
      <c r="F1678" s="58" t="s">
        <v>4050</v>
      </c>
    </row>
    <row r="1679" spans="2:6" ht="27">
      <c r="B1679" s="618">
        <v>43082</v>
      </c>
      <c r="C1679" s="61">
        <v>43070</v>
      </c>
      <c r="D1679" s="62" t="s">
        <v>3469</v>
      </c>
      <c r="E1679" s="58" t="s">
        <v>208</v>
      </c>
      <c r="F1679" s="58" t="s">
        <v>2080</v>
      </c>
    </row>
    <row r="1680" spans="2:6" ht="27">
      <c r="B1680" s="615">
        <v>43083</v>
      </c>
      <c r="C1680" s="300">
        <v>43083</v>
      </c>
      <c r="D1680" s="301" t="s">
        <v>1477</v>
      </c>
      <c r="E1680" s="297" t="s">
        <v>171</v>
      </c>
      <c r="F1680" s="297" t="s">
        <v>1939</v>
      </c>
    </row>
    <row r="1681" spans="2:6" ht="40.5">
      <c r="B1681" s="615">
        <v>43083</v>
      </c>
      <c r="C1681" s="300">
        <v>43083</v>
      </c>
      <c r="D1681" s="301" t="s">
        <v>1477</v>
      </c>
      <c r="E1681" s="297" t="s">
        <v>171</v>
      </c>
      <c r="F1681" s="297" t="s">
        <v>1478</v>
      </c>
    </row>
    <row r="1682" spans="2:6" ht="54">
      <c r="B1682" s="615">
        <v>43083</v>
      </c>
      <c r="C1682" s="300">
        <v>43070</v>
      </c>
      <c r="D1682" s="301" t="s">
        <v>1865</v>
      </c>
      <c r="E1682" s="297" t="s">
        <v>171</v>
      </c>
      <c r="F1682" s="297" t="s">
        <v>1866</v>
      </c>
    </row>
    <row r="1683" spans="2:6" ht="27">
      <c r="B1683" s="618">
        <v>43084</v>
      </c>
      <c r="C1683" s="63">
        <v>43070</v>
      </c>
      <c r="D1683" s="62" t="s">
        <v>4251</v>
      </c>
      <c r="E1683" s="58" t="s">
        <v>1997</v>
      </c>
      <c r="F1683" s="58" t="s">
        <v>1393</v>
      </c>
    </row>
    <row r="1684" spans="2:6" ht="27">
      <c r="B1684" s="618">
        <v>43087</v>
      </c>
      <c r="C1684" s="61">
        <v>43070</v>
      </c>
      <c r="D1684" s="62" t="s">
        <v>5722</v>
      </c>
      <c r="E1684" s="58" t="s">
        <v>625</v>
      </c>
      <c r="F1684" s="58" t="s">
        <v>3423</v>
      </c>
    </row>
    <row r="1685" spans="2:6" ht="27">
      <c r="B1685" s="617">
        <v>43087</v>
      </c>
      <c r="C1685" s="78">
        <v>43070</v>
      </c>
      <c r="D1685" s="79" t="s">
        <v>2235</v>
      </c>
      <c r="E1685" s="75" t="s">
        <v>208</v>
      </c>
      <c r="F1685" s="75" t="s">
        <v>107</v>
      </c>
    </row>
    <row r="1686" spans="2:6" ht="54">
      <c r="B1686" s="618">
        <v>43087</v>
      </c>
      <c r="C1686" s="61">
        <v>43070</v>
      </c>
      <c r="D1686" s="117" t="s">
        <v>7037</v>
      </c>
      <c r="E1686" s="117" t="s">
        <v>63</v>
      </c>
      <c r="F1686" s="117" t="s">
        <v>7038</v>
      </c>
    </row>
    <row r="1687" spans="2:6" ht="27">
      <c r="B1687" s="618">
        <v>43089</v>
      </c>
      <c r="C1687" s="61">
        <v>43070</v>
      </c>
      <c r="D1687" s="62" t="s">
        <v>5705</v>
      </c>
      <c r="E1687" s="58" t="s">
        <v>5</v>
      </c>
      <c r="F1687" s="58" t="s">
        <v>3375</v>
      </c>
    </row>
    <row r="1688" spans="2:6" ht="54">
      <c r="B1688" s="618">
        <v>43089</v>
      </c>
      <c r="C1688" s="61">
        <v>43070</v>
      </c>
      <c r="D1688" s="62" t="s">
        <v>3657</v>
      </c>
      <c r="E1688" s="58" t="s">
        <v>63</v>
      </c>
      <c r="F1688" s="58" t="s">
        <v>3658</v>
      </c>
    </row>
    <row r="1689" spans="2:6" ht="54">
      <c r="B1689" s="618">
        <v>43089</v>
      </c>
      <c r="C1689" s="61">
        <v>43070</v>
      </c>
      <c r="D1689" s="62" t="s">
        <v>4389</v>
      </c>
      <c r="E1689" s="58" t="s">
        <v>63</v>
      </c>
      <c r="F1689" s="58" t="s">
        <v>3658</v>
      </c>
    </row>
    <row r="1690" spans="2:6" ht="54">
      <c r="B1690" s="615">
        <v>43089</v>
      </c>
      <c r="C1690" s="300">
        <v>43070</v>
      </c>
      <c r="D1690" s="301" t="s">
        <v>5385</v>
      </c>
      <c r="E1690" s="297" t="s">
        <v>63</v>
      </c>
      <c r="F1690" s="297" t="s">
        <v>5378</v>
      </c>
    </row>
    <row r="1691" spans="2:6" ht="54">
      <c r="B1691" s="618">
        <v>43089</v>
      </c>
      <c r="C1691" s="63">
        <v>43070</v>
      </c>
      <c r="D1691" s="62" t="s">
        <v>5377</v>
      </c>
      <c r="E1691" s="58" t="s">
        <v>63</v>
      </c>
      <c r="F1691" s="58" t="s">
        <v>5378</v>
      </c>
    </row>
    <row r="1692" spans="2:6">
      <c r="B1692" s="615">
        <v>43089</v>
      </c>
      <c r="C1692" s="300">
        <v>43070</v>
      </c>
      <c r="D1692" s="301" t="s">
        <v>1111</v>
      </c>
      <c r="E1692" s="297"/>
      <c r="F1692" s="297"/>
    </row>
    <row r="1693" spans="2:6" ht="27">
      <c r="B1693" s="618">
        <v>43091</v>
      </c>
      <c r="C1693" s="61">
        <v>43070</v>
      </c>
      <c r="D1693" s="62" t="s">
        <v>5361</v>
      </c>
      <c r="E1693" s="58" t="s">
        <v>5</v>
      </c>
      <c r="F1693" s="58" t="s">
        <v>85</v>
      </c>
    </row>
    <row r="1694" spans="2:6" ht="27">
      <c r="B1694" s="615">
        <v>43091</v>
      </c>
      <c r="C1694" s="300">
        <v>43070</v>
      </c>
      <c r="D1694" s="301" t="s">
        <v>6023</v>
      </c>
      <c r="E1694" s="297" t="s">
        <v>63</v>
      </c>
      <c r="F1694" s="297" t="s">
        <v>79</v>
      </c>
    </row>
    <row r="1695" spans="2:6" ht="27">
      <c r="B1695" s="615">
        <v>43091</v>
      </c>
      <c r="C1695" s="300">
        <v>43070</v>
      </c>
      <c r="D1695" s="301" t="s">
        <v>1752</v>
      </c>
      <c r="E1695" s="297" t="s">
        <v>5</v>
      </c>
      <c r="F1695" s="297" t="s">
        <v>1753</v>
      </c>
    </row>
    <row r="1696" spans="2:6">
      <c r="B1696" s="614">
        <v>43091</v>
      </c>
      <c r="C1696" s="38">
        <v>43070</v>
      </c>
      <c r="D1696" s="39" t="s">
        <v>7039</v>
      </c>
      <c r="E1696" s="34" t="s">
        <v>1864</v>
      </c>
      <c r="F1696" s="34" t="s">
        <v>581</v>
      </c>
    </row>
    <row r="1697" spans="2:9" ht="27">
      <c r="B1697" s="615">
        <v>43093</v>
      </c>
      <c r="C1697" s="300">
        <v>43093</v>
      </c>
      <c r="D1697" s="301" t="s">
        <v>6218</v>
      </c>
      <c r="E1697" s="297" t="s">
        <v>171</v>
      </c>
      <c r="F1697" s="297" t="s">
        <v>1167</v>
      </c>
    </row>
    <row r="1698" spans="2:9" ht="27">
      <c r="B1698" s="618">
        <v>43096</v>
      </c>
      <c r="C1698" s="61">
        <v>43070</v>
      </c>
      <c r="D1698" s="62" t="s">
        <v>5268</v>
      </c>
      <c r="E1698" s="58" t="s">
        <v>63</v>
      </c>
      <c r="F1698" s="58" t="s">
        <v>79</v>
      </c>
    </row>
    <row r="1699" spans="2:9" ht="27">
      <c r="B1699" s="615">
        <v>43097</v>
      </c>
      <c r="C1699" s="300">
        <v>43070</v>
      </c>
      <c r="D1699" s="301" t="s">
        <v>599</v>
      </c>
      <c r="E1699" s="297" t="s">
        <v>63</v>
      </c>
      <c r="F1699" s="297" t="s">
        <v>85</v>
      </c>
    </row>
    <row r="1700" spans="2:9" ht="40.5">
      <c r="B1700" s="615">
        <v>43097</v>
      </c>
      <c r="C1700" s="300">
        <v>43070</v>
      </c>
      <c r="D1700" s="301" t="s">
        <v>1158</v>
      </c>
      <c r="E1700" s="297" t="s">
        <v>152</v>
      </c>
      <c r="F1700" s="297" t="s">
        <v>1159</v>
      </c>
    </row>
    <row r="1701" spans="2:9" ht="27">
      <c r="B1701" s="617">
        <v>43097</v>
      </c>
      <c r="C1701" s="78">
        <v>43070</v>
      </c>
      <c r="D1701" s="79" t="s">
        <v>3784</v>
      </c>
      <c r="E1701" s="75" t="s">
        <v>63</v>
      </c>
      <c r="F1701" s="75" t="s">
        <v>79</v>
      </c>
    </row>
    <row r="1702" spans="2:9" ht="40.5">
      <c r="B1702" s="618">
        <v>43097</v>
      </c>
      <c r="C1702" s="61">
        <v>43070</v>
      </c>
      <c r="D1702" s="62" t="s">
        <v>3982</v>
      </c>
      <c r="E1702" s="58" t="s">
        <v>63</v>
      </c>
      <c r="F1702" s="58" t="s">
        <v>3983</v>
      </c>
    </row>
    <row r="1703" spans="2:9" ht="27">
      <c r="B1703" s="618">
        <v>43097</v>
      </c>
      <c r="C1703" s="61">
        <v>43070</v>
      </c>
      <c r="D1703" s="62" t="s">
        <v>4594</v>
      </c>
      <c r="E1703" s="58" t="s">
        <v>63</v>
      </c>
      <c r="F1703" s="58" t="s">
        <v>79</v>
      </c>
    </row>
    <row r="1704" spans="2:9" ht="27">
      <c r="B1704" s="614">
        <v>43097</v>
      </c>
      <c r="C1704" s="38">
        <v>43070</v>
      </c>
      <c r="D1704" s="39" t="s">
        <v>7040</v>
      </c>
      <c r="E1704" s="34" t="s">
        <v>152</v>
      </c>
      <c r="F1704" s="34" t="s">
        <v>7041</v>
      </c>
    </row>
    <row r="1705" spans="2:9" ht="27">
      <c r="B1705" s="615">
        <v>43098</v>
      </c>
      <c r="C1705" s="302">
        <v>43070</v>
      </c>
      <c r="D1705" s="301" t="s">
        <v>1672</v>
      </c>
      <c r="E1705" s="297" t="s">
        <v>103</v>
      </c>
      <c r="F1705" s="297" t="s">
        <v>1673</v>
      </c>
    </row>
    <row r="1706" spans="2:9" ht="40.5">
      <c r="B1706" s="618">
        <v>43104</v>
      </c>
      <c r="C1706" s="61">
        <v>43101</v>
      </c>
      <c r="D1706" s="62" t="s">
        <v>5746</v>
      </c>
      <c r="E1706" s="58" t="s">
        <v>5</v>
      </c>
      <c r="F1706" s="58" t="s">
        <v>5747</v>
      </c>
    </row>
    <row r="1707" spans="2:9" ht="27">
      <c r="B1707" s="615">
        <v>43104</v>
      </c>
      <c r="C1707" s="300">
        <v>43101</v>
      </c>
      <c r="D1707" s="301" t="s">
        <v>5618</v>
      </c>
      <c r="E1707" s="297" t="s">
        <v>5619</v>
      </c>
      <c r="F1707" s="297" t="s">
        <v>3939</v>
      </c>
    </row>
    <row r="1708" spans="2:9" ht="27">
      <c r="B1708" s="615">
        <v>43109</v>
      </c>
      <c r="C1708" s="300">
        <v>43101</v>
      </c>
      <c r="D1708" s="301" t="s">
        <v>7042</v>
      </c>
      <c r="E1708" s="297" t="s">
        <v>208</v>
      </c>
      <c r="F1708" s="297" t="s">
        <v>107</v>
      </c>
    </row>
    <row r="1709" spans="2:9" ht="27">
      <c r="B1709" s="618">
        <v>43112</v>
      </c>
      <c r="C1709" s="61">
        <v>43101</v>
      </c>
      <c r="D1709" s="62" t="s">
        <v>5824</v>
      </c>
      <c r="E1709" s="58" t="s">
        <v>625</v>
      </c>
      <c r="F1709" s="58" t="s">
        <v>4254</v>
      </c>
    </row>
    <row r="1710" spans="2:9" ht="27">
      <c r="B1710" s="618">
        <v>43116</v>
      </c>
      <c r="C1710" s="61">
        <v>43101</v>
      </c>
      <c r="D1710" s="62" t="s">
        <v>5990</v>
      </c>
      <c r="E1710" s="58" t="s">
        <v>5</v>
      </c>
      <c r="F1710" s="58" t="s">
        <v>79</v>
      </c>
      <c r="I1710" t="s">
        <v>7434</v>
      </c>
    </row>
    <row r="1711" spans="2:9">
      <c r="B1711" s="615">
        <v>43116</v>
      </c>
      <c r="C1711" s="300">
        <v>43101</v>
      </c>
      <c r="D1711" s="301" t="s">
        <v>2301</v>
      </c>
      <c r="E1711" s="297" t="s">
        <v>286</v>
      </c>
      <c r="F1711" s="297" t="s">
        <v>131</v>
      </c>
    </row>
    <row r="1712" spans="2:9" ht="27">
      <c r="B1712" s="615">
        <v>43116</v>
      </c>
      <c r="C1712" s="302">
        <v>43101</v>
      </c>
      <c r="D1712" s="301" t="s">
        <v>1474</v>
      </c>
      <c r="E1712" s="297" t="s">
        <v>5</v>
      </c>
      <c r="F1712" s="297" t="s">
        <v>107</v>
      </c>
    </row>
    <row r="1713" spans="2:6">
      <c r="B1713" s="615">
        <v>43116</v>
      </c>
      <c r="C1713" s="300">
        <v>43101</v>
      </c>
      <c r="D1713" s="301" t="s">
        <v>965</v>
      </c>
      <c r="E1713" s="297" t="s">
        <v>5</v>
      </c>
      <c r="F1713" s="297" t="s">
        <v>582</v>
      </c>
    </row>
    <row r="1714" spans="2:6" ht="40.5">
      <c r="B1714" s="615">
        <v>43116</v>
      </c>
      <c r="C1714" s="300">
        <v>43101</v>
      </c>
      <c r="D1714" s="301" t="s">
        <v>965</v>
      </c>
      <c r="E1714" s="297" t="s">
        <v>5</v>
      </c>
      <c r="F1714" s="297" t="s">
        <v>966</v>
      </c>
    </row>
    <row r="1715" spans="2:6" ht="40.5">
      <c r="B1715" s="615">
        <v>43116</v>
      </c>
      <c r="C1715" s="300">
        <v>43101</v>
      </c>
      <c r="D1715" s="301" t="s">
        <v>7043</v>
      </c>
      <c r="E1715" s="297" t="s">
        <v>5</v>
      </c>
      <c r="F1715" s="297" t="s">
        <v>7044</v>
      </c>
    </row>
    <row r="1716" spans="2:6" ht="40.5">
      <c r="B1716" s="615">
        <v>43116</v>
      </c>
      <c r="C1716" s="300">
        <v>43101</v>
      </c>
      <c r="D1716" s="301" t="s">
        <v>965</v>
      </c>
      <c r="E1716" s="297" t="s">
        <v>5</v>
      </c>
      <c r="F1716" s="297" t="s">
        <v>966</v>
      </c>
    </row>
    <row r="1717" spans="2:6" ht="27">
      <c r="B1717" s="618">
        <v>43117</v>
      </c>
      <c r="C1717" s="61">
        <v>43101</v>
      </c>
      <c r="D1717" s="62" t="s">
        <v>5811</v>
      </c>
      <c r="E1717" s="58" t="s">
        <v>625</v>
      </c>
      <c r="F1717" s="58" t="s">
        <v>4254</v>
      </c>
    </row>
    <row r="1718" spans="2:6" ht="27">
      <c r="B1718" s="618">
        <v>43117</v>
      </c>
      <c r="C1718" s="61">
        <v>43101</v>
      </c>
      <c r="D1718" s="62" t="s">
        <v>5802</v>
      </c>
      <c r="E1718" s="58" t="s">
        <v>171</v>
      </c>
      <c r="F1718" s="58" t="s">
        <v>4254</v>
      </c>
    </row>
    <row r="1719" spans="2:6" ht="27">
      <c r="B1719" s="617">
        <v>43118</v>
      </c>
      <c r="C1719" s="78">
        <v>43101</v>
      </c>
      <c r="D1719" s="79" t="s">
        <v>7045</v>
      </c>
      <c r="E1719" s="75" t="s">
        <v>5</v>
      </c>
      <c r="F1719" s="75" t="s">
        <v>7046</v>
      </c>
    </row>
    <row r="1720" spans="2:6" ht="27">
      <c r="B1720" s="618">
        <v>43119</v>
      </c>
      <c r="C1720" s="61">
        <v>43160</v>
      </c>
      <c r="D1720" s="62" t="s">
        <v>6328</v>
      </c>
      <c r="E1720" s="58" t="s">
        <v>5</v>
      </c>
      <c r="F1720" s="58" t="s">
        <v>79</v>
      </c>
    </row>
    <row r="1721" spans="2:6" ht="27">
      <c r="B1721" s="618">
        <v>43119</v>
      </c>
      <c r="C1721" s="63">
        <v>43101</v>
      </c>
      <c r="D1721" s="62" t="s">
        <v>2486</v>
      </c>
      <c r="E1721" s="58" t="s">
        <v>208</v>
      </c>
      <c r="F1721" s="58" t="s">
        <v>85</v>
      </c>
    </row>
    <row r="1722" spans="2:6">
      <c r="B1722" s="615">
        <v>43119</v>
      </c>
      <c r="C1722" s="300">
        <v>43101</v>
      </c>
      <c r="D1722" s="301" t="s">
        <v>980</v>
      </c>
      <c r="E1722" s="297" t="s">
        <v>286</v>
      </c>
      <c r="F1722" s="297" t="s">
        <v>169</v>
      </c>
    </row>
    <row r="1723" spans="2:6">
      <c r="B1723" s="615">
        <v>43119</v>
      </c>
      <c r="C1723" s="300">
        <v>43101</v>
      </c>
      <c r="D1723" s="301" t="s">
        <v>980</v>
      </c>
      <c r="E1723" s="297" t="s">
        <v>5</v>
      </c>
      <c r="F1723" s="297" t="s">
        <v>169</v>
      </c>
    </row>
    <row r="1724" spans="2:6" ht="27">
      <c r="B1724" s="615">
        <v>43121</v>
      </c>
      <c r="C1724" s="300">
        <v>43101</v>
      </c>
      <c r="D1724" s="301" t="s">
        <v>983</v>
      </c>
      <c r="E1724" s="297" t="s">
        <v>5</v>
      </c>
      <c r="F1724" s="297" t="s">
        <v>984</v>
      </c>
    </row>
    <row r="1725" spans="2:6" ht="27">
      <c r="B1725" s="615">
        <v>43122</v>
      </c>
      <c r="C1725" s="300">
        <v>43101</v>
      </c>
      <c r="D1725" s="301" t="s">
        <v>449</v>
      </c>
      <c r="E1725" s="297" t="s">
        <v>5</v>
      </c>
      <c r="F1725" s="297" t="s">
        <v>450</v>
      </c>
    </row>
    <row r="1726" spans="2:6">
      <c r="B1726" s="617">
        <v>43122</v>
      </c>
      <c r="C1726" s="78">
        <v>43101</v>
      </c>
      <c r="D1726" s="79" t="s">
        <v>3799</v>
      </c>
      <c r="E1726" s="75" t="s">
        <v>5</v>
      </c>
      <c r="F1726" s="75" t="s">
        <v>1213</v>
      </c>
    </row>
    <row r="1727" spans="2:6" ht="27">
      <c r="B1727" s="615">
        <v>43122</v>
      </c>
      <c r="C1727" s="300">
        <v>43101</v>
      </c>
      <c r="D1727" s="301" t="s">
        <v>7047</v>
      </c>
      <c r="E1727" s="297" t="s">
        <v>171</v>
      </c>
      <c r="F1727" s="297"/>
    </row>
    <row r="1728" spans="2:6" ht="27">
      <c r="B1728" s="617">
        <v>43122</v>
      </c>
      <c r="C1728" s="78">
        <v>43101</v>
      </c>
      <c r="D1728" s="79" t="s">
        <v>7048</v>
      </c>
      <c r="E1728" s="75" t="s">
        <v>63</v>
      </c>
      <c r="F1728" s="75" t="s">
        <v>1753</v>
      </c>
    </row>
    <row r="1729" spans="2:6" ht="27">
      <c r="B1729" s="618">
        <v>43123</v>
      </c>
      <c r="C1729" s="61">
        <v>43101</v>
      </c>
      <c r="D1729" s="62" t="s">
        <v>5834</v>
      </c>
      <c r="E1729" s="58" t="s">
        <v>625</v>
      </c>
      <c r="F1729" s="58" t="s">
        <v>1393</v>
      </c>
    </row>
    <row r="1730" spans="2:6" ht="54">
      <c r="B1730" s="615">
        <v>43123</v>
      </c>
      <c r="C1730" s="300">
        <v>43101</v>
      </c>
      <c r="D1730" s="301" t="s">
        <v>1575</v>
      </c>
      <c r="E1730" s="297" t="s">
        <v>5</v>
      </c>
      <c r="F1730" s="297" t="s">
        <v>1623</v>
      </c>
    </row>
    <row r="1731" spans="2:6" ht="54">
      <c r="B1731" s="615">
        <v>43123</v>
      </c>
      <c r="C1731" s="300">
        <v>43101</v>
      </c>
      <c r="D1731" s="301" t="s">
        <v>1575</v>
      </c>
      <c r="E1731" s="297" t="s">
        <v>5</v>
      </c>
      <c r="F1731" s="297" t="s">
        <v>1623</v>
      </c>
    </row>
    <row r="1732" spans="2:6" ht="54">
      <c r="B1732" s="615">
        <v>43123</v>
      </c>
      <c r="C1732" s="300">
        <v>43101</v>
      </c>
      <c r="D1732" s="301" t="s">
        <v>1575</v>
      </c>
      <c r="E1732" s="297" t="s">
        <v>5</v>
      </c>
      <c r="F1732" s="297" t="s">
        <v>1576</v>
      </c>
    </row>
    <row r="1733" spans="2:6" ht="40.5">
      <c r="B1733" s="618">
        <v>43124</v>
      </c>
      <c r="C1733" s="61">
        <v>43101</v>
      </c>
      <c r="D1733" s="62" t="s">
        <v>6259</v>
      </c>
      <c r="E1733" s="58" t="s">
        <v>1493</v>
      </c>
      <c r="F1733" s="58" t="s">
        <v>6212</v>
      </c>
    </row>
    <row r="1734" spans="2:6" ht="27">
      <c r="B1734" s="615">
        <v>43124</v>
      </c>
      <c r="C1734" s="300">
        <v>43101</v>
      </c>
      <c r="D1734" s="301" t="s">
        <v>981</v>
      </c>
      <c r="E1734" s="297" t="s">
        <v>5</v>
      </c>
      <c r="F1734" s="297" t="s">
        <v>982</v>
      </c>
    </row>
    <row r="1735" spans="2:6" ht="27">
      <c r="B1735" s="617">
        <v>43124</v>
      </c>
      <c r="C1735" s="78">
        <v>43101</v>
      </c>
      <c r="D1735" s="79" t="s">
        <v>7049</v>
      </c>
      <c r="E1735" s="75" t="s">
        <v>208</v>
      </c>
      <c r="F1735" s="75" t="s">
        <v>107</v>
      </c>
    </row>
    <row r="1736" spans="2:6" ht="27">
      <c r="B1736" s="618">
        <v>43125</v>
      </c>
      <c r="C1736" s="61">
        <v>43101</v>
      </c>
      <c r="D1736" s="62" t="s">
        <v>2604</v>
      </c>
      <c r="E1736" s="58" t="s">
        <v>208</v>
      </c>
      <c r="F1736" s="58" t="s">
        <v>85</v>
      </c>
    </row>
    <row r="1737" spans="2:6" ht="27">
      <c r="B1737" s="617">
        <v>43125</v>
      </c>
      <c r="C1737" s="78">
        <v>43101</v>
      </c>
      <c r="D1737" s="79" t="s">
        <v>7050</v>
      </c>
      <c r="E1737" s="75" t="s">
        <v>503</v>
      </c>
      <c r="F1737" s="75" t="s">
        <v>1114</v>
      </c>
    </row>
    <row r="1738" spans="2:6" ht="27">
      <c r="B1738" s="618">
        <v>43126</v>
      </c>
      <c r="C1738" s="63">
        <v>43101</v>
      </c>
      <c r="D1738" s="62" t="s">
        <v>5255</v>
      </c>
      <c r="E1738" s="58" t="s">
        <v>5</v>
      </c>
      <c r="F1738" s="58" t="s">
        <v>570</v>
      </c>
    </row>
    <row r="1739" spans="2:6" ht="27">
      <c r="B1739" s="618">
        <v>43126</v>
      </c>
      <c r="C1739" s="61">
        <v>43101</v>
      </c>
      <c r="D1739" s="62" t="s">
        <v>5549</v>
      </c>
      <c r="E1739" s="58" t="s">
        <v>5</v>
      </c>
      <c r="F1739" s="58" t="s">
        <v>107</v>
      </c>
    </row>
    <row r="1740" spans="2:6" ht="27">
      <c r="B1740" s="618">
        <v>43126</v>
      </c>
      <c r="C1740" s="61">
        <v>43101</v>
      </c>
      <c r="D1740" s="62" t="s">
        <v>3424</v>
      </c>
      <c r="E1740" s="58" t="s">
        <v>5</v>
      </c>
      <c r="F1740" s="58" t="s">
        <v>570</v>
      </c>
    </row>
    <row r="1741" spans="2:6" ht="54">
      <c r="B1741" s="617">
        <v>43126</v>
      </c>
      <c r="C1741" s="78">
        <v>43101</v>
      </c>
      <c r="D1741" s="79" t="s">
        <v>7051</v>
      </c>
      <c r="E1741" s="75" t="s">
        <v>7052</v>
      </c>
      <c r="F1741" s="75" t="s">
        <v>7053</v>
      </c>
    </row>
    <row r="1742" spans="2:6" ht="27">
      <c r="B1742" s="615">
        <v>43129</v>
      </c>
      <c r="C1742" s="300">
        <v>43101</v>
      </c>
      <c r="D1742" s="301" t="s">
        <v>422</v>
      </c>
      <c r="E1742" s="297" t="s">
        <v>208</v>
      </c>
      <c r="F1742" s="297" t="s">
        <v>423</v>
      </c>
    </row>
    <row r="1743" spans="2:6" ht="27">
      <c r="B1743" s="615">
        <v>43129</v>
      </c>
      <c r="C1743" s="300">
        <v>43101</v>
      </c>
      <c r="D1743" s="301" t="s">
        <v>3727</v>
      </c>
      <c r="E1743" s="297" t="s">
        <v>5</v>
      </c>
      <c r="F1743" s="297" t="s">
        <v>85</v>
      </c>
    </row>
    <row r="1744" spans="2:6" ht="54">
      <c r="B1744" s="617">
        <v>43129</v>
      </c>
      <c r="C1744" s="78">
        <v>43101</v>
      </c>
      <c r="D1744" s="79" t="s">
        <v>7054</v>
      </c>
      <c r="E1744" s="75" t="s">
        <v>63</v>
      </c>
      <c r="F1744" s="75" t="s">
        <v>1623</v>
      </c>
    </row>
    <row r="1745" spans="2:6" ht="27">
      <c r="B1745" s="618">
        <v>43130</v>
      </c>
      <c r="C1745" s="61">
        <v>43101</v>
      </c>
      <c r="D1745" s="62" t="s">
        <v>5812</v>
      </c>
      <c r="E1745" s="58" t="s">
        <v>5813</v>
      </c>
      <c r="F1745" s="58" t="s">
        <v>3974</v>
      </c>
    </row>
    <row r="1746" spans="2:6" ht="27">
      <c r="B1746" s="615">
        <v>43130</v>
      </c>
      <c r="C1746" s="300">
        <v>43101</v>
      </c>
      <c r="D1746" s="301" t="s">
        <v>1624</v>
      </c>
      <c r="E1746" s="297" t="s">
        <v>5</v>
      </c>
      <c r="F1746" s="297" t="s">
        <v>1625</v>
      </c>
    </row>
    <row r="1747" spans="2:6" ht="27">
      <c r="B1747" s="618">
        <v>43131</v>
      </c>
      <c r="C1747" s="61">
        <v>43101</v>
      </c>
      <c r="D1747" s="62" t="s">
        <v>5973</v>
      </c>
      <c r="E1747" s="58" t="s">
        <v>5974</v>
      </c>
      <c r="F1747" s="58" t="s">
        <v>5975</v>
      </c>
    </row>
    <row r="1748" spans="2:6" ht="27">
      <c r="B1748" s="618">
        <v>43131</v>
      </c>
      <c r="C1748" s="61">
        <v>43101</v>
      </c>
      <c r="D1748" s="62" t="s">
        <v>6027</v>
      </c>
      <c r="E1748" s="58" t="s">
        <v>625</v>
      </c>
      <c r="F1748" s="58" t="s">
        <v>2395</v>
      </c>
    </row>
    <row r="1749" spans="2:6" ht="27">
      <c r="B1749" s="618">
        <v>43131</v>
      </c>
      <c r="C1749" s="61">
        <v>43101</v>
      </c>
      <c r="D1749" s="62" t="s">
        <v>5825</v>
      </c>
      <c r="E1749" s="58" t="s">
        <v>625</v>
      </c>
      <c r="F1749" s="58" t="s">
        <v>3423</v>
      </c>
    </row>
    <row r="1750" spans="2:6" ht="27">
      <c r="B1750" s="619">
        <v>43131</v>
      </c>
      <c r="C1750" s="146">
        <v>43101</v>
      </c>
      <c r="D1750" s="145" t="s">
        <v>5664</v>
      </c>
      <c r="E1750" s="141" t="s">
        <v>5</v>
      </c>
      <c r="F1750" s="141" t="s">
        <v>5665</v>
      </c>
    </row>
    <row r="1751" spans="2:6" ht="27">
      <c r="B1751" s="617">
        <v>43131</v>
      </c>
      <c r="C1751" s="78">
        <v>43101</v>
      </c>
      <c r="D1751" s="79" t="s">
        <v>3897</v>
      </c>
      <c r="E1751" s="75" t="s">
        <v>5</v>
      </c>
      <c r="F1751" s="75" t="s">
        <v>1753</v>
      </c>
    </row>
    <row r="1752" spans="2:6" ht="81">
      <c r="B1752" s="618">
        <v>43131</v>
      </c>
      <c r="C1752" s="61">
        <v>43101</v>
      </c>
      <c r="D1752" s="62" t="s">
        <v>5825</v>
      </c>
      <c r="E1752" s="58" t="s">
        <v>625</v>
      </c>
      <c r="F1752" s="58" t="s">
        <v>5828</v>
      </c>
    </row>
    <row r="1753" spans="2:6" ht="40.5">
      <c r="B1753" s="618">
        <v>43132</v>
      </c>
      <c r="C1753" s="61">
        <v>43132</v>
      </c>
      <c r="D1753" s="62" t="s">
        <v>6245</v>
      </c>
      <c r="E1753" s="58" t="s">
        <v>1493</v>
      </c>
      <c r="F1753" s="58" t="s">
        <v>6212</v>
      </c>
    </row>
    <row r="1754" spans="2:6" ht="27">
      <c r="B1754" s="615">
        <v>43133</v>
      </c>
      <c r="C1754" s="302">
        <v>43132</v>
      </c>
      <c r="D1754" s="301" t="s">
        <v>1708</v>
      </c>
      <c r="E1754" s="297" t="s">
        <v>5</v>
      </c>
      <c r="F1754" s="297" t="s">
        <v>1114</v>
      </c>
    </row>
    <row r="1755" spans="2:6" ht="27">
      <c r="B1755" s="615">
        <v>43133</v>
      </c>
      <c r="C1755" s="300">
        <v>43132</v>
      </c>
      <c r="D1755" s="301" t="s">
        <v>2916</v>
      </c>
      <c r="E1755" s="297" t="s">
        <v>208</v>
      </c>
      <c r="F1755" s="297" t="s">
        <v>1114</v>
      </c>
    </row>
    <row r="1756" spans="2:6" ht="27">
      <c r="B1756" s="615">
        <v>43136</v>
      </c>
      <c r="C1756" s="302">
        <v>43132</v>
      </c>
      <c r="D1756" s="301" t="s">
        <v>2891</v>
      </c>
      <c r="E1756" s="297" t="s">
        <v>208</v>
      </c>
      <c r="F1756" s="297" t="s">
        <v>1114</v>
      </c>
    </row>
    <row r="1757" spans="2:6" ht="27">
      <c r="B1757" s="615">
        <v>43136</v>
      </c>
      <c r="C1757" s="300">
        <v>43132</v>
      </c>
      <c r="D1757" s="301" t="s">
        <v>2915</v>
      </c>
      <c r="E1757" s="297" t="s">
        <v>5</v>
      </c>
      <c r="F1757" s="297" t="s">
        <v>1114</v>
      </c>
    </row>
    <row r="1758" spans="2:6">
      <c r="B1758" s="615">
        <v>43136</v>
      </c>
      <c r="C1758" s="300">
        <v>43132</v>
      </c>
      <c r="D1758" s="301" t="s">
        <v>7055</v>
      </c>
      <c r="E1758" s="297" t="s">
        <v>63</v>
      </c>
      <c r="F1758" s="297" t="s">
        <v>582</v>
      </c>
    </row>
    <row r="1759" spans="2:6" ht="27">
      <c r="B1759" s="617">
        <v>43136</v>
      </c>
      <c r="C1759" s="78">
        <v>43132</v>
      </c>
      <c r="D1759" s="79" t="s">
        <v>7056</v>
      </c>
      <c r="E1759" s="75" t="s">
        <v>208</v>
      </c>
      <c r="F1759" s="75" t="s">
        <v>79</v>
      </c>
    </row>
    <row r="1760" spans="2:6" ht="27">
      <c r="B1760" s="618">
        <v>43137</v>
      </c>
      <c r="C1760" s="63">
        <v>43132</v>
      </c>
      <c r="D1760" s="62" t="s">
        <v>5216</v>
      </c>
      <c r="E1760" s="58" t="s">
        <v>5</v>
      </c>
      <c r="F1760" s="58" t="s">
        <v>107</v>
      </c>
    </row>
    <row r="1761" spans="2:6" ht="27">
      <c r="B1761" s="617">
        <v>43137</v>
      </c>
      <c r="C1761" s="78">
        <v>43132</v>
      </c>
      <c r="D1761" s="79" t="s">
        <v>3135</v>
      </c>
      <c r="E1761" s="75" t="s">
        <v>286</v>
      </c>
      <c r="F1761" s="75" t="s">
        <v>107</v>
      </c>
    </row>
    <row r="1762" spans="2:6" ht="40.5">
      <c r="B1762" s="615">
        <v>43138</v>
      </c>
      <c r="C1762" s="300">
        <v>43132</v>
      </c>
      <c r="D1762" s="301" t="s">
        <v>1270</v>
      </c>
      <c r="E1762" s="297" t="s">
        <v>171</v>
      </c>
      <c r="F1762" s="297" t="s">
        <v>1271</v>
      </c>
    </row>
    <row r="1763" spans="2:6" ht="40.5">
      <c r="B1763" s="615">
        <v>43138</v>
      </c>
      <c r="C1763" s="300">
        <v>43132</v>
      </c>
      <c r="D1763" s="301" t="s">
        <v>1595</v>
      </c>
      <c r="E1763" s="297" t="s">
        <v>171</v>
      </c>
      <c r="F1763" s="297" t="s">
        <v>1271</v>
      </c>
    </row>
    <row r="1764" spans="2:6" ht="54">
      <c r="B1764" s="615">
        <v>43138</v>
      </c>
      <c r="C1764" s="300">
        <v>43132</v>
      </c>
      <c r="D1764" s="301" t="s">
        <v>2321</v>
      </c>
      <c r="E1764" s="297" t="s">
        <v>5</v>
      </c>
      <c r="F1764" s="297" t="s">
        <v>2322</v>
      </c>
    </row>
    <row r="1765" spans="2:6" ht="27">
      <c r="B1765" s="617">
        <v>43138</v>
      </c>
      <c r="C1765" s="78">
        <v>43132</v>
      </c>
      <c r="D1765" s="79" t="s">
        <v>3463</v>
      </c>
      <c r="E1765" s="75" t="s">
        <v>5</v>
      </c>
      <c r="F1765" s="75" t="s">
        <v>2080</v>
      </c>
    </row>
    <row r="1766" spans="2:6" ht="27">
      <c r="B1766" s="615">
        <v>43139</v>
      </c>
      <c r="C1766" s="302">
        <v>43132</v>
      </c>
      <c r="D1766" s="301" t="s">
        <v>1372</v>
      </c>
      <c r="E1766" s="297" t="s">
        <v>208</v>
      </c>
      <c r="F1766" s="297" t="s">
        <v>107</v>
      </c>
    </row>
    <row r="1767" spans="2:6" ht="27">
      <c r="B1767" s="615">
        <v>43139</v>
      </c>
      <c r="C1767" s="300">
        <v>43132</v>
      </c>
      <c r="D1767" s="301" t="s">
        <v>3569</v>
      </c>
      <c r="E1767" s="297" t="s">
        <v>5</v>
      </c>
      <c r="F1767" s="297" t="s">
        <v>107</v>
      </c>
    </row>
    <row r="1768" spans="2:6" ht="27">
      <c r="B1768" s="618">
        <v>43139</v>
      </c>
      <c r="C1768" s="61">
        <v>43132</v>
      </c>
      <c r="D1768" s="62" t="s">
        <v>7057</v>
      </c>
      <c r="E1768" s="58" t="s">
        <v>5</v>
      </c>
      <c r="F1768" s="58" t="s">
        <v>2080</v>
      </c>
    </row>
    <row r="1769" spans="2:6" ht="27">
      <c r="B1769" s="617">
        <v>43139</v>
      </c>
      <c r="C1769" s="78">
        <v>43132</v>
      </c>
      <c r="D1769" s="79" t="s">
        <v>4210</v>
      </c>
      <c r="E1769" s="75" t="s">
        <v>1114</v>
      </c>
      <c r="F1769" s="75"/>
    </row>
    <row r="1770" spans="2:6" ht="27">
      <c r="B1770" s="618">
        <v>43140</v>
      </c>
      <c r="C1770" s="61">
        <v>43132</v>
      </c>
      <c r="D1770" s="62" t="s">
        <v>5981</v>
      </c>
      <c r="E1770" s="58" t="s">
        <v>625</v>
      </c>
      <c r="F1770" s="58" t="s">
        <v>2395</v>
      </c>
    </row>
    <row r="1771" spans="2:6">
      <c r="B1771" s="618">
        <v>43140</v>
      </c>
      <c r="C1771" s="61">
        <v>43132</v>
      </c>
      <c r="D1771" s="62" t="s">
        <v>6045</v>
      </c>
      <c r="E1771" s="58" t="s">
        <v>195</v>
      </c>
      <c r="F1771" s="58" t="s">
        <v>2411</v>
      </c>
    </row>
    <row r="1772" spans="2:6" ht="27">
      <c r="B1772" s="618">
        <v>43140</v>
      </c>
      <c r="C1772" s="61">
        <v>43132</v>
      </c>
      <c r="D1772" s="62" t="s">
        <v>6246</v>
      </c>
      <c r="E1772" s="58" t="s">
        <v>195</v>
      </c>
      <c r="F1772" s="58" t="s">
        <v>1491</v>
      </c>
    </row>
    <row r="1773" spans="2:6" ht="27">
      <c r="B1773" s="617">
        <v>43140</v>
      </c>
      <c r="C1773" s="78">
        <v>43132</v>
      </c>
      <c r="D1773" s="79" t="s">
        <v>1978</v>
      </c>
      <c r="E1773" s="75" t="s">
        <v>5</v>
      </c>
      <c r="F1773" s="75" t="s">
        <v>1979</v>
      </c>
    </row>
    <row r="1774" spans="2:6" ht="27">
      <c r="B1774" s="618">
        <v>43143</v>
      </c>
      <c r="C1774" s="61">
        <v>43132</v>
      </c>
      <c r="D1774" s="62" t="s">
        <v>5999</v>
      </c>
      <c r="E1774" s="58" t="s">
        <v>625</v>
      </c>
      <c r="F1774" s="58" t="s">
        <v>2395</v>
      </c>
    </row>
    <row r="1775" spans="2:6" ht="27">
      <c r="B1775" s="618">
        <v>43143</v>
      </c>
      <c r="C1775" s="61">
        <v>43132</v>
      </c>
      <c r="D1775" s="62" t="s">
        <v>6003</v>
      </c>
      <c r="E1775" s="58" t="s">
        <v>625</v>
      </c>
      <c r="F1775" s="58" t="s">
        <v>2395</v>
      </c>
    </row>
    <row r="1776" spans="2:6" ht="40.5">
      <c r="B1776" s="615">
        <v>43143</v>
      </c>
      <c r="C1776" s="300">
        <v>43132</v>
      </c>
      <c r="D1776" s="301" t="s">
        <v>2726</v>
      </c>
      <c r="E1776" s="297" t="s">
        <v>2727</v>
      </c>
      <c r="F1776" s="297" t="s">
        <v>2728</v>
      </c>
    </row>
    <row r="1777" spans="2:6" ht="27">
      <c r="B1777" s="618">
        <v>43144</v>
      </c>
      <c r="C1777" s="63">
        <v>43132</v>
      </c>
      <c r="D1777" s="62" t="s">
        <v>5814</v>
      </c>
      <c r="E1777" s="58" t="s">
        <v>625</v>
      </c>
      <c r="F1777" s="58" t="s">
        <v>3423</v>
      </c>
    </row>
    <row r="1778" spans="2:6" ht="27">
      <c r="B1778" s="615">
        <v>43144</v>
      </c>
      <c r="C1778" s="300">
        <v>43132</v>
      </c>
      <c r="D1778" s="301" t="s">
        <v>1965</v>
      </c>
      <c r="E1778" s="297" t="s">
        <v>208</v>
      </c>
      <c r="F1778" s="297" t="s">
        <v>107</v>
      </c>
    </row>
    <row r="1779" spans="2:6" ht="27">
      <c r="B1779" s="615">
        <v>43144</v>
      </c>
      <c r="C1779" s="300">
        <v>43132</v>
      </c>
      <c r="D1779" s="301" t="s">
        <v>7058</v>
      </c>
      <c r="E1779" s="297" t="s">
        <v>208</v>
      </c>
      <c r="F1779" s="297" t="s">
        <v>107</v>
      </c>
    </row>
    <row r="1780" spans="2:6" ht="27">
      <c r="B1780" s="618">
        <v>43145</v>
      </c>
      <c r="C1780" s="61">
        <v>43132</v>
      </c>
      <c r="D1780" s="62" t="s">
        <v>4607</v>
      </c>
      <c r="E1780" s="58" t="s">
        <v>63</v>
      </c>
      <c r="F1780" s="58" t="s">
        <v>79</v>
      </c>
    </row>
    <row r="1781" spans="2:6" ht="27">
      <c r="B1781" s="615">
        <v>43145</v>
      </c>
      <c r="C1781" s="300">
        <v>43132</v>
      </c>
      <c r="D1781" s="301" t="s">
        <v>6024</v>
      </c>
      <c r="E1781" s="297" t="s">
        <v>63</v>
      </c>
      <c r="F1781" s="297" t="s">
        <v>1114</v>
      </c>
    </row>
    <row r="1782" spans="2:6" ht="27">
      <c r="B1782" s="618">
        <v>43145</v>
      </c>
      <c r="C1782" s="63">
        <v>43132</v>
      </c>
      <c r="D1782" s="62" t="s">
        <v>5826</v>
      </c>
      <c r="E1782" s="58" t="s">
        <v>625</v>
      </c>
      <c r="F1782" s="58" t="s">
        <v>3423</v>
      </c>
    </row>
    <row r="1783" spans="2:6" ht="27">
      <c r="B1783" s="617">
        <v>43145</v>
      </c>
      <c r="C1783" s="78">
        <v>43132</v>
      </c>
      <c r="D1783" s="79" t="s">
        <v>7059</v>
      </c>
      <c r="E1783" s="75" t="s">
        <v>5</v>
      </c>
      <c r="F1783" s="75" t="s">
        <v>1979</v>
      </c>
    </row>
    <row r="1784" spans="2:6" ht="27">
      <c r="B1784" s="618">
        <v>43146</v>
      </c>
      <c r="C1784" s="61">
        <v>43132</v>
      </c>
      <c r="D1784" s="62" t="s">
        <v>6011</v>
      </c>
      <c r="E1784" s="58" t="s">
        <v>625</v>
      </c>
      <c r="F1784" s="58" t="s">
        <v>2395</v>
      </c>
    </row>
    <row r="1785" spans="2:6" ht="27">
      <c r="B1785" s="618">
        <v>43146</v>
      </c>
      <c r="C1785" s="63">
        <v>43132</v>
      </c>
      <c r="D1785" s="62" t="s">
        <v>5346</v>
      </c>
      <c r="E1785" s="58" t="s">
        <v>5</v>
      </c>
      <c r="F1785" s="58" t="s">
        <v>3375</v>
      </c>
    </row>
    <row r="1786" spans="2:6" ht="27">
      <c r="B1786" s="618">
        <v>43146</v>
      </c>
      <c r="C1786" s="61">
        <v>43132</v>
      </c>
      <c r="D1786" s="62" t="s">
        <v>2554</v>
      </c>
      <c r="E1786" s="58" t="s">
        <v>63</v>
      </c>
      <c r="F1786" s="58" t="s">
        <v>107</v>
      </c>
    </row>
    <row r="1787" spans="2:6" ht="27">
      <c r="B1787" s="618">
        <v>43146</v>
      </c>
      <c r="C1787" s="61">
        <v>43132</v>
      </c>
      <c r="D1787" s="62" t="s">
        <v>3487</v>
      </c>
      <c r="E1787" s="58" t="s">
        <v>5</v>
      </c>
      <c r="F1787" s="58" t="s">
        <v>2080</v>
      </c>
    </row>
    <row r="1788" spans="2:6" ht="54">
      <c r="B1788" s="615">
        <v>43146</v>
      </c>
      <c r="C1788" s="300">
        <v>43132</v>
      </c>
      <c r="D1788" s="301" t="s">
        <v>7060</v>
      </c>
      <c r="E1788" s="297" t="s">
        <v>2743</v>
      </c>
      <c r="F1788" s="297" t="s">
        <v>7061</v>
      </c>
    </row>
    <row r="1789" spans="2:6" ht="27">
      <c r="B1789" s="618">
        <v>43146</v>
      </c>
      <c r="C1789" s="61">
        <v>43132</v>
      </c>
      <c r="D1789" s="62" t="s">
        <v>3487</v>
      </c>
      <c r="E1789" s="58" t="s">
        <v>5</v>
      </c>
      <c r="F1789" s="58" t="s">
        <v>85</v>
      </c>
    </row>
    <row r="1790" spans="2:6" ht="27">
      <c r="B1790" s="615">
        <v>43147</v>
      </c>
      <c r="C1790" s="300">
        <v>43132</v>
      </c>
      <c r="D1790" s="301" t="s">
        <v>917</v>
      </c>
      <c r="E1790" s="297" t="s">
        <v>5</v>
      </c>
      <c r="F1790" s="297" t="s">
        <v>85</v>
      </c>
    </row>
    <row r="1791" spans="2:6" ht="27">
      <c r="B1791" s="615">
        <v>43147</v>
      </c>
      <c r="C1791" s="302">
        <v>43132</v>
      </c>
      <c r="D1791" s="301" t="s">
        <v>2132</v>
      </c>
      <c r="E1791" s="297" t="s">
        <v>5</v>
      </c>
      <c r="F1791" s="297" t="s">
        <v>85</v>
      </c>
    </row>
    <row r="1792" spans="2:6" ht="27">
      <c r="B1792" s="618">
        <v>43147</v>
      </c>
      <c r="C1792" s="63">
        <v>43147</v>
      </c>
      <c r="D1792" s="62" t="s">
        <v>4959</v>
      </c>
      <c r="E1792" s="58" t="s">
        <v>5</v>
      </c>
      <c r="F1792" s="58" t="s">
        <v>79</v>
      </c>
    </row>
    <row r="1793" spans="2:6" ht="27">
      <c r="B1793" s="615">
        <v>43147</v>
      </c>
      <c r="C1793" s="300">
        <v>43132</v>
      </c>
      <c r="D1793" s="301" t="s">
        <v>3097</v>
      </c>
      <c r="E1793" s="297" t="s">
        <v>5</v>
      </c>
      <c r="F1793" s="297" t="s">
        <v>1753</v>
      </c>
    </row>
    <row r="1794" spans="2:6" ht="67.5">
      <c r="B1794" s="615">
        <v>43147</v>
      </c>
      <c r="C1794" s="300">
        <v>43132</v>
      </c>
      <c r="D1794" s="301" t="s">
        <v>271</v>
      </c>
      <c r="E1794" s="297" t="s">
        <v>63</v>
      </c>
      <c r="F1794" s="297" t="s">
        <v>3937</v>
      </c>
    </row>
    <row r="1795" spans="2:6" ht="27">
      <c r="B1795" s="615">
        <v>43147</v>
      </c>
      <c r="C1795" s="300">
        <v>43132</v>
      </c>
      <c r="D1795" s="301" t="s">
        <v>7062</v>
      </c>
      <c r="E1795" s="297" t="s">
        <v>5</v>
      </c>
      <c r="F1795" s="297" t="s">
        <v>107</v>
      </c>
    </row>
    <row r="1796" spans="2:6" ht="27">
      <c r="B1796" s="615">
        <v>43150</v>
      </c>
      <c r="C1796" s="300">
        <v>43132</v>
      </c>
      <c r="D1796" s="301" t="s">
        <v>1142</v>
      </c>
      <c r="E1796" s="297" t="s">
        <v>63</v>
      </c>
      <c r="F1796" s="297" t="s">
        <v>107</v>
      </c>
    </row>
    <row r="1797" spans="2:6" ht="27">
      <c r="B1797" s="618">
        <v>43150</v>
      </c>
      <c r="C1797" s="61">
        <v>43132</v>
      </c>
      <c r="D1797" s="62" t="s">
        <v>3743</v>
      </c>
      <c r="E1797" s="58" t="s">
        <v>5</v>
      </c>
      <c r="F1797" s="58" t="s">
        <v>79</v>
      </c>
    </row>
    <row r="1798" spans="2:6" ht="27">
      <c r="B1798" s="615">
        <v>43150</v>
      </c>
      <c r="C1798" s="300">
        <v>43132</v>
      </c>
      <c r="D1798" s="301" t="s">
        <v>1142</v>
      </c>
      <c r="E1798" s="297" t="s">
        <v>63</v>
      </c>
      <c r="F1798" s="297" t="s">
        <v>107</v>
      </c>
    </row>
    <row r="1799" spans="2:6" ht="27">
      <c r="B1799" s="618">
        <v>43150</v>
      </c>
      <c r="C1799" s="61">
        <v>43132</v>
      </c>
      <c r="D1799" s="62" t="s">
        <v>1142</v>
      </c>
      <c r="E1799" s="58" t="s">
        <v>63</v>
      </c>
      <c r="F1799" s="58" t="s">
        <v>107</v>
      </c>
    </row>
    <row r="1800" spans="2:6" ht="27">
      <c r="B1800" s="618">
        <v>43150</v>
      </c>
      <c r="C1800" s="61">
        <v>43132</v>
      </c>
      <c r="D1800" s="62" t="s">
        <v>6134</v>
      </c>
      <c r="E1800" s="58" t="s">
        <v>388</v>
      </c>
      <c r="F1800" s="58" t="s">
        <v>389</v>
      </c>
    </row>
    <row r="1801" spans="2:6" ht="27">
      <c r="B1801" s="617">
        <v>43150</v>
      </c>
      <c r="C1801" s="80">
        <v>43132</v>
      </c>
      <c r="D1801" s="79" t="s">
        <v>1142</v>
      </c>
      <c r="E1801" s="75" t="s">
        <v>63</v>
      </c>
      <c r="F1801" s="75" t="s">
        <v>107</v>
      </c>
    </row>
    <row r="1802" spans="2:6" ht="27">
      <c r="B1802" s="617">
        <v>43150</v>
      </c>
      <c r="C1802" s="80">
        <v>43132</v>
      </c>
      <c r="D1802" s="79" t="s">
        <v>1142</v>
      </c>
      <c r="E1802" s="75" t="s">
        <v>63</v>
      </c>
      <c r="F1802" s="75" t="s">
        <v>107</v>
      </c>
    </row>
    <row r="1803" spans="2:6" ht="27">
      <c r="B1803" s="618">
        <v>43150</v>
      </c>
      <c r="C1803" s="63">
        <v>43132</v>
      </c>
      <c r="D1803" s="62" t="s">
        <v>1142</v>
      </c>
      <c r="E1803" s="58" t="s">
        <v>63</v>
      </c>
      <c r="F1803" s="58" t="s">
        <v>107</v>
      </c>
    </row>
    <row r="1804" spans="2:6" ht="27">
      <c r="B1804" s="615">
        <v>43150</v>
      </c>
      <c r="C1804" s="302">
        <v>43132</v>
      </c>
      <c r="D1804" s="301" t="s">
        <v>5386</v>
      </c>
      <c r="E1804" s="297" t="s">
        <v>63</v>
      </c>
      <c r="F1804" s="297" t="s">
        <v>2676</v>
      </c>
    </row>
    <row r="1805" spans="2:6" ht="27">
      <c r="B1805" s="618">
        <v>43150</v>
      </c>
      <c r="C1805" s="61">
        <v>43132</v>
      </c>
      <c r="D1805" s="62" t="s">
        <v>1142</v>
      </c>
      <c r="E1805" s="58" t="s">
        <v>63</v>
      </c>
      <c r="F1805" s="58" t="s">
        <v>107</v>
      </c>
    </row>
    <row r="1806" spans="2:6" ht="27">
      <c r="B1806" s="617">
        <v>43150</v>
      </c>
      <c r="C1806" s="78">
        <v>43132</v>
      </c>
      <c r="D1806" s="79" t="s">
        <v>1142</v>
      </c>
      <c r="E1806" s="75" t="s">
        <v>63</v>
      </c>
      <c r="F1806" s="75" t="s">
        <v>107</v>
      </c>
    </row>
    <row r="1807" spans="2:6" ht="27">
      <c r="B1807" s="618">
        <v>43150</v>
      </c>
      <c r="C1807" s="61">
        <v>43132</v>
      </c>
      <c r="D1807" s="62" t="s">
        <v>1142</v>
      </c>
      <c r="E1807" s="58" t="s">
        <v>63</v>
      </c>
      <c r="F1807" s="58" t="s">
        <v>107</v>
      </c>
    </row>
    <row r="1808" spans="2:6" ht="27">
      <c r="B1808" s="618">
        <v>43150</v>
      </c>
      <c r="C1808" s="61">
        <v>43132</v>
      </c>
      <c r="D1808" s="62" t="s">
        <v>1142</v>
      </c>
      <c r="E1808" s="58" t="s">
        <v>63</v>
      </c>
      <c r="F1808" s="58" t="s">
        <v>107</v>
      </c>
    </row>
    <row r="1809" spans="2:6" ht="27">
      <c r="B1809" s="617">
        <v>43150</v>
      </c>
      <c r="C1809" s="78">
        <v>43132</v>
      </c>
      <c r="D1809" s="79" t="s">
        <v>1142</v>
      </c>
      <c r="E1809" s="75" t="s">
        <v>63</v>
      </c>
      <c r="F1809" s="75" t="s">
        <v>107</v>
      </c>
    </row>
    <row r="1810" spans="2:6" ht="27">
      <c r="B1810" s="617">
        <v>43150</v>
      </c>
      <c r="C1810" s="80">
        <v>43132</v>
      </c>
      <c r="D1810" s="79" t="s">
        <v>1142</v>
      </c>
      <c r="E1810" s="75" t="s">
        <v>63</v>
      </c>
      <c r="F1810" s="75" t="s">
        <v>107</v>
      </c>
    </row>
    <row r="1811" spans="2:6" ht="27">
      <c r="B1811" s="615">
        <v>43151</v>
      </c>
      <c r="C1811" s="300">
        <v>43132</v>
      </c>
      <c r="D1811" s="301" t="s">
        <v>271</v>
      </c>
      <c r="E1811" s="297" t="s">
        <v>171</v>
      </c>
      <c r="F1811" s="297" t="s">
        <v>1690</v>
      </c>
    </row>
    <row r="1812" spans="2:6" ht="27">
      <c r="B1812" s="618">
        <v>43151</v>
      </c>
      <c r="C1812" s="63">
        <v>43132</v>
      </c>
      <c r="D1812" s="62" t="s">
        <v>4390</v>
      </c>
      <c r="E1812" s="58" t="s">
        <v>63</v>
      </c>
      <c r="F1812" s="58" t="s">
        <v>107</v>
      </c>
    </row>
    <row r="1813" spans="2:6" ht="27">
      <c r="B1813" s="618">
        <v>43151</v>
      </c>
      <c r="C1813" s="61">
        <v>43132</v>
      </c>
      <c r="D1813" s="62" t="s">
        <v>4390</v>
      </c>
      <c r="E1813" s="58" t="s">
        <v>63</v>
      </c>
      <c r="F1813" s="58" t="s">
        <v>85</v>
      </c>
    </row>
    <row r="1814" spans="2:6" ht="27">
      <c r="B1814" s="618">
        <v>43152</v>
      </c>
      <c r="C1814" s="61">
        <v>43132</v>
      </c>
      <c r="D1814" s="62" t="s">
        <v>6016</v>
      </c>
      <c r="E1814" s="58" t="s">
        <v>625</v>
      </c>
      <c r="F1814" s="58" t="s">
        <v>2395</v>
      </c>
    </row>
    <row r="1815" spans="2:6" ht="27">
      <c r="B1815" s="618">
        <v>43152</v>
      </c>
      <c r="C1815" s="61">
        <v>43132</v>
      </c>
      <c r="D1815" s="62" t="s">
        <v>5982</v>
      </c>
      <c r="E1815" s="58" t="s">
        <v>195</v>
      </c>
      <c r="F1815" s="58" t="s">
        <v>4189</v>
      </c>
    </row>
    <row r="1816" spans="2:6">
      <c r="B1816" s="618">
        <v>43152</v>
      </c>
      <c r="C1816" s="61">
        <v>43132</v>
      </c>
      <c r="D1816" s="62" t="s">
        <v>2636</v>
      </c>
      <c r="E1816" s="58" t="s">
        <v>2637</v>
      </c>
      <c r="F1816" s="58" t="s">
        <v>169</v>
      </c>
    </row>
    <row r="1817" spans="2:6" ht="27">
      <c r="B1817" s="617">
        <v>43153</v>
      </c>
      <c r="C1817" s="78">
        <v>43132</v>
      </c>
      <c r="D1817" s="79" t="s">
        <v>7063</v>
      </c>
      <c r="E1817" s="75" t="s">
        <v>208</v>
      </c>
      <c r="F1817" s="75" t="s">
        <v>107</v>
      </c>
    </row>
    <row r="1818" spans="2:6" ht="40.5">
      <c r="B1818" s="618">
        <v>43153</v>
      </c>
      <c r="C1818" s="61">
        <v>43132</v>
      </c>
      <c r="D1818" s="117" t="s">
        <v>7064</v>
      </c>
      <c r="E1818" s="117" t="s">
        <v>63</v>
      </c>
      <c r="F1818" s="117" t="s">
        <v>7065</v>
      </c>
    </row>
    <row r="1819" spans="2:6" ht="27">
      <c r="B1819" s="618">
        <v>43154</v>
      </c>
      <c r="C1819" s="61">
        <v>43132</v>
      </c>
      <c r="D1819" s="62" t="s">
        <v>4965</v>
      </c>
      <c r="E1819" s="58" t="s">
        <v>208</v>
      </c>
      <c r="F1819" s="58" t="s">
        <v>107</v>
      </c>
    </row>
    <row r="1820" spans="2:6">
      <c r="B1820" s="618">
        <v>43154</v>
      </c>
      <c r="C1820" s="61">
        <v>43132</v>
      </c>
      <c r="D1820" s="62" t="s">
        <v>5784</v>
      </c>
      <c r="E1820" s="58" t="s">
        <v>171</v>
      </c>
      <c r="F1820" s="58" t="s">
        <v>777</v>
      </c>
    </row>
    <row r="1821" spans="2:6" ht="27">
      <c r="B1821" s="618">
        <v>43157</v>
      </c>
      <c r="C1821" s="63">
        <v>43132</v>
      </c>
      <c r="D1821" s="62" t="s">
        <v>4975</v>
      </c>
      <c r="E1821" s="58" t="s">
        <v>208</v>
      </c>
      <c r="F1821" s="58" t="s">
        <v>1114</v>
      </c>
    </row>
    <row r="1822" spans="2:6" ht="27">
      <c r="B1822" s="617">
        <v>43157</v>
      </c>
      <c r="C1822" s="78">
        <v>43132</v>
      </c>
      <c r="D1822" s="79" t="s">
        <v>4283</v>
      </c>
      <c r="E1822" s="75" t="s">
        <v>208</v>
      </c>
      <c r="F1822" s="75" t="s">
        <v>107</v>
      </c>
    </row>
    <row r="1823" spans="2:6" ht="27">
      <c r="B1823" s="615">
        <v>43157</v>
      </c>
      <c r="C1823" s="300">
        <v>43132</v>
      </c>
      <c r="D1823" s="301" t="s">
        <v>7066</v>
      </c>
      <c r="E1823" s="297" t="s">
        <v>208</v>
      </c>
      <c r="F1823" s="297" t="s">
        <v>107</v>
      </c>
    </row>
    <row r="1824" spans="2:6" ht="27">
      <c r="B1824" s="618">
        <v>43158</v>
      </c>
      <c r="C1824" s="61">
        <v>43132</v>
      </c>
      <c r="D1824" s="62" t="s">
        <v>6032</v>
      </c>
      <c r="E1824" s="58" t="s">
        <v>625</v>
      </c>
      <c r="F1824" s="58" t="s">
        <v>2395</v>
      </c>
    </row>
    <row r="1825" spans="2:6" ht="27">
      <c r="B1825" s="618">
        <v>43158</v>
      </c>
      <c r="C1825" s="61">
        <v>43132</v>
      </c>
      <c r="D1825" s="62" t="s">
        <v>6000</v>
      </c>
      <c r="E1825" s="58" t="s">
        <v>195</v>
      </c>
      <c r="F1825" s="58" t="s">
        <v>4189</v>
      </c>
    </row>
    <row r="1826" spans="2:6" ht="27">
      <c r="B1826" s="618">
        <v>43158</v>
      </c>
      <c r="C1826" s="61">
        <v>43132</v>
      </c>
      <c r="D1826" s="62" t="s">
        <v>6033</v>
      </c>
      <c r="E1826" s="58" t="s">
        <v>625</v>
      </c>
      <c r="F1826" s="58" t="s">
        <v>2395</v>
      </c>
    </row>
    <row r="1827" spans="2:6" ht="27">
      <c r="B1827" s="617">
        <v>43158</v>
      </c>
      <c r="C1827" s="80">
        <v>43132</v>
      </c>
      <c r="D1827" s="79" t="s">
        <v>1510</v>
      </c>
      <c r="E1827" s="75" t="s">
        <v>195</v>
      </c>
      <c r="F1827" s="75" t="s">
        <v>1491</v>
      </c>
    </row>
    <row r="1828" spans="2:6">
      <c r="B1828" s="614">
        <v>43158</v>
      </c>
      <c r="C1828" s="40">
        <v>43132</v>
      </c>
      <c r="D1828" s="39" t="s">
        <v>3668</v>
      </c>
      <c r="E1828" s="34" t="s">
        <v>195</v>
      </c>
      <c r="F1828" s="34" t="s">
        <v>3669</v>
      </c>
    </row>
    <row r="1829" spans="2:6" ht="27">
      <c r="B1829" s="617">
        <v>43158</v>
      </c>
      <c r="C1829" s="78">
        <v>43132</v>
      </c>
      <c r="D1829" s="79" t="s">
        <v>3683</v>
      </c>
      <c r="E1829" s="75" t="s">
        <v>5</v>
      </c>
      <c r="F1829" s="75" t="s">
        <v>3684</v>
      </c>
    </row>
    <row r="1830" spans="2:6" ht="27">
      <c r="B1830" s="618">
        <v>43158</v>
      </c>
      <c r="C1830" s="61">
        <v>43132</v>
      </c>
      <c r="D1830" s="62" t="s">
        <v>3839</v>
      </c>
      <c r="E1830" s="58" t="s">
        <v>5</v>
      </c>
      <c r="F1830" s="58" t="s">
        <v>85</v>
      </c>
    </row>
    <row r="1831" spans="2:6" ht="27">
      <c r="B1831" s="622">
        <v>43158</v>
      </c>
      <c r="C1831" s="107">
        <v>43132</v>
      </c>
      <c r="D1831" s="108" t="s">
        <v>7067</v>
      </c>
      <c r="E1831" s="105" t="s">
        <v>5</v>
      </c>
      <c r="F1831" s="105" t="s">
        <v>85</v>
      </c>
    </row>
    <row r="1832" spans="2:6">
      <c r="B1832" s="615">
        <v>43159</v>
      </c>
      <c r="C1832" s="300">
        <v>43132</v>
      </c>
      <c r="D1832" s="301" t="s">
        <v>6054</v>
      </c>
      <c r="E1832" s="297" t="s">
        <v>171</v>
      </c>
      <c r="F1832" s="297"/>
    </row>
    <row r="1833" spans="2:6" ht="27">
      <c r="B1833" s="619">
        <v>43159</v>
      </c>
      <c r="C1833" s="144">
        <v>43132</v>
      </c>
      <c r="D1833" s="157" t="s">
        <v>6266</v>
      </c>
      <c r="E1833" s="141" t="s">
        <v>5</v>
      </c>
      <c r="F1833" s="141" t="s">
        <v>79</v>
      </c>
    </row>
    <row r="1834" spans="2:6" ht="27">
      <c r="B1834" s="618">
        <v>43159</v>
      </c>
      <c r="C1834" s="63">
        <v>43132</v>
      </c>
      <c r="D1834" s="62" t="s">
        <v>5071</v>
      </c>
      <c r="E1834" s="58" t="s">
        <v>63</v>
      </c>
      <c r="F1834" s="58" t="s">
        <v>107</v>
      </c>
    </row>
    <row r="1835" spans="2:6">
      <c r="B1835" s="617">
        <v>43160</v>
      </c>
      <c r="C1835" s="80">
        <v>43160</v>
      </c>
      <c r="D1835" s="79" t="s">
        <v>2449</v>
      </c>
      <c r="E1835" s="75" t="s">
        <v>208</v>
      </c>
      <c r="F1835" s="75" t="s">
        <v>418</v>
      </c>
    </row>
    <row r="1836" spans="2:6" ht="27">
      <c r="B1836" s="618">
        <v>43160</v>
      </c>
      <c r="C1836" s="63">
        <v>43160</v>
      </c>
      <c r="D1836" s="62" t="s">
        <v>2259</v>
      </c>
      <c r="E1836" s="58" t="s">
        <v>5</v>
      </c>
      <c r="F1836" s="58" t="s">
        <v>107</v>
      </c>
    </row>
    <row r="1837" spans="2:6" ht="27">
      <c r="B1837" s="617">
        <v>43160</v>
      </c>
      <c r="C1837" s="78">
        <v>43160</v>
      </c>
      <c r="D1837" s="79" t="s">
        <v>2259</v>
      </c>
      <c r="E1837" s="75" t="s">
        <v>2260</v>
      </c>
      <c r="F1837" s="75" t="s">
        <v>107</v>
      </c>
    </row>
    <row r="1838" spans="2:6" ht="27">
      <c r="B1838" s="617">
        <v>43160</v>
      </c>
      <c r="C1838" s="78">
        <v>43160</v>
      </c>
      <c r="D1838" s="79" t="s">
        <v>2259</v>
      </c>
      <c r="E1838" s="75" t="s">
        <v>5</v>
      </c>
      <c r="F1838" s="75" t="s">
        <v>107</v>
      </c>
    </row>
    <row r="1839" spans="2:6" ht="27">
      <c r="B1839" s="615">
        <v>43160</v>
      </c>
      <c r="C1839" s="300">
        <v>43160</v>
      </c>
      <c r="D1839" s="301" t="s">
        <v>2259</v>
      </c>
      <c r="E1839" s="345" t="s">
        <v>5</v>
      </c>
      <c r="F1839" s="297" t="s">
        <v>107</v>
      </c>
    </row>
    <row r="1840" spans="2:6" ht="27">
      <c r="B1840" s="618">
        <v>43160</v>
      </c>
      <c r="C1840" s="61">
        <v>43160</v>
      </c>
      <c r="D1840" s="62" t="s">
        <v>2259</v>
      </c>
      <c r="E1840" s="58" t="s">
        <v>5</v>
      </c>
      <c r="F1840" s="58" t="s">
        <v>107</v>
      </c>
    </row>
    <row r="1841" spans="2:6" ht="27">
      <c r="B1841" s="615">
        <v>43160</v>
      </c>
      <c r="C1841" s="367">
        <v>43160</v>
      </c>
      <c r="D1841" s="301" t="s">
        <v>7068</v>
      </c>
      <c r="E1841" s="297" t="s">
        <v>63</v>
      </c>
      <c r="F1841" s="297" t="s">
        <v>107</v>
      </c>
    </row>
    <row r="1842" spans="2:6" ht="27">
      <c r="B1842" s="617">
        <v>43160</v>
      </c>
      <c r="C1842" s="78">
        <v>43160</v>
      </c>
      <c r="D1842" s="79" t="s">
        <v>2259</v>
      </c>
      <c r="E1842" s="75" t="s">
        <v>5</v>
      </c>
      <c r="F1842" s="75" t="s">
        <v>107</v>
      </c>
    </row>
    <row r="1843" spans="2:6" ht="27">
      <c r="B1843" s="617">
        <v>43160</v>
      </c>
      <c r="C1843" s="78">
        <v>43160</v>
      </c>
      <c r="D1843" s="79" t="s">
        <v>7069</v>
      </c>
      <c r="E1843" s="75" t="s">
        <v>63</v>
      </c>
      <c r="F1843" s="75" t="s">
        <v>107</v>
      </c>
    </row>
    <row r="1844" spans="2:6" ht="27">
      <c r="B1844" s="615">
        <v>43161</v>
      </c>
      <c r="C1844" s="300">
        <v>43160</v>
      </c>
      <c r="D1844" s="301" t="s">
        <v>5183</v>
      </c>
      <c r="E1844" s="297" t="s">
        <v>63</v>
      </c>
      <c r="F1844" s="345" t="s">
        <v>107</v>
      </c>
    </row>
    <row r="1845" spans="2:6" ht="27">
      <c r="B1845" s="622">
        <v>43161</v>
      </c>
      <c r="C1845" s="107">
        <v>43160</v>
      </c>
      <c r="D1845" s="108" t="s">
        <v>7070</v>
      </c>
      <c r="E1845" s="105" t="s">
        <v>5</v>
      </c>
      <c r="F1845" s="105" t="s">
        <v>2699</v>
      </c>
    </row>
    <row r="1846" spans="2:6" ht="27">
      <c r="B1846" s="622">
        <v>43161</v>
      </c>
      <c r="C1846" s="107">
        <v>43160</v>
      </c>
      <c r="D1846" s="108" t="s">
        <v>7070</v>
      </c>
      <c r="E1846" s="105" t="s">
        <v>5</v>
      </c>
      <c r="F1846" s="105" t="s">
        <v>79</v>
      </c>
    </row>
    <row r="1847" spans="2:6" ht="27">
      <c r="B1847" s="618">
        <v>43164</v>
      </c>
      <c r="C1847" s="63">
        <v>43160</v>
      </c>
      <c r="D1847" s="62" t="s">
        <v>6065</v>
      </c>
      <c r="E1847" s="58" t="s">
        <v>5</v>
      </c>
      <c r="F1847" s="58" t="s">
        <v>6066</v>
      </c>
    </row>
    <row r="1848" spans="2:6" ht="27">
      <c r="B1848" s="617">
        <v>43164</v>
      </c>
      <c r="C1848" s="78">
        <v>43160</v>
      </c>
      <c r="D1848" s="79" t="s">
        <v>2334</v>
      </c>
      <c r="E1848" s="75" t="s">
        <v>208</v>
      </c>
      <c r="F1848" s="75" t="s">
        <v>107</v>
      </c>
    </row>
    <row r="1849" spans="2:6" ht="27">
      <c r="B1849" s="615">
        <v>43164</v>
      </c>
      <c r="C1849" s="300">
        <v>43160</v>
      </c>
      <c r="D1849" s="301" t="s">
        <v>5620</v>
      </c>
      <c r="E1849" s="297" t="s">
        <v>208</v>
      </c>
      <c r="F1849" s="297" t="s">
        <v>3939</v>
      </c>
    </row>
    <row r="1850" spans="2:6" ht="27">
      <c r="B1850" s="615">
        <v>43164</v>
      </c>
      <c r="C1850" s="300">
        <v>43160</v>
      </c>
      <c r="D1850" s="301" t="s">
        <v>7071</v>
      </c>
      <c r="E1850" s="297" t="s">
        <v>63</v>
      </c>
      <c r="F1850" s="297" t="s">
        <v>1114</v>
      </c>
    </row>
    <row r="1851" spans="2:6" ht="27">
      <c r="B1851" s="617">
        <v>43164</v>
      </c>
      <c r="C1851" s="78">
        <v>43160</v>
      </c>
      <c r="D1851" s="79" t="s">
        <v>7072</v>
      </c>
      <c r="E1851" s="75" t="s">
        <v>5</v>
      </c>
      <c r="F1851" s="75" t="s">
        <v>107</v>
      </c>
    </row>
    <row r="1852" spans="2:6" ht="40.5">
      <c r="B1852" s="619">
        <v>43165</v>
      </c>
      <c r="C1852" s="144">
        <v>43160</v>
      </c>
      <c r="D1852" s="145" t="s">
        <v>6305</v>
      </c>
      <c r="E1852" s="141" t="s">
        <v>6306</v>
      </c>
      <c r="F1852" s="141" t="s">
        <v>418</v>
      </c>
    </row>
    <row r="1853" spans="2:6" ht="40.5">
      <c r="B1853" s="618">
        <v>43165</v>
      </c>
      <c r="C1853" s="61">
        <v>43160</v>
      </c>
      <c r="D1853" s="62" t="s">
        <v>5261</v>
      </c>
      <c r="E1853" s="58" t="s">
        <v>5</v>
      </c>
      <c r="F1853" s="58" t="s">
        <v>1189</v>
      </c>
    </row>
    <row r="1854" spans="2:6" ht="27">
      <c r="B1854" s="618">
        <v>43165</v>
      </c>
      <c r="C1854" s="61">
        <v>43160</v>
      </c>
      <c r="D1854" s="62" t="s">
        <v>5748</v>
      </c>
      <c r="E1854" s="58" t="s">
        <v>5</v>
      </c>
      <c r="F1854" s="58" t="s">
        <v>5749</v>
      </c>
    </row>
    <row r="1855" spans="2:6" ht="27">
      <c r="B1855" s="615">
        <v>43165</v>
      </c>
      <c r="C1855" s="300">
        <v>43160</v>
      </c>
      <c r="D1855" s="301" t="s">
        <v>7073</v>
      </c>
      <c r="E1855" s="297" t="s">
        <v>63</v>
      </c>
      <c r="F1855" s="297" t="s">
        <v>107</v>
      </c>
    </row>
    <row r="1856" spans="2:6" ht="27">
      <c r="B1856" s="614">
        <v>43166</v>
      </c>
      <c r="C1856" s="40">
        <v>43160</v>
      </c>
      <c r="D1856" s="39" t="s">
        <v>1259</v>
      </c>
      <c r="E1856" s="34" t="s">
        <v>5</v>
      </c>
      <c r="F1856" s="34" t="s">
        <v>1114</v>
      </c>
    </row>
    <row r="1857" spans="2:6" ht="27">
      <c r="B1857" s="615">
        <v>43166</v>
      </c>
      <c r="C1857" s="302">
        <v>43160</v>
      </c>
      <c r="D1857" s="301" t="s">
        <v>2081</v>
      </c>
      <c r="E1857" s="297" t="s">
        <v>63</v>
      </c>
      <c r="F1857" s="297" t="s">
        <v>1114</v>
      </c>
    </row>
    <row r="1858" spans="2:6" ht="27">
      <c r="B1858" s="615">
        <v>43166</v>
      </c>
      <c r="C1858" s="367">
        <v>43160</v>
      </c>
      <c r="D1858" s="301" t="s">
        <v>2133</v>
      </c>
      <c r="E1858" s="297" t="s">
        <v>208</v>
      </c>
      <c r="F1858" s="297" t="s">
        <v>1114</v>
      </c>
    </row>
    <row r="1859" spans="2:6" ht="27">
      <c r="B1859" s="615">
        <v>43166</v>
      </c>
      <c r="C1859" s="300">
        <v>43160</v>
      </c>
      <c r="D1859" s="301" t="s">
        <v>3938</v>
      </c>
      <c r="E1859" s="297" t="s">
        <v>63</v>
      </c>
      <c r="F1859" s="297" t="s">
        <v>3939</v>
      </c>
    </row>
    <row r="1860" spans="2:6" ht="27">
      <c r="B1860" s="617">
        <v>43166</v>
      </c>
      <c r="C1860" s="78">
        <v>43160</v>
      </c>
      <c r="D1860" s="79" t="s">
        <v>1259</v>
      </c>
      <c r="E1860" s="75" t="s">
        <v>5</v>
      </c>
      <c r="F1860" s="75" t="s">
        <v>1114</v>
      </c>
    </row>
    <row r="1861" spans="2:6" ht="27">
      <c r="B1861" s="615">
        <v>43167</v>
      </c>
      <c r="C1861" s="300">
        <v>43160</v>
      </c>
      <c r="D1861" s="301" t="s">
        <v>6337</v>
      </c>
      <c r="E1861" s="297" t="s">
        <v>625</v>
      </c>
      <c r="F1861" s="297" t="s">
        <v>6338</v>
      </c>
    </row>
    <row r="1862" spans="2:6" ht="27">
      <c r="B1862" s="615">
        <v>43167</v>
      </c>
      <c r="C1862" s="300">
        <v>43160</v>
      </c>
      <c r="D1862" s="301" t="s">
        <v>7074</v>
      </c>
      <c r="E1862" s="297" t="s">
        <v>208</v>
      </c>
      <c r="F1862" s="297" t="s">
        <v>107</v>
      </c>
    </row>
    <row r="1863" spans="2:6" ht="27">
      <c r="B1863" s="618">
        <v>43168</v>
      </c>
      <c r="C1863" s="61">
        <v>43160</v>
      </c>
      <c r="D1863" s="62" t="s">
        <v>4987</v>
      </c>
      <c r="E1863" s="58" t="s">
        <v>63</v>
      </c>
      <c r="F1863" s="58" t="s">
        <v>3939</v>
      </c>
    </row>
    <row r="1864" spans="2:6" ht="27">
      <c r="B1864" s="615">
        <v>43168</v>
      </c>
      <c r="C1864" s="300">
        <v>43160</v>
      </c>
      <c r="D1864" s="301" t="s">
        <v>7075</v>
      </c>
      <c r="E1864" s="297" t="s">
        <v>5</v>
      </c>
      <c r="F1864" s="297" t="s">
        <v>107</v>
      </c>
    </row>
    <row r="1865" spans="2:6" ht="27">
      <c r="B1865" s="618">
        <v>43171</v>
      </c>
      <c r="C1865" s="61">
        <v>43160</v>
      </c>
      <c r="D1865" s="62" t="s">
        <v>6156</v>
      </c>
      <c r="E1865" s="58" t="s">
        <v>625</v>
      </c>
      <c r="F1865" s="58" t="s">
        <v>6157</v>
      </c>
    </row>
    <row r="1866" spans="2:6" ht="27">
      <c r="B1866" s="615">
        <v>43171</v>
      </c>
      <c r="C1866" s="300">
        <v>43160</v>
      </c>
      <c r="D1866" s="301" t="s">
        <v>7076</v>
      </c>
      <c r="E1866" s="297" t="s">
        <v>208</v>
      </c>
      <c r="F1866" s="297" t="s">
        <v>1114</v>
      </c>
    </row>
    <row r="1867" spans="2:6" ht="27">
      <c r="B1867" s="615">
        <v>43171</v>
      </c>
      <c r="C1867" s="300">
        <v>43160</v>
      </c>
      <c r="D1867" s="301" t="s">
        <v>7077</v>
      </c>
      <c r="E1867" s="297" t="s">
        <v>208</v>
      </c>
      <c r="F1867" s="297" t="s">
        <v>107</v>
      </c>
    </row>
    <row r="1868" spans="2:6" ht="27">
      <c r="B1868" s="619">
        <v>43172</v>
      </c>
      <c r="C1868" s="144">
        <v>43160</v>
      </c>
      <c r="D1868" s="145" t="s">
        <v>6073</v>
      </c>
      <c r="E1868" s="141" t="s">
        <v>625</v>
      </c>
      <c r="F1868" s="141" t="s">
        <v>2395</v>
      </c>
    </row>
    <row r="1869" spans="2:6" ht="27">
      <c r="B1869" s="616">
        <v>43172</v>
      </c>
      <c r="C1869" s="144">
        <v>43160</v>
      </c>
      <c r="D1869" s="22" t="s">
        <v>6080</v>
      </c>
      <c r="E1869" s="141" t="s">
        <v>625</v>
      </c>
      <c r="F1869" s="141" t="s">
        <v>2395</v>
      </c>
    </row>
    <row r="1870" spans="2:6" ht="27">
      <c r="B1870" s="614">
        <v>43172</v>
      </c>
      <c r="C1870" s="38">
        <v>43160</v>
      </c>
      <c r="D1870" s="39" t="s">
        <v>6084</v>
      </c>
      <c r="E1870" s="34" t="s">
        <v>625</v>
      </c>
      <c r="F1870" s="34" t="s">
        <v>2395</v>
      </c>
    </row>
    <row r="1871" spans="2:6">
      <c r="B1871" s="615">
        <v>43172</v>
      </c>
      <c r="C1871" s="300">
        <v>43160</v>
      </c>
      <c r="D1871" s="301" t="s">
        <v>580</v>
      </c>
      <c r="E1871" s="297" t="s">
        <v>581</v>
      </c>
      <c r="F1871" s="297" t="s">
        <v>582</v>
      </c>
    </row>
    <row r="1872" spans="2:6">
      <c r="B1872" s="626">
        <v>43172</v>
      </c>
      <c r="C1872" s="146">
        <v>43172</v>
      </c>
      <c r="D1872" s="424" t="s">
        <v>6507</v>
      </c>
      <c r="E1872" s="172" t="s">
        <v>63</v>
      </c>
      <c r="F1872" s="172" t="s">
        <v>79</v>
      </c>
    </row>
    <row r="1873" spans="2:6" ht="27">
      <c r="B1873" s="618">
        <v>43172</v>
      </c>
      <c r="C1873" s="63">
        <v>43160</v>
      </c>
      <c r="D1873" s="62" t="s">
        <v>4986</v>
      </c>
      <c r="E1873" s="58" t="s">
        <v>63</v>
      </c>
      <c r="F1873" s="58" t="s">
        <v>1114</v>
      </c>
    </row>
    <row r="1874" spans="2:6" ht="27">
      <c r="B1874" s="615">
        <v>43172</v>
      </c>
      <c r="C1874" s="300">
        <v>43160</v>
      </c>
      <c r="D1874" s="301" t="s">
        <v>2134</v>
      </c>
      <c r="E1874" s="297" t="s">
        <v>208</v>
      </c>
      <c r="F1874" s="297" t="s">
        <v>1114</v>
      </c>
    </row>
    <row r="1875" spans="2:6" ht="27">
      <c r="B1875" s="618">
        <v>43173</v>
      </c>
      <c r="C1875" s="61">
        <v>43160</v>
      </c>
      <c r="D1875" s="62" t="s">
        <v>6089</v>
      </c>
      <c r="E1875" s="58" t="s">
        <v>63</v>
      </c>
      <c r="F1875" s="58" t="s">
        <v>79</v>
      </c>
    </row>
    <row r="1876" spans="2:6">
      <c r="B1876" s="618">
        <v>43173</v>
      </c>
      <c r="C1876" s="61">
        <v>43160</v>
      </c>
      <c r="D1876" s="62" t="s">
        <v>6099</v>
      </c>
      <c r="E1876" s="58" t="s">
        <v>5</v>
      </c>
      <c r="F1876" s="58" t="s">
        <v>4292</v>
      </c>
    </row>
    <row r="1877" spans="2:6" ht="27">
      <c r="B1877" s="618">
        <v>43173</v>
      </c>
      <c r="C1877" s="61">
        <v>43160</v>
      </c>
      <c r="D1877" s="62" t="s">
        <v>6107</v>
      </c>
      <c r="E1877" s="58" t="s">
        <v>581</v>
      </c>
      <c r="F1877" s="58" t="s">
        <v>551</v>
      </c>
    </row>
    <row r="1878" spans="2:6" ht="27">
      <c r="B1878" s="618">
        <v>43173</v>
      </c>
      <c r="C1878" s="61">
        <v>43160</v>
      </c>
      <c r="D1878" s="62" t="s">
        <v>6116</v>
      </c>
      <c r="E1878" s="58" t="s">
        <v>63</v>
      </c>
      <c r="F1878" s="58" t="s">
        <v>79</v>
      </c>
    </row>
    <row r="1879" spans="2:6">
      <c r="B1879" s="618">
        <v>43173</v>
      </c>
      <c r="C1879" s="61">
        <v>43160</v>
      </c>
      <c r="D1879" s="62" t="s">
        <v>6132</v>
      </c>
      <c r="E1879" s="58" t="s">
        <v>5</v>
      </c>
      <c r="F1879" s="58" t="s">
        <v>6133</v>
      </c>
    </row>
    <row r="1880" spans="2:6" ht="27">
      <c r="B1880" s="619">
        <v>43173</v>
      </c>
      <c r="C1880" s="144">
        <v>43160</v>
      </c>
      <c r="D1880" s="145" t="s">
        <v>6322</v>
      </c>
      <c r="E1880" s="141" t="s">
        <v>63</v>
      </c>
      <c r="F1880" s="141" t="s">
        <v>79</v>
      </c>
    </row>
    <row r="1881" spans="2:6" ht="27">
      <c r="B1881" s="626">
        <v>43173</v>
      </c>
      <c r="C1881" s="146">
        <v>43173</v>
      </c>
      <c r="D1881" s="424" t="s">
        <v>6512</v>
      </c>
      <c r="E1881" s="141" t="s">
        <v>286</v>
      </c>
      <c r="F1881" s="141" t="s">
        <v>79</v>
      </c>
    </row>
    <row r="1882" spans="2:6">
      <c r="B1882" s="615">
        <v>43173</v>
      </c>
      <c r="C1882" s="300">
        <v>43160</v>
      </c>
      <c r="D1882" s="301" t="s">
        <v>2420</v>
      </c>
      <c r="E1882" s="297" t="s">
        <v>5</v>
      </c>
      <c r="F1882" s="297" t="s">
        <v>287</v>
      </c>
    </row>
    <row r="1883" spans="2:6" ht="27">
      <c r="B1883" s="618">
        <v>43173</v>
      </c>
      <c r="C1883" s="61">
        <v>43160</v>
      </c>
      <c r="D1883" s="62" t="s">
        <v>4565</v>
      </c>
      <c r="E1883" s="58" t="s">
        <v>63</v>
      </c>
      <c r="F1883" s="58" t="s">
        <v>79</v>
      </c>
    </row>
    <row r="1884" spans="2:6" ht="27">
      <c r="B1884" s="618">
        <v>43173</v>
      </c>
      <c r="C1884" s="61">
        <v>43160</v>
      </c>
      <c r="D1884" s="62" t="s">
        <v>5276</v>
      </c>
      <c r="E1884" s="58" t="s">
        <v>208</v>
      </c>
      <c r="F1884" s="58" t="s">
        <v>79</v>
      </c>
    </row>
    <row r="1885" spans="2:6" ht="27">
      <c r="B1885" s="618">
        <v>43173</v>
      </c>
      <c r="C1885" s="61">
        <v>43160</v>
      </c>
      <c r="D1885" s="62" t="s">
        <v>6125</v>
      </c>
      <c r="E1885" s="58" t="s">
        <v>63</v>
      </c>
      <c r="F1885" s="58" t="s">
        <v>79</v>
      </c>
    </row>
    <row r="1886" spans="2:6" ht="27">
      <c r="B1886" s="615">
        <v>43173</v>
      </c>
      <c r="C1886" s="302">
        <v>43160</v>
      </c>
      <c r="D1886" s="301" t="s">
        <v>5042</v>
      </c>
      <c r="E1886" s="297" t="s">
        <v>5</v>
      </c>
      <c r="F1886" s="297" t="s">
        <v>1625</v>
      </c>
    </row>
    <row r="1887" spans="2:6" ht="27">
      <c r="B1887" s="615">
        <v>43173</v>
      </c>
      <c r="C1887" s="300">
        <v>43160</v>
      </c>
      <c r="D1887" s="301" t="s">
        <v>7078</v>
      </c>
      <c r="E1887" s="297" t="s">
        <v>208</v>
      </c>
      <c r="F1887" s="297" t="s">
        <v>107</v>
      </c>
    </row>
    <row r="1888" spans="2:6" ht="40.5">
      <c r="B1888" s="618">
        <v>43174</v>
      </c>
      <c r="C1888" s="61">
        <v>43160</v>
      </c>
      <c r="D1888" s="62" t="s">
        <v>6173</v>
      </c>
      <c r="E1888" s="58" t="s">
        <v>1493</v>
      </c>
      <c r="F1888" s="58" t="s">
        <v>6174</v>
      </c>
    </row>
    <row r="1889" spans="2:6" ht="27">
      <c r="B1889" s="615">
        <v>43174</v>
      </c>
      <c r="C1889" s="300">
        <v>43160</v>
      </c>
      <c r="D1889" s="301" t="s">
        <v>1435</v>
      </c>
      <c r="E1889" s="297" t="s">
        <v>5</v>
      </c>
      <c r="F1889" s="297" t="s">
        <v>85</v>
      </c>
    </row>
    <row r="1890" spans="2:6" ht="27">
      <c r="B1890" s="615">
        <v>43174</v>
      </c>
      <c r="C1890" s="300">
        <v>43160</v>
      </c>
      <c r="D1890" s="301" t="s">
        <v>1475</v>
      </c>
      <c r="E1890" s="297" t="s">
        <v>208</v>
      </c>
      <c r="F1890" s="297" t="s">
        <v>1476</v>
      </c>
    </row>
    <row r="1891" spans="2:6" ht="27">
      <c r="B1891" s="617">
        <v>43174</v>
      </c>
      <c r="C1891" s="78">
        <v>43160</v>
      </c>
      <c r="D1891" s="79" t="s">
        <v>3513</v>
      </c>
      <c r="E1891" s="75" t="s">
        <v>208</v>
      </c>
      <c r="F1891" s="75" t="s">
        <v>107</v>
      </c>
    </row>
    <row r="1892" spans="2:6" ht="40.5">
      <c r="B1892" s="615">
        <v>43174</v>
      </c>
      <c r="C1892" s="300">
        <v>43160</v>
      </c>
      <c r="D1892" s="301" t="s">
        <v>7079</v>
      </c>
      <c r="E1892" s="297" t="s">
        <v>208</v>
      </c>
      <c r="F1892" s="297" t="s">
        <v>7080</v>
      </c>
    </row>
    <row r="1893" spans="2:6" ht="27">
      <c r="B1893" s="617">
        <v>43174</v>
      </c>
      <c r="C1893" s="78">
        <v>43160</v>
      </c>
      <c r="D1893" s="79" t="s">
        <v>7081</v>
      </c>
      <c r="E1893" s="75" t="s">
        <v>208</v>
      </c>
      <c r="F1893" s="75" t="s">
        <v>2676</v>
      </c>
    </row>
    <row r="1894" spans="2:6" ht="27">
      <c r="B1894" s="615">
        <v>43175</v>
      </c>
      <c r="C1894" s="300">
        <v>43160</v>
      </c>
      <c r="D1894" s="301" t="s">
        <v>3570</v>
      </c>
      <c r="E1894" s="297" t="s">
        <v>208</v>
      </c>
      <c r="F1894" s="297" t="s">
        <v>107</v>
      </c>
    </row>
    <row r="1895" spans="2:6" ht="27">
      <c r="B1895" s="618">
        <v>43179</v>
      </c>
      <c r="C1895" s="61">
        <v>43160</v>
      </c>
      <c r="D1895" s="62" t="s">
        <v>1754</v>
      </c>
      <c r="E1895" s="58" t="s">
        <v>5</v>
      </c>
      <c r="F1895" s="58" t="s">
        <v>107</v>
      </c>
    </row>
    <row r="1896" spans="2:6" ht="27">
      <c r="B1896" s="615">
        <v>43179</v>
      </c>
      <c r="C1896" s="302">
        <v>43160</v>
      </c>
      <c r="D1896" s="301" t="s">
        <v>1754</v>
      </c>
      <c r="E1896" s="297" t="s">
        <v>5</v>
      </c>
      <c r="F1896" s="297" t="s">
        <v>107</v>
      </c>
    </row>
    <row r="1897" spans="2:6" ht="27">
      <c r="B1897" s="615">
        <v>43179</v>
      </c>
      <c r="C1897" s="302">
        <v>43160</v>
      </c>
      <c r="D1897" s="301" t="s">
        <v>1754</v>
      </c>
      <c r="E1897" s="297" t="s">
        <v>5</v>
      </c>
      <c r="F1897" s="297" t="s">
        <v>107</v>
      </c>
    </row>
    <row r="1898" spans="2:6" ht="27">
      <c r="B1898" s="615">
        <v>43179</v>
      </c>
      <c r="C1898" s="300">
        <v>43160</v>
      </c>
      <c r="D1898" s="301" t="s">
        <v>1674</v>
      </c>
      <c r="E1898" s="297" t="s">
        <v>171</v>
      </c>
      <c r="F1898" s="297" t="s">
        <v>1675</v>
      </c>
    </row>
    <row r="1899" spans="2:6" ht="27">
      <c r="B1899" s="617">
        <v>43179</v>
      </c>
      <c r="C1899" s="78">
        <v>43160</v>
      </c>
      <c r="D1899" s="79" t="s">
        <v>1754</v>
      </c>
      <c r="E1899" s="75" t="s">
        <v>5</v>
      </c>
      <c r="F1899" s="75" t="s">
        <v>107</v>
      </c>
    </row>
    <row r="1900" spans="2:6" ht="27">
      <c r="B1900" s="615">
        <v>43179</v>
      </c>
      <c r="C1900" s="367">
        <v>43160</v>
      </c>
      <c r="D1900" s="301" t="s">
        <v>5043</v>
      </c>
      <c r="E1900" s="297" t="s">
        <v>286</v>
      </c>
      <c r="F1900" s="297" t="s">
        <v>1753</v>
      </c>
    </row>
    <row r="1901" spans="2:6" ht="27">
      <c r="B1901" s="618">
        <v>43179</v>
      </c>
      <c r="C1901" s="61">
        <v>43160</v>
      </c>
      <c r="D1901" s="62" t="s">
        <v>5827</v>
      </c>
      <c r="E1901" s="58" t="s">
        <v>198</v>
      </c>
      <c r="F1901" s="58" t="s">
        <v>1491</v>
      </c>
    </row>
    <row r="1902" spans="2:6" ht="27">
      <c r="B1902" s="615">
        <v>43179</v>
      </c>
      <c r="C1902" s="300">
        <v>43160</v>
      </c>
      <c r="D1902" s="301" t="s">
        <v>7082</v>
      </c>
      <c r="E1902" s="297" t="s">
        <v>63</v>
      </c>
      <c r="F1902" s="297" t="s">
        <v>1753</v>
      </c>
    </row>
    <row r="1903" spans="2:6" ht="27">
      <c r="B1903" s="615">
        <v>43180</v>
      </c>
      <c r="C1903" s="300">
        <v>43160</v>
      </c>
      <c r="D1903" s="301" t="s">
        <v>2868</v>
      </c>
      <c r="E1903" s="297" t="s">
        <v>208</v>
      </c>
      <c r="F1903" s="297" t="s">
        <v>107</v>
      </c>
    </row>
    <row r="1904" spans="2:6" ht="27">
      <c r="B1904" s="618">
        <v>43180</v>
      </c>
      <c r="C1904" s="63">
        <v>43160</v>
      </c>
      <c r="D1904" s="62" t="s">
        <v>5654</v>
      </c>
      <c r="E1904" s="58" t="s">
        <v>208</v>
      </c>
      <c r="F1904" s="58" t="s">
        <v>107</v>
      </c>
    </row>
    <row r="1905" spans="2:6">
      <c r="B1905" s="617">
        <v>43180</v>
      </c>
      <c r="C1905" s="78">
        <v>43160</v>
      </c>
      <c r="D1905" s="79" t="s">
        <v>7083</v>
      </c>
      <c r="E1905" s="75" t="s">
        <v>5</v>
      </c>
      <c r="F1905" s="75" t="s">
        <v>1213</v>
      </c>
    </row>
    <row r="1906" spans="2:6" ht="27">
      <c r="B1906" s="615">
        <v>43180</v>
      </c>
      <c r="C1906" s="300">
        <v>43160</v>
      </c>
      <c r="D1906" s="301" t="s">
        <v>3570</v>
      </c>
      <c r="E1906" s="297" t="s">
        <v>208</v>
      </c>
      <c r="F1906" s="297" t="s">
        <v>7084</v>
      </c>
    </row>
    <row r="1907" spans="2:6" ht="40.5">
      <c r="B1907" s="618">
        <v>43181</v>
      </c>
      <c r="C1907" s="61">
        <v>43160</v>
      </c>
      <c r="D1907" s="62" t="s">
        <v>5329</v>
      </c>
      <c r="E1907" s="58" t="s">
        <v>63</v>
      </c>
      <c r="F1907" s="58" t="s">
        <v>1189</v>
      </c>
    </row>
    <row r="1908" spans="2:6" ht="40.5">
      <c r="B1908" s="615">
        <v>43181</v>
      </c>
      <c r="C1908" s="302">
        <v>43160</v>
      </c>
      <c r="D1908" s="301" t="s">
        <v>451</v>
      </c>
      <c r="E1908" s="297" t="s">
        <v>171</v>
      </c>
      <c r="F1908" s="297" t="s">
        <v>452</v>
      </c>
    </row>
    <row r="1909" spans="2:6" ht="27">
      <c r="B1909" s="618">
        <v>43181</v>
      </c>
      <c r="C1909" s="63">
        <v>43160</v>
      </c>
      <c r="D1909" s="291" t="s">
        <v>5450</v>
      </c>
      <c r="E1909" s="58" t="s">
        <v>63</v>
      </c>
      <c r="F1909" s="58" t="s">
        <v>5451</v>
      </c>
    </row>
    <row r="1910" spans="2:6" ht="40.5">
      <c r="B1910" s="618">
        <v>43181</v>
      </c>
      <c r="C1910" s="21" t="s">
        <v>9243</v>
      </c>
      <c r="D1910" s="62" t="s">
        <v>2439</v>
      </c>
      <c r="E1910" s="58" t="s">
        <v>208</v>
      </c>
      <c r="F1910" s="58" t="s">
        <v>1189</v>
      </c>
    </row>
    <row r="1911" spans="2:6" ht="27">
      <c r="B1911" s="617">
        <v>43182</v>
      </c>
      <c r="C1911" s="80">
        <v>43160</v>
      </c>
      <c r="D1911" s="79" t="s">
        <v>1788</v>
      </c>
      <c r="E1911" s="75" t="s">
        <v>5</v>
      </c>
      <c r="F1911" s="75" t="s">
        <v>107</v>
      </c>
    </row>
    <row r="1912" spans="2:6" ht="27">
      <c r="B1912" s="615">
        <v>43182</v>
      </c>
      <c r="C1912" s="300">
        <v>43160</v>
      </c>
      <c r="D1912" s="301" t="s">
        <v>271</v>
      </c>
      <c r="E1912" s="297" t="s">
        <v>171</v>
      </c>
      <c r="F1912" s="297" t="s">
        <v>1733</v>
      </c>
    </row>
    <row r="1913" spans="2:6" ht="40.5">
      <c r="B1913" s="615">
        <v>43182</v>
      </c>
      <c r="C1913" s="300">
        <v>43160</v>
      </c>
      <c r="D1913" s="301" t="s">
        <v>7085</v>
      </c>
      <c r="E1913" s="297" t="s">
        <v>63</v>
      </c>
      <c r="F1913" s="297" t="s">
        <v>7086</v>
      </c>
    </row>
    <row r="1914" spans="2:6">
      <c r="B1914" s="619">
        <v>43185</v>
      </c>
      <c r="C1914" s="144">
        <v>43160</v>
      </c>
      <c r="D1914" s="145" t="s">
        <v>6074</v>
      </c>
      <c r="E1914" s="141" t="s">
        <v>195</v>
      </c>
      <c r="F1914" s="141" t="s">
        <v>2411</v>
      </c>
    </row>
    <row r="1915" spans="2:6">
      <c r="B1915" s="615">
        <v>43185</v>
      </c>
      <c r="C1915" s="300">
        <v>43160</v>
      </c>
      <c r="D1915" s="301" t="s">
        <v>1436</v>
      </c>
      <c r="E1915" s="297" t="s">
        <v>208</v>
      </c>
      <c r="F1915" s="297" t="s">
        <v>1213</v>
      </c>
    </row>
    <row r="1916" spans="2:6" ht="40.5">
      <c r="B1916" s="618">
        <v>43187</v>
      </c>
      <c r="C1916" s="61">
        <v>43160</v>
      </c>
      <c r="D1916" s="62" t="s">
        <v>6158</v>
      </c>
      <c r="E1916" s="58" t="s">
        <v>152</v>
      </c>
      <c r="F1916" s="58" t="s">
        <v>6159</v>
      </c>
    </row>
    <row r="1917" spans="2:6" ht="40.5">
      <c r="B1917" s="614">
        <v>43192</v>
      </c>
      <c r="C1917" s="38">
        <v>43191</v>
      </c>
      <c r="D1917" s="39" t="s">
        <v>1260</v>
      </c>
      <c r="E1917" s="34" t="s">
        <v>152</v>
      </c>
      <c r="F1917" s="34" t="s">
        <v>1159</v>
      </c>
    </row>
    <row r="1918" spans="2:6" ht="40.5">
      <c r="B1918" s="618">
        <v>43193</v>
      </c>
      <c r="C1918" s="61">
        <v>43191</v>
      </c>
      <c r="D1918" s="62" t="s">
        <v>6180</v>
      </c>
      <c r="E1918" s="58" t="s">
        <v>1493</v>
      </c>
      <c r="F1918" s="58" t="s">
        <v>6174</v>
      </c>
    </row>
    <row r="1919" spans="2:6" ht="27">
      <c r="B1919" s="618">
        <v>43193</v>
      </c>
      <c r="C1919" s="61">
        <v>43191</v>
      </c>
      <c r="D1919" s="62" t="s">
        <v>2543</v>
      </c>
      <c r="E1919" s="58" t="s">
        <v>208</v>
      </c>
      <c r="F1919" s="58" t="s">
        <v>107</v>
      </c>
    </row>
    <row r="1920" spans="2:6" ht="27">
      <c r="B1920" s="615">
        <v>43193</v>
      </c>
      <c r="C1920" s="300">
        <v>43191</v>
      </c>
      <c r="D1920" s="301" t="s">
        <v>7087</v>
      </c>
      <c r="E1920" s="297" t="s">
        <v>63</v>
      </c>
      <c r="F1920" s="297" t="s">
        <v>7088</v>
      </c>
    </row>
    <row r="1921" spans="2:6" ht="54">
      <c r="B1921" s="615">
        <v>43194</v>
      </c>
      <c r="C1921" s="300">
        <v>43191</v>
      </c>
      <c r="D1921" s="301" t="s">
        <v>7089</v>
      </c>
      <c r="E1921" s="297" t="s">
        <v>171</v>
      </c>
      <c r="F1921" s="297" t="s">
        <v>7090</v>
      </c>
    </row>
    <row r="1922" spans="2:6">
      <c r="B1922" s="617">
        <v>43194</v>
      </c>
      <c r="C1922" s="78">
        <v>43191</v>
      </c>
      <c r="D1922" s="79" t="s">
        <v>7091</v>
      </c>
      <c r="E1922" s="75" t="s">
        <v>208</v>
      </c>
      <c r="F1922" s="75" t="s">
        <v>529</v>
      </c>
    </row>
    <row r="1923" spans="2:6" ht="27">
      <c r="B1923" s="622">
        <v>43194</v>
      </c>
      <c r="C1923" s="107">
        <v>43191</v>
      </c>
      <c r="D1923" s="108" t="s">
        <v>7092</v>
      </c>
      <c r="E1923" s="105" t="s">
        <v>5</v>
      </c>
      <c r="F1923" s="105" t="s">
        <v>107</v>
      </c>
    </row>
    <row r="1924" spans="2:6" ht="27">
      <c r="B1924" s="618">
        <v>43195</v>
      </c>
      <c r="C1924" s="61">
        <v>43191</v>
      </c>
      <c r="D1924" s="62" t="s">
        <v>6187</v>
      </c>
      <c r="E1924" s="58" t="s">
        <v>5</v>
      </c>
      <c r="F1924" s="58" t="s">
        <v>79</v>
      </c>
    </row>
    <row r="1925" spans="2:6" ht="27">
      <c r="B1925" s="619">
        <v>43195</v>
      </c>
      <c r="C1925" s="144">
        <v>43191</v>
      </c>
      <c r="D1925" s="145" t="s">
        <v>6196</v>
      </c>
      <c r="E1925" s="141" t="s">
        <v>5</v>
      </c>
      <c r="F1925" s="141" t="s">
        <v>79</v>
      </c>
    </row>
    <row r="1926" spans="2:6" ht="27">
      <c r="B1926" s="619">
        <v>43195</v>
      </c>
      <c r="C1926" s="144">
        <v>43191</v>
      </c>
      <c r="D1926" s="157" t="s">
        <v>6269</v>
      </c>
      <c r="E1926" s="141" t="s">
        <v>5</v>
      </c>
      <c r="F1926" s="141" t="s">
        <v>79</v>
      </c>
    </row>
    <row r="1927" spans="2:6" ht="27">
      <c r="B1927" s="618">
        <v>43195</v>
      </c>
      <c r="C1927" s="61">
        <v>43191</v>
      </c>
      <c r="D1927" s="62" t="s">
        <v>2605</v>
      </c>
      <c r="E1927" s="58" t="s">
        <v>63</v>
      </c>
      <c r="F1927" s="58" t="s">
        <v>1114</v>
      </c>
    </row>
    <row r="1928" spans="2:6" ht="27">
      <c r="B1928" s="618">
        <v>43196</v>
      </c>
      <c r="C1928" s="63">
        <v>43191</v>
      </c>
      <c r="D1928" s="62" t="s">
        <v>6160</v>
      </c>
      <c r="E1928" s="58" t="s">
        <v>625</v>
      </c>
      <c r="F1928" s="58" t="s">
        <v>6161</v>
      </c>
    </row>
    <row r="1929" spans="2:6" ht="27">
      <c r="B1929" s="615">
        <v>43196</v>
      </c>
      <c r="C1929" s="300">
        <v>43191</v>
      </c>
      <c r="D1929" s="301" t="s">
        <v>387</v>
      </c>
      <c r="E1929" s="297" t="s">
        <v>388</v>
      </c>
      <c r="F1929" s="297" t="s">
        <v>389</v>
      </c>
    </row>
    <row r="1930" spans="2:6" ht="54">
      <c r="B1930" s="615">
        <v>43196</v>
      </c>
      <c r="C1930" s="300">
        <v>43191</v>
      </c>
      <c r="D1930" s="301" t="s">
        <v>7093</v>
      </c>
      <c r="E1930" s="297" t="s">
        <v>171</v>
      </c>
      <c r="F1930" s="297" t="s">
        <v>7090</v>
      </c>
    </row>
    <row r="1931" spans="2:6" ht="27">
      <c r="B1931" s="618">
        <v>43199</v>
      </c>
      <c r="C1931" s="61">
        <v>43191</v>
      </c>
      <c r="D1931" s="62" t="s">
        <v>3545</v>
      </c>
      <c r="E1931" s="58" t="s">
        <v>63</v>
      </c>
      <c r="F1931" s="58" t="s">
        <v>107</v>
      </c>
    </row>
    <row r="1932" spans="2:6" ht="27">
      <c r="B1932" s="617">
        <v>43199</v>
      </c>
      <c r="C1932" s="80">
        <v>43191</v>
      </c>
      <c r="D1932" s="79" t="s">
        <v>3545</v>
      </c>
      <c r="E1932" s="75" t="s">
        <v>63</v>
      </c>
      <c r="F1932" s="75" t="s">
        <v>107</v>
      </c>
    </row>
    <row r="1933" spans="2:6">
      <c r="B1933" s="617">
        <v>43199</v>
      </c>
      <c r="C1933" s="78">
        <v>43191</v>
      </c>
      <c r="D1933" s="79" t="s">
        <v>3545</v>
      </c>
      <c r="E1933" s="75" t="s">
        <v>63</v>
      </c>
      <c r="F1933" s="75"/>
    </row>
    <row r="1934" spans="2:6" ht="27">
      <c r="B1934" s="618">
        <v>43199</v>
      </c>
      <c r="C1934" s="61">
        <v>43191</v>
      </c>
      <c r="D1934" s="62" t="s">
        <v>3545</v>
      </c>
      <c r="E1934" s="58" t="s">
        <v>63</v>
      </c>
      <c r="F1934" s="58" t="s">
        <v>107</v>
      </c>
    </row>
    <row r="1935" spans="2:6" ht="27">
      <c r="B1935" s="618">
        <v>43199</v>
      </c>
      <c r="C1935" s="61">
        <v>43191</v>
      </c>
      <c r="D1935" s="62" t="s">
        <v>2544</v>
      </c>
      <c r="E1935" s="58" t="s">
        <v>208</v>
      </c>
      <c r="F1935" s="58" t="s">
        <v>107</v>
      </c>
    </row>
    <row r="1936" spans="2:6" ht="27">
      <c r="B1936" s="618">
        <v>43200</v>
      </c>
      <c r="C1936" s="61">
        <v>43191</v>
      </c>
      <c r="D1936" s="62" t="s">
        <v>6181</v>
      </c>
      <c r="E1936" s="58" t="s">
        <v>195</v>
      </c>
      <c r="F1936" s="58" t="s">
        <v>1491</v>
      </c>
    </row>
    <row r="1937" spans="2:6" ht="67.5">
      <c r="B1937" s="618">
        <v>43200</v>
      </c>
      <c r="C1937" s="63">
        <v>43191</v>
      </c>
      <c r="D1937" s="62" t="s">
        <v>6034</v>
      </c>
      <c r="E1937" s="58" t="s">
        <v>625</v>
      </c>
      <c r="F1937" s="58" t="s">
        <v>6035</v>
      </c>
    </row>
    <row r="1938" spans="2:6">
      <c r="B1938" s="618">
        <v>43200</v>
      </c>
      <c r="C1938" s="63">
        <v>43191</v>
      </c>
      <c r="D1938" s="62" t="s">
        <v>6126</v>
      </c>
      <c r="E1938" s="58" t="s">
        <v>63</v>
      </c>
      <c r="F1938" s="58"/>
    </row>
    <row r="1939" spans="2:6" ht="27">
      <c r="B1939" s="615">
        <v>43200</v>
      </c>
      <c r="C1939" s="300">
        <v>43191</v>
      </c>
      <c r="D1939" s="301" t="s">
        <v>7094</v>
      </c>
      <c r="E1939" s="297" t="s">
        <v>63</v>
      </c>
      <c r="F1939" s="297" t="s">
        <v>7088</v>
      </c>
    </row>
    <row r="1940" spans="2:6" ht="54">
      <c r="B1940" s="618">
        <v>43201</v>
      </c>
      <c r="C1940" s="61">
        <v>43191</v>
      </c>
      <c r="D1940" s="62" t="s">
        <v>6236</v>
      </c>
      <c r="E1940" s="58" t="s">
        <v>1493</v>
      </c>
      <c r="F1940" s="58" t="s">
        <v>6237</v>
      </c>
    </row>
    <row r="1941" spans="2:6" ht="54">
      <c r="B1941" s="618">
        <v>43201</v>
      </c>
      <c r="C1941" s="61">
        <v>43191</v>
      </c>
      <c r="D1941" s="62" t="s">
        <v>6240</v>
      </c>
      <c r="E1941" s="58" t="s">
        <v>1493</v>
      </c>
      <c r="F1941" s="58" t="s">
        <v>6005</v>
      </c>
    </row>
    <row r="1942" spans="2:6" ht="27">
      <c r="B1942" s="618">
        <v>43201</v>
      </c>
      <c r="C1942" s="63">
        <v>43191</v>
      </c>
      <c r="D1942" s="62" t="s">
        <v>4988</v>
      </c>
      <c r="E1942" s="58" t="s">
        <v>2743</v>
      </c>
      <c r="F1942" s="58" t="s">
        <v>1491</v>
      </c>
    </row>
    <row r="1943" spans="2:6" ht="27">
      <c r="B1943" s="617">
        <v>43201</v>
      </c>
      <c r="C1943" s="78">
        <v>43191</v>
      </c>
      <c r="D1943" s="79" t="s">
        <v>2209</v>
      </c>
      <c r="E1943" s="75" t="s">
        <v>208</v>
      </c>
      <c r="F1943" s="75" t="s">
        <v>107</v>
      </c>
    </row>
    <row r="1944" spans="2:6" ht="27">
      <c r="B1944" s="618">
        <v>43201</v>
      </c>
      <c r="C1944" s="61">
        <v>43191</v>
      </c>
      <c r="D1944" s="62" t="s">
        <v>4988</v>
      </c>
      <c r="E1944" s="58" t="s">
        <v>2743</v>
      </c>
      <c r="F1944" s="58" t="s">
        <v>352</v>
      </c>
    </row>
    <row r="1945" spans="2:6" ht="67.5">
      <c r="B1945" s="618">
        <v>43202</v>
      </c>
      <c r="C1945" s="61">
        <v>43191</v>
      </c>
      <c r="D1945" s="62" t="s">
        <v>6175</v>
      </c>
      <c r="E1945" s="58" t="s">
        <v>625</v>
      </c>
      <c r="F1945" s="58" t="s">
        <v>6035</v>
      </c>
    </row>
    <row r="1946" spans="2:6">
      <c r="B1946" s="615">
        <v>43202</v>
      </c>
      <c r="C1946" s="300">
        <v>43191</v>
      </c>
      <c r="D1946" s="301" t="s">
        <v>1395</v>
      </c>
      <c r="E1946" s="297" t="s">
        <v>5</v>
      </c>
      <c r="F1946" s="297" t="s">
        <v>1396</v>
      </c>
    </row>
    <row r="1947" spans="2:6">
      <c r="B1947" s="615">
        <v>43202</v>
      </c>
      <c r="C1947" s="300">
        <v>43191</v>
      </c>
      <c r="D1947" s="301" t="s">
        <v>1395</v>
      </c>
      <c r="E1947" s="297" t="s">
        <v>5</v>
      </c>
      <c r="F1947" s="297" t="s">
        <v>1396</v>
      </c>
    </row>
    <row r="1948" spans="2:6" ht="54">
      <c r="B1948" s="618">
        <v>43203</v>
      </c>
      <c r="C1948" s="63">
        <v>43191</v>
      </c>
      <c r="D1948" s="62" t="s">
        <v>6176</v>
      </c>
      <c r="E1948" s="58" t="s">
        <v>625</v>
      </c>
      <c r="F1948" s="58" t="s">
        <v>6005</v>
      </c>
    </row>
    <row r="1949" spans="2:6" ht="54">
      <c r="B1949" s="618">
        <v>43206</v>
      </c>
      <c r="C1949" s="61">
        <v>43191</v>
      </c>
      <c r="D1949" s="62" t="s">
        <v>6004</v>
      </c>
      <c r="E1949" s="58" t="s">
        <v>625</v>
      </c>
      <c r="F1949" s="58" t="s">
        <v>6005</v>
      </c>
    </row>
    <row r="1950" spans="2:6" ht="54">
      <c r="B1950" s="618">
        <v>43206</v>
      </c>
      <c r="C1950" s="61">
        <v>43191</v>
      </c>
      <c r="D1950" s="62" t="s">
        <v>6012</v>
      </c>
      <c r="E1950" s="58" t="s">
        <v>625</v>
      </c>
      <c r="F1950" s="58" t="s">
        <v>6005</v>
      </c>
    </row>
    <row r="1951" spans="2:6" ht="27">
      <c r="B1951" s="617">
        <v>43206</v>
      </c>
      <c r="C1951" s="78">
        <v>43191</v>
      </c>
      <c r="D1951" s="79" t="s">
        <v>3359</v>
      </c>
      <c r="E1951" s="75" t="s">
        <v>63</v>
      </c>
      <c r="F1951" s="75" t="s">
        <v>107</v>
      </c>
    </row>
    <row r="1952" spans="2:6" ht="27">
      <c r="B1952" s="618">
        <v>43207</v>
      </c>
      <c r="C1952" s="61">
        <v>43191</v>
      </c>
      <c r="D1952" s="62" t="s">
        <v>6279</v>
      </c>
      <c r="E1952" s="58" t="s">
        <v>5</v>
      </c>
      <c r="F1952" s="58" t="s">
        <v>79</v>
      </c>
    </row>
    <row r="1953" spans="2:6" ht="27">
      <c r="B1953" s="616">
        <v>43207</v>
      </c>
      <c r="C1953" s="21">
        <v>43191</v>
      </c>
      <c r="D1953" s="22" t="s">
        <v>2069</v>
      </c>
      <c r="E1953" s="422" t="s">
        <v>152</v>
      </c>
      <c r="F1953" s="422" t="s">
        <v>1114</v>
      </c>
    </row>
    <row r="1954" spans="2:6" ht="27">
      <c r="B1954" s="617">
        <v>43207</v>
      </c>
      <c r="C1954" s="80">
        <v>43191</v>
      </c>
      <c r="D1954" s="79" t="s">
        <v>1546</v>
      </c>
      <c r="E1954" s="75" t="s">
        <v>5</v>
      </c>
      <c r="F1954" s="75" t="s">
        <v>85</v>
      </c>
    </row>
    <row r="1955" spans="2:6" ht="27">
      <c r="B1955" s="618">
        <v>43207</v>
      </c>
      <c r="C1955" s="63">
        <v>43191</v>
      </c>
      <c r="D1955" s="62" t="s">
        <v>3910</v>
      </c>
      <c r="E1955" s="58" t="s">
        <v>63</v>
      </c>
      <c r="F1955" s="58" t="s">
        <v>85</v>
      </c>
    </row>
    <row r="1956" spans="2:6" ht="27">
      <c r="B1956" s="618">
        <v>43207</v>
      </c>
      <c r="C1956" s="63">
        <v>43191</v>
      </c>
      <c r="D1956" s="62" t="s">
        <v>5262</v>
      </c>
      <c r="E1956" s="58" t="s">
        <v>5</v>
      </c>
      <c r="F1956" s="58" t="s">
        <v>85</v>
      </c>
    </row>
    <row r="1957" spans="2:6" ht="27">
      <c r="B1957" s="618">
        <v>43207</v>
      </c>
      <c r="C1957" s="63">
        <v>43191</v>
      </c>
      <c r="D1957" s="62" t="s">
        <v>5517</v>
      </c>
      <c r="E1957" s="58" t="s">
        <v>5</v>
      </c>
      <c r="F1957" s="58" t="s">
        <v>570</v>
      </c>
    </row>
    <row r="1958" spans="2:6" ht="27">
      <c r="B1958" s="618">
        <v>43207</v>
      </c>
      <c r="C1958" s="63">
        <v>43191</v>
      </c>
      <c r="D1958" s="62" t="s">
        <v>6135</v>
      </c>
      <c r="E1958" s="58" t="s">
        <v>5</v>
      </c>
      <c r="F1958" s="58" t="s">
        <v>1753</v>
      </c>
    </row>
    <row r="1959" spans="2:6" ht="27">
      <c r="B1959" s="619">
        <v>43207</v>
      </c>
      <c r="C1959" s="144">
        <v>43191</v>
      </c>
      <c r="D1959" s="145" t="s">
        <v>5666</v>
      </c>
      <c r="E1959" s="141" t="s">
        <v>5</v>
      </c>
      <c r="F1959" s="141" t="s">
        <v>107</v>
      </c>
    </row>
    <row r="1960" spans="2:6" ht="27">
      <c r="B1960" s="617">
        <v>43207</v>
      </c>
      <c r="C1960" s="78">
        <v>43191</v>
      </c>
      <c r="D1960" s="79" t="s">
        <v>3405</v>
      </c>
      <c r="E1960" s="75" t="s">
        <v>1480</v>
      </c>
      <c r="F1960" s="75" t="s">
        <v>3406</v>
      </c>
    </row>
    <row r="1961" spans="2:6">
      <c r="B1961" s="617">
        <v>43207</v>
      </c>
      <c r="C1961" s="78">
        <v>43191</v>
      </c>
      <c r="D1961" s="79" t="s">
        <v>7095</v>
      </c>
      <c r="E1961" s="75" t="s">
        <v>63</v>
      </c>
      <c r="F1961" s="75" t="s">
        <v>169</v>
      </c>
    </row>
    <row r="1962" spans="2:6" ht="27">
      <c r="B1962" s="618">
        <v>43207</v>
      </c>
      <c r="C1962" s="61">
        <v>43191</v>
      </c>
      <c r="D1962" s="62" t="s">
        <v>4551</v>
      </c>
      <c r="E1962" s="58" t="s">
        <v>5</v>
      </c>
      <c r="F1962" s="58" t="s">
        <v>570</v>
      </c>
    </row>
    <row r="1963" spans="2:6" ht="40.5">
      <c r="B1963" s="619">
        <v>43208</v>
      </c>
      <c r="C1963" s="144">
        <v>43191</v>
      </c>
      <c r="D1963" s="145" t="s">
        <v>6211</v>
      </c>
      <c r="E1963" s="141" t="s">
        <v>1493</v>
      </c>
      <c r="F1963" s="141" t="s">
        <v>6212</v>
      </c>
    </row>
    <row r="1964" spans="2:6" ht="27">
      <c r="B1964" s="618">
        <v>43208</v>
      </c>
      <c r="C1964" s="61">
        <v>43191</v>
      </c>
      <c r="D1964" s="92" t="s">
        <v>6270</v>
      </c>
      <c r="E1964" s="58" t="s">
        <v>5</v>
      </c>
      <c r="F1964" s="58" t="s">
        <v>79</v>
      </c>
    </row>
    <row r="1965" spans="2:6" ht="27">
      <c r="B1965" s="618">
        <v>43208</v>
      </c>
      <c r="C1965" s="61">
        <v>43191</v>
      </c>
      <c r="D1965" s="62" t="s">
        <v>6301</v>
      </c>
      <c r="E1965" s="58" t="s">
        <v>63</v>
      </c>
      <c r="F1965" s="58" t="s">
        <v>570</v>
      </c>
    </row>
    <row r="1966" spans="2:6">
      <c r="B1966" s="618">
        <v>43208</v>
      </c>
      <c r="C1966" s="61">
        <v>43191</v>
      </c>
      <c r="D1966" s="62" t="s">
        <v>3304</v>
      </c>
      <c r="E1966" s="58" t="s">
        <v>63</v>
      </c>
      <c r="F1966" s="58" t="s">
        <v>169</v>
      </c>
    </row>
    <row r="1967" spans="2:6" ht="27">
      <c r="B1967" s="618">
        <v>43208</v>
      </c>
      <c r="C1967" s="61">
        <v>43191</v>
      </c>
      <c r="D1967" s="62" t="s">
        <v>3647</v>
      </c>
      <c r="E1967" s="58" t="s">
        <v>3648</v>
      </c>
      <c r="F1967" s="58" t="s">
        <v>79</v>
      </c>
    </row>
    <row r="1968" spans="2:6" ht="27">
      <c r="B1968" s="618">
        <v>43208</v>
      </c>
      <c r="C1968" s="61">
        <v>43191</v>
      </c>
      <c r="D1968" s="62" t="s">
        <v>4631</v>
      </c>
      <c r="E1968" s="58" t="s">
        <v>63</v>
      </c>
      <c r="F1968" s="58" t="s">
        <v>79</v>
      </c>
    </row>
    <row r="1969" spans="2:6" ht="81">
      <c r="B1969" s="619">
        <v>43208</v>
      </c>
      <c r="C1969" s="144">
        <v>43191</v>
      </c>
      <c r="D1969" s="145" t="s">
        <v>6211</v>
      </c>
      <c r="E1969" s="141" t="s">
        <v>625</v>
      </c>
      <c r="F1969" s="141" t="s">
        <v>6213</v>
      </c>
    </row>
    <row r="1970" spans="2:6" ht="27">
      <c r="B1970" s="615">
        <v>43208</v>
      </c>
      <c r="C1970" s="300">
        <v>43191</v>
      </c>
      <c r="D1970" s="301" t="s">
        <v>7096</v>
      </c>
      <c r="E1970" s="297" t="s">
        <v>581</v>
      </c>
      <c r="F1970" s="297" t="s">
        <v>79</v>
      </c>
    </row>
    <row r="1971" spans="2:6" ht="27">
      <c r="B1971" s="615">
        <v>43208</v>
      </c>
      <c r="C1971" s="300">
        <v>43191</v>
      </c>
      <c r="D1971" s="301" t="s">
        <v>7097</v>
      </c>
      <c r="E1971" s="297" t="s">
        <v>5</v>
      </c>
      <c r="F1971" s="297" t="s">
        <v>1114</v>
      </c>
    </row>
    <row r="1972" spans="2:6" ht="27">
      <c r="B1972" s="619">
        <v>43209</v>
      </c>
      <c r="C1972" s="144">
        <v>43191</v>
      </c>
      <c r="D1972" s="145" t="s">
        <v>6204</v>
      </c>
      <c r="E1972" s="141" t="s">
        <v>4895</v>
      </c>
      <c r="F1972" s="141" t="s">
        <v>79</v>
      </c>
    </row>
    <row r="1973" spans="2:6" ht="27">
      <c r="B1973" s="618">
        <v>43209</v>
      </c>
      <c r="C1973" s="61">
        <v>43191</v>
      </c>
      <c r="D1973" s="62" t="s">
        <v>6284</v>
      </c>
      <c r="E1973" s="58" t="s">
        <v>5</v>
      </c>
      <c r="F1973" s="58" t="s">
        <v>79</v>
      </c>
    </row>
    <row r="1974" spans="2:6" ht="27">
      <c r="B1974" s="615">
        <v>43209</v>
      </c>
      <c r="C1974" s="300">
        <v>43191</v>
      </c>
      <c r="D1974" s="301" t="s">
        <v>1717</v>
      </c>
      <c r="E1974" s="297" t="s">
        <v>63</v>
      </c>
      <c r="F1974" s="297" t="s">
        <v>85</v>
      </c>
    </row>
    <row r="1975" spans="2:6" ht="27">
      <c r="B1975" s="617">
        <v>43209</v>
      </c>
      <c r="C1975" s="78">
        <v>43191</v>
      </c>
      <c r="D1975" s="79" t="s">
        <v>3446</v>
      </c>
      <c r="E1975" s="75" t="s">
        <v>5</v>
      </c>
      <c r="F1975" s="75" t="s">
        <v>107</v>
      </c>
    </row>
    <row r="1976" spans="2:6" ht="27">
      <c r="B1976" s="617">
        <v>43209</v>
      </c>
      <c r="C1976" s="80">
        <v>43191</v>
      </c>
      <c r="D1976" s="79" t="s">
        <v>3446</v>
      </c>
      <c r="E1976" s="75" t="s">
        <v>208</v>
      </c>
      <c r="F1976" s="75" t="s">
        <v>107</v>
      </c>
    </row>
    <row r="1977" spans="2:6" ht="27">
      <c r="B1977" s="618">
        <v>43209</v>
      </c>
      <c r="C1977" s="63">
        <v>43191</v>
      </c>
      <c r="D1977" s="62" t="s">
        <v>5598</v>
      </c>
      <c r="E1977" s="58" t="s">
        <v>5</v>
      </c>
      <c r="F1977" s="58" t="s">
        <v>79</v>
      </c>
    </row>
    <row r="1978" spans="2:6" ht="27">
      <c r="B1978" s="614">
        <v>43210</v>
      </c>
      <c r="C1978" s="40">
        <v>43210</v>
      </c>
      <c r="D1978" s="39" t="s">
        <v>6590</v>
      </c>
      <c r="E1978" s="34" t="s">
        <v>625</v>
      </c>
      <c r="F1978" s="34" t="s">
        <v>2395</v>
      </c>
    </row>
    <row r="1979" spans="2:6" ht="27">
      <c r="B1979" s="615">
        <v>43210</v>
      </c>
      <c r="C1979" s="300">
        <v>43191</v>
      </c>
      <c r="D1979" s="301" t="s">
        <v>2582</v>
      </c>
      <c r="E1979" s="297" t="s">
        <v>2583</v>
      </c>
      <c r="F1979" s="297" t="s">
        <v>582</v>
      </c>
    </row>
    <row r="1980" spans="2:6" ht="40.5">
      <c r="B1980" s="615">
        <v>43213</v>
      </c>
      <c r="C1980" s="300">
        <v>43191</v>
      </c>
      <c r="D1980" s="301" t="s">
        <v>7098</v>
      </c>
      <c r="E1980" s="297" t="s">
        <v>208</v>
      </c>
      <c r="F1980" s="297" t="s">
        <v>7080</v>
      </c>
    </row>
    <row r="1981" spans="2:6">
      <c r="B1981" s="615">
        <v>43213</v>
      </c>
      <c r="C1981" s="300">
        <v>43191</v>
      </c>
      <c r="D1981" s="301" t="s">
        <v>7099</v>
      </c>
      <c r="E1981" s="297" t="s">
        <v>171</v>
      </c>
      <c r="F1981" s="297" t="s">
        <v>3520</v>
      </c>
    </row>
    <row r="1982" spans="2:6" ht="27">
      <c r="B1982" s="618">
        <v>43214</v>
      </c>
      <c r="C1982" s="61">
        <v>43191</v>
      </c>
      <c r="D1982" s="62" t="s">
        <v>5763</v>
      </c>
      <c r="E1982" s="58" t="s">
        <v>5</v>
      </c>
      <c r="F1982" s="58" t="s">
        <v>570</v>
      </c>
    </row>
    <row r="1983" spans="2:6">
      <c r="B1983" s="618">
        <v>43214</v>
      </c>
      <c r="C1983" s="63">
        <v>43191</v>
      </c>
      <c r="D1983" s="62" t="s">
        <v>2530</v>
      </c>
      <c r="E1983" s="58" t="s">
        <v>5</v>
      </c>
      <c r="F1983" s="58"/>
    </row>
    <row r="1984" spans="2:6">
      <c r="B1984" s="615">
        <v>43214</v>
      </c>
      <c r="C1984" s="300">
        <v>43191</v>
      </c>
      <c r="D1984" s="301" t="s">
        <v>2581</v>
      </c>
      <c r="E1984" s="297" t="s">
        <v>5</v>
      </c>
      <c r="F1984" s="297" t="s">
        <v>1213</v>
      </c>
    </row>
    <row r="1985" spans="2:6" ht="27">
      <c r="B1985" s="617">
        <v>43214</v>
      </c>
      <c r="C1985" s="78">
        <v>43191</v>
      </c>
      <c r="D1985" s="79" t="s">
        <v>2530</v>
      </c>
      <c r="E1985" s="75" t="s">
        <v>5</v>
      </c>
      <c r="F1985" s="75" t="s">
        <v>1114</v>
      </c>
    </row>
    <row r="1986" spans="2:6" ht="27">
      <c r="B1986" s="617">
        <v>43214</v>
      </c>
      <c r="C1986" s="78">
        <v>43191</v>
      </c>
      <c r="D1986" s="79" t="s">
        <v>7100</v>
      </c>
      <c r="E1986" s="75" t="s">
        <v>5</v>
      </c>
      <c r="F1986" s="75" t="s">
        <v>85</v>
      </c>
    </row>
    <row r="1987" spans="2:6" ht="27">
      <c r="B1987" s="615">
        <v>43214</v>
      </c>
      <c r="C1987" s="300">
        <v>43191</v>
      </c>
      <c r="D1987" s="301" t="s">
        <v>7101</v>
      </c>
      <c r="E1987" s="297" t="s">
        <v>208</v>
      </c>
      <c r="F1987" s="297" t="s">
        <v>1114</v>
      </c>
    </row>
    <row r="1988" spans="2:6">
      <c r="B1988" s="616">
        <v>43215</v>
      </c>
      <c r="C1988" s="21">
        <v>43191</v>
      </c>
      <c r="D1988" s="22" t="s">
        <v>6230</v>
      </c>
      <c r="E1988" s="422" t="s">
        <v>171</v>
      </c>
      <c r="F1988" s="422" t="s">
        <v>3520</v>
      </c>
    </row>
    <row r="1989" spans="2:6" ht="27">
      <c r="B1989" s="615">
        <v>43215</v>
      </c>
      <c r="C1989" s="300">
        <v>43191</v>
      </c>
      <c r="D1989" s="301" t="s">
        <v>5044</v>
      </c>
      <c r="E1989" s="297" t="s">
        <v>5</v>
      </c>
      <c r="F1989" s="297" t="s">
        <v>107</v>
      </c>
    </row>
    <row r="1990" spans="2:6" ht="27">
      <c r="B1990" s="615">
        <v>43215</v>
      </c>
      <c r="C1990" s="300">
        <v>43191</v>
      </c>
      <c r="D1990" s="301" t="s">
        <v>1112</v>
      </c>
      <c r="E1990" s="297" t="s">
        <v>1113</v>
      </c>
      <c r="F1990" s="297" t="s">
        <v>1114</v>
      </c>
    </row>
    <row r="1991" spans="2:6" ht="27">
      <c r="B1991" s="615">
        <v>43215</v>
      </c>
      <c r="C1991" s="300">
        <v>43191</v>
      </c>
      <c r="D1991" s="301" t="s">
        <v>7102</v>
      </c>
      <c r="E1991" s="297" t="s">
        <v>5</v>
      </c>
      <c r="F1991" s="297" t="s">
        <v>107</v>
      </c>
    </row>
    <row r="1992" spans="2:6" ht="40.5">
      <c r="B1992" s="615">
        <v>43215</v>
      </c>
      <c r="C1992" s="300">
        <v>43191</v>
      </c>
      <c r="D1992" s="301" t="s">
        <v>7103</v>
      </c>
      <c r="E1992" s="297" t="s">
        <v>208</v>
      </c>
      <c r="F1992" s="297" t="s">
        <v>7104</v>
      </c>
    </row>
    <row r="1993" spans="2:6">
      <c r="B1993" s="615">
        <v>43215</v>
      </c>
      <c r="C1993" s="300">
        <v>43191</v>
      </c>
      <c r="D1993" s="301" t="s">
        <v>7103</v>
      </c>
      <c r="E1993" s="297" t="s">
        <v>208</v>
      </c>
      <c r="F1993" s="297"/>
    </row>
    <row r="1994" spans="2:6" ht="27">
      <c r="B1994" s="616">
        <v>43215</v>
      </c>
      <c r="C1994" s="21">
        <v>43215</v>
      </c>
      <c r="D1994" s="22" t="s">
        <v>80</v>
      </c>
      <c r="E1994" s="422" t="s">
        <v>63</v>
      </c>
      <c r="F1994" s="422" t="s">
        <v>81</v>
      </c>
    </row>
    <row r="1995" spans="2:6" ht="40.5">
      <c r="B1995" s="627">
        <v>43216</v>
      </c>
      <c r="C1995" s="69">
        <v>43191</v>
      </c>
      <c r="D1995" s="92" t="s">
        <v>5556</v>
      </c>
      <c r="E1995" s="70" t="s">
        <v>5</v>
      </c>
      <c r="F1995" s="70" t="s">
        <v>1189</v>
      </c>
    </row>
    <row r="1996" spans="2:6" ht="40.5">
      <c r="B1996" s="615">
        <v>43216</v>
      </c>
      <c r="C1996" s="300">
        <v>43191</v>
      </c>
      <c r="D1996" s="301" t="s">
        <v>7105</v>
      </c>
      <c r="E1996" s="297" t="s">
        <v>63</v>
      </c>
      <c r="F1996" s="297" t="s">
        <v>5651</v>
      </c>
    </row>
    <row r="1997" spans="2:6" ht="40.5">
      <c r="B1997" s="619">
        <v>43217</v>
      </c>
      <c r="C1997" s="144">
        <v>43191</v>
      </c>
      <c r="D1997" s="145" t="s">
        <v>6218</v>
      </c>
      <c r="E1997" s="141" t="s">
        <v>171</v>
      </c>
      <c r="F1997" s="141" t="s">
        <v>6219</v>
      </c>
    </row>
    <row r="1998" spans="2:6" ht="54">
      <c r="B1998" s="619">
        <v>43217</v>
      </c>
      <c r="C1998" s="146">
        <v>43191</v>
      </c>
      <c r="D1998" s="145" t="s">
        <v>6075</v>
      </c>
      <c r="E1998" s="141" t="s">
        <v>625</v>
      </c>
      <c r="F1998" s="141" t="s">
        <v>6005</v>
      </c>
    </row>
    <row r="1999" spans="2:6" ht="27">
      <c r="B1999" s="615">
        <v>43217</v>
      </c>
      <c r="C1999" s="300">
        <v>43191</v>
      </c>
      <c r="D1999" s="301" t="s">
        <v>7106</v>
      </c>
      <c r="E1999" s="297" t="s">
        <v>171</v>
      </c>
      <c r="F1999" s="297" t="s">
        <v>7107</v>
      </c>
    </row>
    <row r="2000" spans="2:6" ht="27">
      <c r="B2000" s="617">
        <v>43220</v>
      </c>
      <c r="C2000" s="78">
        <v>43191</v>
      </c>
      <c r="D2000" s="79" t="s">
        <v>4245</v>
      </c>
      <c r="E2000" s="75" t="s">
        <v>208</v>
      </c>
      <c r="F2000" s="75" t="s">
        <v>107</v>
      </c>
    </row>
    <row r="2001" spans="2:6" ht="27">
      <c r="B2001" s="617">
        <v>43220</v>
      </c>
      <c r="C2001" s="78">
        <v>43191</v>
      </c>
      <c r="D2001" s="79" t="s">
        <v>4245</v>
      </c>
      <c r="E2001" s="75" t="s">
        <v>208</v>
      </c>
      <c r="F2001" s="75" t="s">
        <v>107</v>
      </c>
    </row>
    <row r="2002" spans="2:6" ht="27">
      <c r="B2002" s="617">
        <v>43220</v>
      </c>
      <c r="C2002" s="78">
        <v>43191</v>
      </c>
      <c r="D2002" s="79" t="s">
        <v>7108</v>
      </c>
      <c r="E2002" s="75" t="s">
        <v>208</v>
      </c>
      <c r="F2002" s="75" t="s">
        <v>107</v>
      </c>
    </row>
    <row r="2003" spans="2:6" ht="40.5">
      <c r="B2003" s="618">
        <v>43222</v>
      </c>
      <c r="C2003" s="61">
        <v>43221</v>
      </c>
      <c r="D2003" s="62" t="s">
        <v>6252</v>
      </c>
      <c r="E2003" s="58" t="s">
        <v>1493</v>
      </c>
      <c r="F2003" s="58" t="s">
        <v>6212</v>
      </c>
    </row>
    <row r="2004" spans="2:6" ht="27">
      <c r="B2004" s="617">
        <v>43222</v>
      </c>
      <c r="C2004" s="80">
        <v>43221</v>
      </c>
      <c r="D2004" s="79" t="s">
        <v>2846</v>
      </c>
      <c r="E2004" s="75" t="s">
        <v>208</v>
      </c>
      <c r="F2004" s="75" t="s">
        <v>107</v>
      </c>
    </row>
    <row r="2005" spans="2:6" ht="27">
      <c r="B2005" s="618">
        <v>43222</v>
      </c>
      <c r="C2005" s="63">
        <v>43221</v>
      </c>
      <c r="D2005" s="62" t="s">
        <v>4966</v>
      </c>
      <c r="E2005" s="58" t="s">
        <v>63</v>
      </c>
      <c r="F2005" s="58" t="s">
        <v>2080</v>
      </c>
    </row>
    <row r="2006" spans="2:6" ht="27">
      <c r="B2006" s="618">
        <v>43222</v>
      </c>
      <c r="C2006" s="61">
        <v>43221</v>
      </c>
      <c r="D2006" s="62" t="s">
        <v>3586</v>
      </c>
      <c r="E2006" s="58" t="s">
        <v>63</v>
      </c>
      <c r="F2006" s="58" t="s">
        <v>79</v>
      </c>
    </row>
    <row r="2007" spans="2:6" ht="27">
      <c r="B2007" s="618">
        <v>43222</v>
      </c>
      <c r="C2007" s="61">
        <v>43221</v>
      </c>
      <c r="D2007" s="62" t="s">
        <v>3659</v>
      </c>
      <c r="E2007" s="58" t="s">
        <v>63</v>
      </c>
      <c r="F2007" s="58" t="s">
        <v>79</v>
      </c>
    </row>
    <row r="2008" spans="2:6" ht="27">
      <c r="B2008" s="618">
        <v>43222</v>
      </c>
      <c r="C2008" s="61">
        <v>43221</v>
      </c>
      <c r="D2008" s="62" t="s">
        <v>2638</v>
      </c>
      <c r="E2008" s="58" t="s">
        <v>208</v>
      </c>
      <c r="F2008" s="58" t="s">
        <v>107</v>
      </c>
    </row>
    <row r="2009" spans="2:6" ht="27">
      <c r="B2009" s="617">
        <v>43222</v>
      </c>
      <c r="C2009" s="78">
        <v>43221</v>
      </c>
      <c r="D2009" s="79" t="s">
        <v>3752</v>
      </c>
      <c r="E2009" s="75" t="s">
        <v>5</v>
      </c>
      <c r="F2009" s="75" t="s">
        <v>85</v>
      </c>
    </row>
    <row r="2010" spans="2:6" ht="27">
      <c r="B2010" s="618">
        <v>43222</v>
      </c>
      <c r="C2010" s="61">
        <v>43221</v>
      </c>
      <c r="D2010" s="62" t="s">
        <v>4391</v>
      </c>
      <c r="E2010" s="58" t="s">
        <v>63</v>
      </c>
      <c r="F2010" s="58" t="s">
        <v>2080</v>
      </c>
    </row>
    <row r="2011" spans="2:6" ht="40.5">
      <c r="B2011" s="618">
        <v>43223</v>
      </c>
      <c r="C2011" s="63">
        <v>43221</v>
      </c>
      <c r="D2011" s="62" t="s">
        <v>953</v>
      </c>
      <c r="E2011" s="58" t="s">
        <v>5</v>
      </c>
      <c r="F2011" s="58" t="s">
        <v>954</v>
      </c>
    </row>
    <row r="2012" spans="2:6" ht="27">
      <c r="B2012" s="618">
        <v>43223</v>
      </c>
      <c r="C2012" s="63">
        <v>43221</v>
      </c>
      <c r="D2012" s="62" t="s">
        <v>2061</v>
      </c>
      <c r="E2012" s="58" t="s">
        <v>2062</v>
      </c>
      <c r="F2012" s="58" t="s">
        <v>1114</v>
      </c>
    </row>
    <row r="2013" spans="2:6" ht="27">
      <c r="B2013" s="617">
        <v>43223</v>
      </c>
      <c r="C2013" s="78">
        <v>43221</v>
      </c>
      <c r="D2013" s="79" t="s">
        <v>953</v>
      </c>
      <c r="E2013" s="75" t="s">
        <v>63</v>
      </c>
      <c r="F2013" s="75" t="s">
        <v>570</v>
      </c>
    </row>
    <row r="2014" spans="2:6" ht="27">
      <c r="B2014" s="615">
        <v>43223</v>
      </c>
      <c r="C2014" s="300">
        <v>43221</v>
      </c>
      <c r="D2014" s="301" t="s">
        <v>2784</v>
      </c>
      <c r="E2014" s="297" t="s">
        <v>5</v>
      </c>
      <c r="F2014" s="297" t="s">
        <v>1114</v>
      </c>
    </row>
    <row r="2015" spans="2:6" ht="27">
      <c r="B2015" s="617">
        <v>43224</v>
      </c>
      <c r="C2015" s="78">
        <v>43221</v>
      </c>
      <c r="D2015" s="79" t="s">
        <v>3447</v>
      </c>
      <c r="E2015" s="75" t="s">
        <v>208</v>
      </c>
      <c r="F2015" s="75" t="s">
        <v>107</v>
      </c>
    </row>
    <row r="2016" spans="2:6" ht="27">
      <c r="B2016" s="618">
        <v>43224</v>
      </c>
      <c r="C2016" s="61">
        <v>43221</v>
      </c>
      <c r="D2016" s="117" t="s">
        <v>7109</v>
      </c>
      <c r="E2016" s="117" t="s">
        <v>63</v>
      </c>
      <c r="F2016" s="117" t="s">
        <v>570</v>
      </c>
    </row>
    <row r="2017" spans="2:6" ht="27">
      <c r="B2017" s="615">
        <v>43227</v>
      </c>
      <c r="C2017" s="300">
        <v>43221</v>
      </c>
      <c r="D2017" s="301" t="s">
        <v>2082</v>
      </c>
      <c r="E2017" s="297" t="s">
        <v>63</v>
      </c>
      <c r="F2017" s="297" t="s">
        <v>1114</v>
      </c>
    </row>
    <row r="2018" spans="2:6" ht="27">
      <c r="B2018" s="618">
        <v>43227</v>
      </c>
      <c r="C2018" s="61">
        <v>43221</v>
      </c>
      <c r="D2018" s="62" t="s">
        <v>5599</v>
      </c>
      <c r="E2018" s="58" t="s">
        <v>5</v>
      </c>
      <c r="F2018" s="58" t="s">
        <v>1753</v>
      </c>
    </row>
    <row r="2019" spans="2:6" ht="27">
      <c r="B2019" s="615">
        <v>43227</v>
      </c>
      <c r="C2019" s="300">
        <v>43221</v>
      </c>
      <c r="D2019" s="301" t="s">
        <v>2083</v>
      </c>
      <c r="E2019" s="297" t="s">
        <v>63</v>
      </c>
      <c r="F2019" s="297" t="s">
        <v>1114</v>
      </c>
    </row>
    <row r="2020" spans="2:6" ht="27">
      <c r="B2020" s="615">
        <v>43227</v>
      </c>
      <c r="C2020" s="300">
        <v>43221</v>
      </c>
      <c r="D2020" s="301" t="s">
        <v>7110</v>
      </c>
      <c r="E2020" s="297" t="s">
        <v>581</v>
      </c>
      <c r="F2020" s="297" t="s">
        <v>79</v>
      </c>
    </row>
    <row r="2021" spans="2:6" ht="27">
      <c r="B2021" s="618">
        <v>43227</v>
      </c>
      <c r="C2021" s="61">
        <v>43221</v>
      </c>
      <c r="D2021" s="62" t="s">
        <v>2639</v>
      </c>
      <c r="E2021" s="58" t="s">
        <v>208</v>
      </c>
      <c r="F2021" s="58" t="s">
        <v>107</v>
      </c>
    </row>
    <row r="2022" spans="2:6" ht="27">
      <c r="B2022" s="618">
        <v>43228</v>
      </c>
      <c r="C2022" s="61">
        <v>43221</v>
      </c>
      <c r="D2022" s="62" t="s">
        <v>6329</v>
      </c>
      <c r="E2022" s="58" t="s">
        <v>5</v>
      </c>
      <c r="F2022" s="58" t="s">
        <v>107</v>
      </c>
    </row>
    <row r="2023" spans="2:6" ht="27">
      <c r="B2023" s="618">
        <v>43228</v>
      </c>
      <c r="C2023" s="61">
        <v>43221</v>
      </c>
      <c r="D2023" s="62" t="s">
        <v>5475</v>
      </c>
      <c r="E2023" s="58" t="s">
        <v>198</v>
      </c>
      <c r="F2023" s="58" t="s">
        <v>1491</v>
      </c>
    </row>
    <row r="2024" spans="2:6" ht="27">
      <c r="B2024" s="618">
        <v>43228</v>
      </c>
      <c r="C2024" s="61">
        <v>43221</v>
      </c>
      <c r="D2024" s="62" t="s">
        <v>5442</v>
      </c>
      <c r="E2024" s="58" t="s">
        <v>5</v>
      </c>
      <c r="F2024" s="58" t="s">
        <v>570</v>
      </c>
    </row>
    <row r="2025" spans="2:6" ht="67.5">
      <c r="B2025" s="615">
        <v>43228</v>
      </c>
      <c r="C2025" s="300">
        <v>43221</v>
      </c>
      <c r="D2025" s="301" t="s">
        <v>7111</v>
      </c>
      <c r="E2025" s="297" t="s">
        <v>7112</v>
      </c>
      <c r="F2025" s="297" t="s">
        <v>7113</v>
      </c>
    </row>
    <row r="2026" spans="2:6" ht="27">
      <c r="B2026" s="618">
        <v>43229</v>
      </c>
      <c r="C2026" s="61">
        <v>43221</v>
      </c>
      <c r="D2026" s="62" t="s">
        <v>3637</v>
      </c>
      <c r="E2026" s="58" t="s">
        <v>5</v>
      </c>
      <c r="F2026" s="58" t="s">
        <v>79</v>
      </c>
    </row>
    <row r="2027" spans="2:6" ht="40.5">
      <c r="B2027" s="618">
        <v>43230</v>
      </c>
      <c r="C2027" s="61">
        <v>43221</v>
      </c>
      <c r="D2027" s="62" t="s">
        <v>6289</v>
      </c>
      <c r="E2027" s="58" t="s">
        <v>625</v>
      </c>
      <c r="F2027" s="58" t="s">
        <v>6174</v>
      </c>
    </row>
    <row r="2028" spans="2:6">
      <c r="B2028" s="626">
        <v>43230</v>
      </c>
      <c r="C2028" s="21">
        <v>43230</v>
      </c>
      <c r="D2028" s="424" t="s">
        <v>6713</v>
      </c>
      <c r="E2028" s="249" t="s">
        <v>625</v>
      </c>
      <c r="F2028" s="424" t="s">
        <v>2411</v>
      </c>
    </row>
    <row r="2029" spans="2:6" ht="27">
      <c r="B2029" s="618">
        <v>43230</v>
      </c>
      <c r="C2029" s="61">
        <v>43221</v>
      </c>
      <c r="D2029" s="62" t="s">
        <v>6253</v>
      </c>
      <c r="E2029" s="58" t="s">
        <v>195</v>
      </c>
      <c r="F2029" s="58" t="s">
        <v>1491</v>
      </c>
    </row>
    <row r="2030" spans="2:6" ht="27">
      <c r="B2030" s="617">
        <v>43230</v>
      </c>
      <c r="C2030" s="78">
        <v>43221</v>
      </c>
      <c r="D2030" s="79" t="s">
        <v>2210</v>
      </c>
      <c r="E2030" s="75" t="s">
        <v>195</v>
      </c>
      <c r="F2030" s="75" t="s">
        <v>2211</v>
      </c>
    </row>
    <row r="2031" spans="2:6" ht="27">
      <c r="B2031" s="615">
        <v>43230</v>
      </c>
      <c r="C2031" s="300">
        <v>43221</v>
      </c>
      <c r="D2031" s="301" t="s">
        <v>5387</v>
      </c>
      <c r="E2031" s="297" t="s">
        <v>63</v>
      </c>
      <c r="F2031" s="297" t="s">
        <v>1114</v>
      </c>
    </row>
    <row r="2032" spans="2:6" ht="27">
      <c r="B2032" s="628">
        <v>43235</v>
      </c>
      <c r="C2032" s="40">
        <v>43235</v>
      </c>
      <c r="D2032" s="205" t="s">
        <v>6591</v>
      </c>
      <c r="E2032" s="206" t="s">
        <v>625</v>
      </c>
      <c r="F2032" s="34" t="s">
        <v>6592</v>
      </c>
    </row>
    <row r="2033" spans="2:6" ht="40.5">
      <c r="B2033" s="615">
        <v>43235</v>
      </c>
      <c r="C2033" s="302">
        <v>43221</v>
      </c>
      <c r="D2033" s="301" t="s">
        <v>1413</v>
      </c>
      <c r="E2033" s="297" t="s">
        <v>63</v>
      </c>
      <c r="F2033" s="297" t="s">
        <v>1414</v>
      </c>
    </row>
    <row r="2034" spans="2:6" ht="40.5">
      <c r="B2034" s="615">
        <v>43235</v>
      </c>
      <c r="C2034" s="300">
        <v>43221</v>
      </c>
      <c r="D2034" s="301" t="s">
        <v>1415</v>
      </c>
      <c r="E2034" s="297" t="s">
        <v>63</v>
      </c>
      <c r="F2034" s="297" t="s">
        <v>1414</v>
      </c>
    </row>
    <row r="2035" spans="2:6" ht="27">
      <c r="B2035" s="618">
        <v>43236</v>
      </c>
      <c r="C2035" s="61">
        <v>43221</v>
      </c>
      <c r="D2035" s="62" t="s">
        <v>5815</v>
      </c>
      <c r="E2035" s="58" t="s">
        <v>63</v>
      </c>
      <c r="F2035" s="58" t="s">
        <v>79</v>
      </c>
    </row>
    <row r="2036" spans="2:6">
      <c r="B2036" s="617">
        <v>43236</v>
      </c>
      <c r="C2036" s="78">
        <v>43221</v>
      </c>
      <c r="D2036" s="79" t="s">
        <v>2261</v>
      </c>
      <c r="E2036" s="75" t="s">
        <v>208</v>
      </c>
      <c r="F2036" s="75"/>
    </row>
    <row r="2037" spans="2:6" ht="27">
      <c r="B2037" s="615">
        <v>43237</v>
      </c>
      <c r="C2037" s="300">
        <v>43221</v>
      </c>
      <c r="D2037" s="301" t="s">
        <v>800</v>
      </c>
      <c r="E2037" s="297" t="s">
        <v>5</v>
      </c>
      <c r="F2037" s="297" t="s">
        <v>107</v>
      </c>
    </row>
    <row r="2038" spans="2:6" ht="27">
      <c r="B2038" s="615">
        <v>43237</v>
      </c>
      <c r="C2038" s="302">
        <v>43221</v>
      </c>
      <c r="D2038" s="301" t="s">
        <v>800</v>
      </c>
      <c r="E2038" s="297" t="s">
        <v>5</v>
      </c>
      <c r="F2038" s="297" t="s">
        <v>107</v>
      </c>
    </row>
    <row r="2039" spans="2:6" ht="27">
      <c r="B2039" s="615">
        <v>43237</v>
      </c>
      <c r="C2039" s="302">
        <v>43221</v>
      </c>
      <c r="D2039" s="301" t="s">
        <v>800</v>
      </c>
      <c r="E2039" s="297" t="s">
        <v>5</v>
      </c>
      <c r="F2039" s="297" t="s">
        <v>107</v>
      </c>
    </row>
    <row r="2040" spans="2:6" ht="27">
      <c r="B2040" s="615">
        <v>43237</v>
      </c>
      <c r="C2040" s="302">
        <v>43221</v>
      </c>
      <c r="D2040" s="301" t="s">
        <v>800</v>
      </c>
      <c r="E2040" s="297" t="s">
        <v>5</v>
      </c>
      <c r="F2040" s="297" t="s">
        <v>107</v>
      </c>
    </row>
    <row r="2041" spans="2:6" ht="27">
      <c r="B2041" s="615">
        <v>43237</v>
      </c>
      <c r="C2041" s="302">
        <v>43221</v>
      </c>
      <c r="D2041" s="301" t="s">
        <v>800</v>
      </c>
      <c r="E2041" s="297" t="s">
        <v>63</v>
      </c>
      <c r="F2041" s="297" t="s">
        <v>107</v>
      </c>
    </row>
    <row r="2042" spans="2:6" ht="27">
      <c r="B2042" s="618">
        <v>43237</v>
      </c>
      <c r="C2042" s="61">
        <v>43221</v>
      </c>
      <c r="D2042" s="62" t="s">
        <v>800</v>
      </c>
      <c r="E2042" s="58" t="s">
        <v>5</v>
      </c>
      <c r="F2042" s="58" t="s">
        <v>107</v>
      </c>
    </row>
    <row r="2043" spans="2:6" ht="27">
      <c r="B2043" s="617">
        <v>43237</v>
      </c>
      <c r="C2043" s="78">
        <v>43221</v>
      </c>
      <c r="D2043" s="79" t="s">
        <v>800</v>
      </c>
      <c r="E2043" s="75" t="s">
        <v>5</v>
      </c>
      <c r="F2043" s="75" t="s">
        <v>107</v>
      </c>
    </row>
    <row r="2044" spans="2:6" ht="27">
      <c r="B2044" s="615">
        <v>43237</v>
      </c>
      <c r="C2044" s="300">
        <v>43221</v>
      </c>
      <c r="D2044" s="301" t="s">
        <v>800</v>
      </c>
      <c r="E2044" s="297" t="s">
        <v>5</v>
      </c>
      <c r="F2044" s="297" t="s">
        <v>107</v>
      </c>
    </row>
    <row r="2045" spans="2:6" ht="27">
      <c r="B2045" s="615">
        <v>43237</v>
      </c>
      <c r="C2045" s="368">
        <v>43221</v>
      </c>
      <c r="D2045" s="301" t="s">
        <v>800</v>
      </c>
      <c r="E2045" s="297" t="s">
        <v>5</v>
      </c>
      <c r="F2045" s="297" t="s">
        <v>801</v>
      </c>
    </row>
    <row r="2046" spans="2:6" ht="27">
      <c r="B2046" s="617">
        <v>43237</v>
      </c>
      <c r="C2046" s="78">
        <v>43221</v>
      </c>
      <c r="D2046" s="79" t="s">
        <v>800</v>
      </c>
      <c r="E2046" s="75" t="s">
        <v>5</v>
      </c>
      <c r="F2046" s="75" t="s">
        <v>3448</v>
      </c>
    </row>
    <row r="2047" spans="2:6" ht="27">
      <c r="B2047" s="615">
        <v>43237</v>
      </c>
      <c r="C2047" s="300">
        <v>43221</v>
      </c>
      <c r="D2047" s="301" t="s">
        <v>800</v>
      </c>
      <c r="E2047" s="297" t="s">
        <v>5</v>
      </c>
      <c r="F2047" s="297" t="s">
        <v>6908</v>
      </c>
    </row>
    <row r="2048" spans="2:6" ht="27">
      <c r="B2048" s="615">
        <v>43237</v>
      </c>
      <c r="C2048" s="300">
        <v>43221</v>
      </c>
      <c r="D2048" s="301" t="s">
        <v>800</v>
      </c>
      <c r="E2048" s="297" t="s">
        <v>5</v>
      </c>
      <c r="F2048" s="297" t="s">
        <v>107</v>
      </c>
    </row>
    <row r="2049" spans="2:6" ht="27">
      <c r="B2049" s="615">
        <v>43237</v>
      </c>
      <c r="C2049" s="300">
        <v>43221</v>
      </c>
      <c r="D2049" s="301" t="s">
        <v>800</v>
      </c>
      <c r="E2049" s="297" t="s">
        <v>5</v>
      </c>
      <c r="F2049" s="297" t="s">
        <v>107</v>
      </c>
    </row>
    <row r="2050" spans="2:6" ht="27">
      <c r="B2050" s="617">
        <v>43237</v>
      </c>
      <c r="C2050" s="78">
        <v>43221</v>
      </c>
      <c r="D2050" s="79" t="s">
        <v>7114</v>
      </c>
      <c r="E2050" s="75" t="s">
        <v>208</v>
      </c>
      <c r="F2050" s="75" t="s">
        <v>107</v>
      </c>
    </row>
    <row r="2051" spans="2:6" ht="27">
      <c r="B2051" s="617">
        <v>43237</v>
      </c>
      <c r="C2051" s="78">
        <v>43221</v>
      </c>
      <c r="D2051" s="79" t="s">
        <v>800</v>
      </c>
      <c r="E2051" s="75" t="s">
        <v>5</v>
      </c>
      <c r="F2051" s="75" t="s">
        <v>107</v>
      </c>
    </row>
    <row r="2052" spans="2:6" ht="27">
      <c r="B2052" s="615">
        <v>43237</v>
      </c>
      <c r="C2052" s="300">
        <v>43221</v>
      </c>
      <c r="D2052" s="301" t="s">
        <v>7115</v>
      </c>
      <c r="E2052" s="297" t="s">
        <v>208</v>
      </c>
      <c r="F2052" s="297" t="s">
        <v>336</v>
      </c>
    </row>
    <row r="2053" spans="2:6" ht="54">
      <c r="B2053" s="618">
        <v>43238</v>
      </c>
      <c r="C2053" s="63">
        <v>43221</v>
      </c>
      <c r="D2053" s="62" t="s">
        <v>6366</v>
      </c>
      <c r="E2053" s="119" t="s">
        <v>625</v>
      </c>
      <c r="F2053" s="58" t="s">
        <v>6367</v>
      </c>
    </row>
    <row r="2054" spans="2:6" ht="27">
      <c r="B2054" s="617">
        <v>43240</v>
      </c>
      <c r="C2054" s="78">
        <v>43221</v>
      </c>
      <c r="D2054" s="79" t="s">
        <v>7116</v>
      </c>
      <c r="E2054" s="75" t="s">
        <v>5</v>
      </c>
      <c r="F2054" s="75" t="s">
        <v>1114</v>
      </c>
    </row>
    <row r="2055" spans="2:6" ht="40.5">
      <c r="B2055" s="614">
        <v>43241</v>
      </c>
      <c r="C2055" s="38">
        <v>43221</v>
      </c>
      <c r="D2055" s="39" t="s">
        <v>6314</v>
      </c>
      <c r="E2055" s="34" t="s">
        <v>625</v>
      </c>
      <c r="F2055" s="34" t="s">
        <v>6174</v>
      </c>
    </row>
    <row r="2056" spans="2:6" ht="27">
      <c r="B2056" s="622">
        <v>43241</v>
      </c>
      <c r="C2056" s="107">
        <v>43221</v>
      </c>
      <c r="D2056" s="108" t="s">
        <v>6350</v>
      </c>
      <c r="E2056" s="105" t="s">
        <v>63</v>
      </c>
      <c r="F2056" s="105" t="s">
        <v>1114</v>
      </c>
    </row>
    <row r="2057" spans="2:6" ht="40.5">
      <c r="B2057" s="614">
        <v>43241</v>
      </c>
      <c r="C2057" s="38">
        <v>43221</v>
      </c>
      <c r="D2057" s="39" t="s">
        <v>6314</v>
      </c>
      <c r="E2057" s="34" t="s">
        <v>1493</v>
      </c>
      <c r="F2057" s="34" t="s">
        <v>6174</v>
      </c>
    </row>
    <row r="2058" spans="2:6" ht="40.5">
      <c r="B2058" s="618">
        <v>43241</v>
      </c>
      <c r="C2058" s="61">
        <v>43221</v>
      </c>
      <c r="D2058" s="62" t="s">
        <v>6368</v>
      </c>
      <c r="E2058" s="58" t="s">
        <v>625</v>
      </c>
      <c r="F2058" s="58" t="s">
        <v>6174</v>
      </c>
    </row>
    <row r="2059" spans="2:6">
      <c r="B2059" s="615">
        <v>43241</v>
      </c>
      <c r="C2059" s="300">
        <v>43221</v>
      </c>
      <c r="D2059" s="301" t="s">
        <v>1689</v>
      </c>
      <c r="E2059" s="297" t="s">
        <v>171</v>
      </c>
      <c r="F2059" s="297" t="s">
        <v>1690</v>
      </c>
    </row>
    <row r="2060" spans="2:6" ht="81">
      <c r="B2060" s="618">
        <v>43241</v>
      </c>
      <c r="C2060" s="61">
        <v>43241</v>
      </c>
      <c r="D2060" s="62" t="s">
        <v>6368</v>
      </c>
      <c r="E2060" s="58" t="s">
        <v>6371</v>
      </c>
      <c r="F2060" s="58" t="s">
        <v>183</v>
      </c>
    </row>
    <row r="2061" spans="2:6" ht="40.5">
      <c r="B2061" s="615">
        <v>43241</v>
      </c>
      <c r="C2061" s="300">
        <v>43221</v>
      </c>
      <c r="D2061" s="301" t="s">
        <v>848</v>
      </c>
      <c r="E2061" s="297" t="s">
        <v>171</v>
      </c>
      <c r="F2061" s="297" t="s">
        <v>849</v>
      </c>
    </row>
    <row r="2062" spans="2:6" ht="27">
      <c r="B2062" s="615">
        <v>43241</v>
      </c>
      <c r="C2062" s="300">
        <v>43221</v>
      </c>
      <c r="D2062" s="301" t="s">
        <v>7117</v>
      </c>
      <c r="E2062" s="297" t="s">
        <v>63</v>
      </c>
      <c r="F2062" s="297" t="s">
        <v>85</v>
      </c>
    </row>
    <row r="2063" spans="2:6" ht="40.5">
      <c r="B2063" s="615">
        <v>43241</v>
      </c>
      <c r="C2063" s="300">
        <v>43221</v>
      </c>
      <c r="D2063" s="301" t="s">
        <v>7118</v>
      </c>
      <c r="E2063" s="297" t="s">
        <v>171</v>
      </c>
      <c r="F2063" s="297" t="s">
        <v>7119</v>
      </c>
    </row>
    <row r="2064" spans="2:6" ht="27">
      <c r="B2064" s="615">
        <v>43241</v>
      </c>
      <c r="C2064" s="300">
        <v>43221</v>
      </c>
      <c r="D2064" s="301" t="s">
        <v>7120</v>
      </c>
      <c r="E2064" s="297" t="s">
        <v>171</v>
      </c>
      <c r="F2064" s="297" t="s">
        <v>1393</v>
      </c>
    </row>
    <row r="2065" spans="2:6" ht="27">
      <c r="B2065" s="618">
        <v>43242</v>
      </c>
      <c r="C2065" s="61">
        <v>43221</v>
      </c>
      <c r="D2065" s="62" t="s">
        <v>6362</v>
      </c>
      <c r="E2065" s="58" t="s">
        <v>5</v>
      </c>
      <c r="F2065" s="58" t="s">
        <v>79</v>
      </c>
    </row>
    <row r="2066" spans="2:6" ht="40.5">
      <c r="B2066" s="619">
        <v>43242</v>
      </c>
      <c r="C2066" s="144">
        <v>43221</v>
      </c>
      <c r="D2066" s="145" t="s">
        <v>6220</v>
      </c>
      <c r="E2066" s="141" t="s">
        <v>6221</v>
      </c>
      <c r="F2066" s="141" t="s">
        <v>1114</v>
      </c>
    </row>
    <row r="2067" spans="2:6" ht="27">
      <c r="B2067" s="618">
        <v>43242</v>
      </c>
      <c r="C2067" s="61">
        <v>43221</v>
      </c>
      <c r="D2067" s="62" t="s">
        <v>6290</v>
      </c>
      <c r="E2067" s="58" t="s">
        <v>195</v>
      </c>
      <c r="F2067" s="58" t="s">
        <v>1491</v>
      </c>
    </row>
    <row r="2068" spans="2:6" ht="40.5">
      <c r="B2068" s="618">
        <v>43244</v>
      </c>
      <c r="C2068" s="61">
        <v>43221</v>
      </c>
      <c r="D2068" s="62" t="s">
        <v>6318</v>
      </c>
      <c r="E2068" s="58" t="s">
        <v>625</v>
      </c>
      <c r="F2068" s="58" t="s">
        <v>6174</v>
      </c>
    </row>
    <row r="2069" spans="2:6" ht="27">
      <c r="B2069" s="618">
        <v>43244</v>
      </c>
      <c r="C2069" s="61">
        <v>43221</v>
      </c>
      <c r="D2069" s="62" t="s">
        <v>6285</v>
      </c>
      <c r="E2069" s="58" t="s">
        <v>5</v>
      </c>
      <c r="F2069" s="58" t="s">
        <v>79</v>
      </c>
    </row>
    <row r="2070" spans="2:6">
      <c r="B2070" s="616">
        <v>43244</v>
      </c>
      <c r="C2070" s="23">
        <v>43221</v>
      </c>
      <c r="D2070" s="22" t="s">
        <v>2070</v>
      </c>
      <c r="E2070" s="422" t="s">
        <v>152</v>
      </c>
      <c r="F2070" s="422" t="s">
        <v>2071</v>
      </c>
    </row>
    <row r="2071" spans="2:6" ht="27">
      <c r="B2071" s="618">
        <v>43244</v>
      </c>
      <c r="C2071" s="63">
        <v>43244</v>
      </c>
      <c r="D2071" s="66" t="s">
        <v>2935</v>
      </c>
      <c r="E2071" s="66" t="s">
        <v>63</v>
      </c>
      <c r="F2071" s="66" t="s">
        <v>79</v>
      </c>
    </row>
    <row r="2072" spans="2:6" ht="27">
      <c r="B2072" s="618">
        <v>43244</v>
      </c>
      <c r="C2072" s="63">
        <v>43244</v>
      </c>
      <c r="D2072" s="66" t="s">
        <v>2935</v>
      </c>
      <c r="E2072" s="66" t="s">
        <v>63</v>
      </c>
      <c r="F2072" s="58" t="s">
        <v>79</v>
      </c>
    </row>
    <row r="2073" spans="2:6" ht="27">
      <c r="B2073" s="618">
        <v>43244</v>
      </c>
      <c r="C2073" s="63">
        <v>43221</v>
      </c>
      <c r="D2073" s="62" t="s">
        <v>5983</v>
      </c>
      <c r="E2073" s="58" t="s">
        <v>63</v>
      </c>
      <c r="F2073" s="58" t="s">
        <v>570</v>
      </c>
    </row>
    <row r="2074" spans="2:6" ht="27">
      <c r="B2074" s="618">
        <v>43244</v>
      </c>
      <c r="C2074" s="61">
        <v>43244</v>
      </c>
      <c r="D2074" s="66" t="s">
        <v>2935</v>
      </c>
      <c r="E2074" s="66" t="s">
        <v>63</v>
      </c>
      <c r="F2074" s="66" t="s">
        <v>79</v>
      </c>
    </row>
    <row r="2075" spans="2:6" ht="27">
      <c r="B2075" s="617">
        <v>43244</v>
      </c>
      <c r="C2075" s="78">
        <v>43221</v>
      </c>
      <c r="D2075" s="79" t="s">
        <v>2935</v>
      </c>
      <c r="E2075" s="75" t="s">
        <v>63</v>
      </c>
      <c r="F2075" s="75" t="s">
        <v>79</v>
      </c>
    </row>
    <row r="2076" spans="2:6" ht="27">
      <c r="B2076" s="617">
        <v>43244</v>
      </c>
      <c r="C2076" s="78">
        <v>43244</v>
      </c>
      <c r="D2076" s="81" t="s">
        <v>2935</v>
      </c>
      <c r="E2076" s="75" t="s">
        <v>63</v>
      </c>
      <c r="F2076" s="75" t="s">
        <v>79</v>
      </c>
    </row>
    <row r="2077" spans="2:6">
      <c r="B2077" s="625">
        <v>43248</v>
      </c>
      <c r="C2077" s="38">
        <v>43221</v>
      </c>
      <c r="D2077" s="46" t="s">
        <v>3670</v>
      </c>
      <c r="E2077" s="42" t="s">
        <v>152</v>
      </c>
      <c r="F2077" s="42" t="s">
        <v>1213</v>
      </c>
    </row>
    <row r="2078" spans="2:6" ht="27">
      <c r="B2078" s="617">
        <v>43248</v>
      </c>
      <c r="C2078" s="78">
        <v>43221</v>
      </c>
      <c r="D2078" s="79" t="s">
        <v>7121</v>
      </c>
      <c r="E2078" s="75" t="s">
        <v>152</v>
      </c>
      <c r="F2078" s="75" t="s">
        <v>7122</v>
      </c>
    </row>
    <row r="2079" spans="2:6" ht="27">
      <c r="B2079" s="618">
        <v>43248</v>
      </c>
      <c r="C2079" s="61">
        <v>43221</v>
      </c>
      <c r="D2079" s="62" t="s">
        <v>2570</v>
      </c>
      <c r="E2079" s="58" t="s">
        <v>208</v>
      </c>
      <c r="F2079" s="58" t="s">
        <v>107</v>
      </c>
    </row>
    <row r="2080" spans="2:6">
      <c r="B2080" s="615">
        <v>43248</v>
      </c>
      <c r="C2080" s="300">
        <v>43221</v>
      </c>
      <c r="D2080" s="301" t="s">
        <v>7123</v>
      </c>
      <c r="E2080" s="297" t="s">
        <v>1113</v>
      </c>
      <c r="F2080" s="297" t="s">
        <v>4292</v>
      </c>
    </row>
    <row r="2081" spans="2:6" ht="40.5">
      <c r="B2081" s="617">
        <v>43248</v>
      </c>
      <c r="C2081" s="78">
        <v>43221</v>
      </c>
      <c r="D2081" s="79" t="s">
        <v>7124</v>
      </c>
      <c r="E2081" s="75" t="s">
        <v>6996</v>
      </c>
      <c r="F2081" s="75" t="s">
        <v>1114</v>
      </c>
    </row>
    <row r="2082" spans="2:6" ht="40.5">
      <c r="B2082" s="624">
        <v>43248</v>
      </c>
      <c r="C2082" s="78">
        <v>43248</v>
      </c>
      <c r="D2082" s="89" t="s">
        <v>7125</v>
      </c>
      <c r="E2082" s="75" t="s">
        <v>208</v>
      </c>
      <c r="F2082" s="75" t="s">
        <v>7126</v>
      </c>
    </row>
    <row r="2083" spans="2:6" ht="27">
      <c r="B2083" s="627">
        <v>43249</v>
      </c>
      <c r="C2083" s="63">
        <v>43249</v>
      </c>
      <c r="D2083" s="425" t="s">
        <v>5465</v>
      </c>
      <c r="E2083" s="58" t="s">
        <v>63</v>
      </c>
      <c r="F2083" s="58" t="s">
        <v>1476</v>
      </c>
    </row>
    <row r="2084" spans="2:6">
      <c r="B2084" s="628">
        <v>43249</v>
      </c>
      <c r="C2084" s="40">
        <v>43249</v>
      </c>
      <c r="D2084" s="205" t="s">
        <v>6593</v>
      </c>
      <c r="E2084" s="206" t="s">
        <v>625</v>
      </c>
      <c r="F2084" s="206" t="s">
        <v>6594</v>
      </c>
    </row>
    <row r="2085" spans="2:6" ht="27">
      <c r="B2085" s="615">
        <v>43249</v>
      </c>
      <c r="C2085" s="300">
        <v>43221</v>
      </c>
      <c r="D2085" s="301" t="s">
        <v>7127</v>
      </c>
      <c r="E2085" s="297" t="s">
        <v>63</v>
      </c>
      <c r="F2085" s="297" t="s">
        <v>85</v>
      </c>
    </row>
    <row r="2086" spans="2:6" ht="27">
      <c r="B2086" s="617">
        <v>43249</v>
      </c>
      <c r="C2086" s="78">
        <v>43221</v>
      </c>
      <c r="D2086" s="79" t="s">
        <v>7128</v>
      </c>
      <c r="E2086" s="75" t="s">
        <v>5</v>
      </c>
      <c r="F2086" s="75" t="s">
        <v>1114</v>
      </c>
    </row>
    <row r="2087" spans="2:6" ht="27">
      <c r="B2087" s="615">
        <v>43250</v>
      </c>
      <c r="C2087" s="300">
        <v>43221</v>
      </c>
      <c r="D2087" s="301" t="s">
        <v>7129</v>
      </c>
      <c r="E2087" s="297" t="s">
        <v>208</v>
      </c>
      <c r="F2087" s="297" t="s">
        <v>7130</v>
      </c>
    </row>
    <row r="2088" spans="2:6" ht="27">
      <c r="B2088" s="627">
        <v>43250</v>
      </c>
      <c r="C2088" s="61">
        <v>43250</v>
      </c>
      <c r="D2088" s="425" t="s">
        <v>4052</v>
      </c>
      <c r="E2088" s="58" t="s">
        <v>208</v>
      </c>
      <c r="F2088" s="58" t="s">
        <v>79</v>
      </c>
    </row>
    <row r="2089" spans="2:6" ht="27">
      <c r="B2089" s="618">
        <v>43250</v>
      </c>
      <c r="C2089" s="61">
        <v>43221</v>
      </c>
      <c r="D2089" s="62" t="s">
        <v>2571</v>
      </c>
      <c r="E2089" s="58" t="s">
        <v>208</v>
      </c>
      <c r="F2089" s="58" t="s">
        <v>107</v>
      </c>
    </row>
    <row r="2090" spans="2:6" ht="81">
      <c r="B2090" s="618">
        <v>43251</v>
      </c>
      <c r="C2090" s="63">
        <v>43221</v>
      </c>
      <c r="D2090" s="62" t="s">
        <v>6369</v>
      </c>
      <c r="E2090" s="58" t="s">
        <v>625</v>
      </c>
      <c r="F2090" s="58" t="s">
        <v>6370</v>
      </c>
    </row>
    <row r="2091" spans="2:6" ht="27">
      <c r="B2091" s="627">
        <v>43256</v>
      </c>
      <c r="C2091" s="61">
        <v>43256</v>
      </c>
      <c r="D2091" s="425" t="s">
        <v>5421</v>
      </c>
      <c r="E2091" s="58" t="s">
        <v>5</v>
      </c>
      <c r="F2091" s="58" t="s">
        <v>79</v>
      </c>
    </row>
    <row r="2092" spans="2:6" ht="27">
      <c r="B2092" s="627">
        <v>43256</v>
      </c>
      <c r="C2092" s="63">
        <v>43252</v>
      </c>
      <c r="D2092" s="92" t="s">
        <v>5484</v>
      </c>
      <c r="E2092" s="58" t="s">
        <v>5</v>
      </c>
      <c r="F2092" s="70" t="s">
        <v>570</v>
      </c>
    </row>
    <row r="2093" spans="2:6" ht="27">
      <c r="B2093" s="624">
        <v>43256</v>
      </c>
      <c r="C2093" s="78">
        <v>43252</v>
      </c>
      <c r="D2093" s="89" t="s">
        <v>2847</v>
      </c>
      <c r="E2093" s="75" t="s">
        <v>208</v>
      </c>
      <c r="F2093" s="85" t="s">
        <v>107</v>
      </c>
    </row>
    <row r="2094" spans="2:6" ht="40.5">
      <c r="B2094" s="627">
        <v>43256</v>
      </c>
      <c r="C2094" s="61">
        <v>43256</v>
      </c>
      <c r="D2094" s="425" t="s">
        <v>5530</v>
      </c>
      <c r="E2094" s="58" t="s">
        <v>63</v>
      </c>
      <c r="F2094" s="58" t="s">
        <v>1189</v>
      </c>
    </row>
    <row r="2095" spans="2:6" ht="27">
      <c r="B2095" s="627">
        <v>43256</v>
      </c>
      <c r="C2095" s="61">
        <v>43252</v>
      </c>
      <c r="D2095" s="92" t="s">
        <v>5566</v>
      </c>
      <c r="E2095" s="58" t="s">
        <v>5</v>
      </c>
      <c r="F2095" s="70" t="s">
        <v>570</v>
      </c>
    </row>
    <row r="2096" spans="2:6" ht="27">
      <c r="B2096" s="627">
        <v>43256</v>
      </c>
      <c r="C2096" s="61">
        <v>43252</v>
      </c>
      <c r="D2096" s="92" t="s">
        <v>5476</v>
      </c>
      <c r="E2096" s="58" t="s">
        <v>5</v>
      </c>
      <c r="F2096" s="70" t="s">
        <v>570</v>
      </c>
    </row>
    <row r="2097" spans="2:6" ht="54">
      <c r="B2097" s="629">
        <v>43256</v>
      </c>
      <c r="C2097" s="300">
        <v>43252</v>
      </c>
      <c r="D2097" s="308" t="s">
        <v>2323</v>
      </c>
      <c r="E2097" s="297" t="s">
        <v>5</v>
      </c>
      <c r="F2097" s="303" t="s">
        <v>1938</v>
      </c>
    </row>
    <row r="2098" spans="2:6" ht="27">
      <c r="B2098" s="624">
        <v>43256</v>
      </c>
      <c r="C2098" s="78">
        <v>43252</v>
      </c>
      <c r="D2098" s="89" t="s">
        <v>7131</v>
      </c>
      <c r="E2098" s="75" t="s">
        <v>5</v>
      </c>
      <c r="F2098" s="85" t="s">
        <v>79</v>
      </c>
    </row>
    <row r="2099" spans="2:6" ht="27">
      <c r="B2099" s="627">
        <v>43256</v>
      </c>
      <c r="C2099" s="61">
        <v>43252</v>
      </c>
      <c r="D2099" s="425" t="s">
        <v>7132</v>
      </c>
      <c r="E2099" s="58" t="s">
        <v>5</v>
      </c>
      <c r="F2099" s="58" t="s">
        <v>79</v>
      </c>
    </row>
    <row r="2100" spans="2:6" ht="94.5">
      <c r="B2100" s="629">
        <v>43257</v>
      </c>
      <c r="C2100" s="300">
        <v>43252</v>
      </c>
      <c r="D2100" s="315" t="s">
        <v>7133</v>
      </c>
      <c r="E2100" s="315" t="s">
        <v>2772</v>
      </c>
      <c r="F2100" s="315" t="s">
        <v>7134</v>
      </c>
    </row>
    <row r="2101" spans="2:6" ht="27">
      <c r="B2101" s="624">
        <v>43257</v>
      </c>
      <c r="C2101" s="78">
        <v>43252</v>
      </c>
      <c r="D2101" s="89" t="s">
        <v>3076</v>
      </c>
      <c r="E2101" s="75" t="s">
        <v>5</v>
      </c>
      <c r="F2101" s="85" t="s">
        <v>79</v>
      </c>
    </row>
    <row r="2102" spans="2:6" ht="40.5">
      <c r="B2102" s="615">
        <v>43258</v>
      </c>
      <c r="C2102" s="300">
        <v>43252</v>
      </c>
      <c r="D2102" s="301" t="s">
        <v>4797</v>
      </c>
      <c r="E2102" s="297" t="s">
        <v>4798</v>
      </c>
      <c r="F2102" s="297"/>
    </row>
    <row r="2103" spans="2:6" ht="54">
      <c r="B2103" s="629">
        <v>43258</v>
      </c>
      <c r="C2103" s="302">
        <v>43252</v>
      </c>
      <c r="D2103" s="308" t="s">
        <v>1937</v>
      </c>
      <c r="E2103" s="297" t="s">
        <v>208</v>
      </c>
      <c r="F2103" s="303" t="s">
        <v>1938</v>
      </c>
    </row>
    <row r="2104" spans="2:6" ht="81">
      <c r="B2104" s="615">
        <v>43258</v>
      </c>
      <c r="C2104" s="300">
        <v>43258</v>
      </c>
      <c r="D2104" s="301" t="s">
        <v>1049</v>
      </c>
      <c r="E2104" s="297" t="s">
        <v>1050</v>
      </c>
      <c r="F2104" s="297" t="s">
        <v>7135</v>
      </c>
    </row>
    <row r="2105" spans="2:6" ht="54">
      <c r="B2105" s="627">
        <v>43259</v>
      </c>
      <c r="C2105" s="63">
        <v>43252</v>
      </c>
      <c r="D2105" s="92" t="s">
        <v>6485</v>
      </c>
      <c r="E2105" s="70" t="s">
        <v>581</v>
      </c>
      <c r="F2105" s="70" t="s">
        <v>6486</v>
      </c>
    </row>
    <row r="2106" spans="2:6" ht="27">
      <c r="B2106" s="626">
        <v>43259</v>
      </c>
      <c r="C2106" s="146">
        <v>43259</v>
      </c>
      <c r="D2106" s="424" t="s">
        <v>6506</v>
      </c>
      <c r="E2106" s="141" t="s">
        <v>286</v>
      </c>
      <c r="F2106" s="141" t="s">
        <v>85</v>
      </c>
    </row>
    <row r="2107" spans="2:6" ht="54">
      <c r="B2107" s="619">
        <v>43259</v>
      </c>
      <c r="C2107" s="21">
        <v>43252</v>
      </c>
      <c r="D2107" s="145" t="s">
        <v>6439</v>
      </c>
      <c r="E2107" s="172" t="s">
        <v>625</v>
      </c>
      <c r="F2107" s="141" t="s">
        <v>6440</v>
      </c>
    </row>
    <row r="2108" spans="2:6">
      <c r="B2108" s="626">
        <v>43259</v>
      </c>
      <c r="C2108" s="146">
        <v>43259</v>
      </c>
      <c r="D2108" s="424" t="s">
        <v>6513</v>
      </c>
      <c r="E2108" s="141" t="s">
        <v>286</v>
      </c>
      <c r="F2108" s="172" t="s">
        <v>85</v>
      </c>
    </row>
    <row r="2109" spans="2:6" ht="54">
      <c r="B2109" s="629">
        <v>43259</v>
      </c>
      <c r="C2109" s="302">
        <v>43252</v>
      </c>
      <c r="D2109" s="308" t="s">
        <v>1143</v>
      </c>
      <c r="E2109" s="297" t="s">
        <v>5</v>
      </c>
      <c r="F2109" s="303" t="s">
        <v>1144</v>
      </c>
    </row>
    <row r="2110" spans="2:6" ht="54">
      <c r="B2110" s="618">
        <v>43259</v>
      </c>
      <c r="C2110" s="61">
        <v>43259</v>
      </c>
      <c r="D2110" s="62" t="s">
        <v>6294</v>
      </c>
      <c r="E2110" s="58" t="s">
        <v>171</v>
      </c>
      <c r="F2110" s="58" t="s">
        <v>6295</v>
      </c>
    </row>
    <row r="2111" spans="2:6" ht="81">
      <c r="B2111" s="615">
        <v>43259</v>
      </c>
      <c r="C2111" s="300">
        <v>43259</v>
      </c>
      <c r="D2111" s="315" t="s">
        <v>2729</v>
      </c>
      <c r="E2111" s="297" t="s">
        <v>2730</v>
      </c>
      <c r="F2111" s="297" t="s">
        <v>2731</v>
      </c>
    </row>
    <row r="2112" spans="2:6" ht="27">
      <c r="B2112" s="627">
        <v>43259</v>
      </c>
      <c r="C2112" s="61">
        <v>43252</v>
      </c>
      <c r="D2112" s="92" t="s">
        <v>5600</v>
      </c>
      <c r="E2112" s="58" t="s">
        <v>5</v>
      </c>
      <c r="F2112" s="70" t="s">
        <v>85</v>
      </c>
    </row>
    <row r="2113" spans="2:6" ht="27">
      <c r="B2113" s="629">
        <v>43259</v>
      </c>
      <c r="C2113" s="302">
        <v>43259</v>
      </c>
      <c r="D2113" s="315" t="s">
        <v>557</v>
      </c>
      <c r="E2113" s="315" t="s">
        <v>558</v>
      </c>
      <c r="F2113" s="326" t="s">
        <v>79</v>
      </c>
    </row>
    <row r="2114" spans="2:6" ht="27">
      <c r="B2114" s="618">
        <v>43263</v>
      </c>
      <c r="C2114" s="61">
        <v>43252</v>
      </c>
      <c r="D2114" s="62" t="s">
        <v>6090</v>
      </c>
      <c r="E2114" s="58" t="s">
        <v>5</v>
      </c>
      <c r="F2114" s="58" t="s">
        <v>85</v>
      </c>
    </row>
    <row r="2115" spans="2:6" ht="27">
      <c r="B2115" s="627">
        <v>43263</v>
      </c>
      <c r="C2115" s="61">
        <v>43263</v>
      </c>
      <c r="D2115" s="425" t="s">
        <v>6117</v>
      </c>
      <c r="E2115" s="58" t="s">
        <v>2637</v>
      </c>
      <c r="F2115" s="58" t="s">
        <v>85</v>
      </c>
    </row>
    <row r="2116" spans="2:6" ht="27">
      <c r="B2116" s="618">
        <v>43263</v>
      </c>
      <c r="C2116" s="63">
        <v>43252</v>
      </c>
      <c r="D2116" s="62" t="s">
        <v>3649</v>
      </c>
      <c r="E2116" s="58" t="s">
        <v>5</v>
      </c>
      <c r="F2116" s="58" t="s">
        <v>85</v>
      </c>
    </row>
    <row r="2117" spans="2:6" ht="27">
      <c r="B2117" s="627">
        <v>43263</v>
      </c>
      <c r="C2117" s="63">
        <v>43263</v>
      </c>
      <c r="D2117" s="425" t="s">
        <v>4632</v>
      </c>
      <c r="E2117" s="58" t="s">
        <v>2637</v>
      </c>
      <c r="F2117" s="58" t="s">
        <v>85</v>
      </c>
    </row>
    <row r="2118" spans="2:6">
      <c r="B2118" s="626">
        <v>43263</v>
      </c>
      <c r="C2118" s="146">
        <v>43263</v>
      </c>
      <c r="D2118" s="424" t="s">
        <v>6514</v>
      </c>
      <c r="E2118" s="172" t="s">
        <v>63</v>
      </c>
      <c r="F2118" s="172" t="s">
        <v>85</v>
      </c>
    </row>
    <row r="2119" spans="2:6" ht="27">
      <c r="B2119" s="627">
        <v>43263</v>
      </c>
      <c r="C2119" s="61">
        <v>43252</v>
      </c>
      <c r="D2119" s="92" t="s">
        <v>6067</v>
      </c>
      <c r="E2119" s="58" t="s">
        <v>5</v>
      </c>
      <c r="F2119" s="70" t="s">
        <v>85</v>
      </c>
    </row>
    <row r="2120" spans="2:6" ht="54">
      <c r="B2120" s="615">
        <v>43263</v>
      </c>
      <c r="C2120" s="300">
        <v>43252</v>
      </c>
      <c r="D2120" s="301" t="s">
        <v>7136</v>
      </c>
      <c r="E2120" s="297" t="s">
        <v>171</v>
      </c>
      <c r="F2120" s="297" t="s">
        <v>7137</v>
      </c>
    </row>
    <row r="2121" spans="2:6" ht="54">
      <c r="B2121" s="629">
        <v>43263</v>
      </c>
      <c r="C2121" s="300">
        <v>43263</v>
      </c>
      <c r="D2121" s="315" t="s">
        <v>5045</v>
      </c>
      <c r="E2121" s="297" t="s">
        <v>5</v>
      </c>
      <c r="F2121" s="315" t="s">
        <v>5046</v>
      </c>
    </row>
    <row r="2122" spans="2:6" ht="54">
      <c r="B2122" s="617">
        <v>43265</v>
      </c>
      <c r="C2122" s="78">
        <v>43252</v>
      </c>
      <c r="D2122" s="79" t="s">
        <v>2848</v>
      </c>
      <c r="E2122" s="75" t="s">
        <v>2849</v>
      </c>
      <c r="F2122" s="75" t="s">
        <v>849</v>
      </c>
    </row>
    <row r="2123" spans="2:6" ht="54">
      <c r="B2123" s="627">
        <v>43265</v>
      </c>
      <c r="C2123" s="61">
        <v>43252</v>
      </c>
      <c r="D2123" s="425" t="s">
        <v>7138</v>
      </c>
      <c r="E2123" s="60" t="s">
        <v>7139</v>
      </c>
      <c r="F2123" s="60" t="s">
        <v>7140</v>
      </c>
    </row>
    <row r="2124" spans="2:6" ht="27">
      <c r="B2124" s="626">
        <v>43266</v>
      </c>
      <c r="C2124" s="144">
        <v>43252</v>
      </c>
      <c r="D2124" s="157" t="s">
        <v>6197</v>
      </c>
      <c r="E2124" s="141" t="s">
        <v>5</v>
      </c>
      <c r="F2124" s="151" t="s">
        <v>85</v>
      </c>
    </row>
    <row r="2125" spans="2:6" ht="27">
      <c r="B2125" s="619">
        <v>43266</v>
      </c>
      <c r="C2125" s="144">
        <v>43252</v>
      </c>
      <c r="D2125" s="145" t="s">
        <v>6205</v>
      </c>
      <c r="E2125" s="141" t="s">
        <v>4895</v>
      </c>
      <c r="F2125" s="141" t="s">
        <v>6206</v>
      </c>
    </row>
    <row r="2126" spans="2:6" ht="27">
      <c r="B2126" s="627">
        <v>43266</v>
      </c>
      <c r="C2126" s="61">
        <v>43266</v>
      </c>
      <c r="D2126" s="425" t="s">
        <v>5638</v>
      </c>
      <c r="E2126" s="58" t="s">
        <v>5</v>
      </c>
      <c r="F2126" s="58" t="s">
        <v>85</v>
      </c>
    </row>
    <row r="2127" spans="2:6" ht="27">
      <c r="B2127" s="626">
        <v>43269</v>
      </c>
      <c r="C2127" s="146">
        <v>43252</v>
      </c>
      <c r="D2127" s="157" t="s">
        <v>6222</v>
      </c>
      <c r="E2127" s="151" t="s">
        <v>6223</v>
      </c>
      <c r="F2127" s="151" t="s">
        <v>79</v>
      </c>
    </row>
    <row r="2128" spans="2:6" ht="27">
      <c r="B2128" s="629">
        <v>43269</v>
      </c>
      <c r="C2128" s="300">
        <v>43252</v>
      </c>
      <c r="D2128" s="308" t="s">
        <v>1240</v>
      </c>
      <c r="E2128" s="297"/>
      <c r="F2128" s="303" t="s">
        <v>1114</v>
      </c>
    </row>
    <row r="2129" spans="2:6" ht="27">
      <c r="B2129" s="624">
        <v>43269</v>
      </c>
      <c r="C2129" s="78">
        <v>43269</v>
      </c>
      <c r="D2129" s="90" t="s">
        <v>1640</v>
      </c>
      <c r="E2129" s="75" t="s">
        <v>5</v>
      </c>
      <c r="F2129" s="75" t="s">
        <v>79</v>
      </c>
    </row>
    <row r="2130" spans="2:6" ht="40.5">
      <c r="B2130" s="624">
        <v>43269</v>
      </c>
      <c r="C2130" s="78">
        <v>43252</v>
      </c>
      <c r="D2130" s="89" t="s">
        <v>2620</v>
      </c>
      <c r="E2130" s="75" t="s">
        <v>5</v>
      </c>
      <c r="F2130" s="85" t="s">
        <v>2621</v>
      </c>
    </row>
    <row r="2131" spans="2:6" ht="40.5">
      <c r="B2131" s="629">
        <v>43269</v>
      </c>
      <c r="C2131" s="302">
        <v>43269</v>
      </c>
      <c r="D2131" s="315" t="s">
        <v>1240</v>
      </c>
      <c r="E2131" s="297" t="s">
        <v>5</v>
      </c>
      <c r="F2131" s="315" t="s">
        <v>1241</v>
      </c>
    </row>
    <row r="2132" spans="2:6" ht="40.5">
      <c r="B2132" s="617">
        <v>43269</v>
      </c>
      <c r="C2132" s="78">
        <v>43252</v>
      </c>
      <c r="D2132" s="79" t="s">
        <v>2850</v>
      </c>
      <c r="E2132" s="75" t="s">
        <v>171</v>
      </c>
      <c r="F2132" s="75" t="s">
        <v>849</v>
      </c>
    </row>
    <row r="2133" spans="2:6" ht="27">
      <c r="B2133" s="627">
        <v>43269</v>
      </c>
      <c r="C2133" s="61">
        <v>43269</v>
      </c>
      <c r="D2133" s="425" t="s">
        <v>7141</v>
      </c>
      <c r="E2133" s="60" t="s">
        <v>5</v>
      </c>
      <c r="F2133" s="60" t="s">
        <v>6066</v>
      </c>
    </row>
    <row r="2134" spans="2:6" ht="94.5">
      <c r="B2134" s="619">
        <v>43271</v>
      </c>
      <c r="C2134" s="146">
        <v>43271</v>
      </c>
      <c r="D2134" s="145" t="s">
        <v>6530</v>
      </c>
      <c r="E2134" s="141" t="s">
        <v>6531</v>
      </c>
      <c r="F2134" s="141" t="s">
        <v>4254</v>
      </c>
    </row>
    <row r="2135" spans="2:6" ht="27">
      <c r="B2135" s="618">
        <v>43272</v>
      </c>
      <c r="C2135" s="63">
        <v>43272</v>
      </c>
      <c r="D2135" s="62" t="s">
        <v>6471</v>
      </c>
      <c r="E2135" s="58" t="s">
        <v>576</v>
      </c>
      <c r="F2135" s="58" t="s">
        <v>4254</v>
      </c>
    </row>
    <row r="2136" spans="2:6" ht="67.5">
      <c r="B2136" s="627">
        <v>43272</v>
      </c>
      <c r="C2136" s="61">
        <v>43272</v>
      </c>
      <c r="D2136" s="425" t="s">
        <v>955</v>
      </c>
      <c r="E2136" s="58" t="s">
        <v>5</v>
      </c>
      <c r="F2136" s="425" t="s">
        <v>956</v>
      </c>
    </row>
    <row r="2137" spans="2:6" ht="40.5">
      <c r="B2137" s="615">
        <v>43272</v>
      </c>
      <c r="C2137" s="300">
        <v>43252</v>
      </c>
      <c r="D2137" s="301" t="s">
        <v>7142</v>
      </c>
      <c r="E2137" s="297" t="s">
        <v>171</v>
      </c>
      <c r="F2137" s="297" t="s">
        <v>7143</v>
      </c>
    </row>
    <row r="2138" spans="2:6" ht="40.5">
      <c r="B2138" s="627">
        <v>43273</v>
      </c>
      <c r="C2138" s="61">
        <v>43252</v>
      </c>
      <c r="D2138" s="92" t="s">
        <v>2555</v>
      </c>
      <c r="E2138" s="58" t="s">
        <v>63</v>
      </c>
      <c r="F2138" s="70" t="s">
        <v>2556</v>
      </c>
    </row>
    <row r="2139" spans="2:6" ht="81">
      <c r="B2139" s="618">
        <v>43276</v>
      </c>
      <c r="C2139" s="63">
        <v>43252</v>
      </c>
      <c r="D2139" s="62" t="s">
        <v>6522</v>
      </c>
      <c r="E2139" s="58" t="s">
        <v>2632</v>
      </c>
      <c r="F2139" s="58" t="s">
        <v>4254</v>
      </c>
    </row>
    <row r="2140" spans="2:6" ht="54">
      <c r="B2140" s="629">
        <v>43276</v>
      </c>
      <c r="C2140" s="300">
        <v>43252</v>
      </c>
      <c r="D2140" s="308" t="s">
        <v>1021</v>
      </c>
      <c r="E2140" s="297" t="s">
        <v>5</v>
      </c>
      <c r="F2140" s="303" t="s">
        <v>1022</v>
      </c>
    </row>
    <row r="2141" spans="2:6" ht="27">
      <c r="B2141" s="626">
        <v>43276</v>
      </c>
      <c r="C2141" s="144">
        <v>43252</v>
      </c>
      <c r="D2141" s="157" t="s">
        <v>6307</v>
      </c>
      <c r="E2141" s="151" t="s">
        <v>6308</v>
      </c>
      <c r="F2141" s="151" t="s">
        <v>79</v>
      </c>
    </row>
    <row r="2142" spans="2:6" ht="54">
      <c r="B2142" s="629">
        <v>43276</v>
      </c>
      <c r="C2142" s="302">
        <v>43252</v>
      </c>
      <c r="D2142" s="308" t="s">
        <v>1021</v>
      </c>
      <c r="E2142" s="297" t="s">
        <v>5</v>
      </c>
      <c r="F2142" s="303" t="s">
        <v>1022</v>
      </c>
    </row>
    <row r="2143" spans="2:6" ht="40.5">
      <c r="B2143" s="627">
        <v>43276</v>
      </c>
      <c r="C2143" s="63">
        <v>43252</v>
      </c>
      <c r="D2143" s="92" t="s">
        <v>5277</v>
      </c>
      <c r="E2143" s="58" t="s">
        <v>63</v>
      </c>
      <c r="F2143" s="70" t="s">
        <v>2556</v>
      </c>
    </row>
    <row r="2144" spans="2:6" ht="27">
      <c r="B2144" s="627">
        <v>43276</v>
      </c>
      <c r="C2144" s="61">
        <v>43276</v>
      </c>
      <c r="D2144" s="425" t="s">
        <v>3587</v>
      </c>
      <c r="E2144" s="58" t="s">
        <v>63</v>
      </c>
      <c r="F2144" s="58" t="s">
        <v>85</v>
      </c>
    </row>
    <row r="2145" spans="2:6" ht="27">
      <c r="B2145" s="620">
        <v>43276</v>
      </c>
      <c r="C2145" s="21">
        <v>43276</v>
      </c>
      <c r="D2145" s="26" t="s">
        <v>6757</v>
      </c>
      <c r="E2145" s="423" t="s">
        <v>576</v>
      </c>
      <c r="F2145" s="423" t="s">
        <v>2411</v>
      </c>
    </row>
    <row r="2146" spans="2:6" ht="40.5">
      <c r="B2146" s="626">
        <v>43278</v>
      </c>
      <c r="C2146" s="146">
        <v>43252</v>
      </c>
      <c r="D2146" s="157" t="s">
        <v>6493</v>
      </c>
      <c r="E2146" s="141" t="s">
        <v>5</v>
      </c>
      <c r="F2146" s="151" t="s">
        <v>1189</v>
      </c>
    </row>
    <row r="2147" spans="2:6" ht="27">
      <c r="B2147" s="627">
        <v>43278</v>
      </c>
      <c r="C2147" s="69">
        <v>43252</v>
      </c>
      <c r="D2147" s="92" t="s">
        <v>6501</v>
      </c>
      <c r="E2147" s="58" t="s">
        <v>63</v>
      </c>
      <c r="F2147" s="70" t="s">
        <v>6066</v>
      </c>
    </row>
    <row r="2148" spans="2:6" ht="27">
      <c r="B2148" s="624">
        <v>43278</v>
      </c>
      <c r="C2148" s="78">
        <v>43252</v>
      </c>
      <c r="D2148" s="89" t="s">
        <v>7144</v>
      </c>
      <c r="E2148" s="75" t="s">
        <v>208</v>
      </c>
      <c r="F2148" s="85" t="s">
        <v>107</v>
      </c>
    </row>
    <row r="2149" spans="2:6" ht="27">
      <c r="B2149" s="627">
        <v>43279</v>
      </c>
      <c r="C2149" s="61">
        <v>43252</v>
      </c>
      <c r="D2149" s="92" t="s">
        <v>2908</v>
      </c>
      <c r="E2149" s="58" t="s">
        <v>5</v>
      </c>
      <c r="F2149" s="70" t="s">
        <v>79</v>
      </c>
    </row>
    <row r="2150" spans="2:6" ht="67.5">
      <c r="B2150" s="629">
        <v>43279</v>
      </c>
      <c r="C2150" s="300">
        <v>43252</v>
      </c>
      <c r="D2150" s="301" t="s">
        <v>7145</v>
      </c>
      <c r="E2150" s="297" t="s">
        <v>3771</v>
      </c>
      <c r="F2150" s="297" t="s">
        <v>7146</v>
      </c>
    </row>
    <row r="2151" spans="2:6" ht="27">
      <c r="B2151" s="624">
        <v>43279</v>
      </c>
      <c r="C2151" s="78">
        <v>43252</v>
      </c>
      <c r="D2151" s="89" t="s">
        <v>7147</v>
      </c>
      <c r="E2151" s="75" t="s">
        <v>5</v>
      </c>
      <c r="F2151" s="85" t="s">
        <v>85</v>
      </c>
    </row>
    <row r="2152" spans="2:6" ht="27">
      <c r="B2152" s="624">
        <v>43279</v>
      </c>
      <c r="C2152" s="78">
        <v>43252</v>
      </c>
      <c r="D2152" s="89" t="s">
        <v>4025</v>
      </c>
      <c r="E2152" s="75" t="s">
        <v>208</v>
      </c>
      <c r="F2152" s="85" t="s">
        <v>85</v>
      </c>
    </row>
    <row r="2153" spans="2:6" ht="27">
      <c r="B2153" s="626">
        <v>43280</v>
      </c>
      <c r="C2153" s="144">
        <v>43252</v>
      </c>
      <c r="D2153" s="157" t="s">
        <v>5756</v>
      </c>
      <c r="E2153" s="151" t="s">
        <v>5</v>
      </c>
      <c r="F2153" s="151" t="s">
        <v>79</v>
      </c>
    </row>
    <row r="2154" spans="2:6" ht="27">
      <c r="B2154" s="629">
        <v>43280</v>
      </c>
      <c r="C2154" s="302">
        <v>43252</v>
      </c>
      <c r="D2154" s="308" t="s">
        <v>4336</v>
      </c>
      <c r="E2154" s="303" t="s">
        <v>152</v>
      </c>
      <c r="F2154" s="303" t="s">
        <v>4337</v>
      </c>
    </row>
    <row r="2155" spans="2:6" ht="67.5">
      <c r="B2155" s="618">
        <v>43280</v>
      </c>
      <c r="C2155" s="61">
        <v>43280</v>
      </c>
      <c r="D2155" s="62" t="s">
        <v>3885</v>
      </c>
      <c r="E2155" s="58" t="s">
        <v>3771</v>
      </c>
      <c r="F2155" s="58" t="s">
        <v>3886</v>
      </c>
    </row>
    <row r="2156" spans="2:6" ht="67.5">
      <c r="B2156" s="617">
        <v>43280</v>
      </c>
      <c r="C2156" s="78">
        <v>43280</v>
      </c>
      <c r="D2156" s="79" t="s">
        <v>3770</v>
      </c>
      <c r="E2156" s="75" t="s">
        <v>3771</v>
      </c>
      <c r="F2156" s="75" t="s">
        <v>3772</v>
      </c>
    </row>
    <row r="2157" spans="2:6" ht="27">
      <c r="B2157" s="615">
        <v>43284</v>
      </c>
      <c r="C2157" s="302">
        <v>43284</v>
      </c>
      <c r="D2157" s="301" t="s">
        <v>583</v>
      </c>
      <c r="E2157" s="297" t="s">
        <v>581</v>
      </c>
      <c r="F2157" s="297" t="s">
        <v>584</v>
      </c>
    </row>
    <row r="2158" spans="2:6" ht="27">
      <c r="B2158" s="627">
        <v>43284</v>
      </c>
      <c r="C2158" s="63">
        <v>43284</v>
      </c>
      <c r="D2158" s="92" t="s">
        <v>5330</v>
      </c>
      <c r="E2158" s="58" t="s">
        <v>5</v>
      </c>
      <c r="F2158" s="58" t="s">
        <v>79</v>
      </c>
    </row>
    <row r="2159" spans="2:6" ht="67.5">
      <c r="B2159" s="615">
        <v>43284</v>
      </c>
      <c r="C2159" s="362">
        <v>43284</v>
      </c>
      <c r="D2159" s="335" t="s">
        <v>1836</v>
      </c>
      <c r="E2159" s="315" t="s">
        <v>1837</v>
      </c>
      <c r="F2159" s="336" t="s">
        <v>1838</v>
      </c>
    </row>
    <row r="2160" spans="2:6" ht="27">
      <c r="B2160" s="618">
        <v>43285</v>
      </c>
      <c r="C2160" s="61">
        <v>43285</v>
      </c>
      <c r="D2160" s="66" t="s">
        <v>6188</v>
      </c>
      <c r="E2160" s="66" t="s">
        <v>5</v>
      </c>
      <c r="F2160" s="66" t="s">
        <v>85</v>
      </c>
    </row>
    <row r="2161" spans="2:6" ht="54">
      <c r="B2161" s="624">
        <v>43285</v>
      </c>
      <c r="C2161" s="78">
        <v>43282</v>
      </c>
      <c r="D2161" s="89" t="s">
        <v>7148</v>
      </c>
      <c r="E2161" s="75" t="s">
        <v>2743</v>
      </c>
      <c r="F2161" s="75" t="s">
        <v>7149</v>
      </c>
    </row>
    <row r="2162" spans="2:6" ht="27">
      <c r="B2162" s="624">
        <v>43285</v>
      </c>
      <c r="C2162" s="78">
        <v>43285</v>
      </c>
      <c r="D2162" s="89" t="s">
        <v>7150</v>
      </c>
      <c r="E2162" s="75" t="s">
        <v>2743</v>
      </c>
      <c r="F2162" s="75" t="s">
        <v>7151</v>
      </c>
    </row>
    <row r="2163" spans="2:6" ht="27">
      <c r="B2163" s="618">
        <v>43286</v>
      </c>
      <c r="C2163" s="61">
        <v>43286</v>
      </c>
      <c r="D2163" s="293" t="s">
        <v>3638</v>
      </c>
      <c r="E2163" s="58" t="s">
        <v>286</v>
      </c>
      <c r="F2163" s="58" t="s">
        <v>85</v>
      </c>
    </row>
    <row r="2164" spans="2:6" ht="27">
      <c r="B2164" s="624">
        <v>43286</v>
      </c>
      <c r="C2164" s="78">
        <v>43282</v>
      </c>
      <c r="D2164" s="89" t="s">
        <v>7152</v>
      </c>
      <c r="E2164" s="75" t="s">
        <v>208</v>
      </c>
      <c r="F2164" s="85" t="s">
        <v>85</v>
      </c>
    </row>
    <row r="2165" spans="2:6" ht="27">
      <c r="B2165" s="627">
        <v>43286</v>
      </c>
      <c r="C2165" s="61">
        <v>43282</v>
      </c>
      <c r="D2165" s="425" t="s">
        <v>7153</v>
      </c>
      <c r="E2165" s="60" t="s">
        <v>5</v>
      </c>
      <c r="F2165" s="60" t="s">
        <v>85</v>
      </c>
    </row>
    <row r="2166" spans="2:6" ht="27">
      <c r="B2166" s="616">
        <v>43287</v>
      </c>
      <c r="C2166" s="146">
        <v>43287</v>
      </c>
      <c r="D2166" s="26" t="s">
        <v>6553</v>
      </c>
      <c r="E2166" s="26" t="s">
        <v>5</v>
      </c>
      <c r="F2166" s="26" t="s">
        <v>79</v>
      </c>
    </row>
    <row r="2167" spans="2:6" ht="27">
      <c r="B2167" s="618">
        <v>43287</v>
      </c>
      <c r="C2167" s="61">
        <v>43287</v>
      </c>
      <c r="D2167" s="66" t="s">
        <v>5686</v>
      </c>
      <c r="E2167" s="58" t="s">
        <v>5</v>
      </c>
      <c r="F2167" s="58" t="s">
        <v>107</v>
      </c>
    </row>
    <row r="2168" spans="2:6" ht="27">
      <c r="B2168" s="627">
        <v>43287</v>
      </c>
      <c r="C2168" s="63">
        <v>43287</v>
      </c>
      <c r="D2168" s="425" t="s">
        <v>6118</v>
      </c>
      <c r="E2168" s="425" t="s">
        <v>63</v>
      </c>
      <c r="F2168" s="425" t="s">
        <v>85</v>
      </c>
    </row>
    <row r="2169" spans="2:6" ht="27">
      <c r="B2169" s="618">
        <v>43287</v>
      </c>
      <c r="C2169" s="63">
        <v>43287</v>
      </c>
      <c r="D2169" s="66" t="s">
        <v>5686</v>
      </c>
      <c r="E2169" s="66" t="s">
        <v>5</v>
      </c>
      <c r="F2169" s="66" t="s">
        <v>107</v>
      </c>
    </row>
    <row r="2170" spans="2:6" ht="27">
      <c r="B2170" s="624">
        <v>43290</v>
      </c>
      <c r="C2170" s="78">
        <v>43282</v>
      </c>
      <c r="D2170" s="89" t="s">
        <v>7154</v>
      </c>
      <c r="E2170" s="75" t="s">
        <v>208</v>
      </c>
      <c r="F2170" s="85" t="s">
        <v>107</v>
      </c>
    </row>
    <row r="2171" spans="2:6" ht="27">
      <c r="B2171" s="627">
        <v>43290</v>
      </c>
      <c r="C2171" s="61">
        <v>43282</v>
      </c>
      <c r="D2171" s="425" t="s">
        <v>7155</v>
      </c>
      <c r="E2171" s="425" t="s">
        <v>208</v>
      </c>
      <c r="F2171" s="58" t="s">
        <v>107</v>
      </c>
    </row>
    <row r="2172" spans="2:6">
      <c r="B2172" s="615">
        <v>43291</v>
      </c>
      <c r="C2172" s="300">
        <v>43291</v>
      </c>
      <c r="D2172" s="304" t="s">
        <v>120</v>
      </c>
      <c r="E2172" s="304" t="s">
        <v>63</v>
      </c>
      <c r="F2172" s="304" t="s">
        <v>121</v>
      </c>
    </row>
    <row r="2173" spans="2:6" ht="27">
      <c r="B2173" s="620">
        <v>43291</v>
      </c>
      <c r="C2173" s="23">
        <v>43291</v>
      </c>
      <c r="D2173" s="428" t="s">
        <v>82</v>
      </c>
      <c r="E2173" s="422" t="s">
        <v>5</v>
      </c>
      <c r="F2173" s="428" t="s">
        <v>83</v>
      </c>
    </row>
    <row r="2174" spans="2:6" ht="27">
      <c r="B2174" s="627">
        <v>43291</v>
      </c>
      <c r="C2174" s="61">
        <v>43291</v>
      </c>
      <c r="D2174" s="65" t="s">
        <v>3650</v>
      </c>
      <c r="E2174" s="425" t="s">
        <v>63</v>
      </c>
      <c r="F2174" s="425" t="s">
        <v>85</v>
      </c>
    </row>
    <row r="2175" spans="2:6" ht="27">
      <c r="B2175" s="627">
        <v>43291</v>
      </c>
      <c r="C2175" s="61">
        <v>43291</v>
      </c>
      <c r="D2175" s="425" t="s">
        <v>2532</v>
      </c>
      <c r="E2175" s="58" t="s">
        <v>5</v>
      </c>
      <c r="F2175" s="58" t="s">
        <v>107</v>
      </c>
    </row>
    <row r="2176" spans="2:6" ht="27">
      <c r="B2176" s="624">
        <v>43291</v>
      </c>
      <c r="C2176" s="78">
        <v>43291</v>
      </c>
      <c r="D2176" s="90" t="s">
        <v>2532</v>
      </c>
      <c r="E2176" s="90" t="s">
        <v>5</v>
      </c>
      <c r="F2176" s="75" t="s">
        <v>107</v>
      </c>
    </row>
    <row r="2177" spans="2:6" ht="81">
      <c r="B2177" s="619">
        <v>43292</v>
      </c>
      <c r="C2177" s="146">
        <v>43292</v>
      </c>
      <c r="D2177" s="145" t="s">
        <v>6549</v>
      </c>
      <c r="E2177" s="141" t="s">
        <v>2632</v>
      </c>
      <c r="F2177" s="141" t="s">
        <v>2395</v>
      </c>
    </row>
    <row r="2178" spans="2:6" ht="27">
      <c r="B2178" s="627">
        <v>43292</v>
      </c>
      <c r="C2178" s="61">
        <v>43282</v>
      </c>
      <c r="D2178" s="425" t="s">
        <v>7156</v>
      </c>
      <c r="E2178" s="60" t="s">
        <v>5</v>
      </c>
      <c r="F2178" s="60" t="s">
        <v>107</v>
      </c>
    </row>
    <row r="2179" spans="2:6" ht="27">
      <c r="B2179" s="619">
        <v>43293</v>
      </c>
      <c r="C2179" s="146">
        <v>43293</v>
      </c>
      <c r="D2179" s="145" t="s">
        <v>6632</v>
      </c>
      <c r="E2179" s="141" t="s">
        <v>576</v>
      </c>
      <c r="F2179" s="141" t="s">
        <v>2411</v>
      </c>
    </row>
    <row r="2180" spans="2:6" ht="27">
      <c r="B2180" s="620">
        <v>43293</v>
      </c>
      <c r="C2180" s="21">
        <v>43293</v>
      </c>
      <c r="D2180" s="428" t="s">
        <v>84</v>
      </c>
      <c r="E2180" s="428" t="s">
        <v>63</v>
      </c>
      <c r="F2180" s="428" t="s">
        <v>85</v>
      </c>
    </row>
    <row r="2181" spans="2:6" ht="94.5">
      <c r="B2181" s="619">
        <v>43293</v>
      </c>
      <c r="C2181" s="146">
        <v>43293</v>
      </c>
      <c r="D2181" s="145" t="s">
        <v>6543</v>
      </c>
      <c r="E2181" s="141" t="s">
        <v>6539</v>
      </c>
      <c r="F2181" s="141" t="s">
        <v>6542</v>
      </c>
    </row>
    <row r="2182" spans="2:6" ht="67.5">
      <c r="B2182" s="618">
        <v>43294</v>
      </c>
      <c r="C2182" s="63">
        <v>43294</v>
      </c>
      <c r="D2182" s="62" t="s">
        <v>6291</v>
      </c>
      <c r="E2182" s="425" t="s">
        <v>6292</v>
      </c>
      <c r="F2182" s="58" t="s">
        <v>6293</v>
      </c>
    </row>
    <row r="2183" spans="2:6" ht="27">
      <c r="B2183" s="629">
        <v>43294</v>
      </c>
      <c r="C2183" s="300">
        <v>43282</v>
      </c>
      <c r="D2183" s="315" t="s">
        <v>7157</v>
      </c>
      <c r="E2183" s="315" t="s">
        <v>208</v>
      </c>
      <c r="F2183" s="315" t="s">
        <v>107</v>
      </c>
    </row>
    <row r="2184" spans="2:6" ht="27">
      <c r="B2184" s="618">
        <v>43297</v>
      </c>
      <c r="C2184" s="61">
        <v>43297</v>
      </c>
      <c r="D2184" s="66" t="s">
        <v>4833</v>
      </c>
      <c r="E2184" s="66" t="s">
        <v>5</v>
      </c>
      <c r="F2184" s="66" t="s">
        <v>79</v>
      </c>
    </row>
    <row r="2185" spans="2:6" ht="27">
      <c r="B2185" s="622">
        <v>43297</v>
      </c>
      <c r="C2185" s="107">
        <v>43297</v>
      </c>
      <c r="D2185" s="108" t="s">
        <v>6356</v>
      </c>
      <c r="E2185" s="105" t="s">
        <v>171</v>
      </c>
      <c r="F2185" s="105" t="s">
        <v>6357</v>
      </c>
    </row>
    <row r="2186" spans="2:6" ht="67.5">
      <c r="B2186" s="618">
        <v>43297</v>
      </c>
      <c r="C2186" s="61">
        <v>43297</v>
      </c>
      <c r="D2186" s="62" t="s">
        <v>3887</v>
      </c>
      <c r="E2186" s="58" t="s">
        <v>3888</v>
      </c>
      <c r="F2186" s="58" t="s">
        <v>3889</v>
      </c>
    </row>
    <row r="2187" spans="2:6" ht="40.5">
      <c r="B2187" s="615">
        <v>43297</v>
      </c>
      <c r="C2187" s="300">
        <v>43282</v>
      </c>
      <c r="D2187" s="304" t="s">
        <v>7158</v>
      </c>
      <c r="E2187" s="297" t="s">
        <v>7159</v>
      </c>
      <c r="F2187" s="297" t="s">
        <v>3520</v>
      </c>
    </row>
    <row r="2188" spans="2:6" ht="27">
      <c r="B2188" s="629">
        <v>43297</v>
      </c>
      <c r="C2188" s="300">
        <v>43282</v>
      </c>
      <c r="D2188" s="315" t="s">
        <v>7160</v>
      </c>
      <c r="E2188" s="315" t="s">
        <v>208</v>
      </c>
      <c r="F2188" s="315" t="s">
        <v>107</v>
      </c>
    </row>
    <row r="2189" spans="2:6" ht="40.5">
      <c r="B2189" s="617">
        <v>43297</v>
      </c>
      <c r="C2189" s="78">
        <v>43297</v>
      </c>
      <c r="D2189" s="79" t="s">
        <v>3773</v>
      </c>
      <c r="E2189" s="75" t="s">
        <v>171</v>
      </c>
      <c r="F2189" s="75" t="s">
        <v>174</v>
      </c>
    </row>
    <row r="2190" spans="2:6" ht="27">
      <c r="B2190" s="619">
        <v>43298</v>
      </c>
      <c r="C2190" s="146">
        <v>43298</v>
      </c>
      <c r="D2190" s="145" t="s">
        <v>6618</v>
      </c>
      <c r="E2190" s="141" t="s">
        <v>625</v>
      </c>
      <c r="F2190" s="141" t="s">
        <v>2395</v>
      </c>
    </row>
    <row r="2191" spans="2:6">
      <c r="B2191" s="629">
        <v>43298</v>
      </c>
      <c r="C2191" s="302">
        <v>43298</v>
      </c>
      <c r="D2191" s="315" t="s">
        <v>718</v>
      </c>
      <c r="E2191" s="315" t="s">
        <v>719</v>
      </c>
      <c r="F2191" s="297"/>
    </row>
    <row r="2192" spans="2:6" ht="27">
      <c r="B2192" s="629">
        <v>43298</v>
      </c>
      <c r="C2192" s="300">
        <v>43298</v>
      </c>
      <c r="D2192" s="315" t="s">
        <v>718</v>
      </c>
      <c r="E2192" s="315" t="s">
        <v>719</v>
      </c>
      <c r="F2192" s="315" t="s">
        <v>720</v>
      </c>
    </row>
    <row r="2193" spans="2:6" ht="27">
      <c r="B2193" s="629">
        <v>43298</v>
      </c>
      <c r="C2193" s="300">
        <v>43298</v>
      </c>
      <c r="D2193" s="315" t="s">
        <v>718</v>
      </c>
      <c r="E2193" s="315" t="s">
        <v>719</v>
      </c>
      <c r="F2193" s="315" t="s">
        <v>720</v>
      </c>
    </row>
    <row r="2194" spans="2:6" ht="27">
      <c r="B2194" s="618">
        <v>43299</v>
      </c>
      <c r="C2194" s="63">
        <v>43299</v>
      </c>
      <c r="D2194" s="62" t="s">
        <v>5687</v>
      </c>
      <c r="E2194" s="58" t="s">
        <v>171</v>
      </c>
      <c r="F2194" s="58" t="s">
        <v>2395</v>
      </c>
    </row>
    <row r="2195" spans="2:6" ht="27">
      <c r="B2195" s="616">
        <v>43300</v>
      </c>
      <c r="C2195" s="23">
        <v>43300</v>
      </c>
      <c r="D2195" s="22" t="s">
        <v>6609</v>
      </c>
      <c r="E2195" s="422" t="s">
        <v>576</v>
      </c>
      <c r="F2195" s="422" t="s">
        <v>1495</v>
      </c>
    </row>
    <row r="2196" spans="2:6" ht="27">
      <c r="B2196" s="630">
        <v>43300</v>
      </c>
      <c r="C2196" s="63">
        <v>43300</v>
      </c>
      <c r="D2196" s="182" t="s">
        <v>6472</v>
      </c>
      <c r="E2196" s="58" t="s">
        <v>576</v>
      </c>
      <c r="F2196" s="58" t="s">
        <v>4254</v>
      </c>
    </row>
    <row r="2197" spans="2:6" ht="27">
      <c r="B2197" s="620">
        <v>43300</v>
      </c>
      <c r="C2197" s="23">
        <v>43300</v>
      </c>
      <c r="D2197" s="428" t="s">
        <v>5317</v>
      </c>
      <c r="E2197" s="428" t="s">
        <v>5</v>
      </c>
      <c r="F2197" s="428" t="s">
        <v>107</v>
      </c>
    </row>
    <row r="2198" spans="2:6" ht="27">
      <c r="B2198" s="630">
        <v>43300</v>
      </c>
      <c r="C2198" s="63">
        <v>43300</v>
      </c>
      <c r="D2198" s="641" t="s">
        <v>6472</v>
      </c>
      <c r="E2198" s="170" t="s">
        <v>576</v>
      </c>
      <c r="F2198" s="294" t="s">
        <v>6473</v>
      </c>
    </row>
    <row r="2199" spans="2:6" ht="67.5">
      <c r="B2199" s="615">
        <v>43300</v>
      </c>
      <c r="C2199" s="300">
        <v>43282</v>
      </c>
      <c r="D2199" s="360" t="s">
        <v>7161</v>
      </c>
      <c r="E2199" s="297" t="s">
        <v>7162</v>
      </c>
      <c r="F2199" s="297" t="s">
        <v>7163</v>
      </c>
    </row>
    <row r="2200" spans="2:6" ht="27">
      <c r="B2200" s="624">
        <v>43300</v>
      </c>
      <c r="C2200" s="78">
        <v>43282</v>
      </c>
      <c r="D2200" s="89" t="s">
        <v>7164</v>
      </c>
      <c r="E2200" s="75" t="s">
        <v>208</v>
      </c>
      <c r="F2200" s="85" t="s">
        <v>107</v>
      </c>
    </row>
    <row r="2201" spans="2:6">
      <c r="B2201" s="621">
        <v>43304</v>
      </c>
      <c r="C2201" s="146">
        <v>43304</v>
      </c>
      <c r="D2201" s="174" t="s">
        <v>6441</v>
      </c>
      <c r="E2201" s="172" t="s">
        <v>625</v>
      </c>
      <c r="F2201" s="172" t="s">
        <v>1495</v>
      </c>
    </row>
    <row r="2202" spans="2:6" ht="81">
      <c r="B2202" s="621">
        <v>43304</v>
      </c>
      <c r="C2202" s="146">
        <v>43304</v>
      </c>
      <c r="D2202" s="174" t="s">
        <v>6442</v>
      </c>
      <c r="E2202" s="141" t="s">
        <v>2632</v>
      </c>
      <c r="F2202" s="172" t="s">
        <v>1495</v>
      </c>
    </row>
    <row r="2203" spans="2:6" ht="27">
      <c r="B2203" s="631">
        <v>43304</v>
      </c>
      <c r="C2203" s="107">
        <v>43304</v>
      </c>
      <c r="D2203" s="110" t="s">
        <v>3294</v>
      </c>
      <c r="E2203" s="105" t="s">
        <v>3295</v>
      </c>
      <c r="F2203" s="110" t="s">
        <v>3296</v>
      </c>
    </row>
    <row r="2204" spans="2:6" ht="27">
      <c r="B2204" s="627">
        <v>43304</v>
      </c>
      <c r="C2204" s="61">
        <v>43304</v>
      </c>
      <c r="D2204" s="425" t="s">
        <v>3840</v>
      </c>
      <c r="E2204" s="58" t="s">
        <v>1480</v>
      </c>
      <c r="F2204" s="58" t="s">
        <v>107</v>
      </c>
    </row>
    <row r="2205" spans="2:6" ht="27">
      <c r="B2205" s="618">
        <v>43305</v>
      </c>
      <c r="C2205" s="63">
        <v>43305</v>
      </c>
      <c r="D2205" s="62" t="s">
        <v>6602</v>
      </c>
      <c r="E2205" s="58" t="s">
        <v>576</v>
      </c>
      <c r="F2205" s="58" t="s">
        <v>1495</v>
      </c>
    </row>
    <row r="2206" spans="2:6" ht="27">
      <c r="B2206" s="627">
        <v>43305</v>
      </c>
      <c r="C2206" s="61">
        <v>43282</v>
      </c>
      <c r="D2206" s="425" t="s">
        <v>7165</v>
      </c>
      <c r="E2206" s="58" t="s">
        <v>208</v>
      </c>
      <c r="F2206" s="58" t="s">
        <v>107</v>
      </c>
    </row>
    <row r="2207" spans="2:6" ht="108">
      <c r="B2207" s="618">
        <v>43305</v>
      </c>
      <c r="C2207" s="61">
        <v>43305</v>
      </c>
      <c r="D2207" s="62" t="s">
        <v>271</v>
      </c>
      <c r="E2207" s="58" t="s">
        <v>5532</v>
      </c>
      <c r="F2207" s="58" t="s">
        <v>5533</v>
      </c>
    </row>
    <row r="2208" spans="2:6" ht="108">
      <c r="B2208" s="618">
        <v>43305</v>
      </c>
      <c r="C2208" s="61">
        <v>43305</v>
      </c>
      <c r="D2208" s="62" t="s">
        <v>271</v>
      </c>
      <c r="E2208" s="58" t="s">
        <v>5581</v>
      </c>
      <c r="F2208" s="58" t="s">
        <v>5582</v>
      </c>
    </row>
    <row r="2209" spans="2:6" ht="27">
      <c r="B2209" s="624">
        <v>43306</v>
      </c>
      <c r="C2209" s="78">
        <v>43306</v>
      </c>
      <c r="D2209" s="90" t="s">
        <v>1537</v>
      </c>
      <c r="E2209" s="75" t="s">
        <v>286</v>
      </c>
      <c r="F2209" s="75" t="s">
        <v>107</v>
      </c>
    </row>
    <row r="2210" spans="2:6" ht="27">
      <c r="B2210" s="617">
        <v>43306</v>
      </c>
      <c r="C2210" s="78">
        <v>43306</v>
      </c>
      <c r="D2210" s="79" t="s">
        <v>1537</v>
      </c>
      <c r="E2210" s="75" t="s">
        <v>5</v>
      </c>
      <c r="F2210" s="75" t="s">
        <v>107</v>
      </c>
    </row>
    <row r="2211" spans="2:6" ht="27">
      <c r="B2211" s="624">
        <v>43306</v>
      </c>
      <c r="C2211" s="78">
        <v>43282</v>
      </c>
      <c r="D2211" s="89" t="s">
        <v>1537</v>
      </c>
      <c r="E2211" s="75" t="s">
        <v>5</v>
      </c>
      <c r="F2211" s="85" t="s">
        <v>107</v>
      </c>
    </row>
    <row r="2212" spans="2:6" ht="40.5">
      <c r="B2212" s="632">
        <v>43307</v>
      </c>
      <c r="C2212" s="23">
        <v>43307</v>
      </c>
      <c r="D2212" s="194" t="s">
        <v>6575</v>
      </c>
      <c r="E2212" s="422" t="s">
        <v>576</v>
      </c>
      <c r="F2212" s="422" t="s">
        <v>6576</v>
      </c>
    </row>
    <row r="2213" spans="2:6" ht="54">
      <c r="B2213" s="615">
        <v>43307</v>
      </c>
      <c r="C2213" s="362">
        <v>43307</v>
      </c>
      <c r="D2213" s="335" t="s">
        <v>271</v>
      </c>
      <c r="E2213" s="365" t="s">
        <v>1837</v>
      </c>
      <c r="F2213" s="365" t="s">
        <v>1839</v>
      </c>
    </row>
    <row r="2214" spans="2:6" ht="54">
      <c r="B2214" s="633">
        <v>43307</v>
      </c>
      <c r="C2214" s="362">
        <v>43307</v>
      </c>
      <c r="D2214" s="335" t="s">
        <v>1840</v>
      </c>
      <c r="E2214" s="297" t="s">
        <v>1841</v>
      </c>
      <c r="F2214" s="336" t="s">
        <v>1842</v>
      </c>
    </row>
    <row r="2215" spans="2:6" ht="40.5">
      <c r="B2215" s="618">
        <v>43308</v>
      </c>
      <c r="C2215" s="63">
        <v>43308</v>
      </c>
      <c r="D2215" s="183" t="s">
        <v>6559</v>
      </c>
      <c r="E2215" s="58" t="s">
        <v>142</v>
      </c>
      <c r="F2215" s="58" t="s">
        <v>2395</v>
      </c>
    </row>
    <row r="2216" spans="2:6" ht="81">
      <c r="B2216" s="619">
        <v>43311</v>
      </c>
      <c r="C2216" s="146">
        <v>43311</v>
      </c>
      <c r="D2216" s="145" t="s">
        <v>6562</v>
      </c>
      <c r="E2216" s="141" t="s">
        <v>2632</v>
      </c>
      <c r="F2216" s="141" t="s">
        <v>2395</v>
      </c>
    </row>
    <row r="2217" spans="2:6" ht="27">
      <c r="B2217" s="630">
        <v>43311</v>
      </c>
      <c r="C2217" s="63">
        <v>43311</v>
      </c>
      <c r="D2217" s="182" t="s">
        <v>6523</v>
      </c>
      <c r="E2217" s="119" t="s">
        <v>625</v>
      </c>
      <c r="F2217" s="58" t="s">
        <v>3423</v>
      </c>
    </row>
    <row r="2218" spans="2:6">
      <c r="B2218" s="621">
        <v>43311</v>
      </c>
      <c r="C2218" s="146">
        <v>43311</v>
      </c>
      <c r="D2218" s="174" t="s">
        <v>6563</v>
      </c>
      <c r="E2218" s="172" t="s">
        <v>625</v>
      </c>
      <c r="F2218" s="172" t="s">
        <v>6564</v>
      </c>
    </row>
    <row r="2219" spans="2:6" ht="27">
      <c r="B2219" s="619">
        <v>43311</v>
      </c>
      <c r="C2219" s="146">
        <v>43311</v>
      </c>
      <c r="D2219" s="145" t="s">
        <v>6619</v>
      </c>
      <c r="E2219" s="141" t="s">
        <v>625</v>
      </c>
      <c r="F2219" s="141" t="s">
        <v>1495</v>
      </c>
    </row>
    <row r="2220" spans="2:6" ht="40.5">
      <c r="B2220" s="624">
        <v>43311</v>
      </c>
      <c r="C2220" s="78">
        <v>43282</v>
      </c>
      <c r="D2220" s="90" t="s">
        <v>7166</v>
      </c>
      <c r="E2220" s="75" t="s">
        <v>7167</v>
      </c>
      <c r="F2220" s="90" t="s">
        <v>107</v>
      </c>
    </row>
    <row r="2221" spans="2:6">
      <c r="B2221" s="618">
        <v>43312</v>
      </c>
      <c r="C2221" s="63">
        <v>43312</v>
      </c>
      <c r="D2221" s="62" t="s">
        <v>6638</v>
      </c>
      <c r="E2221" s="58" t="s">
        <v>63</v>
      </c>
      <c r="F2221" s="58" t="s">
        <v>2411</v>
      </c>
    </row>
    <row r="2222" spans="2:6">
      <c r="B2222" s="622">
        <v>43312</v>
      </c>
      <c r="C2222" s="107">
        <v>43312</v>
      </c>
      <c r="D2222" s="108" t="s">
        <v>6351</v>
      </c>
      <c r="E2222" s="105" t="s">
        <v>5</v>
      </c>
      <c r="F2222" s="105" t="s">
        <v>6352</v>
      </c>
    </row>
    <row r="2223" spans="2:6" ht="54">
      <c r="B2223" s="619">
        <v>43312</v>
      </c>
      <c r="C2223" s="146">
        <v>43312</v>
      </c>
      <c r="D2223" s="145" t="s">
        <v>6207</v>
      </c>
      <c r="E2223" s="141" t="s">
        <v>4895</v>
      </c>
      <c r="F2223" s="141" t="s">
        <v>6208</v>
      </c>
    </row>
    <row r="2224" spans="2:6" ht="27">
      <c r="B2224" s="626">
        <v>43312</v>
      </c>
      <c r="C2224" s="144">
        <v>43312</v>
      </c>
      <c r="D2224" s="424" t="s">
        <v>5667</v>
      </c>
      <c r="E2224" s="141" t="s">
        <v>208</v>
      </c>
      <c r="F2224" s="424" t="s">
        <v>85</v>
      </c>
    </row>
    <row r="2225" spans="2:6" ht="27">
      <c r="B2225" s="627">
        <v>43313</v>
      </c>
      <c r="C2225" s="61">
        <v>43313</v>
      </c>
      <c r="D2225" s="65" t="s">
        <v>3553</v>
      </c>
      <c r="E2225" s="58" t="s">
        <v>3554</v>
      </c>
      <c r="F2225" s="58" t="s">
        <v>107</v>
      </c>
    </row>
    <row r="2226" spans="2:6" ht="27">
      <c r="B2226" s="627">
        <v>43314</v>
      </c>
      <c r="C2226" s="61">
        <v>43314</v>
      </c>
      <c r="D2226" s="425" t="s">
        <v>5177</v>
      </c>
      <c r="E2226" s="425" t="s">
        <v>5</v>
      </c>
      <c r="F2226" s="425" t="s">
        <v>85</v>
      </c>
    </row>
    <row r="2227" spans="2:6" ht="27">
      <c r="B2227" s="629">
        <v>43315</v>
      </c>
      <c r="C2227" s="300">
        <v>43313</v>
      </c>
      <c r="D2227" s="315" t="s">
        <v>7168</v>
      </c>
      <c r="E2227" s="315" t="s">
        <v>208</v>
      </c>
      <c r="F2227" s="315" t="s">
        <v>107</v>
      </c>
    </row>
    <row r="2228" spans="2:6" ht="54">
      <c r="B2228" s="617">
        <v>43318</v>
      </c>
      <c r="C2228" s="78">
        <v>43318</v>
      </c>
      <c r="D2228" s="295" t="s">
        <v>271</v>
      </c>
      <c r="E2228" s="75" t="s">
        <v>3136</v>
      </c>
      <c r="F2228" s="75" t="s">
        <v>3137</v>
      </c>
    </row>
    <row r="2229" spans="2:6" ht="54">
      <c r="B2229" s="617">
        <v>43320</v>
      </c>
      <c r="C2229" s="78">
        <v>43320</v>
      </c>
      <c r="D2229" s="79" t="s">
        <v>3138</v>
      </c>
      <c r="E2229" s="75" t="s">
        <v>171</v>
      </c>
      <c r="F2229" s="75" t="s">
        <v>3139</v>
      </c>
    </row>
    <row r="2230" spans="2:6" ht="27">
      <c r="B2230" s="629">
        <v>43320</v>
      </c>
      <c r="C2230" s="300">
        <v>43320</v>
      </c>
      <c r="D2230" s="315" t="s">
        <v>1479</v>
      </c>
      <c r="E2230" s="297" t="s">
        <v>1480</v>
      </c>
      <c r="F2230" s="297" t="s">
        <v>107</v>
      </c>
    </row>
    <row r="2231" spans="2:6">
      <c r="B2231" s="629">
        <v>43321</v>
      </c>
      <c r="C2231" s="300">
        <v>43313</v>
      </c>
      <c r="D2231" s="301" t="s">
        <v>7169</v>
      </c>
      <c r="E2231" s="297" t="s">
        <v>171</v>
      </c>
      <c r="F2231" s="297" t="s">
        <v>777</v>
      </c>
    </row>
    <row r="2232" spans="2:6">
      <c r="B2232" s="629">
        <v>43321</v>
      </c>
      <c r="C2232" s="300">
        <v>43313</v>
      </c>
      <c r="D2232" s="315" t="s">
        <v>7170</v>
      </c>
      <c r="E2232" s="315" t="s">
        <v>171</v>
      </c>
      <c r="F2232" s="315" t="s">
        <v>2189</v>
      </c>
    </row>
    <row r="2233" spans="2:6" ht="40.5">
      <c r="B2233" s="629">
        <v>43321</v>
      </c>
      <c r="C2233" s="300">
        <v>43313</v>
      </c>
      <c r="D2233" s="315" t="s">
        <v>7171</v>
      </c>
      <c r="E2233" s="297" t="s">
        <v>7172</v>
      </c>
      <c r="F2233" s="315" t="s">
        <v>107</v>
      </c>
    </row>
    <row r="2234" spans="2:6" ht="40.5">
      <c r="B2234" s="629">
        <v>43321</v>
      </c>
      <c r="C2234" s="300">
        <v>43321</v>
      </c>
      <c r="D2234" s="301" t="s">
        <v>7171</v>
      </c>
      <c r="E2234" s="297" t="s">
        <v>7172</v>
      </c>
      <c r="F2234" s="297" t="s">
        <v>79</v>
      </c>
    </row>
    <row r="2235" spans="2:6">
      <c r="B2235" s="621">
        <v>43322</v>
      </c>
      <c r="C2235" s="146">
        <v>43322</v>
      </c>
      <c r="D2235" s="174" t="s">
        <v>6494</v>
      </c>
      <c r="E2235" s="172" t="s">
        <v>5</v>
      </c>
      <c r="F2235" s="172" t="s">
        <v>107</v>
      </c>
    </row>
    <row r="2236" spans="2:6" ht="27">
      <c r="B2236" s="627">
        <v>43322</v>
      </c>
      <c r="C2236" s="61">
        <v>43322</v>
      </c>
      <c r="D2236" s="425" t="s">
        <v>5803</v>
      </c>
      <c r="E2236" s="425" t="s">
        <v>208</v>
      </c>
      <c r="F2236" s="58" t="s">
        <v>107</v>
      </c>
    </row>
    <row r="2237" spans="2:6" ht="27">
      <c r="B2237" s="629">
        <v>43322</v>
      </c>
      <c r="C2237" s="300">
        <v>43313</v>
      </c>
      <c r="D2237" s="301" t="s">
        <v>7173</v>
      </c>
      <c r="E2237" s="297" t="s">
        <v>171</v>
      </c>
      <c r="F2237" s="297" t="s">
        <v>7174</v>
      </c>
    </row>
    <row r="2238" spans="2:6" ht="40.5">
      <c r="B2238" s="615">
        <v>43322</v>
      </c>
      <c r="C2238" s="300">
        <v>43313</v>
      </c>
      <c r="D2238" s="304" t="s">
        <v>7175</v>
      </c>
      <c r="E2238" s="297" t="s">
        <v>7159</v>
      </c>
      <c r="F2238" s="297" t="s">
        <v>2189</v>
      </c>
    </row>
    <row r="2239" spans="2:6" ht="27">
      <c r="B2239" s="629">
        <v>43322</v>
      </c>
      <c r="C2239" s="300">
        <v>43313</v>
      </c>
      <c r="D2239" s="315" t="s">
        <v>7173</v>
      </c>
      <c r="E2239" s="315" t="s">
        <v>171</v>
      </c>
      <c r="F2239" s="315" t="s">
        <v>7174</v>
      </c>
    </row>
    <row r="2240" spans="2:6" ht="27">
      <c r="B2240" s="627">
        <v>43322</v>
      </c>
      <c r="C2240" s="61">
        <v>43313</v>
      </c>
      <c r="D2240" s="65" t="s">
        <v>7176</v>
      </c>
      <c r="E2240" s="58" t="s">
        <v>208</v>
      </c>
      <c r="F2240" s="58" t="s">
        <v>85</v>
      </c>
    </row>
    <row r="2241" spans="2:6" ht="27">
      <c r="B2241" s="627">
        <v>43325</v>
      </c>
      <c r="C2241" s="61">
        <v>43325</v>
      </c>
      <c r="D2241" s="65" t="s">
        <v>4599</v>
      </c>
      <c r="E2241" s="58" t="s">
        <v>5</v>
      </c>
      <c r="F2241" s="125" t="s">
        <v>570</v>
      </c>
    </row>
    <row r="2242" spans="2:6" ht="27">
      <c r="B2242" s="627">
        <v>43325</v>
      </c>
      <c r="C2242" s="61">
        <v>43325</v>
      </c>
      <c r="D2242" s="65" t="s">
        <v>5295</v>
      </c>
      <c r="E2242" s="58" t="s">
        <v>5</v>
      </c>
      <c r="F2242" s="58" t="s">
        <v>570</v>
      </c>
    </row>
    <row r="2243" spans="2:6" ht="27">
      <c r="B2243" s="627">
        <v>43325</v>
      </c>
      <c r="C2243" s="63">
        <v>43325</v>
      </c>
      <c r="D2243" s="65" t="s">
        <v>5511</v>
      </c>
      <c r="E2243" s="58" t="s">
        <v>5</v>
      </c>
      <c r="F2243" s="58" t="s">
        <v>570</v>
      </c>
    </row>
    <row r="2244" spans="2:6" ht="27">
      <c r="B2244" s="627">
        <v>43325</v>
      </c>
      <c r="C2244" s="61">
        <v>43325</v>
      </c>
      <c r="D2244" s="65" t="s">
        <v>2936</v>
      </c>
      <c r="E2244" s="58" t="s">
        <v>5</v>
      </c>
      <c r="F2244" s="58" t="s">
        <v>85</v>
      </c>
    </row>
    <row r="2245" spans="2:6" ht="27">
      <c r="B2245" s="627">
        <v>43325</v>
      </c>
      <c r="C2245" s="61">
        <v>43325</v>
      </c>
      <c r="D2245" s="65" t="s">
        <v>5590</v>
      </c>
      <c r="E2245" s="58" t="s">
        <v>5</v>
      </c>
      <c r="F2245" s="58" t="s">
        <v>570</v>
      </c>
    </row>
    <row r="2246" spans="2:6" ht="27">
      <c r="B2246" s="627">
        <v>43325</v>
      </c>
      <c r="C2246" s="61">
        <v>43313</v>
      </c>
      <c r="D2246" s="425" t="s">
        <v>7177</v>
      </c>
      <c r="E2246" s="60" t="s">
        <v>5</v>
      </c>
      <c r="F2246" s="60" t="s">
        <v>85</v>
      </c>
    </row>
    <row r="2247" spans="2:6" ht="27">
      <c r="B2247" s="616">
        <v>43326</v>
      </c>
      <c r="C2247" s="23">
        <v>43322</v>
      </c>
      <c r="D2247" s="22" t="s">
        <v>6570</v>
      </c>
      <c r="E2247" s="17" t="s">
        <v>625</v>
      </c>
      <c r="F2247" s="422" t="s">
        <v>2395</v>
      </c>
    </row>
    <row r="2248" spans="2:6" ht="27">
      <c r="B2248" s="616">
        <v>43326</v>
      </c>
      <c r="C2248" s="23">
        <v>43326</v>
      </c>
      <c r="D2248" s="22" t="s">
        <v>6577</v>
      </c>
      <c r="E2248" s="422" t="s">
        <v>576</v>
      </c>
      <c r="F2248" s="421" t="s">
        <v>2395</v>
      </c>
    </row>
    <row r="2249" spans="2:6" ht="27">
      <c r="B2249" s="621">
        <v>43326</v>
      </c>
      <c r="C2249" s="146">
        <v>43326</v>
      </c>
      <c r="D2249" s="174" t="s">
        <v>6544</v>
      </c>
      <c r="E2249" s="172" t="s">
        <v>576</v>
      </c>
      <c r="F2249" s="141" t="s">
        <v>4189</v>
      </c>
    </row>
    <row r="2250" spans="2:6" ht="27">
      <c r="B2250" s="630">
        <v>43327</v>
      </c>
      <c r="C2250" s="63">
        <v>43327</v>
      </c>
      <c r="D2250" s="182" t="s">
        <v>6603</v>
      </c>
      <c r="E2250" s="58" t="s">
        <v>576</v>
      </c>
      <c r="F2250" s="58" t="s">
        <v>1495</v>
      </c>
    </row>
    <row r="2251" spans="2:6" ht="27">
      <c r="B2251" s="630">
        <v>43327</v>
      </c>
      <c r="C2251" s="63">
        <v>43327</v>
      </c>
      <c r="D2251" s="182" t="s">
        <v>6603</v>
      </c>
      <c r="E2251" s="58" t="s">
        <v>576</v>
      </c>
      <c r="F2251" s="119" t="s">
        <v>2411</v>
      </c>
    </row>
    <row r="2252" spans="2:6">
      <c r="B2252" s="627">
        <v>43327</v>
      </c>
      <c r="C2252" s="61">
        <v>43313</v>
      </c>
      <c r="D2252" s="425" t="s">
        <v>7178</v>
      </c>
      <c r="E2252" s="58" t="s">
        <v>5</v>
      </c>
      <c r="F2252" s="58" t="s">
        <v>529</v>
      </c>
    </row>
    <row r="2253" spans="2:6" ht="27">
      <c r="B2253" s="632">
        <v>43328</v>
      </c>
      <c r="C2253" s="23">
        <v>43328</v>
      </c>
      <c r="D2253" s="194" t="s">
        <v>6582</v>
      </c>
      <c r="E2253" s="422" t="s">
        <v>576</v>
      </c>
      <c r="F2253" s="421" t="s">
        <v>2395</v>
      </c>
    </row>
    <row r="2254" spans="2:6" ht="27">
      <c r="B2254" s="627">
        <v>43328</v>
      </c>
      <c r="C2254" s="63">
        <v>43328</v>
      </c>
      <c r="D2254" s="425" t="s">
        <v>6091</v>
      </c>
      <c r="E2254" s="425" t="s">
        <v>5</v>
      </c>
      <c r="F2254" s="425" t="s">
        <v>85</v>
      </c>
    </row>
    <row r="2255" spans="2:6" ht="27">
      <c r="B2255" s="632">
        <v>43328</v>
      </c>
      <c r="C2255" s="23">
        <v>43328</v>
      </c>
      <c r="D2255" s="194" t="s">
        <v>6582</v>
      </c>
      <c r="E2255" s="422" t="s">
        <v>576</v>
      </c>
      <c r="F2255" s="421" t="s">
        <v>2395</v>
      </c>
    </row>
    <row r="2256" spans="2:6">
      <c r="B2256" s="619">
        <v>43329</v>
      </c>
      <c r="C2256" s="146">
        <v>43329</v>
      </c>
      <c r="D2256" s="145" t="s">
        <v>6644</v>
      </c>
      <c r="E2256" s="141" t="s">
        <v>625</v>
      </c>
      <c r="F2256" s="141" t="s">
        <v>2411</v>
      </c>
    </row>
    <row r="2257" spans="2:6" ht="27">
      <c r="B2257" s="627">
        <v>43329</v>
      </c>
      <c r="C2257" s="63">
        <v>43329</v>
      </c>
      <c r="D2257" s="425" t="s">
        <v>6254</v>
      </c>
      <c r="E2257" s="425" t="s">
        <v>63</v>
      </c>
      <c r="F2257" s="425" t="s">
        <v>79</v>
      </c>
    </row>
    <row r="2258" spans="2:6" ht="27">
      <c r="B2258" s="624">
        <v>43329</v>
      </c>
      <c r="C2258" s="78">
        <v>43313</v>
      </c>
      <c r="D2258" s="90" t="s">
        <v>7179</v>
      </c>
      <c r="E2258" s="75" t="s">
        <v>7180</v>
      </c>
      <c r="F2258" s="90" t="s">
        <v>4292</v>
      </c>
    </row>
    <row r="2259" spans="2:6" ht="27">
      <c r="B2259" s="627">
        <v>43333</v>
      </c>
      <c r="C2259" s="61">
        <v>43333</v>
      </c>
      <c r="D2259" s="65" t="s">
        <v>5991</v>
      </c>
      <c r="E2259" s="58" t="s">
        <v>103</v>
      </c>
      <c r="F2259" s="58" t="s">
        <v>1673</v>
      </c>
    </row>
    <row r="2260" spans="2:6" ht="27">
      <c r="B2260" s="627">
        <v>43333</v>
      </c>
      <c r="C2260" s="61">
        <v>43333</v>
      </c>
      <c r="D2260" s="425" t="s">
        <v>5655</v>
      </c>
      <c r="E2260" s="425" t="s">
        <v>208</v>
      </c>
      <c r="F2260" s="425" t="s">
        <v>107</v>
      </c>
    </row>
    <row r="2261" spans="2:6" ht="27">
      <c r="B2261" s="626">
        <v>43333</v>
      </c>
      <c r="C2261" s="146">
        <v>43333</v>
      </c>
      <c r="D2261" s="424" t="s">
        <v>6515</v>
      </c>
      <c r="E2261" s="424" t="s">
        <v>63</v>
      </c>
      <c r="F2261" s="424" t="s">
        <v>85</v>
      </c>
    </row>
    <row r="2262" spans="2:6" ht="27">
      <c r="B2262" s="627">
        <v>43333</v>
      </c>
      <c r="C2262" s="61">
        <v>43333</v>
      </c>
      <c r="D2262" s="425" t="s">
        <v>5655</v>
      </c>
      <c r="E2262" s="58" t="s">
        <v>208</v>
      </c>
      <c r="F2262" s="58" t="s">
        <v>107</v>
      </c>
    </row>
    <row r="2263" spans="2:6">
      <c r="B2263" s="626">
        <v>43333</v>
      </c>
      <c r="C2263" s="146">
        <v>43333</v>
      </c>
      <c r="D2263" s="424" t="s">
        <v>6515</v>
      </c>
      <c r="E2263" s="172" t="s">
        <v>63</v>
      </c>
      <c r="F2263" s="172" t="s">
        <v>85</v>
      </c>
    </row>
    <row r="2264" spans="2:6" ht="27">
      <c r="B2264" s="624">
        <v>43333</v>
      </c>
      <c r="C2264" s="78">
        <v>43313</v>
      </c>
      <c r="D2264" s="90" t="s">
        <v>7181</v>
      </c>
      <c r="E2264" s="75" t="s">
        <v>7180</v>
      </c>
      <c r="F2264" s="90" t="s">
        <v>4292</v>
      </c>
    </row>
    <row r="2265" spans="2:6" ht="27">
      <c r="B2265" s="624">
        <v>43333</v>
      </c>
      <c r="C2265" s="78">
        <v>43313</v>
      </c>
      <c r="D2265" s="90" t="s">
        <v>7181</v>
      </c>
      <c r="E2265" s="75" t="s">
        <v>7180</v>
      </c>
      <c r="F2265" s="90" t="s">
        <v>4292</v>
      </c>
    </row>
    <row r="2266" spans="2:6" ht="27">
      <c r="B2266" s="616">
        <v>43334</v>
      </c>
      <c r="C2266" s="23">
        <v>43334</v>
      </c>
      <c r="D2266" s="22" t="s">
        <v>6614</v>
      </c>
      <c r="E2266" s="422" t="s">
        <v>625</v>
      </c>
      <c r="F2266" s="422" t="s">
        <v>1495</v>
      </c>
    </row>
    <row r="2267" spans="2:6" ht="27">
      <c r="B2267" s="618">
        <v>43334</v>
      </c>
      <c r="C2267" s="63">
        <v>43334</v>
      </c>
      <c r="D2267" s="62" t="s">
        <v>2410</v>
      </c>
      <c r="E2267" s="58" t="s">
        <v>576</v>
      </c>
      <c r="F2267" s="58" t="s">
        <v>2411</v>
      </c>
    </row>
    <row r="2268" spans="2:6" ht="27">
      <c r="B2268" s="621">
        <v>43335</v>
      </c>
      <c r="C2268" s="146">
        <v>43335</v>
      </c>
      <c r="D2268" s="174" t="s">
        <v>6565</v>
      </c>
      <c r="E2268" s="172" t="s">
        <v>625</v>
      </c>
      <c r="F2268" s="141" t="s">
        <v>3423</v>
      </c>
    </row>
    <row r="2269" spans="2:6" ht="40.5">
      <c r="B2269" s="615">
        <v>43335</v>
      </c>
      <c r="C2269" s="300">
        <v>43313</v>
      </c>
      <c r="D2269" s="301" t="s">
        <v>271</v>
      </c>
      <c r="E2269" s="297" t="s">
        <v>171</v>
      </c>
      <c r="F2269" s="297" t="s">
        <v>7182</v>
      </c>
    </row>
    <row r="2270" spans="2:6" ht="27">
      <c r="B2270" s="634">
        <v>43336</v>
      </c>
      <c r="C2270" s="226">
        <v>43336</v>
      </c>
      <c r="D2270" s="227" t="s">
        <v>271</v>
      </c>
      <c r="E2270" s="225" t="s">
        <v>171</v>
      </c>
      <c r="F2270" s="225" t="s">
        <v>1393</v>
      </c>
    </row>
    <row r="2271" spans="2:6" ht="27">
      <c r="B2271" s="627">
        <v>43336</v>
      </c>
      <c r="C2271" s="61">
        <v>43336</v>
      </c>
      <c r="D2271" s="425" t="s">
        <v>6661</v>
      </c>
      <c r="E2271" s="425" t="s">
        <v>5</v>
      </c>
      <c r="F2271" s="425" t="s">
        <v>79</v>
      </c>
    </row>
    <row r="2272" spans="2:6">
      <c r="B2272" s="634">
        <v>43336</v>
      </c>
      <c r="C2272" s="226">
        <v>43336</v>
      </c>
      <c r="D2272" s="227" t="s">
        <v>6624</v>
      </c>
      <c r="E2272" s="225" t="s">
        <v>171</v>
      </c>
      <c r="F2272" s="225" t="s">
        <v>777</v>
      </c>
    </row>
    <row r="2273" spans="2:6" ht="27">
      <c r="B2273" s="627">
        <v>43336</v>
      </c>
      <c r="C2273" s="61">
        <v>43336</v>
      </c>
      <c r="D2273" s="62" t="s">
        <v>6661</v>
      </c>
      <c r="E2273" s="58" t="s">
        <v>5</v>
      </c>
      <c r="F2273" s="58" t="s">
        <v>79</v>
      </c>
    </row>
    <row r="2274" spans="2:6" ht="40.5">
      <c r="B2274" s="622">
        <v>43336</v>
      </c>
      <c r="C2274" s="109">
        <v>43336</v>
      </c>
      <c r="D2274" s="108" t="s">
        <v>6353</v>
      </c>
      <c r="E2274" s="105" t="s">
        <v>6354</v>
      </c>
      <c r="F2274" s="105" t="s">
        <v>6355</v>
      </c>
    </row>
    <row r="2275" spans="2:6">
      <c r="B2275" s="635">
        <v>43336</v>
      </c>
      <c r="C2275" s="226">
        <v>43336</v>
      </c>
      <c r="D2275" s="228" t="s">
        <v>6624</v>
      </c>
      <c r="E2275" s="228" t="s">
        <v>171</v>
      </c>
      <c r="F2275" s="228" t="s">
        <v>2189</v>
      </c>
    </row>
    <row r="2276" spans="2:6" ht="54">
      <c r="B2276" s="615">
        <v>43336</v>
      </c>
      <c r="C2276" s="300">
        <v>43336</v>
      </c>
      <c r="D2276" s="301" t="s">
        <v>1373</v>
      </c>
      <c r="E2276" s="297" t="s">
        <v>576</v>
      </c>
      <c r="F2276" s="297" t="s">
        <v>1374</v>
      </c>
    </row>
    <row r="2277" spans="2:6" ht="54">
      <c r="B2277" s="615">
        <v>43336</v>
      </c>
      <c r="C2277" s="300">
        <v>43336</v>
      </c>
      <c r="D2277" s="301" t="s">
        <v>1375</v>
      </c>
      <c r="E2277" s="297" t="s">
        <v>576</v>
      </c>
      <c r="F2277" s="297" t="s">
        <v>1374</v>
      </c>
    </row>
    <row r="2278" spans="2:6" ht="67.5">
      <c r="B2278" s="615">
        <v>43336</v>
      </c>
      <c r="C2278" s="300">
        <v>43313</v>
      </c>
      <c r="D2278" s="301" t="s">
        <v>7183</v>
      </c>
      <c r="E2278" s="297" t="s">
        <v>171</v>
      </c>
      <c r="F2278" s="297" t="s">
        <v>7184</v>
      </c>
    </row>
    <row r="2279" spans="2:6" ht="67.5">
      <c r="B2279" s="629">
        <v>43336</v>
      </c>
      <c r="C2279" s="300">
        <v>43336</v>
      </c>
      <c r="D2279" s="301" t="s">
        <v>7183</v>
      </c>
      <c r="E2279" s="297" t="s">
        <v>171</v>
      </c>
      <c r="F2279" s="297" t="s">
        <v>7184</v>
      </c>
    </row>
    <row r="2280" spans="2:6" ht="40.5">
      <c r="B2280" s="617">
        <v>43336</v>
      </c>
      <c r="C2280" s="78">
        <v>43313</v>
      </c>
      <c r="D2280" s="81" t="s">
        <v>7185</v>
      </c>
      <c r="E2280" s="75" t="s">
        <v>5</v>
      </c>
      <c r="F2280" s="81" t="s">
        <v>7186</v>
      </c>
    </row>
    <row r="2281" spans="2:6" ht="27">
      <c r="B2281" s="618">
        <v>43339</v>
      </c>
      <c r="C2281" s="61">
        <v>43339</v>
      </c>
      <c r="D2281" s="62" t="s">
        <v>271</v>
      </c>
      <c r="E2281" s="58" t="s">
        <v>576</v>
      </c>
      <c r="F2281" s="58" t="s">
        <v>183</v>
      </c>
    </row>
    <row r="2282" spans="2:6" ht="27">
      <c r="B2282" s="626">
        <v>43339</v>
      </c>
      <c r="C2282" s="146">
        <v>43339</v>
      </c>
      <c r="D2282" s="424" t="s">
        <v>6554</v>
      </c>
      <c r="E2282" s="424" t="s">
        <v>5</v>
      </c>
      <c r="F2282" s="424" t="s">
        <v>85</v>
      </c>
    </row>
    <row r="2283" spans="2:6" ht="27">
      <c r="B2283" s="618">
        <v>43339</v>
      </c>
      <c r="C2283" s="63">
        <v>43339</v>
      </c>
      <c r="D2283" s="62" t="s">
        <v>3041</v>
      </c>
      <c r="E2283" s="58" t="s">
        <v>576</v>
      </c>
      <c r="F2283" s="58" t="s">
        <v>2395</v>
      </c>
    </row>
    <row r="2284" spans="2:6">
      <c r="B2284" s="626">
        <v>43339</v>
      </c>
      <c r="C2284" s="146">
        <v>43339</v>
      </c>
      <c r="D2284" s="424" t="s">
        <v>6554</v>
      </c>
      <c r="E2284" s="172" t="s">
        <v>5</v>
      </c>
      <c r="F2284" s="172" t="s">
        <v>85</v>
      </c>
    </row>
    <row r="2285" spans="2:6" ht="27">
      <c r="B2285" s="627">
        <v>43341</v>
      </c>
      <c r="C2285" s="61">
        <v>43336</v>
      </c>
      <c r="D2285" s="425" t="s">
        <v>6668</v>
      </c>
      <c r="E2285" s="425" t="s">
        <v>5</v>
      </c>
      <c r="F2285" s="425" t="s">
        <v>79</v>
      </c>
    </row>
    <row r="2286" spans="2:6" ht="27">
      <c r="B2286" s="624">
        <v>43341</v>
      </c>
      <c r="C2286" s="78">
        <v>43313</v>
      </c>
      <c r="D2286" s="89" t="s">
        <v>7187</v>
      </c>
      <c r="E2286" s="75" t="s">
        <v>2743</v>
      </c>
      <c r="F2286" s="85" t="s">
        <v>107</v>
      </c>
    </row>
    <row r="2287" spans="2:6" ht="27">
      <c r="B2287" s="624">
        <v>43341</v>
      </c>
      <c r="C2287" s="78">
        <v>43313</v>
      </c>
      <c r="D2287" s="89" t="s">
        <v>7187</v>
      </c>
      <c r="E2287" s="75" t="s">
        <v>2743</v>
      </c>
      <c r="F2287" s="85" t="s">
        <v>107</v>
      </c>
    </row>
    <row r="2288" spans="2:6" ht="27">
      <c r="B2288" s="624">
        <v>43341</v>
      </c>
      <c r="C2288" s="78">
        <v>43313</v>
      </c>
      <c r="D2288" s="90" t="s">
        <v>7188</v>
      </c>
      <c r="E2288" s="75" t="s">
        <v>7180</v>
      </c>
      <c r="F2288" s="90" t="s">
        <v>4292</v>
      </c>
    </row>
    <row r="2289" spans="2:6" ht="81">
      <c r="B2289" s="632">
        <v>43342</v>
      </c>
      <c r="C2289" s="23">
        <v>43342</v>
      </c>
      <c r="D2289" s="194" t="s">
        <v>6583</v>
      </c>
      <c r="E2289" s="17" t="s">
        <v>6584</v>
      </c>
      <c r="F2289" s="421" t="s">
        <v>183</v>
      </c>
    </row>
    <row r="2290" spans="2:6" ht="27">
      <c r="B2290" s="616">
        <v>43343</v>
      </c>
      <c r="C2290" s="21">
        <v>43343</v>
      </c>
      <c r="D2290" s="22" t="s">
        <v>271</v>
      </c>
      <c r="E2290" s="422" t="s">
        <v>625</v>
      </c>
      <c r="F2290" s="422" t="s">
        <v>2411</v>
      </c>
    </row>
    <row r="2291" spans="2:6" ht="27">
      <c r="B2291" s="626">
        <v>43343</v>
      </c>
      <c r="C2291" s="21">
        <v>43343</v>
      </c>
      <c r="D2291" s="424" t="s">
        <v>6718</v>
      </c>
      <c r="E2291" s="249" t="s">
        <v>5</v>
      </c>
      <c r="F2291" s="26" t="s">
        <v>2413</v>
      </c>
    </row>
    <row r="2292" spans="2:6" ht="27">
      <c r="B2292" s="627">
        <v>43343</v>
      </c>
      <c r="C2292" s="63">
        <v>43343</v>
      </c>
      <c r="D2292" s="65" t="s">
        <v>4834</v>
      </c>
      <c r="E2292" s="58" t="s">
        <v>5</v>
      </c>
      <c r="F2292" s="58" t="s">
        <v>85</v>
      </c>
    </row>
    <row r="2293" spans="2:6" ht="27">
      <c r="B2293" s="627">
        <v>43343</v>
      </c>
      <c r="C2293" s="63">
        <v>43343</v>
      </c>
      <c r="D2293" s="425" t="s">
        <v>5230</v>
      </c>
      <c r="E2293" s="58" t="s">
        <v>5</v>
      </c>
      <c r="F2293" s="58" t="s">
        <v>85</v>
      </c>
    </row>
    <row r="2294" spans="2:6" ht="27">
      <c r="B2294" s="627">
        <v>43343</v>
      </c>
      <c r="C2294" s="61">
        <v>43343</v>
      </c>
      <c r="D2294" s="62" t="s">
        <v>5230</v>
      </c>
      <c r="E2294" s="58" t="s">
        <v>5</v>
      </c>
      <c r="F2294" s="58" t="s">
        <v>85</v>
      </c>
    </row>
    <row r="2295" spans="2:6" ht="27">
      <c r="B2295" s="618">
        <v>43343</v>
      </c>
      <c r="C2295" s="61">
        <v>43343</v>
      </c>
      <c r="D2295" s="66" t="s">
        <v>5583</v>
      </c>
      <c r="E2295" s="58" t="s">
        <v>5</v>
      </c>
      <c r="F2295" s="58" t="s">
        <v>2413</v>
      </c>
    </row>
    <row r="2296" spans="2:6" ht="54">
      <c r="B2296" s="618">
        <v>43343</v>
      </c>
      <c r="C2296" s="61">
        <v>43343</v>
      </c>
      <c r="D2296" s="62" t="s">
        <v>5816</v>
      </c>
      <c r="E2296" s="58" t="s">
        <v>5</v>
      </c>
      <c r="F2296" s="58" t="s">
        <v>5817</v>
      </c>
    </row>
    <row r="2297" spans="2:6" ht="27">
      <c r="B2297" s="617">
        <v>43343</v>
      </c>
      <c r="C2297" s="78">
        <v>43313</v>
      </c>
      <c r="D2297" s="90" t="s">
        <v>7189</v>
      </c>
      <c r="E2297" s="75" t="s">
        <v>2743</v>
      </c>
      <c r="F2297" s="75" t="s">
        <v>107</v>
      </c>
    </row>
    <row r="2298" spans="2:6" ht="27">
      <c r="B2298" s="617">
        <v>43343</v>
      </c>
      <c r="C2298" s="78">
        <v>43313</v>
      </c>
      <c r="D2298" s="90" t="s">
        <v>7189</v>
      </c>
      <c r="E2298" s="75" t="s">
        <v>2743</v>
      </c>
      <c r="F2298" s="75" t="s">
        <v>107</v>
      </c>
    </row>
    <row r="2299" spans="2:6">
      <c r="B2299" s="616">
        <v>43346</v>
      </c>
      <c r="C2299" s="21">
        <v>43346</v>
      </c>
      <c r="D2299" s="22" t="s">
        <v>6650</v>
      </c>
      <c r="E2299" s="422" t="s">
        <v>625</v>
      </c>
      <c r="F2299" s="422" t="s">
        <v>2411</v>
      </c>
    </row>
    <row r="2300" spans="2:6" ht="40.5">
      <c r="B2300" s="618">
        <v>43346</v>
      </c>
      <c r="C2300" s="61">
        <v>43346</v>
      </c>
      <c r="D2300" s="62" t="s">
        <v>5818</v>
      </c>
      <c r="E2300" s="58" t="s">
        <v>5</v>
      </c>
      <c r="F2300" s="58" t="s">
        <v>5819</v>
      </c>
    </row>
    <row r="2301" spans="2:6">
      <c r="B2301" s="616">
        <v>43348</v>
      </c>
      <c r="C2301" s="21">
        <v>43348</v>
      </c>
      <c r="D2301" s="22" t="s">
        <v>6655</v>
      </c>
      <c r="E2301" s="422" t="s">
        <v>625</v>
      </c>
      <c r="F2301" s="422" t="s">
        <v>2411</v>
      </c>
    </row>
    <row r="2302" spans="2:6" ht="40.5">
      <c r="B2302" s="615">
        <v>43348</v>
      </c>
      <c r="C2302" s="300">
        <v>43348</v>
      </c>
      <c r="D2302" s="301" t="s">
        <v>173</v>
      </c>
      <c r="E2302" s="297" t="s">
        <v>171</v>
      </c>
      <c r="F2302" s="297" t="s">
        <v>174</v>
      </c>
    </row>
    <row r="2303" spans="2:6" ht="40.5">
      <c r="B2303" s="615">
        <v>43348</v>
      </c>
      <c r="C2303" s="300">
        <v>43348</v>
      </c>
      <c r="D2303" s="301" t="s">
        <v>1092</v>
      </c>
      <c r="E2303" s="297" t="s">
        <v>7159</v>
      </c>
      <c r="F2303" s="297" t="s">
        <v>1093</v>
      </c>
    </row>
    <row r="2304" spans="2:6" ht="27">
      <c r="B2304" s="615">
        <v>43349</v>
      </c>
      <c r="C2304" s="302">
        <v>43349</v>
      </c>
      <c r="D2304" s="301" t="s">
        <v>465</v>
      </c>
      <c r="E2304" s="297" t="s">
        <v>171</v>
      </c>
      <c r="F2304" s="297" t="s">
        <v>466</v>
      </c>
    </row>
    <row r="2305" spans="2:6" ht="27">
      <c r="B2305" s="616">
        <v>43349</v>
      </c>
      <c r="C2305" s="23">
        <v>43349</v>
      </c>
      <c r="D2305" s="23" t="s">
        <v>630</v>
      </c>
      <c r="E2305" s="422" t="s">
        <v>286</v>
      </c>
      <c r="F2305" s="422" t="s">
        <v>81</v>
      </c>
    </row>
    <row r="2306" spans="2:6" ht="54">
      <c r="B2306" s="615">
        <v>43349</v>
      </c>
      <c r="C2306" s="302">
        <v>43349</v>
      </c>
      <c r="D2306" s="304" t="s">
        <v>7190</v>
      </c>
      <c r="E2306" s="297" t="s">
        <v>63</v>
      </c>
      <c r="F2306" s="297" t="s">
        <v>885</v>
      </c>
    </row>
    <row r="2307" spans="2:6" ht="27">
      <c r="B2307" s="616">
        <v>43349</v>
      </c>
      <c r="C2307" s="23">
        <v>43349</v>
      </c>
      <c r="D2307" s="22" t="s">
        <v>630</v>
      </c>
      <c r="E2307" s="422" t="s">
        <v>63</v>
      </c>
      <c r="F2307" s="55" t="s">
        <v>631</v>
      </c>
    </row>
    <row r="2308" spans="2:6" ht="40.5">
      <c r="B2308" s="618">
        <v>43349</v>
      </c>
      <c r="C2308" s="61">
        <v>43349</v>
      </c>
      <c r="D2308" s="66" t="s">
        <v>7191</v>
      </c>
      <c r="E2308" s="58" t="s">
        <v>63</v>
      </c>
      <c r="F2308" s="66" t="s">
        <v>3366</v>
      </c>
    </row>
    <row r="2309" spans="2:6" ht="40.5">
      <c r="B2309" s="618">
        <v>43349</v>
      </c>
      <c r="C2309" s="61">
        <v>43349</v>
      </c>
      <c r="D2309" s="66" t="s">
        <v>7191</v>
      </c>
      <c r="E2309" s="58" t="s">
        <v>63</v>
      </c>
      <c r="F2309" s="58" t="s">
        <v>2161</v>
      </c>
    </row>
    <row r="2310" spans="2:6" ht="40.5">
      <c r="B2310" s="617">
        <v>43349</v>
      </c>
      <c r="C2310" s="78">
        <v>43349</v>
      </c>
      <c r="D2310" s="79" t="s">
        <v>3156</v>
      </c>
      <c r="E2310" s="75" t="s">
        <v>63</v>
      </c>
      <c r="F2310" s="81" t="s">
        <v>2161</v>
      </c>
    </row>
    <row r="2311" spans="2:6" ht="40.5">
      <c r="B2311" s="618">
        <v>43349</v>
      </c>
      <c r="C2311" s="61">
        <v>43349</v>
      </c>
      <c r="D2311" s="62" t="s">
        <v>7191</v>
      </c>
      <c r="E2311" s="58" t="s">
        <v>63</v>
      </c>
      <c r="F2311" s="66" t="s">
        <v>2161</v>
      </c>
    </row>
    <row r="2312" spans="2:6" ht="40.5">
      <c r="B2312" s="617">
        <v>43349</v>
      </c>
      <c r="C2312" s="78">
        <v>43349</v>
      </c>
      <c r="D2312" s="81" t="s">
        <v>7191</v>
      </c>
      <c r="E2312" s="75" t="s">
        <v>63</v>
      </c>
      <c r="F2312" s="81" t="s">
        <v>2161</v>
      </c>
    </row>
    <row r="2313" spans="2:6" ht="27">
      <c r="B2313" s="617">
        <v>43349</v>
      </c>
      <c r="C2313" s="78">
        <v>43349</v>
      </c>
      <c r="D2313" s="90" t="s">
        <v>2050</v>
      </c>
      <c r="E2313" s="75" t="s">
        <v>503</v>
      </c>
      <c r="F2313" s="75" t="s">
        <v>107</v>
      </c>
    </row>
    <row r="2314" spans="2:6" ht="40.5">
      <c r="B2314" s="626">
        <v>43350</v>
      </c>
      <c r="C2314" s="146">
        <v>43350</v>
      </c>
      <c r="D2314" s="145" t="s">
        <v>6309</v>
      </c>
      <c r="E2314" s="141" t="s">
        <v>6310</v>
      </c>
      <c r="F2314" s="141" t="s">
        <v>1114</v>
      </c>
    </row>
    <row r="2315" spans="2:6" ht="40.5">
      <c r="B2315" s="629">
        <v>43350</v>
      </c>
      <c r="C2315" s="300">
        <v>43344</v>
      </c>
      <c r="D2315" s="315" t="s">
        <v>7192</v>
      </c>
      <c r="E2315" s="315" t="s">
        <v>208</v>
      </c>
      <c r="F2315" s="315" t="s">
        <v>7193</v>
      </c>
    </row>
    <row r="2316" spans="2:6" ht="27">
      <c r="B2316" s="615">
        <v>43353</v>
      </c>
      <c r="C2316" s="300">
        <v>43353</v>
      </c>
      <c r="D2316" s="301" t="s">
        <v>2892</v>
      </c>
      <c r="E2316" s="297" t="s">
        <v>171</v>
      </c>
      <c r="F2316" s="297" t="s">
        <v>2893</v>
      </c>
    </row>
    <row r="2317" spans="2:6" ht="54">
      <c r="B2317" s="627">
        <v>43353</v>
      </c>
      <c r="C2317" s="61">
        <v>43344</v>
      </c>
      <c r="D2317" s="425" t="s">
        <v>7194</v>
      </c>
      <c r="E2317" s="425" t="s">
        <v>208</v>
      </c>
      <c r="F2317" s="58" t="s">
        <v>7195</v>
      </c>
    </row>
    <row r="2318" spans="2:6" ht="27">
      <c r="B2318" s="617">
        <v>43353</v>
      </c>
      <c r="C2318" s="78">
        <v>43344</v>
      </c>
      <c r="D2318" s="79" t="s">
        <v>7196</v>
      </c>
      <c r="E2318" s="75" t="s">
        <v>5</v>
      </c>
      <c r="F2318" s="75" t="s">
        <v>107</v>
      </c>
    </row>
    <row r="2319" spans="2:6" ht="27">
      <c r="B2319" s="626">
        <v>43354</v>
      </c>
      <c r="C2319" s="21">
        <v>43353</v>
      </c>
      <c r="D2319" s="424" t="s">
        <v>6673</v>
      </c>
      <c r="E2319" s="424" t="s">
        <v>625</v>
      </c>
      <c r="F2319" s="424" t="s">
        <v>2395</v>
      </c>
    </row>
    <row r="2320" spans="2:6" ht="40.5">
      <c r="B2320" s="615">
        <v>43354</v>
      </c>
      <c r="C2320" s="300">
        <v>43354</v>
      </c>
      <c r="D2320" s="301" t="s">
        <v>1925</v>
      </c>
      <c r="E2320" s="297" t="s">
        <v>171</v>
      </c>
      <c r="F2320" s="297" t="s">
        <v>1273</v>
      </c>
    </row>
    <row r="2321" spans="2:6" ht="40.5">
      <c r="B2321" s="617">
        <v>43354</v>
      </c>
      <c r="C2321" s="78">
        <v>43344</v>
      </c>
      <c r="D2321" s="81" t="s">
        <v>7197</v>
      </c>
      <c r="E2321" s="75" t="s">
        <v>63</v>
      </c>
      <c r="F2321" s="81" t="s">
        <v>2161</v>
      </c>
    </row>
    <row r="2322" spans="2:6" ht="27">
      <c r="B2322" s="617">
        <v>43354</v>
      </c>
      <c r="C2322" s="78">
        <v>43344</v>
      </c>
      <c r="D2322" s="79" t="s">
        <v>7198</v>
      </c>
      <c r="E2322" s="75" t="s">
        <v>5</v>
      </c>
      <c r="F2322" s="75" t="s">
        <v>107</v>
      </c>
    </row>
    <row r="2323" spans="2:6" ht="40.5">
      <c r="B2323" s="615">
        <v>43355</v>
      </c>
      <c r="C2323" s="300">
        <v>43355</v>
      </c>
      <c r="D2323" s="301" t="s">
        <v>2894</v>
      </c>
      <c r="E2323" s="297" t="s">
        <v>171</v>
      </c>
      <c r="F2323" s="297" t="s">
        <v>274</v>
      </c>
    </row>
    <row r="2324" spans="2:6" ht="27">
      <c r="B2324" s="624">
        <v>43355</v>
      </c>
      <c r="C2324" s="78">
        <v>43355</v>
      </c>
      <c r="D2324" s="95" t="s">
        <v>3535</v>
      </c>
      <c r="E2324" s="75" t="s">
        <v>3534</v>
      </c>
      <c r="F2324" s="95" t="s">
        <v>3536</v>
      </c>
    </row>
    <row r="2325" spans="2:6" ht="81">
      <c r="B2325" s="626">
        <v>43356</v>
      </c>
      <c r="C2325" s="21">
        <v>43356</v>
      </c>
      <c r="D2325" s="25" t="s">
        <v>6680</v>
      </c>
      <c r="E2325" s="25" t="s">
        <v>2433</v>
      </c>
      <c r="F2325" s="25" t="s">
        <v>2411</v>
      </c>
    </row>
    <row r="2326" spans="2:6" ht="81">
      <c r="B2326" s="626">
        <v>43356</v>
      </c>
      <c r="C2326" s="21">
        <v>43356</v>
      </c>
      <c r="D2326" s="25" t="s">
        <v>6687</v>
      </c>
      <c r="E2326" s="25" t="s">
        <v>2433</v>
      </c>
      <c r="F2326" s="25" t="s">
        <v>2411</v>
      </c>
    </row>
    <row r="2327" spans="2:6" ht="81">
      <c r="B2327" s="626">
        <v>43356</v>
      </c>
      <c r="C2327" s="21">
        <v>43356</v>
      </c>
      <c r="D2327" s="25" t="s">
        <v>6692</v>
      </c>
      <c r="E2327" s="424" t="s">
        <v>2433</v>
      </c>
      <c r="F2327" s="25" t="s">
        <v>2411</v>
      </c>
    </row>
    <row r="2328" spans="2:6" ht="60">
      <c r="B2328" s="626">
        <v>43356</v>
      </c>
      <c r="C2328" s="21">
        <v>43356</v>
      </c>
      <c r="D2328" s="424" t="s">
        <v>6697</v>
      </c>
      <c r="E2328" s="249" t="s">
        <v>2433</v>
      </c>
      <c r="F2328" s="424" t="s">
        <v>2395</v>
      </c>
    </row>
    <row r="2329" spans="2:6" ht="40.5">
      <c r="B2329" s="627">
        <v>43356</v>
      </c>
      <c r="C2329" s="61">
        <v>43356</v>
      </c>
      <c r="D2329" s="425" t="s">
        <v>2606</v>
      </c>
      <c r="E2329" s="425" t="s">
        <v>103</v>
      </c>
      <c r="F2329" s="425" t="s">
        <v>2607</v>
      </c>
    </row>
    <row r="2330" spans="2:6" ht="27">
      <c r="B2330" s="626">
        <v>43357</v>
      </c>
      <c r="C2330" s="21">
        <v>43357</v>
      </c>
      <c r="D2330" s="26" t="s">
        <v>6752</v>
      </c>
      <c r="E2330" s="26" t="s">
        <v>5</v>
      </c>
      <c r="F2330" s="26" t="s">
        <v>2413</v>
      </c>
    </row>
    <row r="2331" spans="2:6" ht="27">
      <c r="B2331" s="617">
        <v>43357</v>
      </c>
      <c r="C2331" s="80">
        <v>43357</v>
      </c>
      <c r="D2331" s="95" t="s">
        <v>3335</v>
      </c>
      <c r="E2331" s="75" t="s">
        <v>5</v>
      </c>
      <c r="F2331" s="95" t="s">
        <v>79</v>
      </c>
    </row>
    <row r="2332" spans="2:6">
      <c r="B2332" s="624">
        <v>43357</v>
      </c>
      <c r="C2332" s="78">
        <v>43344</v>
      </c>
      <c r="D2332" s="89" t="s">
        <v>7199</v>
      </c>
      <c r="E2332" s="75" t="s">
        <v>208</v>
      </c>
      <c r="F2332" s="85"/>
    </row>
    <row r="2333" spans="2:6" ht="48">
      <c r="B2333" s="626">
        <v>43360</v>
      </c>
      <c r="C2333" s="21">
        <v>43360</v>
      </c>
      <c r="D2333" s="424" t="s">
        <v>6719</v>
      </c>
      <c r="E2333" s="236" t="s">
        <v>5</v>
      </c>
      <c r="F2333" s="249" t="s">
        <v>6720</v>
      </c>
    </row>
    <row r="2334" spans="2:6" ht="54">
      <c r="B2334" s="635">
        <v>43360</v>
      </c>
      <c r="C2334" s="226">
        <v>43360</v>
      </c>
      <c r="D2334" s="229" t="s">
        <v>6625</v>
      </c>
      <c r="E2334" s="229" t="s">
        <v>171</v>
      </c>
      <c r="F2334" s="229" t="s">
        <v>6626</v>
      </c>
    </row>
    <row r="2335" spans="2:6" ht="40.5">
      <c r="B2335" s="615">
        <v>43360</v>
      </c>
      <c r="C2335" s="300">
        <v>43360</v>
      </c>
      <c r="D2335" s="301" t="s">
        <v>1272</v>
      </c>
      <c r="E2335" s="297" t="s">
        <v>171</v>
      </c>
      <c r="F2335" s="297" t="s">
        <v>1273</v>
      </c>
    </row>
    <row r="2336" spans="2:6" ht="40.5">
      <c r="B2336" s="615">
        <v>43360</v>
      </c>
      <c r="C2336" s="300">
        <v>43360</v>
      </c>
      <c r="D2336" s="301" t="s">
        <v>1596</v>
      </c>
      <c r="E2336" s="297" t="s">
        <v>171</v>
      </c>
      <c r="F2336" s="297" t="s">
        <v>1273</v>
      </c>
    </row>
    <row r="2337" spans="2:6" ht="27">
      <c r="B2337" s="627">
        <v>43360</v>
      </c>
      <c r="C2337" s="61">
        <v>43344</v>
      </c>
      <c r="D2337" s="425" t="s">
        <v>7200</v>
      </c>
      <c r="E2337" s="58" t="s">
        <v>7201</v>
      </c>
      <c r="F2337" s="58" t="s">
        <v>107</v>
      </c>
    </row>
    <row r="2338" spans="2:6" ht="40.5">
      <c r="B2338" s="626">
        <v>43361</v>
      </c>
      <c r="C2338" s="21">
        <v>43361</v>
      </c>
      <c r="D2338" s="424" t="s">
        <v>6704</v>
      </c>
      <c r="E2338" s="249" t="s">
        <v>171</v>
      </c>
      <c r="F2338" s="424" t="s">
        <v>274</v>
      </c>
    </row>
    <row r="2339" spans="2:6" ht="40.5">
      <c r="B2339" s="615">
        <v>43361</v>
      </c>
      <c r="C2339" s="300">
        <v>43361</v>
      </c>
      <c r="D2339" s="301" t="s">
        <v>1284</v>
      </c>
      <c r="E2339" s="297" t="s">
        <v>171</v>
      </c>
      <c r="F2339" s="297" t="s">
        <v>1273</v>
      </c>
    </row>
    <row r="2340" spans="2:6" ht="54">
      <c r="B2340" s="629">
        <v>43361</v>
      </c>
      <c r="C2340" s="300">
        <v>43344</v>
      </c>
      <c r="D2340" s="315" t="s">
        <v>7202</v>
      </c>
      <c r="E2340" s="315" t="s">
        <v>5</v>
      </c>
      <c r="F2340" s="315" t="s">
        <v>7203</v>
      </c>
    </row>
    <row r="2341" spans="2:6" ht="27">
      <c r="B2341" s="618">
        <v>43362</v>
      </c>
      <c r="C2341" s="61">
        <v>43362</v>
      </c>
      <c r="D2341" s="62" t="s">
        <v>7204</v>
      </c>
      <c r="E2341" s="58" t="s">
        <v>5</v>
      </c>
      <c r="F2341" s="58" t="s">
        <v>2413</v>
      </c>
    </row>
    <row r="2342" spans="2:6" ht="67.5">
      <c r="B2342" s="618">
        <v>43362</v>
      </c>
      <c r="C2342" s="63">
        <v>43362</v>
      </c>
      <c r="D2342" s="66" t="s">
        <v>7205</v>
      </c>
      <c r="E2342" s="58" t="s">
        <v>5</v>
      </c>
      <c r="F2342" s="66" t="s">
        <v>6331</v>
      </c>
    </row>
    <row r="2343" spans="2:6" ht="27">
      <c r="B2343" s="618">
        <v>43362</v>
      </c>
      <c r="C2343" s="61">
        <v>43362</v>
      </c>
      <c r="D2343" s="62" t="s">
        <v>4474</v>
      </c>
      <c r="E2343" s="58" t="s">
        <v>5</v>
      </c>
      <c r="F2343" s="58" t="s">
        <v>79</v>
      </c>
    </row>
    <row r="2344" spans="2:6" ht="27">
      <c r="B2344" s="618">
        <v>43362</v>
      </c>
      <c r="C2344" s="61">
        <v>43362</v>
      </c>
      <c r="D2344" s="101" t="s">
        <v>2521</v>
      </c>
      <c r="E2344" s="58" t="s">
        <v>286</v>
      </c>
      <c r="F2344" s="58" t="s">
        <v>2522</v>
      </c>
    </row>
    <row r="2345" spans="2:6" ht="27">
      <c r="B2345" s="617">
        <v>43362</v>
      </c>
      <c r="C2345" s="78">
        <v>43344</v>
      </c>
      <c r="D2345" s="90" t="s">
        <v>7206</v>
      </c>
      <c r="E2345" s="75" t="s">
        <v>5</v>
      </c>
      <c r="F2345" s="75" t="s">
        <v>79</v>
      </c>
    </row>
    <row r="2346" spans="2:6" ht="27">
      <c r="B2346" s="627">
        <v>43362</v>
      </c>
      <c r="C2346" s="61">
        <v>43362</v>
      </c>
      <c r="D2346" s="101" t="s">
        <v>2521</v>
      </c>
      <c r="E2346" s="58" t="s">
        <v>5</v>
      </c>
      <c r="F2346" s="58" t="s">
        <v>2522</v>
      </c>
    </row>
    <row r="2347" spans="2:6" ht="27">
      <c r="B2347" s="624">
        <v>43362</v>
      </c>
      <c r="C2347" s="78">
        <v>43362</v>
      </c>
      <c r="D2347" s="79" t="s">
        <v>2533</v>
      </c>
      <c r="E2347" s="75" t="s">
        <v>5</v>
      </c>
      <c r="F2347" s="75" t="s">
        <v>85</v>
      </c>
    </row>
    <row r="2348" spans="2:6" ht="54">
      <c r="B2348" s="616">
        <v>43363</v>
      </c>
      <c r="C2348" s="21">
        <v>43363</v>
      </c>
      <c r="D2348" s="22" t="s">
        <v>6231</v>
      </c>
      <c r="E2348" s="422" t="s">
        <v>171</v>
      </c>
      <c r="F2348" s="422" t="s">
        <v>6232</v>
      </c>
    </row>
    <row r="2349" spans="2:6" ht="27">
      <c r="B2349" s="626">
        <v>43363</v>
      </c>
      <c r="C2349" s="21">
        <v>43363</v>
      </c>
      <c r="D2349" s="192" t="s">
        <v>6688</v>
      </c>
      <c r="E2349" s="424" t="s">
        <v>286</v>
      </c>
      <c r="F2349" s="424" t="s">
        <v>79</v>
      </c>
    </row>
    <row r="2350" spans="2:6">
      <c r="B2350" s="615">
        <v>43363</v>
      </c>
      <c r="C2350" s="302">
        <v>43363</v>
      </c>
      <c r="D2350" s="315" t="s">
        <v>122</v>
      </c>
      <c r="E2350" s="297" t="s">
        <v>63</v>
      </c>
      <c r="F2350" s="297" t="s">
        <v>121</v>
      </c>
    </row>
    <row r="2351" spans="2:6" ht="40.5">
      <c r="B2351" s="615">
        <v>43363</v>
      </c>
      <c r="C2351" s="302">
        <v>43363</v>
      </c>
      <c r="D2351" s="301" t="s">
        <v>7207</v>
      </c>
      <c r="E2351" s="297" t="s">
        <v>63</v>
      </c>
      <c r="F2351" s="304" t="s">
        <v>133</v>
      </c>
    </row>
    <row r="2352" spans="2:6" ht="48">
      <c r="B2352" s="626">
        <v>43363</v>
      </c>
      <c r="C2352" s="21">
        <v>43363</v>
      </c>
      <c r="D2352" s="424" t="s">
        <v>6721</v>
      </c>
      <c r="E2352" s="236" t="s">
        <v>5</v>
      </c>
      <c r="F2352" s="249" t="s">
        <v>6720</v>
      </c>
    </row>
    <row r="2353" spans="2:6">
      <c r="B2353" s="615">
        <v>43363</v>
      </c>
      <c r="C2353" s="300">
        <v>43363</v>
      </c>
      <c r="D2353" s="315" t="s">
        <v>618</v>
      </c>
      <c r="E2353" s="297" t="s">
        <v>63</v>
      </c>
      <c r="F2353" s="297" t="s">
        <v>121</v>
      </c>
    </row>
    <row r="2354" spans="2:6" ht="40.5">
      <c r="B2354" s="618">
        <v>43363</v>
      </c>
      <c r="C2354" s="61">
        <v>43363</v>
      </c>
      <c r="D2354" s="66" t="s">
        <v>5278</v>
      </c>
      <c r="E2354" s="58" t="s">
        <v>208</v>
      </c>
      <c r="F2354" s="58" t="s">
        <v>2161</v>
      </c>
    </row>
    <row r="2355" spans="2:6" ht="40.5">
      <c r="B2355" s="616">
        <v>43363</v>
      </c>
      <c r="C2355" s="21">
        <v>43363</v>
      </c>
      <c r="D2355" s="424" t="s">
        <v>86</v>
      </c>
      <c r="E2355" s="422" t="s">
        <v>63</v>
      </c>
      <c r="F2355" s="424" t="s">
        <v>87</v>
      </c>
    </row>
    <row r="2356" spans="2:6" ht="40.5">
      <c r="B2356" s="629">
        <v>43363</v>
      </c>
      <c r="C2356" s="300">
        <v>43363</v>
      </c>
      <c r="D2356" s="304" t="s">
        <v>7208</v>
      </c>
      <c r="E2356" s="297" t="s">
        <v>5</v>
      </c>
      <c r="F2356" s="304" t="s">
        <v>1302</v>
      </c>
    </row>
    <row r="2357" spans="2:6" ht="27">
      <c r="B2357" s="627">
        <v>43363</v>
      </c>
      <c r="C2357" s="61">
        <v>43344</v>
      </c>
      <c r="D2357" s="425" t="s">
        <v>7209</v>
      </c>
      <c r="E2357" s="58" t="s">
        <v>63</v>
      </c>
      <c r="F2357" s="58" t="s">
        <v>7210</v>
      </c>
    </row>
    <row r="2358" spans="2:6" ht="27">
      <c r="B2358" s="617">
        <v>43363</v>
      </c>
      <c r="C2358" s="78">
        <v>43344</v>
      </c>
      <c r="D2358" s="95" t="s">
        <v>7211</v>
      </c>
      <c r="E2358" s="75" t="s">
        <v>3534</v>
      </c>
      <c r="F2358" s="75" t="s">
        <v>107</v>
      </c>
    </row>
    <row r="2359" spans="2:6" ht="54">
      <c r="B2359" s="615">
        <v>43364</v>
      </c>
      <c r="C2359" s="300">
        <v>43364</v>
      </c>
      <c r="D2359" s="301" t="s">
        <v>850</v>
      </c>
      <c r="E2359" s="297" t="s">
        <v>171</v>
      </c>
      <c r="F2359" s="297" t="s">
        <v>851</v>
      </c>
    </row>
    <row r="2360" spans="2:6" ht="27">
      <c r="B2360" s="617">
        <v>43364</v>
      </c>
      <c r="C2360" s="78">
        <v>43364</v>
      </c>
      <c r="D2360" s="95" t="s">
        <v>2335</v>
      </c>
      <c r="E2360" s="75" t="s">
        <v>208</v>
      </c>
      <c r="F2360" s="95" t="s">
        <v>2336</v>
      </c>
    </row>
    <row r="2361" spans="2:6" ht="27">
      <c r="B2361" s="617">
        <v>43364</v>
      </c>
      <c r="C2361" s="78">
        <v>43364</v>
      </c>
      <c r="D2361" s="79" t="s">
        <v>2335</v>
      </c>
      <c r="E2361" s="75" t="s">
        <v>208</v>
      </c>
      <c r="F2361" s="75" t="s">
        <v>2336</v>
      </c>
    </row>
    <row r="2362" spans="2:6" ht="27">
      <c r="B2362" s="616">
        <v>43367</v>
      </c>
      <c r="C2362" s="21">
        <v>43367</v>
      </c>
      <c r="D2362" s="22" t="s">
        <v>6656</v>
      </c>
      <c r="E2362" s="422" t="s">
        <v>625</v>
      </c>
      <c r="F2362" s="422" t="s">
        <v>2411</v>
      </c>
    </row>
    <row r="2363" spans="2:6" ht="27">
      <c r="B2363" s="618">
        <v>43367</v>
      </c>
      <c r="C2363" s="61">
        <v>43367</v>
      </c>
      <c r="D2363" s="62" t="s">
        <v>6127</v>
      </c>
      <c r="E2363" s="58" t="s">
        <v>208</v>
      </c>
      <c r="F2363" s="58" t="s">
        <v>107</v>
      </c>
    </row>
    <row r="2364" spans="2:6" ht="40.5">
      <c r="B2364" s="615">
        <v>43367</v>
      </c>
      <c r="C2364" s="300">
        <v>43344</v>
      </c>
      <c r="D2364" s="301" t="s">
        <v>7212</v>
      </c>
      <c r="E2364" s="297" t="s">
        <v>171</v>
      </c>
      <c r="F2364" s="297" t="s">
        <v>7213</v>
      </c>
    </row>
    <row r="2365" spans="2:6" ht="40.5">
      <c r="B2365" s="617">
        <v>43367</v>
      </c>
      <c r="C2365" s="78">
        <v>43344</v>
      </c>
      <c r="D2365" s="95" t="s">
        <v>7214</v>
      </c>
      <c r="E2365" s="75"/>
      <c r="F2365" s="75" t="s">
        <v>3366</v>
      </c>
    </row>
    <row r="2366" spans="2:6" ht="27">
      <c r="B2366" s="626">
        <v>43368</v>
      </c>
      <c r="C2366" s="21">
        <v>43368</v>
      </c>
      <c r="D2366" s="424" t="s">
        <v>6747</v>
      </c>
      <c r="E2366" s="236" t="s">
        <v>63</v>
      </c>
      <c r="F2366" s="26" t="s">
        <v>79</v>
      </c>
    </row>
    <row r="2367" spans="2:6" ht="27">
      <c r="B2367" s="618">
        <v>43368</v>
      </c>
      <c r="C2367" s="61">
        <v>43368</v>
      </c>
      <c r="D2367" s="66" t="s">
        <v>7215</v>
      </c>
      <c r="E2367" s="58" t="s">
        <v>5</v>
      </c>
      <c r="F2367" s="66" t="s">
        <v>2413</v>
      </c>
    </row>
    <row r="2368" spans="2:6" ht="27">
      <c r="B2368" s="618">
        <v>43368</v>
      </c>
      <c r="C2368" s="61">
        <v>43368</v>
      </c>
      <c r="D2368" s="66" t="s">
        <v>7216</v>
      </c>
      <c r="E2368" s="58" t="s">
        <v>5</v>
      </c>
      <c r="F2368" s="66" t="s">
        <v>2413</v>
      </c>
    </row>
    <row r="2369" spans="2:7" ht="27">
      <c r="B2369" s="620">
        <v>43368</v>
      </c>
      <c r="C2369" s="21">
        <v>43368</v>
      </c>
      <c r="D2369" s="428" t="s">
        <v>3588</v>
      </c>
      <c r="E2369" s="423" t="s">
        <v>208</v>
      </c>
      <c r="F2369" s="423" t="s">
        <v>107</v>
      </c>
    </row>
    <row r="2370" spans="2:7" ht="54">
      <c r="B2370" s="626">
        <v>43369</v>
      </c>
      <c r="C2370" s="21">
        <v>43369</v>
      </c>
      <c r="D2370" s="26" t="s">
        <v>6735</v>
      </c>
      <c r="E2370" s="236" t="s">
        <v>576</v>
      </c>
      <c r="F2370" s="26" t="s">
        <v>6736</v>
      </c>
    </row>
    <row r="2371" spans="2:7" ht="36">
      <c r="B2371" s="626">
        <v>43369</v>
      </c>
      <c r="C2371" s="21">
        <v>43369</v>
      </c>
      <c r="D2371" s="424" t="s">
        <v>6705</v>
      </c>
      <c r="E2371" s="249" t="s">
        <v>5</v>
      </c>
      <c r="F2371" s="249" t="s">
        <v>6706</v>
      </c>
    </row>
    <row r="2372" spans="2:7" ht="40.5">
      <c r="B2372" s="617">
        <v>43369</v>
      </c>
      <c r="C2372" s="80">
        <v>43369</v>
      </c>
      <c r="D2372" s="79" t="s">
        <v>2160</v>
      </c>
      <c r="E2372" s="75" t="s">
        <v>208</v>
      </c>
      <c r="F2372" s="81" t="s">
        <v>2161</v>
      </c>
    </row>
    <row r="2373" spans="2:7" ht="48">
      <c r="B2373" s="626">
        <v>43369</v>
      </c>
      <c r="C2373" s="21">
        <v>43369</v>
      </c>
      <c r="D2373" s="424" t="s">
        <v>6722</v>
      </c>
      <c r="E2373" s="236" t="s">
        <v>5</v>
      </c>
      <c r="F2373" s="249" t="s">
        <v>6720</v>
      </c>
    </row>
    <row r="2374" spans="2:7" ht="27">
      <c r="B2374" s="620">
        <v>43369</v>
      </c>
      <c r="C2374" s="21">
        <v>43369</v>
      </c>
      <c r="D2374" s="428" t="s">
        <v>6633</v>
      </c>
      <c r="E2374" s="423" t="s">
        <v>5</v>
      </c>
      <c r="F2374" s="423" t="s">
        <v>79</v>
      </c>
    </row>
    <row r="2375" spans="2:7" ht="27">
      <c r="B2375" s="626">
        <v>43370</v>
      </c>
      <c r="C2375" s="21">
        <v>43370</v>
      </c>
      <c r="D2375" s="424" t="s">
        <v>6710</v>
      </c>
      <c r="E2375" s="249" t="s">
        <v>576</v>
      </c>
      <c r="F2375" s="424" t="s">
        <v>2411</v>
      </c>
    </row>
    <row r="2376" spans="2:7" ht="54">
      <c r="B2376" s="618">
        <v>43370</v>
      </c>
      <c r="C2376" s="61">
        <v>43370</v>
      </c>
      <c r="D2376" s="62" t="s">
        <v>3042</v>
      </c>
      <c r="E2376" s="58" t="s">
        <v>576</v>
      </c>
      <c r="F2376" s="58" t="s">
        <v>3043</v>
      </c>
    </row>
    <row r="2377" spans="2:7" ht="54">
      <c r="B2377" s="627">
        <v>43370</v>
      </c>
      <c r="C2377" s="61">
        <v>43344</v>
      </c>
      <c r="D2377" s="425" t="s">
        <v>7217</v>
      </c>
      <c r="E2377" s="425" t="s">
        <v>208</v>
      </c>
      <c r="F2377" s="58" t="s">
        <v>7218</v>
      </c>
    </row>
    <row r="2378" spans="2:7" ht="94.5">
      <c r="B2378" s="626">
        <v>43371</v>
      </c>
      <c r="C2378" s="21">
        <v>43371</v>
      </c>
      <c r="D2378" s="26" t="s">
        <v>6758</v>
      </c>
      <c r="E2378" s="26" t="s">
        <v>6759</v>
      </c>
      <c r="F2378" s="26" t="s">
        <v>1082</v>
      </c>
    </row>
    <row r="2379" spans="2:7" ht="24">
      <c r="B2379" s="626">
        <v>43371</v>
      </c>
      <c r="C2379" s="21">
        <v>43371</v>
      </c>
      <c r="D2379" s="424" t="s">
        <v>4392</v>
      </c>
      <c r="E2379" s="249" t="s">
        <v>63</v>
      </c>
      <c r="F2379" s="249" t="s">
        <v>79</v>
      </c>
      <c r="G2379" s="220"/>
    </row>
    <row r="2380" spans="2:7" ht="40.5">
      <c r="B2380" s="618">
        <v>43371</v>
      </c>
      <c r="C2380" s="61">
        <v>43371</v>
      </c>
      <c r="D2380" s="66" t="s">
        <v>4967</v>
      </c>
      <c r="E2380" s="58" t="s">
        <v>5</v>
      </c>
      <c r="F2380" s="58" t="s">
        <v>4968</v>
      </c>
      <c r="G2380" s="644"/>
    </row>
    <row r="2381" spans="2:7" ht="40.5">
      <c r="B2381" s="615">
        <v>43371</v>
      </c>
      <c r="C2381" s="300">
        <v>43344</v>
      </c>
      <c r="D2381" s="300" t="s">
        <v>271</v>
      </c>
      <c r="E2381" s="297" t="s">
        <v>171</v>
      </c>
      <c r="F2381" s="297" t="s">
        <v>7219</v>
      </c>
      <c r="G2381" s="345" t="s">
        <v>346</v>
      </c>
    </row>
    <row r="2382" spans="2:7" ht="27">
      <c r="B2382" s="620">
        <v>43371</v>
      </c>
      <c r="C2382" s="21">
        <v>43371</v>
      </c>
      <c r="D2382" s="24" t="s">
        <v>4211</v>
      </c>
      <c r="E2382" s="20" t="s">
        <v>5</v>
      </c>
      <c r="F2382" s="20" t="s">
        <v>107</v>
      </c>
    </row>
    <row r="2383" spans="2:7" ht="27">
      <c r="B2383" s="620">
        <v>43371</v>
      </c>
      <c r="C2383" s="21">
        <v>43371</v>
      </c>
      <c r="D2383" s="24" t="s">
        <v>4392</v>
      </c>
      <c r="E2383" s="20" t="s">
        <v>5</v>
      </c>
      <c r="F2383" s="20" t="s">
        <v>79</v>
      </c>
    </row>
    <row r="2384" spans="2:7" ht="27">
      <c r="B2384" s="620">
        <v>43371</v>
      </c>
      <c r="C2384" s="21">
        <v>43371</v>
      </c>
      <c r="D2384" s="24" t="s">
        <v>4392</v>
      </c>
      <c r="E2384" s="20" t="s">
        <v>5</v>
      </c>
      <c r="F2384" s="20" t="s">
        <v>79</v>
      </c>
    </row>
    <row r="2385" spans="1:7" ht="27">
      <c r="B2385" s="620">
        <v>43372</v>
      </c>
      <c r="C2385" s="21">
        <v>43372</v>
      </c>
      <c r="D2385" s="24" t="s">
        <v>5626</v>
      </c>
      <c r="E2385" s="20" t="s">
        <v>5</v>
      </c>
      <c r="F2385" s="20" t="s">
        <v>107</v>
      </c>
    </row>
    <row r="2386" spans="1:7" ht="27">
      <c r="B2386" s="620">
        <v>43374</v>
      </c>
      <c r="C2386" s="21">
        <v>43374</v>
      </c>
      <c r="D2386" s="428" t="s">
        <v>3696</v>
      </c>
      <c r="E2386" s="423" t="s">
        <v>5</v>
      </c>
      <c r="F2386" s="423" t="s">
        <v>79</v>
      </c>
    </row>
    <row r="2387" spans="1:7" ht="40.5">
      <c r="B2387" s="626">
        <v>43375</v>
      </c>
      <c r="C2387" s="21">
        <v>43375</v>
      </c>
      <c r="D2387" s="26" t="s">
        <v>6728</v>
      </c>
      <c r="E2387" s="236" t="s">
        <v>171</v>
      </c>
      <c r="F2387" s="26" t="s">
        <v>6729</v>
      </c>
    </row>
    <row r="2388" spans="1:7">
      <c r="B2388" s="615">
        <v>43375</v>
      </c>
      <c r="C2388" s="300">
        <v>43374</v>
      </c>
      <c r="D2388" s="300" t="s">
        <v>7220</v>
      </c>
      <c r="E2388" s="297" t="s">
        <v>171</v>
      </c>
      <c r="F2388" s="297" t="s">
        <v>1544</v>
      </c>
    </row>
    <row r="2389" spans="1:7" ht="27">
      <c r="B2389" s="626">
        <v>43375</v>
      </c>
      <c r="C2389" s="21">
        <v>43375</v>
      </c>
      <c r="D2389" s="424" t="s">
        <v>7221</v>
      </c>
      <c r="E2389" s="422" t="s">
        <v>63</v>
      </c>
      <c r="F2389" s="20" t="s">
        <v>107</v>
      </c>
    </row>
    <row r="2390" spans="1:7" ht="27">
      <c r="B2390" s="620">
        <v>43376</v>
      </c>
      <c r="C2390" s="21">
        <v>43376</v>
      </c>
      <c r="D2390" s="428" t="s">
        <v>6763</v>
      </c>
      <c r="E2390" s="423" t="s">
        <v>625</v>
      </c>
      <c r="F2390" s="423" t="s">
        <v>2395</v>
      </c>
    </row>
    <row r="2391" spans="1:7" ht="27">
      <c r="A2391" s="494"/>
      <c r="B2391" s="626">
        <v>43376</v>
      </c>
      <c r="C2391" s="21">
        <v>43376</v>
      </c>
      <c r="D2391" s="424" t="s">
        <v>2476</v>
      </c>
      <c r="E2391" s="422" t="s">
        <v>63</v>
      </c>
      <c r="F2391" s="422" t="s">
        <v>85</v>
      </c>
    </row>
    <row r="2392" spans="1:7" ht="27">
      <c r="A2392" s="494"/>
      <c r="B2392" s="626">
        <v>43378</v>
      </c>
      <c r="C2392" s="21">
        <v>43378</v>
      </c>
      <c r="D2392" s="192" t="s">
        <v>6681</v>
      </c>
      <c r="E2392" s="424" t="s">
        <v>625</v>
      </c>
      <c r="F2392" s="424" t="s">
        <v>4546</v>
      </c>
    </row>
    <row r="2393" spans="1:7" ht="27">
      <c r="A2393" s="494"/>
      <c r="B2393" s="626">
        <v>43378</v>
      </c>
      <c r="C2393" s="21">
        <v>43378</v>
      </c>
      <c r="D2393" s="424" t="s">
        <v>5331</v>
      </c>
      <c r="E2393" s="422" t="s">
        <v>63</v>
      </c>
      <c r="F2393" s="20" t="s">
        <v>5332</v>
      </c>
    </row>
    <row r="2394" spans="1:7" ht="27">
      <c r="A2394" s="494"/>
      <c r="B2394" s="620">
        <v>43381</v>
      </c>
      <c r="C2394" s="21">
        <v>43381</v>
      </c>
      <c r="D2394" s="428" t="s">
        <v>6585</v>
      </c>
      <c r="E2394" s="423" t="s">
        <v>5</v>
      </c>
      <c r="F2394" s="423" t="s">
        <v>79</v>
      </c>
    </row>
    <row r="2395" spans="1:7" ht="27">
      <c r="A2395" s="494"/>
      <c r="B2395" s="626">
        <v>43382</v>
      </c>
      <c r="C2395" s="21">
        <v>43382</v>
      </c>
      <c r="D2395" s="424" t="s">
        <v>2640</v>
      </c>
      <c r="E2395" s="422" t="s">
        <v>63</v>
      </c>
      <c r="F2395" s="422" t="s">
        <v>85</v>
      </c>
    </row>
    <row r="2396" spans="1:7" ht="40.5">
      <c r="A2396" s="494"/>
      <c r="B2396" s="615">
        <v>43383</v>
      </c>
      <c r="C2396" s="300">
        <v>43383</v>
      </c>
      <c r="D2396" s="301" t="s">
        <v>1376</v>
      </c>
      <c r="E2396" s="297" t="s">
        <v>576</v>
      </c>
      <c r="F2396" s="297" t="s">
        <v>1377</v>
      </c>
    </row>
    <row r="2397" spans="1:7" ht="27">
      <c r="A2397" s="494"/>
      <c r="B2397" s="626">
        <v>43384</v>
      </c>
      <c r="C2397" s="21">
        <v>43383</v>
      </c>
      <c r="D2397" s="26" t="s">
        <v>6741</v>
      </c>
      <c r="E2397" s="424" t="s">
        <v>576</v>
      </c>
      <c r="F2397" s="26" t="s">
        <v>6476</v>
      </c>
      <c r="G2397" s="220"/>
    </row>
    <row r="2398" spans="1:7" ht="67.5">
      <c r="A2398" s="494"/>
      <c r="B2398" s="615">
        <v>43384</v>
      </c>
      <c r="C2398" s="302">
        <v>43384</v>
      </c>
      <c r="D2398" s="301" t="s">
        <v>271</v>
      </c>
      <c r="E2398" s="297" t="s">
        <v>171</v>
      </c>
      <c r="F2398" s="297" t="s">
        <v>272</v>
      </c>
      <c r="G2398" s="345" t="s">
        <v>268</v>
      </c>
    </row>
    <row r="2399" spans="1:7" ht="40.5">
      <c r="A2399" s="494"/>
      <c r="B2399" s="620">
        <v>43384</v>
      </c>
      <c r="C2399" s="21">
        <v>43384</v>
      </c>
      <c r="D2399" s="24" t="s">
        <v>273</v>
      </c>
      <c r="E2399" s="20" t="s">
        <v>171</v>
      </c>
      <c r="F2399" s="20" t="s">
        <v>174</v>
      </c>
    </row>
    <row r="2400" spans="1:7" ht="40.5">
      <c r="A2400" s="494"/>
      <c r="B2400" s="620">
        <v>43384</v>
      </c>
      <c r="C2400" s="21">
        <v>43384</v>
      </c>
      <c r="D2400" s="24" t="s">
        <v>275</v>
      </c>
      <c r="E2400" s="20" t="s">
        <v>171</v>
      </c>
      <c r="F2400" s="20" t="s">
        <v>276</v>
      </c>
    </row>
    <row r="2401" spans="1:7" ht="40.5">
      <c r="B2401" s="620">
        <v>43384</v>
      </c>
      <c r="C2401" s="21">
        <v>43384</v>
      </c>
      <c r="D2401" s="24" t="s">
        <v>277</v>
      </c>
      <c r="E2401" s="20" t="s">
        <v>171</v>
      </c>
      <c r="F2401" s="20" t="s">
        <v>174</v>
      </c>
    </row>
    <row r="2402" spans="1:7" ht="40.5">
      <c r="B2402" s="620">
        <v>43384</v>
      </c>
      <c r="C2402" s="21">
        <v>43384</v>
      </c>
      <c r="D2402" s="24" t="s">
        <v>7222</v>
      </c>
      <c r="E2402" s="20" t="s">
        <v>63</v>
      </c>
      <c r="F2402" s="20" t="s">
        <v>276</v>
      </c>
    </row>
    <row r="2403" spans="1:7" ht="40.5">
      <c r="B2403" s="620">
        <v>43389</v>
      </c>
      <c r="C2403" s="21">
        <v>43389</v>
      </c>
      <c r="D2403" s="24" t="s">
        <v>6730</v>
      </c>
      <c r="E2403" s="20" t="s">
        <v>171</v>
      </c>
      <c r="F2403" s="20" t="s">
        <v>274</v>
      </c>
    </row>
    <row r="2404" spans="1:7" ht="27">
      <c r="B2404" s="620">
        <v>43389</v>
      </c>
      <c r="C2404" s="21">
        <v>43389</v>
      </c>
      <c r="D2404" s="24" t="s">
        <v>6764</v>
      </c>
      <c r="E2404" s="20" t="s">
        <v>625</v>
      </c>
      <c r="F2404" s="20" t="s">
        <v>2411</v>
      </c>
    </row>
    <row r="2405" spans="1:7" ht="54">
      <c r="B2405" s="620">
        <v>43389</v>
      </c>
      <c r="C2405" s="21">
        <v>43389</v>
      </c>
      <c r="D2405" s="24" t="s">
        <v>7223</v>
      </c>
      <c r="E2405" s="20" t="s">
        <v>94</v>
      </c>
      <c r="F2405" s="20" t="s">
        <v>777</v>
      </c>
    </row>
    <row r="2406" spans="1:7" ht="27">
      <c r="A2406" s="494"/>
      <c r="B2406" s="620">
        <v>43390</v>
      </c>
      <c r="C2406" s="21">
        <v>43390</v>
      </c>
      <c r="D2406" s="24" t="s">
        <v>6762</v>
      </c>
      <c r="E2406" s="20" t="s">
        <v>625</v>
      </c>
      <c r="F2406" s="20" t="s">
        <v>2411</v>
      </c>
    </row>
    <row r="2407" spans="1:7" ht="40.5">
      <c r="B2407" s="620">
        <v>43391</v>
      </c>
      <c r="C2407" s="21">
        <v>43391</v>
      </c>
      <c r="D2407" s="24" t="s">
        <v>1230</v>
      </c>
      <c r="E2407" s="20" t="s">
        <v>5</v>
      </c>
      <c r="F2407" s="20" t="s">
        <v>849</v>
      </c>
    </row>
    <row r="2408" spans="1:7" ht="40.5">
      <c r="B2408" s="620">
        <v>43391</v>
      </c>
      <c r="C2408" s="21">
        <v>43391</v>
      </c>
      <c r="D2408" s="24" t="s">
        <v>585</v>
      </c>
      <c r="E2408" s="20" t="s">
        <v>586</v>
      </c>
      <c r="F2408" s="20" t="s">
        <v>507</v>
      </c>
    </row>
    <row r="2409" spans="1:7" ht="40.5">
      <c r="B2409" s="620">
        <v>43392</v>
      </c>
      <c r="C2409" s="21">
        <v>43392</v>
      </c>
      <c r="D2409" s="24" t="s">
        <v>7224</v>
      </c>
      <c r="E2409" s="20" t="s">
        <v>7225</v>
      </c>
      <c r="F2409" s="20" t="s">
        <v>274</v>
      </c>
    </row>
    <row r="2410" spans="1:7" ht="54">
      <c r="B2410" s="620">
        <v>43395</v>
      </c>
      <c r="C2410" s="21">
        <v>43395</v>
      </c>
      <c r="D2410" s="24" t="s">
        <v>6742</v>
      </c>
      <c r="E2410" s="20" t="s">
        <v>195</v>
      </c>
      <c r="F2410" s="20" t="s">
        <v>7226</v>
      </c>
    </row>
    <row r="2411" spans="1:7" ht="40.5">
      <c r="B2411" s="620">
        <v>43395</v>
      </c>
      <c r="C2411" s="21">
        <v>43395</v>
      </c>
      <c r="D2411" s="428" t="s">
        <v>7227</v>
      </c>
      <c r="E2411" s="423" t="s">
        <v>576</v>
      </c>
      <c r="F2411" s="423" t="s">
        <v>6576</v>
      </c>
    </row>
    <row r="2412" spans="1:7" ht="40.5">
      <c r="A2412" s="495">
        <v>43405</v>
      </c>
      <c r="B2412" s="636">
        <v>43395</v>
      </c>
      <c r="C2412" s="379">
        <v>43395</v>
      </c>
      <c r="D2412" s="380" t="s">
        <v>7316</v>
      </c>
      <c r="E2412" s="381" t="s">
        <v>316</v>
      </c>
      <c r="F2412" s="381" t="s">
        <v>107</v>
      </c>
    </row>
    <row r="2413" spans="1:7" ht="27">
      <c r="A2413" s="495">
        <v>43405</v>
      </c>
      <c r="B2413" s="636">
        <v>43395</v>
      </c>
      <c r="C2413" s="379">
        <v>43395</v>
      </c>
      <c r="D2413" s="380" t="s">
        <v>7332</v>
      </c>
      <c r="E2413" s="382" t="s">
        <v>5</v>
      </c>
      <c r="F2413" s="382" t="s">
        <v>85</v>
      </c>
    </row>
    <row r="2414" spans="1:7" ht="27">
      <c r="B2414" s="620">
        <v>43395</v>
      </c>
      <c r="C2414" s="21">
        <v>43395</v>
      </c>
      <c r="D2414" s="428" t="s">
        <v>7359</v>
      </c>
      <c r="E2414" s="422" t="s">
        <v>63</v>
      </c>
      <c r="F2414" s="428" t="s">
        <v>85</v>
      </c>
    </row>
    <row r="2415" spans="1:7" ht="27">
      <c r="A2415" s="495">
        <v>43405</v>
      </c>
      <c r="B2415" s="636">
        <v>43396</v>
      </c>
      <c r="C2415" s="379">
        <v>43396</v>
      </c>
      <c r="D2415" s="380" t="s">
        <v>7333</v>
      </c>
      <c r="E2415" s="382" t="s">
        <v>1480</v>
      </c>
      <c r="F2415" s="382" t="s">
        <v>107</v>
      </c>
    </row>
    <row r="2416" spans="1:7" ht="27">
      <c r="A2416" s="494"/>
      <c r="B2416" s="620">
        <v>43396</v>
      </c>
      <c r="C2416" s="21">
        <v>43396</v>
      </c>
      <c r="D2416" s="428" t="s">
        <v>7347</v>
      </c>
      <c r="E2416" s="428" t="s">
        <v>63</v>
      </c>
      <c r="F2416" s="428" t="s">
        <v>85</v>
      </c>
      <c r="G2416" s="1"/>
    </row>
    <row r="2417" spans="1:7" ht="40.5">
      <c r="B2417" s="620">
        <v>43397</v>
      </c>
      <c r="C2417" s="21">
        <v>43397</v>
      </c>
      <c r="D2417" s="22" t="s">
        <v>6233</v>
      </c>
      <c r="E2417" s="423" t="s">
        <v>171</v>
      </c>
      <c r="F2417" s="423" t="s">
        <v>274</v>
      </c>
    </row>
    <row r="2418" spans="1:7" ht="27">
      <c r="B2418" s="620">
        <v>43397</v>
      </c>
      <c r="C2418" s="21">
        <v>43397</v>
      </c>
      <c r="D2418" s="24" t="s">
        <v>7435</v>
      </c>
      <c r="E2418" s="17" t="s">
        <v>63</v>
      </c>
      <c r="F2418" s="24" t="s">
        <v>85</v>
      </c>
    </row>
    <row r="2419" spans="1:7" ht="27">
      <c r="B2419" s="620">
        <v>43397</v>
      </c>
      <c r="C2419" s="21">
        <v>43397</v>
      </c>
      <c r="D2419" s="24" t="s">
        <v>7380</v>
      </c>
      <c r="E2419" s="422" t="s">
        <v>63</v>
      </c>
      <c r="F2419" s="428" t="s">
        <v>107</v>
      </c>
    </row>
    <row r="2420" spans="1:7" ht="40.5">
      <c r="B2420" s="620">
        <v>43398</v>
      </c>
      <c r="C2420" s="21">
        <v>43398</v>
      </c>
      <c r="D2420" s="24" t="s">
        <v>624</v>
      </c>
      <c r="E2420" s="423" t="s">
        <v>625</v>
      </c>
      <c r="F2420" s="423" t="s">
        <v>274</v>
      </c>
    </row>
    <row r="2421" spans="1:7" ht="27">
      <c r="A2421" s="494"/>
      <c r="B2421" s="620">
        <v>43398</v>
      </c>
      <c r="C2421" s="21">
        <v>43398</v>
      </c>
      <c r="D2421" s="428" t="s">
        <v>7440</v>
      </c>
      <c r="E2421" s="428" t="s">
        <v>5</v>
      </c>
      <c r="F2421" s="388" t="s">
        <v>570</v>
      </c>
    </row>
    <row r="2422" spans="1:7" ht="54">
      <c r="A2422" s="495">
        <v>43403</v>
      </c>
      <c r="B2422" s="620">
        <v>43399</v>
      </c>
      <c r="C2422" s="21">
        <v>43399</v>
      </c>
      <c r="D2422" s="26" t="s">
        <v>6769</v>
      </c>
      <c r="E2422" s="423" t="s">
        <v>625</v>
      </c>
      <c r="F2422" s="26" t="s">
        <v>3043</v>
      </c>
    </row>
    <row r="2423" spans="1:7" ht="40.5">
      <c r="A2423" s="495">
        <v>43405</v>
      </c>
      <c r="B2423" s="636">
        <v>43399</v>
      </c>
      <c r="C2423" s="379">
        <v>43399</v>
      </c>
      <c r="D2423" s="383" t="s">
        <v>7334</v>
      </c>
      <c r="E2423" s="382" t="s">
        <v>5</v>
      </c>
      <c r="F2423" s="381" t="s">
        <v>7335</v>
      </c>
    </row>
    <row r="2424" spans="1:7" ht="27">
      <c r="B2424" s="616">
        <v>43399</v>
      </c>
      <c r="C2424" s="21">
        <v>43399</v>
      </c>
      <c r="D2424" s="22" t="s">
        <v>7354</v>
      </c>
      <c r="E2424" s="422" t="s">
        <v>63</v>
      </c>
      <c r="F2424" s="428" t="s">
        <v>79</v>
      </c>
    </row>
    <row r="2425" spans="1:7" ht="40.5">
      <c r="A2425" s="495">
        <v>43405</v>
      </c>
      <c r="B2425" s="620">
        <v>43402</v>
      </c>
      <c r="C2425" s="21">
        <v>43402</v>
      </c>
      <c r="D2425" s="428" t="s">
        <v>7246</v>
      </c>
      <c r="E2425" s="423" t="s">
        <v>625</v>
      </c>
      <c r="F2425" s="423" t="s">
        <v>6174</v>
      </c>
    </row>
    <row r="2426" spans="1:7" ht="54">
      <c r="A2426" s="495">
        <v>43404</v>
      </c>
      <c r="B2426" s="636">
        <v>43402</v>
      </c>
      <c r="C2426" s="379">
        <v>43402</v>
      </c>
      <c r="D2426" s="380" t="s">
        <v>7232</v>
      </c>
      <c r="E2426" s="382" t="s">
        <v>7336</v>
      </c>
      <c r="F2426" s="381" t="s">
        <v>7234</v>
      </c>
    </row>
    <row r="2427" spans="1:7" ht="27">
      <c r="B2427" s="620">
        <v>43402</v>
      </c>
      <c r="C2427" s="21">
        <v>43402</v>
      </c>
      <c r="D2427" s="24" t="s">
        <v>7372</v>
      </c>
      <c r="E2427" s="422" t="s">
        <v>63</v>
      </c>
      <c r="F2427" s="24" t="s">
        <v>85</v>
      </c>
    </row>
    <row r="2428" spans="1:7" ht="81">
      <c r="A2428" s="495">
        <v>43403</v>
      </c>
      <c r="B2428" s="620">
        <v>43403</v>
      </c>
      <c r="C2428" s="30">
        <v>43403</v>
      </c>
      <c r="D2428" s="428" t="s">
        <v>7231</v>
      </c>
      <c r="E2428" s="423" t="s">
        <v>171</v>
      </c>
      <c r="F2428" s="428" t="s">
        <v>6627</v>
      </c>
      <c r="G2428" s="370"/>
    </row>
    <row r="2429" spans="1:7" ht="54">
      <c r="A2429" s="495">
        <v>43413</v>
      </c>
      <c r="B2429" s="636">
        <v>43403</v>
      </c>
      <c r="C2429" s="379">
        <v>43403</v>
      </c>
      <c r="D2429" s="383" t="s">
        <v>7228</v>
      </c>
      <c r="E2429" s="382" t="s">
        <v>7229</v>
      </c>
      <c r="F2429" s="381" t="s">
        <v>7234</v>
      </c>
    </row>
    <row r="2430" spans="1:7" ht="27">
      <c r="B2430" s="620">
        <v>43403</v>
      </c>
      <c r="C2430" s="21">
        <v>43403</v>
      </c>
      <c r="D2430" s="24" t="s">
        <v>7436</v>
      </c>
      <c r="E2430" s="17" t="s">
        <v>63</v>
      </c>
      <c r="F2430" s="387" t="s">
        <v>107</v>
      </c>
    </row>
    <row r="2431" spans="1:7" ht="27">
      <c r="B2431" s="620">
        <v>43403</v>
      </c>
      <c r="C2431" s="21">
        <v>43403</v>
      </c>
      <c r="D2431" s="428" t="s">
        <v>7375</v>
      </c>
      <c r="E2431" s="422" t="s">
        <v>7376</v>
      </c>
      <c r="F2431" s="428" t="s">
        <v>79</v>
      </c>
    </row>
    <row r="2432" spans="1:7" ht="54">
      <c r="A2432" s="495">
        <v>43413</v>
      </c>
      <c r="B2432" s="636">
        <v>43404</v>
      </c>
      <c r="C2432" s="379">
        <v>43404</v>
      </c>
      <c r="D2432" s="380" t="s">
        <v>7337</v>
      </c>
      <c r="E2432" s="642" t="s">
        <v>7338</v>
      </c>
      <c r="F2432" s="381" t="s">
        <v>7234</v>
      </c>
    </row>
    <row r="2433" spans="1:9" ht="67.5">
      <c r="A2433" s="495"/>
      <c r="B2433" s="620">
        <v>43405</v>
      </c>
      <c r="C2433" s="21">
        <v>43405</v>
      </c>
      <c r="D2433" s="24" t="s">
        <v>7240</v>
      </c>
      <c r="E2433" s="423" t="s">
        <v>576</v>
      </c>
      <c r="F2433" s="643" t="s">
        <v>7241</v>
      </c>
    </row>
    <row r="2434" spans="1:9" ht="27">
      <c r="B2434" s="620">
        <v>43405</v>
      </c>
      <c r="C2434" s="21">
        <v>43405</v>
      </c>
      <c r="D2434" s="428" t="s">
        <v>7378</v>
      </c>
      <c r="E2434" s="17" t="s">
        <v>63</v>
      </c>
      <c r="F2434" s="428" t="s">
        <v>107</v>
      </c>
    </row>
    <row r="2435" spans="1:9" ht="31.5" customHeight="1">
      <c r="B2435" s="626">
        <v>43405</v>
      </c>
      <c r="C2435" s="21">
        <v>43405</v>
      </c>
      <c r="D2435" s="388" t="s">
        <v>7382</v>
      </c>
      <c r="E2435" s="17" t="s">
        <v>5</v>
      </c>
      <c r="F2435" s="388" t="s">
        <v>570</v>
      </c>
    </row>
    <row r="2436" spans="1:9" ht="27">
      <c r="B2436" s="626">
        <v>43405</v>
      </c>
      <c r="C2436" s="21">
        <v>43405</v>
      </c>
      <c r="D2436" s="388" t="s">
        <v>7382</v>
      </c>
      <c r="E2436" s="17" t="s">
        <v>5</v>
      </c>
      <c r="F2436" s="388" t="s">
        <v>570</v>
      </c>
    </row>
    <row r="2437" spans="1:9" ht="27">
      <c r="B2437" s="626">
        <v>43405</v>
      </c>
      <c r="C2437" s="21">
        <v>43405</v>
      </c>
      <c r="D2437" s="388" t="s">
        <v>7382</v>
      </c>
      <c r="E2437" s="17" t="s">
        <v>5</v>
      </c>
      <c r="F2437" s="388" t="s">
        <v>570</v>
      </c>
    </row>
    <row r="2438" spans="1:9" ht="27">
      <c r="B2438" s="626">
        <v>43405</v>
      </c>
      <c r="C2438" s="21">
        <v>43405</v>
      </c>
      <c r="D2438" s="388" t="s">
        <v>7382</v>
      </c>
      <c r="E2438" s="17" t="s">
        <v>5</v>
      </c>
      <c r="F2438" s="388" t="s">
        <v>570</v>
      </c>
    </row>
    <row r="2439" spans="1:9" ht="27">
      <c r="B2439" s="626">
        <v>43405</v>
      </c>
      <c r="C2439" s="21">
        <v>43405</v>
      </c>
      <c r="D2439" s="388" t="s">
        <v>7382</v>
      </c>
      <c r="E2439" s="17" t="s">
        <v>5</v>
      </c>
      <c r="F2439" s="388" t="s">
        <v>570</v>
      </c>
    </row>
    <row r="2440" spans="1:9" ht="27">
      <c r="B2440" s="626">
        <v>43405</v>
      </c>
      <c r="C2440" s="21">
        <v>43405</v>
      </c>
      <c r="D2440" s="388" t="s">
        <v>7382</v>
      </c>
      <c r="E2440" s="17" t="s">
        <v>5</v>
      </c>
      <c r="F2440" s="388" t="s">
        <v>570</v>
      </c>
    </row>
    <row r="2441" spans="1:9" ht="81">
      <c r="B2441" s="620">
        <v>43406</v>
      </c>
      <c r="C2441" s="21">
        <v>43406</v>
      </c>
      <c r="D2441" s="24" t="s">
        <v>7438</v>
      </c>
      <c r="E2441" s="422" t="s">
        <v>625</v>
      </c>
      <c r="F2441" s="24" t="s">
        <v>5828</v>
      </c>
    </row>
    <row r="2442" spans="1:9" ht="40.5">
      <c r="B2442" s="620">
        <v>43411</v>
      </c>
      <c r="C2442" s="21">
        <v>43411</v>
      </c>
      <c r="D2442" s="428" t="s">
        <v>7421</v>
      </c>
      <c r="E2442" s="428" t="s">
        <v>208</v>
      </c>
      <c r="F2442" s="428" t="s">
        <v>7422</v>
      </c>
    </row>
    <row r="2443" spans="1:9" ht="54">
      <c r="A2443" s="495">
        <v>43413</v>
      </c>
      <c r="B2443" s="636">
        <v>43412</v>
      </c>
      <c r="C2443" s="379">
        <v>43412</v>
      </c>
      <c r="D2443" s="383" t="s">
        <v>7339</v>
      </c>
      <c r="E2443" s="382" t="s">
        <v>7340</v>
      </c>
      <c r="F2443" s="381" t="s">
        <v>7234</v>
      </c>
    </row>
    <row r="2444" spans="1:9" s="1" customFormat="1" ht="54">
      <c r="A2444" s="495">
        <v>43413</v>
      </c>
      <c r="B2444" s="636">
        <v>43412</v>
      </c>
      <c r="C2444" s="379">
        <v>43412</v>
      </c>
      <c r="D2444" s="380" t="s">
        <v>7341</v>
      </c>
      <c r="E2444" s="382" t="s">
        <v>5974</v>
      </c>
      <c r="F2444" s="381" t="s">
        <v>7234</v>
      </c>
      <c r="G2444"/>
      <c r="H2444"/>
      <c r="I2444"/>
    </row>
    <row r="2445" spans="1:9" ht="27">
      <c r="B2445" s="626">
        <v>43413</v>
      </c>
      <c r="C2445" s="21">
        <v>43413</v>
      </c>
      <c r="D2445" s="388" t="s">
        <v>7394</v>
      </c>
      <c r="E2445" s="422" t="s">
        <v>5</v>
      </c>
      <c r="F2445" s="388" t="s">
        <v>570</v>
      </c>
      <c r="H2445" s="1"/>
      <c r="I2445" s="1"/>
    </row>
    <row r="2446" spans="1:9" ht="27">
      <c r="B2446" s="620">
        <v>43413</v>
      </c>
      <c r="C2446" s="21">
        <v>43413</v>
      </c>
      <c r="D2446" s="428" t="s">
        <v>7419</v>
      </c>
      <c r="E2446" s="428" t="s">
        <v>5</v>
      </c>
      <c r="F2446" s="428" t="s">
        <v>79</v>
      </c>
    </row>
    <row r="2447" spans="1:9">
      <c r="B2447" s="626">
        <v>43417</v>
      </c>
      <c r="C2447" s="21">
        <v>43417</v>
      </c>
      <c r="D2447" s="388" t="s">
        <v>7396</v>
      </c>
      <c r="E2447" s="422" t="s">
        <v>5</v>
      </c>
      <c r="F2447" s="388" t="s">
        <v>161</v>
      </c>
    </row>
    <row r="2448" spans="1:9" ht="27">
      <c r="A2448" s="494"/>
      <c r="B2448" s="620">
        <v>43417</v>
      </c>
      <c r="C2448" s="21">
        <v>43417</v>
      </c>
      <c r="D2448" s="428" t="s">
        <v>7441</v>
      </c>
      <c r="E2448" s="428" t="s">
        <v>5</v>
      </c>
      <c r="F2448" s="428" t="s">
        <v>79</v>
      </c>
    </row>
    <row r="2449" spans="1:9" ht="40.5">
      <c r="B2449" s="626">
        <v>43418</v>
      </c>
      <c r="C2449" s="21">
        <v>43418</v>
      </c>
      <c r="D2449" s="388" t="s">
        <v>7437</v>
      </c>
      <c r="E2449" s="388" t="s">
        <v>4895</v>
      </c>
      <c r="F2449" s="388" t="s">
        <v>7392</v>
      </c>
    </row>
    <row r="2450" spans="1:9" ht="81">
      <c r="A2450" s="494"/>
      <c r="B2450" s="616">
        <v>43418</v>
      </c>
      <c r="C2450" s="21">
        <v>43418</v>
      </c>
      <c r="D2450" s="22" t="s">
        <v>7416</v>
      </c>
      <c r="E2450" s="24" t="s">
        <v>625</v>
      </c>
      <c r="F2450" s="24" t="s">
        <v>7417</v>
      </c>
      <c r="G2450" s="1"/>
    </row>
    <row r="2451" spans="1:9" ht="27">
      <c r="B2451" s="620">
        <v>43420</v>
      </c>
      <c r="C2451" s="21">
        <v>43420</v>
      </c>
      <c r="D2451" s="24" t="s">
        <v>7424</v>
      </c>
      <c r="E2451" s="24" t="s">
        <v>5</v>
      </c>
      <c r="F2451" s="24" t="s">
        <v>7425</v>
      </c>
    </row>
    <row r="2452" spans="1:9" s="1" customFormat="1" ht="40.5">
      <c r="A2452" s="493"/>
      <c r="B2452" s="620">
        <v>43420</v>
      </c>
      <c r="C2452" s="21">
        <v>43420</v>
      </c>
      <c r="D2452" s="428" t="s">
        <v>7426</v>
      </c>
      <c r="E2452" s="24" t="s">
        <v>208</v>
      </c>
      <c r="F2452" s="24" t="s">
        <v>7427</v>
      </c>
      <c r="G2452"/>
      <c r="H2452"/>
      <c r="I2452"/>
    </row>
    <row r="2453" spans="1:9" ht="27">
      <c r="B2453" s="620">
        <v>43420</v>
      </c>
      <c r="C2453" s="21">
        <v>43420</v>
      </c>
      <c r="D2453" s="24" t="s">
        <v>7429</v>
      </c>
      <c r="E2453" s="24" t="s">
        <v>5</v>
      </c>
      <c r="F2453" s="24" t="s">
        <v>107</v>
      </c>
      <c r="H2453" s="1"/>
      <c r="I2453" s="1"/>
    </row>
    <row r="2454" spans="1:9" ht="27">
      <c r="B2454" s="620">
        <v>43424</v>
      </c>
      <c r="C2454" s="21">
        <v>43424</v>
      </c>
      <c r="D2454" s="24" t="s">
        <v>7430</v>
      </c>
      <c r="E2454" s="24" t="s">
        <v>208</v>
      </c>
      <c r="F2454" s="24" t="s">
        <v>107</v>
      </c>
    </row>
    <row r="2455" spans="1:9" s="1" customFormat="1" ht="40.5">
      <c r="A2455" s="494"/>
      <c r="B2455" s="620">
        <v>43424</v>
      </c>
      <c r="C2455" s="21">
        <v>43424</v>
      </c>
      <c r="D2455" s="24" t="s">
        <v>7531</v>
      </c>
      <c r="E2455" s="24" t="s">
        <v>208</v>
      </c>
      <c r="F2455" s="24" t="s">
        <v>7534</v>
      </c>
    </row>
    <row r="2456" spans="1:9" ht="40.5">
      <c r="B2456" s="620">
        <v>43425</v>
      </c>
      <c r="C2456" s="21">
        <v>43425</v>
      </c>
      <c r="D2456" s="388" t="s">
        <v>7986</v>
      </c>
      <c r="E2456" s="24" t="s">
        <v>208</v>
      </c>
      <c r="F2456" s="24" t="s">
        <v>7422</v>
      </c>
    </row>
    <row r="2457" spans="1:9" ht="27">
      <c r="B2457" s="620">
        <v>43426</v>
      </c>
      <c r="C2457" s="21">
        <v>43426</v>
      </c>
      <c r="D2457" s="428" t="s">
        <v>7439</v>
      </c>
      <c r="E2457" s="24" t="s">
        <v>5</v>
      </c>
      <c r="F2457" s="428" t="s">
        <v>85</v>
      </c>
    </row>
    <row r="2458" spans="1:9" ht="27">
      <c r="A2458" s="496">
        <v>43410</v>
      </c>
      <c r="B2458" s="620">
        <v>43427</v>
      </c>
      <c r="C2458" s="21">
        <v>43427</v>
      </c>
      <c r="D2458" s="428" t="s">
        <v>7556</v>
      </c>
      <c r="E2458" s="428" t="s">
        <v>63</v>
      </c>
      <c r="F2458" s="428" t="s">
        <v>107</v>
      </c>
    </row>
    <row r="2459" spans="1:9" ht="40.5">
      <c r="B2459" s="620">
        <v>43430</v>
      </c>
      <c r="C2459" s="21">
        <v>43430</v>
      </c>
      <c r="D2459" s="388" t="s">
        <v>7987</v>
      </c>
      <c r="E2459" s="24" t="s">
        <v>5</v>
      </c>
      <c r="F2459" s="24" t="s">
        <v>3366</v>
      </c>
    </row>
    <row r="2460" spans="1:9" ht="27">
      <c r="A2460" s="496">
        <v>43410</v>
      </c>
      <c r="B2460" s="620">
        <v>43433</v>
      </c>
      <c r="C2460" s="21">
        <v>43433</v>
      </c>
      <c r="D2460" s="428" t="s">
        <v>7552</v>
      </c>
      <c r="E2460" s="24" t="s">
        <v>208</v>
      </c>
      <c r="F2460" s="428" t="s">
        <v>107</v>
      </c>
    </row>
    <row r="2461" spans="1:9" ht="27">
      <c r="A2461" s="496">
        <v>43410</v>
      </c>
      <c r="B2461" s="620">
        <v>43434</v>
      </c>
      <c r="C2461" s="21">
        <v>43434</v>
      </c>
      <c r="D2461" s="24" t="s">
        <v>7557</v>
      </c>
      <c r="E2461" s="24" t="s">
        <v>208</v>
      </c>
      <c r="F2461" s="24" t="s">
        <v>107</v>
      </c>
    </row>
    <row r="2462" spans="1:9" ht="54">
      <c r="A2462" s="494"/>
      <c r="B2462" s="620">
        <v>43434</v>
      </c>
      <c r="C2462" s="21">
        <v>43434</v>
      </c>
      <c r="D2462" s="24" t="s">
        <v>7571</v>
      </c>
      <c r="E2462" s="24" t="s">
        <v>5</v>
      </c>
      <c r="F2462" s="428" t="s">
        <v>7572</v>
      </c>
    </row>
    <row r="2463" spans="1:9" ht="54">
      <c r="A2463" s="496">
        <v>43446</v>
      </c>
      <c r="B2463" s="620">
        <v>43437</v>
      </c>
      <c r="C2463" s="21">
        <v>43437</v>
      </c>
      <c r="D2463" s="428" t="s">
        <v>7584</v>
      </c>
      <c r="E2463" s="428" t="s">
        <v>625</v>
      </c>
      <c r="F2463" s="423" t="s">
        <v>7541</v>
      </c>
    </row>
    <row r="2464" spans="1:9" ht="40.5">
      <c r="B2464" s="620">
        <v>43438</v>
      </c>
      <c r="C2464" s="21">
        <v>43438</v>
      </c>
      <c r="D2464" s="388" t="s">
        <v>7988</v>
      </c>
      <c r="E2464" s="24" t="s">
        <v>503</v>
      </c>
      <c r="F2464" s="24" t="s">
        <v>1302</v>
      </c>
    </row>
    <row r="2465" spans="1:6" ht="54">
      <c r="A2465" s="494"/>
      <c r="B2465" s="620">
        <v>43440</v>
      </c>
      <c r="C2465" s="21">
        <v>43440</v>
      </c>
      <c r="D2465" s="428" t="s">
        <v>7568</v>
      </c>
      <c r="E2465" s="428" t="s">
        <v>625</v>
      </c>
      <c r="F2465" s="428" t="s">
        <v>7541</v>
      </c>
    </row>
    <row r="2466" spans="1:6" ht="54">
      <c r="A2466" s="494"/>
      <c r="B2466" s="637">
        <v>43441</v>
      </c>
      <c r="C2466" s="21">
        <v>43441</v>
      </c>
      <c r="D2466" s="201" t="s">
        <v>7569</v>
      </c>
      <c r="E2466" s="428" t="s">
        <v>171</v>
      </c>
      <c r="F2466" s="428" t="s">
        <v>7570</v>
      </c>
    </row>
    <row r="2467" spans="1:6" ht="27">
      <c r="A2467" s="497">
        <v>43455</v>
      </c>
      <c r="B2467" s="620">
        <v>43441</v>
      </c>
      <c r="C2467" s="21">
        <v>43441</v>
      </c>
      <c r="D2467" s="490" t="s">
        <v>7969</v>
      </c>
      <c r="E2467" s="428" t="s">
        <v>5</v>
      </c>
      <c r="F2467" s="428" t="s">
        <v>107</v>
      </c>
    </row>
    <row r="2468" spans="1:6" ht="54">
      <c r="A2468" s="496">
        <v>43448</v>
      </c>
      <c r="B2468" s="620">
        <v>43445</v>
      </c>
      <c r="C2468" s="21">
        <v>43445</v>
      </c>
      <c r="D2468" s="428" t="s">
        <v>7750</v>
      </c>
      <c r="E2468" s="428" t="s">
        <v>625</v>
      </c>
      <c r="F2468" s="423" t="s">
        <v>7541</v>
      </c>
    </row>
    <row r="2469" spans="1:6" ht="27">
      <c r="A2469" s="497">
        <v>43455</v>
      </c>
      <c r="B2469" s="620">
        <v>43445</v>
      </c>
      <c r="C2469" s="21">
        <v>43445</v>
      </c>
      <c r="D2469" s="491" t="s">
        <v>7971</v>
      </c>
      <c r="E2469" s="428" t="s">
        <v>63</v>
      </c>
      <c r="F2469" s="428" t="s">
        <v>79</v>
      </c>
    </row>
    <row r="2470" spans="1:6" ht="40.5">
      <c r="B2470" s="620">
        <v>43445</v>
      </c>
      <c r="C2470" s="21">
        <v>43445</v>
      </c>
      <c r="D2470" s="428" t="s">
        <v>7985</v>
      </c>
      <c r="E2470" s="428" t="s">
        <v>63</v>
      </c>
      <c r="F2470" s="428" t="s">
        <v>3366</v>
      </c>
    </row>
    <row r="2471" spans="1:6" ht="54">
      <c r="B2471" s="620">
        <v>43445</v>
      </c>
      <c r="C2471" s="21">
        <v>43445</v>
      </c>
      <c r="D2471" s="388" t="s">
        <v>7750</v>
      </c>
      <c r="E2471" s="428" t="s">
        <v>171</v>
      </c>
      <c r="F2471" s="423" t="s">
        <v>7993</v>
      </c>
    </row>
    <row r="2472" spans="1:6" ht="54">
      <c r="B2472" s="620">
        <v>43447</v>
      </c>
      <c r="C2472" s="21">
        <v>43447</v>
      </c>
      <c r="D2472" s="424" t="s">
        <v>7964</v>
      </c>
      <c r="E2472" s="428" t="s">
        <v>171</v>
      </c>
      <c r="F2472" s="26" t="s">
        <v>7965</v>
      </c>
    </row>
    <row r="2473" spans="1:6" ht="27">
      <c r="A2473" s="497">
        <v>43455</v>
      </c>
      <c r="B2473" s="620">
        <v>43447</v>
      </c>
      <c r="C2473" s="21">
        <v>43447</v>
      </c>
      <c r="D2473" s="428" t="s">
        <v>7972</v>
      </c>
      <c r="E2473" s="428" t="s">
        <v>63</v>
      </c>
      <c r="F2473" s="428" t="s">
        <v>107</v>
      </c>
    </row>
    <row r="2474" spans="1:6" ht="27">
      <c r="A2474" s="497">
        <v>43455</v>
      </c>
      <c r="B2474" s="620">
        <v>43447</v>
      </c>
      <c r="C2474" s="21">
        <v>43447</v>
      </c>
      <c r="D2474" s="428" t="s">
        <v>7972</v>
      </c>
      <c r="E2474" s="428" t="s">
        <v>63</v>
      </c>
      <c r="F2474" s="428" t="s">
        <v>107</v>
      </c>
    </row>
    <row r="2475" spans="1:6" ht="27">
      <c r="A2475" s="497">
        <v>43455</v>
      </c>
      <c r="B2475" s="620">
        <v>43447</v>
      </c>
      <c r="C2475" s="21">
        <v>43447</v>
      </c>
      <c r="D2475" s="428" t="s">
        <v>7972</v>
      </c>
      <c r="E2475" s="428" t="s">
        <v>63</v>
      </c>
      <c r="F2475" s="428" t="s">
        <v>107</v>
      </c>
    </row>
    <row r="2476" spans="1:6" ht="27">
      <c r="A2476" s="497">
        <v>43455</v>
      </c>
      <c r="B2476" s="620">
        <v>43447</v>
      </c>
      <c r="C2476" s="21">
        <v>43447</v>
      </c>
      <c r="D2476" s="428" t="s">
        <v>7972</v>
      </c>
      <c r="E2476" s="428" t="s">
        <v>63</v>
      </c>
      <c r="F2476" s="428" t="s">
        <v>107</v>
      </c>
    </row>
    <row r="2477" spans="1:6" ht="27">
      <c r="A2477" s="497">
        <v>43455</v>
      </c>
      <c r="B2477" s="620">
        <v>43447</v>
      </c>
      <c r="C2477" s="21">
        <v>43447</v>
      </c>
      <c r="D2477" s="428" t="s">
        <v>7974</v>
      </c>
      <c r="E2477" s="428" t="s">
        <v>63</v>
      </c>
      <c r="F2477" s="428" t="s">
        <v>85</v>
      </c>
    </row>
    <row r="2478" spans="1:6" ht="27">
      <c r="A2478" s="497">
        <v>43455</v>
      </c>
      <c r="B2478" s="620">
        <v>43448</v>
      </c>
      <c r="C2478" s="21">
        <v>43448</v>
      </c>
      <c r="D2478" s="428" t="s">
        <v>7973</v>
      </c>
      <c r="E2478" s="428" t="s">
        <v>63</v>
      </c>
      <c r="F2478" s="428" t="s">
        <v>107</v>
      </c>
    </row>
    <row r="2479" spans="1:6" ht="27">
      <c r="A2479" s="497">
        <v>43455</v>
      </c>
      <c r="B2479" s="620">
        <v>43448</v>
      </c>
      <c r="C2479" s="21">
        <v>43448</v>
      </c>
      <c r="D2479" s="428" t="s">
        <v>7973</v>
      </c>
      <c r="E2479" s="428" t="s">
        <v>63</v>
      </c>
      <c r="F2479" s="428" t="s">
        <v>107</v>
      </c>
    </row>
    <row r="2480" spans="1:6" ht="27">
      <c r="A2480" s="497">
        <v>43455</v>
      </c>
      <c r="B2480" s="620">
        <v>43448</v>
      </c>
      <c r="C2480" s="21">
        <v>43448</v>
      </c>
      <c r="D2480" s="428" t="s">
        <v>7973</v>
      </c>
      <c r="E2480" s="428" t="s">
        <v>63</v>
      </c>
      <c r="F2480" s="428" t="s">
        <v>107</v>
      </c>
    </row>
    <row r="2481" spans="1:9" ht="27">
      <c r="A2481" s="497">
        <v>43455</v>
      </c>
      <c r="B2481" s="620">
        <v>43448</v>
      </c>
      <c r="C2481" s="21">
        <v>43448</v>
      </c>
      <c r="D2481" s="428" t="s">
        <v>7973</v>
      </c>
      <c r="E2481" s="428" t="s">
        <v>63</v>
      </c>
      <c r="F2481" s="428" t="s">
        <v>107</v>
      </c>
    </row>
    <row r="2482" spans="1:9" ht="27">
      <c r="A2482" s="497">
        <v>43455</v>
      </c>
      <c r="B2482" s="620">
        <v>43448</v>
      </c>
      <c r="C2482" s="21">
        <v>43448</v>
      </c>
      <c r="D2482" s="428" t="s">
        <v>7975</v>
      </c>
      <c r="E2482" s="428" t="s">
        <v>63</v>
      </c>
      <c r="F2482" s="428" t="s">
        <v>85</v>
      </c>
    </row>
    <row r="2483" spans="1:9" ht="27">
      <c r="A2483" s="497">
        <v>43455</v>
      </c>
      <c r="B2483" s="620">
        <v>43448</v>
      </c>
      <c r="C2483" s="21">
        <v>43448</v>
      </c>
      <c r="D2483" s="498" t="s">
        <v>7976</v>
      </c>
      <c r="E2483" s="428" t="s">
        <v>63</v>
      </c>
      <c r="F2483" s="428" t="s">
        <v>79</v>
      </c>
    </row>
    <row r="2484" spans="1:9" ht="40.5">
      <c r="B2484" s="620">
        <v>43448</v>
      </c>
      <c r="C2484" s="21">
        <v>43448</v>
      </c>
      <c r="D2484" s="388" t="s">
        <v>7989</v>
      </c>
      <c r="E2484" s="428" t="s">
        <v>5</v>
      </c>
      <c r="F2484" s="428" t="s">
        <v>7994</v>
      </c>
    </row>
    <row r="2485" spans="1:9" ht="27">
      <c r="A2485" s="494"/>
      <c r="B2485" s="620">
        <v>43451</v>
      </c>
      <c r="C2485" s="21">
        <v>43451</v>
      </c>
      <c r="D2485" s="22" t="s">
        <v>7943</v>
      </c>
      <c r="E2485" s="428" t="s">
        <v>5</v>
      </c>
      <c r="F2485" s="428" t="s">
        <v>79</v>
      </c>
    </row>
    <row r="2486" spans="1:9" ht="27">
      <c r="A2486" s="497">
        <v>43455</v>
      </c>
      <c r="B2486" s="620">
        <v>43451</v>
      </c>
      <c r="C2486" s="21">
        <v>43451</v>
      </c>
      <c r="D2486" s="428" t="s">
        <v>7977</v>
      </c>
      <c r="E2486" s="428" t="s">
        <v>208</v>
      </c>
      <c r="F2486" s="428" t="s">
        <v>107</v>
      </c>
    </row>
    <row r="2487" spans="1:9" ht="27">
      <c r="A2487" s="497">
        <v>43455</v>
      </c>
      <c r="B2487" s="620">
        <v>43451</v>
      </c>
      <c r="C2487" s="21">
        <v>43451</v>
      </c>
      <c r="D2487" s="428" t="s">
        <v>7978</v>
      </c>
      <c r="E2487" s="428" t="s">
        <v>63</v>
      </c>
      <c r="F2487" s="428" t="s">
        <v>85</v>
      </c>
    </row>
    <row r="2488" spans="1:9" ht="13.5" customHeight="1">
      <c r="B2488" s="620">
        <v>43451</v>
      </c>
      <c r="C2488" s="21">
        <v>43451</v>
      </c>
      <c r="D2488" s="388" t="s">
        <v>7990</v>
      </c>
      <c r="E2488" s="428" t="s">
        <v>5</v>
      </c>
      <c r="F2488" s="428" t="s">
        <v>79</v>
      </c>
    </row>
    <row r="2489" spans="1:9" ht="27">
      <c r="A2489" s="494"/>
      <c r="B2489" s="620">
        <v>43451</v>
      </c>
      <c r="C2489" s="21">
        <v>43451</v>
      </c>
      <c r="D2489" s="428" t="s">
        <v>7943</v>
      </c>
      <c r="E2489" s="428" t="s">
        <v>5</v>
      </c>
      <c r="F2489" s="428" t="s">
        <v>85</v>
      </c>
      <c r="G2489" s="1"/>
      <c r="H2489" s="533"/>
      <c r="I2489" s="1"/>
    </row>
    <row r="2490" spans="1:9" ht="54">
      <c r="B2490" s="626">
        <v>43452</v>
      </c>
      <c r="C2490" s="21">
        <v>43452</v>
      </c>
      <c r="D2490" s="424" t="s">
        <v>7962</v>
      </c>
      <c r="E2490" s="428" t="s">
        <v>576</v>
      </c>
      <c r="F2490" s="423" t="s">
        <v>7541</v>
      </c>
    </row>
    <row r="2491" spans="1:9" ht="40.5">
      <c r="A2491" s="497">
        <v>43455</v>
      </c>
      <c r="B2491" s="620">
        <v>43452</v>
      </c>
      <c r="C2491" s="21">
        <v>43452</v>
      </c>
      <c r="D2491" s="498" t="s">
        <v>7979</v>
      </c>
      <c r="E2491" s="428" t="s">
        <v>5</v>
      </c>
      <c r="F2491" s="192" t="s">
        <v>7980</v>
      </c>
    </row>
    <row r="2492" spans="1:9" ht="27">
      <c r="B2492" s="620">
        <v>43452</v>
      </c>
      <c r="C2492" s="21">
        <v>43452</v>
      </c>
      <c r="D2492" s="388" t="s">
        <v>7991</v>
      </c>
      <c r="E2492" s="428" t="s">
        <v>63</v>
      </c>
      <c r="F2492" s="428" t="s">
        <v>85</v>
      </c>
    </row>
    <row r="2493" spans="1:9" ht="15.75" customHeight="1">
      <c r="B2493" s="620">
        <v>43453</v>
      </c>
      <c r="C2493" s="21">
        <v>43453</v>
      </c>
      <c r="D2493" s="388" t="s">
        <v>7992</v>
      </c>
      <c r="E2493" s="428" t="s">
        <v>503</v>
      </c>
      <c r="F2493" s="428" t="s">
        <v>7995</v>
      </c>
    </row>
    <row r="2494" spans="1:9" s="1" customFormat="1" ht="27">
      <c r="A2494" s="493"/>
      <c r="B2494" s="620">
        <v>43453</v>
      </c>
      <c r="C2494" s="21">
        <v>43453</v>
      </c>
      <c r="D2494" s="428" t="s">
        <v>8305</v>
      </c>
      <c r="E2494" s="26" t="s">
        <v>5</v>
      </c>
      <c r="F2494" s="423" t="s">
        <v>8367</v>
      </c>
      <c r="G2494"/>
      <c r="H2494" s="220"/>
      <c r="I2494"/>
    </row>
    <row r="2495" spans="1:9" ht="54">
      <c r="A2495" s="494"/>
      <c r="B2495" s="620">
        <v>43455</v>
      </c>
      <c r="C2495" s="21">
        <v>43455</v>
      </c>
      <c r="D2495" s="428" t="s">
        <v>7961</v>
      </c>
      <c r="E2495" s="428" t="s">
        <v>576</v>
      </c>
      <c r="F2495" s="423" t="s">
        <v>7541</v>
      </c>
    </row>
    <row r="2496" spans="1:9" ht="40.5">
      <c r="B2496" s="620">
        <v>43455</v>
      </c>
      <c r="C2496" s="21">
        <v>43455</v>
      </c>
      <c r="D2496" s="428" t="s">
        <v>7997</v>
      </c>
      <c r="E2496" s="428" t="s">
        <v>208</v>
      </c>
      <c r="F2496" s="428" t="s">
        <v>7998</v>
      </c>
    </row>
    <row r="2497" spans="2:6" ht="27">
      <c r="B2497" s="620">
        <v>43455</v>
      </c>
      <c r="C2497" s="21">
        <v>43455</v>
      </c>
      <c r="D2497" s="428" t="s">
        <v>7999</v>
      </c>
      <c r="E2497" s="428" t="s">
        <v>63</v>
      </c>
      <c r="F2497" s="428" t="s">
        <v>85</v>
      </c>
    </row>
    <row r="2498" spans="2:6" ht="27">
      <c r="B2498" s="620">
        <v>43455</v>
      </c>
      <c r="C2498" s="21">
        <v>43455</v>
      </c>
      <c r="D2498" s="428" t="s">
        <v>8000</v>
      </c>
      <c r="E2498" s="428" t="s">
        <v>63</v>
      </c>
      <c r="F2498" s="428" t="s">
        <v>8001</v>
      </c>
    </row>
    <row r="2499" spans="2:6" ht="54">
      <c r="B2499" s="620">
        <v>43460</v>
      </c>
      <c r="C2499" s="21">
        <v>43460</v>
      </c>
      <c r="D2499" s="428" t="s">
        <v>7996</v>
      </c>
      <c r="E2499" s="428" t="s">
        <v>576</v>
      </c>
      <c r="F2499" s="423" t="s">
        <v>7993</v>
      </c>
    </row>
    <row r="2500" spans="2:6" ht="40.5">
      <c r="B2500" s="620">
        <v>43460</v>
      </c>
      <c r="C2500" s="21">
        <v>43460</v>
      </c>
      <c r="D2500" s="428" t="s">
        <v>8002</v>
      </c>
      <c r="E2500" s="428" t="s">
        <v>5974</v>
      </c>
      <c r="F2500" s="428" t="s">
        <v>507</v>
      </c>
    </row>
    <row r="2501" spans="2:6" ht="27">
      <c r="B2501" s="626">
        <v>43461</v>
      </c>
      <c r="C2501" s="21">
        <v>43461</v>
      </c>
      <c r="D2501" s="192" t="s">
        <v>8370</v>
      </c>
      <c r="E2501" s="424" t="s">
        <v>5</v>
      </c>
      <c r="F2501" s="26" t="s">
        <v>8367</v>
      </c>
    </row>
    <row r="2502" spans="2:6" ht="27">
      <c r="B2502" s="620">
        <v>43467</v>
      </c>
      <c r="C2502" s="21">
        <v>43467</v>
      </c>
      <c r="D2502" s="428" t="s">
        <v>8371</v>
      </c>
      <c r="E2502" s="428" t="s">
        <v>208</v>
      </c>
      <c r="F2502" s="428" t="s">
        <v>8255</v>
      </c>
    </row>
    <row r="2503" spans="2:6" ht="40.5">
      <c r="B2503" s="620">
        <v>43468</v>
      </c>
      <c r="C2503" s="21">
        <v>43468</v>
      </c>
      <c r="D2503" s="428" t="s">
        <v>8010</v>
      </c>
      <c r="E2503" s="428" t="s">
        <v>208</v>
      </c>
      <c r="F2503" s="428" t="s">
        <v>7998</v>
      </c>
    </row>
    <row r="2504" spans="2:6" ht="40.5">
      <c r="B2504" s="620">
        <v>43476</v>
      </c>
      <c r="C2504" s="21">
        <v>43476</v>
      </c>
      <c r="D2504" s="428" t="s">
        <v>8019</v>
      </c>
      <c r="E2504" s="428" t="s">
        <v>171</v>
      </c>
      <c r="F2504" s="428" t="s">
        <v>2731</v>
      </c>
    </row>
    <row r="2505" spans="2:6" ht="27">
      <c r="B2505" s="620">
        <v>43479</v>
      </c>
      <c r="C2505" s="21">
        <v>43479</v>
      </c>
      <c r="D2505" s="505" t="s">
        <v>8080</v>
      </c>
      <c r="E2505" s="428" t="s">
        <v>208</v>
      </c>
      <c r="F2505" s="428" t="s">
        <v>801</v>
      </c>
    </row>
    <row r="2506" spans="2:6" ht="40.5">
      <c r="B2506" s="620">
        <v>43480</v>
      </c>
      <c r="C2506" s="21">
        <v>43480</v>
      </c>
      <c r="D2506" s="428" t="s">
        <v>8020</v>
      </c>
      <c r="E2506" s="428" t="s">
        <v>171</v>
      </c>
      <c r="F2506" s="428" t="s">
        <v>174</v>
      </c>
    </row>
    <row r="2507" spans="2:6" ht="40.5">
      <c r="B2507" s="620">
        <v>43480</v>
      </c>
      <c r="C2507" s="21">
        <v>43480</v>
      </c>
      <c r="D2507" s="428" t="s">
        <v>8021</v>
      </c>
      <c r="E2507" s="428" t="s">
        <v>171</v>
      </c>
      <c r="F2507" s="428" t="s">
        <v>2731</v>
      </c>
    </row>
    <row r="2508" spans="2:6" ht="27">
      <c r="B2508" s="620">
        <v>43480</v>
      </c>
      <c r="C2508" s="21">
        <v>43480</v>
      </c>
      <c r="D2508" s="505" t="s">
        <v>8095</v>
      </c>
      <c r="E2508" s="428" t="s">
        <v>208</v>
      </c>
      <c r="F2508" s="428" t="s">
        <v>801</v>
      </c>
    </row>
    <row r="2509" spans="2:6" ht="40.5">
      <c r="B2509" s="620">
        <v>43481</v>
      </c>
      <c r="C2509" s="21">
        <v>43481</v>
      </c>
      <c r="D2509" s="428" t="s">
        <v>8022</v>
      </c>
      <c r="E2509" s="428" t="s">
        <v>625</v>
      </c>
      <c r="F2509" s="428" t="s">
        <v>8309</v>
      </c>
    </row>
    <row r="2510" spans="2:6" ht="40.5">
      <c r="B2510" s="620">
        <v>43481</v>
      </c>
      <c r="C2510" s="21">
        <v>43481</v>
      </c>
      <c r="D2510" s="428" t="s">
        <v>8023</v>
      </c>
      <c r="E2510" s="428" t="s">
        <v>171</v>
      </c>
      <c r="F2510" s="428" t="s">
        <v>8024</v>
      </c>
    </row>
    <row r="2511" spans="2:6" ht="27">
      <c r="B2511" s="620">
        <v>43482</v>
      </c>
      <c r="C2511" s="21">
        <v>43482</v>
      </c>
      <c r="D2511" s="505" t="s">
        <v>8096</v>
      </c>
      <c r="E2511" s="428" t="s">
        <v>208</v>
      </c>
      <c r="F2511" s="428" t="s">
        <v>801</v>
      </c>
    </row>
    <row r="2512" spans="2:6" ht="27">
      <c r="B2512" s="620">
        <v>43486</v>
      </c>
      <c r="C2512" s="21">
        <v>43486</v>
      </c>
      <c r="D2512" s="428" t="s">
        <v>8026</v>
      </c>
      <c r="E2512" s="428" t="s">
        <v>503</v>
      </c>
      <c r="F2512" s="428" t="s">
        <v>8027</v>
      </c>
    </row>
    <row r="2513" spans="2:6" ht="27">
      <c r="B2513" s="620">
        <v>43486</v>
      </c>
      <c r="C2513" s="21">
        <v>43486</v>
      </c>
      <c r="D2513" s="505" t="s">
        <v>8097</v>
      </c>
      <c r="E2513" s="428" t="s">
        <v>208</v>
      </c>
      <c r="F2513" s="428" t="s">
        <v>801</v>
      </c>
    </row>
    <row r="2514" spans="2:6" ht="54">
      <c r="B2514" s="620">
        <v>43487</v>
      </c>
      <c r="C2514" s="21">
        <v>43487</v>
      </c>
      <c r="D2514" s="428" t="s">
        <v>8029</v>
      </c>
      <c r="E2514" s="428" t="s">
        <v>625</v>
      </c>
      <c r="F2514" s="428" t="s">
        <v>6443</v>
      </c>
    </row>
    <row r="2515" spans="2:6" ht="27">
      <c r="B2515" s="620">
        <v>43487</v>
      </c>
      <c r="C2515" s="21">
        <v>43487</v>
      </c>
      <c r="D2515" s="506" t="s">
        <v>8063</v>
      </c>
      <c r="E2515" s="428" t="s">
        <v>5</v>
      </c>
      <c r="F2515" s="428" t="s">
        <v>85</v>
      </c>
    </row>
    <row r="2516" spans="2:6" ht="27">
      <c r="B2516" s="620">
        <v>43488</v>
      </c>
      <c r="C2516" s="21">
        <v>43488</v>
      </c>
      <c r="D2516" s="428" t="s">
        <v>8030</v>
      </c>
      <c r="E2516" s="428" t="s">
        <v>286</v>
      </c>
      <c r="F2516" s="428" t="s">
        <v>85</v>
      </c>
    </row>
    <row r="2517" spans="2:6" ht="27">
      <c r="B2517" s="620">
        <v>43488</v>
      </c>
      <c r="C2517" s="21">
        <v>43488</v>
      </c>
      <c r="D2517" s="506" t="s">
        <v>8087</v>
      </c>
      <c r="E2517" s="428" t="s">
        <v>63</v>
      </c>
      <c r="F2517" s="428" t="s">
        <v>801</v>
      </c>
    </row>
    <row r="2518" spans="2:6" ht="27">
      <c r="B2518" s="620">
        <v>43489</v>
      </c>
      <c r="C2518" s="21">
        <v>43489</v>
      </c>
      <c r="D2518" s="428" t="s">
        <v>8055</v>
      </c>
      <c r="E2518" s="428" t="s">
        <v>171</v>
      </c>
      <c r="F2518" s="428" t="s">
        <v>2411</v>
      </c>
    </row>
    <row r="2519" spans="2:6" ht="27">
      <c r="B2519" s="620">
        <v>43489</v>
      </c>
      <c r="C2519" s="21">
        <v>43489</v>
      </c>
      <c r="D2519" s="428" t="s">
        <v>8373</v>
      </c>
      <c r="E2519" s="428" t="s">
        <v>5</v>
      </c>
      <c r="F2519" s="428" t="s">
        <v>107</v>
      </c>
    </row>
    <row r="2520" spans="2:6" ht="27">
      <c r="B2520" s="620">
        <v>43490</v>
      </c>
      <c r="C2520" s="21">
        <v>43490</v>
      </c>
      <c r="D2520" s="506" t="s">
        <v>8090</v>
      </c>
      <c r="E2520" s="428" t="s">
        <v>171</v>
      </c>
      <c r="F2520" s="428" t="s">
        <v>1625</v>
      </c>
    </row>
    <row r="2521" spans="2:6" ht="27">
      <c r="B2521" s="620">
        <v>43490</v>
      </c>
      <c r="C2521" s="21">
        <v>43490</v>
      </c>
      <c r="D2521" s="506" t="s">
        <v>8099</v>
      </c>
      <c r="E2521" s="428" t="s">
        <v>208</v>
      </c>
      <c r="F2521" s="428" t="s">
        <v>1114</v>
      </c>
    </row>
    <row r="2522" spans="2:6" ht="27">
      <c r="B2522" s="632">
        <v>43490</v>
      </c>
      <c r="C2522" s="23">
        <v>43490</v>
      </c>
      <c r="D2522" s="194" t="s">
        <v>8372</v>
      </c>
      <c r="E2522" s="421" t="s">
        <v>208</v>
      </c>
      <c r="F2522" s="422" t="s">
        <v>8243</v>
      </c>
    </row>
    <row r="2523" spans="2:6">
      <c r="B2523" s="620">
        <v>43493</v>
      </c>
      <c r="C2523" s="21">
        <v>43493</v>
      </c>
      <c r="D2523" s="428" t="s">
        <v>8031</v>
      </c>
      <c r="E2523" s="428" t="s">
        <v>171</v>
      </c>
      <c r="F2523" s="428" t="s">
        <v>2189</v>
      </c>
    </row>
    <row r="2524" spans="2:6" ht="27">
      <c r="B2524" s="620">
        <v>43493</v>
      </c>
      <c r="C2524" s="21">
        <v>43493</v>
      </c>
      <c r="D2524" s="428" t="s">
        <v>8034</v>
      </c>
      <c r="E2524" s="428" t="s">
        <v>625</v>
      </c>
      <c r="F2524" s="428" t="s">
        <v>6473</v>
      </c>
    </row>
    <row r="2525" spans="2:6">
      <c r="B2525" s="620">
        <v>43493</v>
      </c>
      <c r="C2525" s="21">
        <v>43493</v>
      </c>
      <c r="D2525" s="428" t="s">
        <v>8037</v>
      </c>
      <c r="E2525" s="428" t="s">
        <v>625</v>
      </c>
      <c r="F2525" s="428" t="s">
        <v>2189</v>
      </c>
    </row>
    <row r="2526" spans="2:6" ht="27">
      <c r="B2526" s="620">
        <v>43493</v>
      </c>
      <c r="C2526" s="21">
        <v>43493</v>
      </c>
      <c r="D2526" s="428" t="s">
        <v>8038</v>
      </c>
      <c r="E2526" s="428" t="s">
        <v>195</v>
      </c>
      <c r="F2526" s="428" t="s">
        <v>2411</v>
      </c>
    </row>
    <row r="2527" spans="2:6" ht="27">
      <c r="B2527" s="620">
        <v>43493</v>
      </c>
      <c r="C2527" s="21">
        <v>43493</v>
      </c>
      <c r="D2527" s="506" t="s">
        <v>8098</v>
      </c>
      <c r="E2527" s="428" t="s">
        <v>5</v>
      </c>
      <c r="F2527" s="428" t="s">
        <v>801</v>
      </c>
    </row>
    <row r="2528" spans="2:6" ht="54">
      <c r="B2528" s="620">
        <v>43494</v>
      </c>
      <c r="C2528" s="21">
        <v>43494</v>
      </c>
      <c r="D2528" s="428" t="s">
        <v>8046</v>
      </c>
      <c r="E2528" s="428" t="s">
        <v>152</v>
      </c>
      <c r="F2528" s="428" t="s">
        <v>6486</v>
      </c>
    </row>
    <row r="2529" spans="1:9" ht="27">
      <c r="B2529" s="620">
        <v>43495</v>
      </c>
      <c r="C2529" s="21">
        <v>43495</v>
      </c>
      <c r="D2529" s="506" t="s">
        <v>8174</v>
      </c>
      <c r="E2529" s="428" t="s">
        <v>5</v>
      </c>
      <c r="F2529" s="428" t="s">
        <v>85</v>
      </c>
    </row>
    <row r="2530" spans="1:9" ht="27">
      <c r="B2530" s="620">
        <v>43497</v>
      </c>
      <c r="C2530" s="21">
        <v>43497</v>
      </c>
      <c r="D2530" s="428" t="s">
        <v>8093</v>
      </c>
      <c r="E2530" s="428" t="s">
        <v>576</v>
      </c>
      <c r="F2530" s="428" t="s">
        <v>2395</v>
      </c>
    </row>
    <row r="2531" spans="1:9" ht="27">
      <c r="B2531" s="620">
        <v>43497</v>
      </c>
      <c r="C2531" s="21">
        <v>43497</v>
      </c>
      <c r="D2531" s="507" t="s">
        <v>8101</v>
      </c>
      <c r="E2531" s="428" t="s">
        <v>208</v>
      </c>
      <c r="F2531" s="428" t="s">
        <v>1114</v>
      </c>
    </row>
    <row r="2532" spans="1:9" ht="27">
      <c r="B2532" s="620">
        <v>43497</v>
      </c>
      <c r="C2532" s="21">
        <v>43497</v>
      </c>
      <c r="D2532" s="507" t="s">
        <v>8102</v>
      </c>
      <c r="E2532" s="428" t="s">
        <v>208</v>
      </c>
      <c r="F2532" s="428" t="s">
        <v>1114</v>
      </c>
    </row>
    <row r="2533" spans="1:9" ht="27">
      <c r="B2533" s="620">
        <v>43500</v>
      </c>
      <c r="C2533" s="21">
        <v>43500</v>
      </c>
      <c r="D2533" s="428" t="s">
        <v>8375</v>
      </c>
      <c r="E2533" s="428" t="s">
        <v>5</v>
      </c>
      <c r="F2533" s="428" t="s">
        <v>8376</v>
      </c>
    </row>
    <row r="2534" spans="1:9" ht="27">
      <c r="B2534" s="626">
        <v>43500</v>
      </c>
      <c r="C2534" s="21">
        <v>43500</v>
      </c>
      <c r="D2534" s="428" t="s">
        <v>9008</v>
      </c>
      <c r="E2534" s="26" t="s">
        <v>586</v>
      </c>
      <c r="F2534" s="423" t="s">
        <v>9009</v>
      </c>
    </row>
    <row r="2535" spans="1:9" ht="54">
      <c r="B2535" s="620">
        <v>43501</v>
      </c>
      <c r="C2535" s="21">
        <v>43501</v>
      </c>
      <c r="D2535" s="428" t="s">
        <v>8073</v>
      </c>
      <c r="E2535" s="428" t="s">
        <v>625</v>
      </c>
      <c r="F2535" s="428" t="s">
        <v>6367</v>
      </c>
    </row>
    <row r="2536" spans="1:9" ht="54">
      <c r="B2536" s="626">
        <v>43501</v>
      </c>
      <c r="C2536" s="21">
        <v>43501</v>
      </c>
      <c r="D2536" s="428" t="s">
        <v>9004</v>
      </c>
      <c r="E2536" s="26" t="s">
        <v>171</v>
      </c>
      <c r="F2536" s="423" t="s">
        <v>9005</v>
      </c>
    </row>
    <row r="2537" spans="1:9" ht="27">
      <c r="B2537" s="620">
        <v>43502</v>
      </c>
      <c r="C2537" s="21">
        <v>43502</v>
      </c>
      <c r="D2537" s="506" t="s">
        <v>8131</v>
      </c>
      <c r="E2537" s="428" t="s">
        <v>5</v>
      </c>
      <c r="F2537" s="428" t="s">
        <v>85</v>
      </c>
    </row>
    <row r="2538" spans="1:9" ht="27">
      <c r="B2538" s="626">
        <v>43502</v>
      </c>
      <c r="C2538" s="21">
        <v>43502</v>
      </c>
      <c r="D2538" s="424" t="s">
        <v>8487</v>
      </c>
      <c r="E2538" s="428" t="s">
        <v>63</v>
      </c>
      <c r="F2538" s="428" t="s">
        <v>79</v>
      </c>
    </row>
    <row r="2539" spans="1:9" ht="27">
      <c r="B2539" s="616">
        <v>43502</v>
      </c>
      <c r="C2539" s="21">
        <v>43502</v>
      </c>
      <c r="D2539" s="22" t="s">
        <v>8488</v>
      </c>
      <c r="E2539" s="422" t="s">
        <v>5</v>
      </c>
      <c r="F2539" s="422" t="s">
        <v>79</v>
      </c>
    </row>
    <row r="2540" spans="1:9" ht="27">
      <c r="A2540" s="494"/>
      <c r="B2540" s="637">
        <v>43502</v>
      </c>
      <c r="C2540" s="23">
        <v>43502</v>
      </c>
      <c r="D2540" s="201" t="s">
        <v>8489</v>
      </c>
      <c r="E2540" s="201" t="s">
        <v>5</v>
      </c>
      <c r="F2540" s="428" t="s">
        <v>79</v>
      </c>
      <c r="G2540" s="1"/>
      <c r="H2540" s="1"/>
      <c r="I2540" s="1"/>
    </row>
    <row r="2541" spans="1:9" ht="40.5">
      <c r="B2541" s="620">
        <v>43503</v>
      </c>
      <c r="C2541" s="21">
        <v>43503</v>
      </c>
      <c r="D2541" s="506" t="s">
        <v>8188</v>
      </c>
      <c r="E2541" s="428" t="s">
        <v>171</v>
      </c>
      <c r="F2541" s="428" t="s">
        <v>8189</v>
      </c>
    </row>
    <row r="2542" spans="1:9" ht="40.5">
      <c r="B2542" s="620">
        <v>43504</v>
      </c>
      <c r="C2542" s="21">
        <v>43504</v>
      </c>
      <c r="D2542" s="506" t="s">
        <v>8175</v>
      </c>
      <c r="E2542" s="428" t="s">
        <v>208</v>
      </c>
      <c r="F2542" s="428" t="s">
        <v>7998</v>
      </c>
    </row>
    <row r="2543" spans="1:9" ht="40.5">
      <c r="B2543" s="620">
        <v>43504</v>
      </c>
      <c r="C2543" s="21">
        <v>43504</v>
      </c>
      <c r="D2543" s="506" t="s">
        <v>8175</v>
      </c>
      <c r="E2543" s="428" t="s">
        <v>208</v>
      </c>
      <c r="F2543" s="428" t="s">
        <v>7998</v>
      </c>
    </row>
    <row r="2544" spans="1:9" ht="27">
      <c r="B2544" s="616">
        <v>43504</v>
      </c>
      <c r="C2544" s="21">
        <v>43504</v>
      </c>
      <c r="D2544" s="22" t="s">
        <v>8374</v>
      </c>
      <c r="E2544" s="422" t="s">
        <v>63</v>
      </c>
      <c r="F2544" s="422" t="s">
        <v>8367</v>
      </c>
    </row>
    <row r="2545" spans="2:7" ht="27">
      <c r="B2545" s="620">
        <v>43507</v>
      </c>
      <c r="C2545" s="21">
        <v>43507</v>
      </c>
      <c r="D2545" s="428" t="s">
        <v>8382</v>
      </c>
      <c r="E2545" s="428" t="s">
        <v>5</v>
      </c>
      <c r="F2545" s="428" t="s">
        <v>85</v>
      </c>
    </row>
    <row r="2546" spans="2:7" ht="27">
      <c r="B2546" s="621">
        <v>43507</v>
      </c>
      <c r="C2546" s="146">
        <v>43507</v>
      </c>
      <c r="D2546" s="428" t="s">
        <v>8490</v>
      </c>
      <c r="E2546" s="141" t="s">
        <v>63</v>
      </c>
      <c r="F2546" s="141" t="s">
        <v>79</v>
      </c>
    </row>
    <row r="2547" spans="2:7" ht="54">
      <c r="B2547" s="616">
        <v>43508</v>
      </c>
      <c r="C2547" s="23">
        <v>43508</v>
      </c>
      <c r="D2547" s="22" t="s">
        <v>8186</v>
      </c>
      <c r="E2547" s="421" t="s">
        <v>208</v>
      </c>
      <c r="F2547" s="422" t="s">
        <v>8187</v>
      </c>
      <c r="G2547" s="533"/>
    </row>
    <row r="2548" spans="2:7" ht="27">
      <c r="B2548" s="616">
        <v>43508</v>
      </c>
      <c r="C2548" s="21">
        <v>43508</v>
      </c>
      <c r="D2548" s="22" t="s">
        <v>8491</v>
      </c>
      <c r="E2548" s="422" t="s">
        <v>208</v>
      </c>
      <c r="F2548" s="422" t="s">
        <v>1114</v>
      </c>
    </row>
    <row r="2549" spans="2:7" ht="27">
      <c r="B2549" s="620">
        <v>43509</v>
      </c>
      <c r="C2549" s="21">
        <v>43509</v>
      </c>
      <c r="D2549" s="428" t="s">
        <v>8366</v>
      </c>
      <c r="E2549" s="26" t="s">
        <v>63</v>
      </c>
      <c r="F2549" s="423" t="s">
        <v>8367</v>
      </c>
    </row>
    <row r="2550" spans="2:7" ht="40.5">
      <c r="B2550" s="616">
        <v>43509</v>
      </c>
      <c r="C2550" s="21">
        <v>43509</v>
      </c>
      <c r="D2550" s="22" t="s">
        <v>8184</v>
      </c>
      <c r="E2550" s="422" t="s">
        <v>208</v>
      </c>
      <c r="F2550" s="422" t="s">
        <v>7998</v>
      </c>
      <c r="G2550" s="533"/>
    </row>
    <row r="2551" spans="2:7" ht="27">
      <c r="B2551" s="620">
        <v>43510</v>
      </c>
      <c r="C2551" s="21">
        <v>43510</v>
      </c>
      <c r="D2551" s="506" t="s">
        <v>8133</v>
      </c>
      <c r="E2551" s="428" t="s">
        <v>5</v>
      </c>
      <c r="F2551" s="428" t="s">
        <v>85</v>
      </c>
    </row>
    <row r="2552" spans="2:7">
      <c r="B2552" s="616">
        <v>43510</v>
      </c>
      <c r="C2552" s="21">
        <v>43510</v>
      </c>
      <c r="D2552" s="22" t="s">
        <v>8279</v>
      </c>
      <c r="E2552" s="422" t="s">
        <v>63</v>
      </c>
      <c r="F2552" s="422" t="s">
        <v>8280</v>
      </c>
    </row>
    <row r="2553" spans="2:7" ht="54">
      <c r="B2553" s="626">
        <v>43510</v>
      </c>
      <c r="C2553" s="21">
        <v>43510</v>
      </c>
      <c r="D2553" s="424" t="s">
        <v>8183</v>
      </c>
      <c r="E2553" s="26" t="s">
        <v>1493</v>
      </c>
      <c r="F2553" s="423" t="s">
        <v>6367</v>
      </c>
    </row>
    <row r="2554" spans="2:7" ht="27">
      <c r="B2554" s="620">
        <v>43511</v>
      </c>
      <c r="C2554" s="21">
        <v>43511</v>
      </c>
      <c r="D2554" s="428" t="s">
        <v>8383</v>
      </c>
      <c r="E2554" s="428" t="s">
        <v>5</v>
      </c>
      <c r="F2554" s="422" t="s">
        <v>8243</v>
      </c>
    </row>
    <row r="2555" spans="2:7">
      <c r="B2555" s="616">
        <v>43511</v>
      </c>
      <c r="C2555" s="21">
        <v>43511</v>
      </c>
      <c r="D2555" s="22" t="s">
        <v>171</v>
      </c>
      <c r="E2555" s="422" t="s">
        <v>171</v>
      </c>
      <c r="F2555" s="422" t="s">
        <v>8122</v>
      </c>
      <c r="G2555" s="533"/>
    </row>
    <row r="2556" spans="2:7" ht="27">
      <c r="B2556" s="616">
        <v>43511</v>
      </c>
      <c r="C2556" s="21">
        <v>43511</v>
      </c>
      <c r="D2556" s="22" t="s">
        <v>8577</v>
      </c>
      <c r="E2556" s="422" t="s">
        <v>5</v>
      </c>
      <c r="F2556" s="422" t="s">
        <v>79</v>
      </c>
    </row>
    <row r="2557" spans="2:7" ht="27">
      <c r="B2557" s="616">
        <v>43517</v>
      </c>
      <c r="C2557" s="21">
        <v>43517</v>
      </c>
      <c r="D2557" s="22" t="s">
        <v>8281</v>
      </c>
      <c r="E2557" s="422" t="s">
        <v>5</v>
      </c>
      <c r="F2557" s="422" t="s">
        <v>85</v>
      </c>
    </row>
    <row r="2558" spans="2:7" ht="27">
      <c r="B2558" s="616">
        <v>43517</v>
      </c>
      <c r="C2558" s="23">
        <v>43517</v>
      </c>
      <c r="D2558" s="22" t="s">
        <v>8368</v>
      </c>
      <c r="E2558" s="422" t="s">
        <v>5</v>
      </c>
      <c r="F2558" s="422" t="s">
        <v>8367</v>
      </c>
    </row>
    <row r="2559" spans="2:7" ht="27">
      <c r="B2559" s="632">
        <v>43518</v>
      </c>
      <c r="C2559" s="23">
        <v>43518</v>
      </c>
      <c r="D2559" s="194" t="s">
        <v>8384</v>
      </c>
      <c r="E2559" s="421" t="s">
        <v>5</v>
      </c>
      <c r="F2559" s="422" t="s">
        <v>85</v>
      </c>
    </row>
    <row r="2560" spans="2:7" ht="27">
      <c r="B2560" s="632">
        <v>43518</v>
      </c>
      <c r="C2560" s="23">
        <v>43518</v>
      </c>
      <c r="D2560" s="194" t="s">
        <v>8385</v>
      </c>
      <c r="E2560" s="421" t="s">
        <v>5</v>
      </c>
      <c r="F2560" s="422" t="s">
        <v>85</v>
      </c>
    </row>
    <row r="2561" spans="2:7" ht="40.5">
      <c r="B2561" s="626">
        <v>43521</v>
      </c>
      <c r="C2561" s="21">
        <v>43521</v>
      </c>
      <c r="D2561" s="428" t="s">
        <v>9006</v>
      </c>
      <c r="E2561" s="26" t="s">
        <v>171</v>
      </c>
      <c r="F2561" s="423" t="s">
        <v>9007</v>
      </c>
    </row>
    <row r="2562" spans="2:7" ht="27">
      <c r="B2562" s="620">
        <v>43522</v>
      </c>
      <c r="C2562" s="21">
        <v>43522</v>
      </c>
      <c r="D2562" s="428" t="s">
        <v>8492</v>
      </c>
      <c r="E2562" s="428" t="s">
        <v>208</v>
      </c>
      <c r="F2562" s="428" t="s">
        <v>8447</v>
      </c>
    </row>
    <row r="2563" spans="2:7" ht="27">
      <c r="B2563" s="616">
        <v>43523</v>
      </c>
      <c r="C2563" s="21">
        <v>43523</v>
      </c>
      <c r="D2563" s="22" t="s">
        <v>8298</v>
      </c>
      <c r="E2563" s="422" t="s">
        <v>5</v>
      </c>
      <c r="F2563" s="422" t="s">
        <v>85</v>
      </c>
    </row>
    <row r="2564" spans="2:7" ht="40.5">
      <c r="B2564" s="626">
        <v>43523</v>
      </c>
      <c r="C2564" s="21">
        <v>43523</v>
      </c>
      <c r="D2564" s="428" t="s">
        <v>8593</v>
      </c>
      <c r="E2564" s="26" t="s">
        <v>171</v>
      </c>
      <c r="F2564" s="423" t="s">
        <v>274</v>
      </c>
    </row>
    <row r="2565" spans="2:7" ht="54">
      <c r="B2565" s="620">
        <v>43524</v>
      </c>
      <c r="C2565" s="21">
        <v>43524</v>
      </c>
      <c r="D2565" s="428" t="s">
        <v>8207</v>
      </c>
      <c r="E2565" s="26" t="s">
        <v>625</v>
      </c>
      <c r="F2565" s="423" t="s">
        <v>6367</v>
      </c>
    </row>
    <row r="2566" spans="2:7">
      <c r="B2566" s="626">
        <v>43524</v>
      </c>
      <c r="C2566" s="21">
        <v>43524</v>
      </c>
      <c r="D2566" s="428" t="s">
        <v>8594</v>
      </c>
      <c r="E2566" s="26" t="s">
        <v>171</v>
      </c>
      <c r="F2566" s="423" t="s">
        <v>7146</v>
      </c>
    </row>
    <row r="2567" spans="2:7" ht="27">
      <c r="B2567" s="632">
        <v>43525</v>
      </c>
      <c r="C2567" s="23">
        <v>43525</v>
      </c>
      <c r="D2567" s="194" t="s">
        <v>8300</v>
      </c>
      <c r="E2567" s="421" t="s">
        <v>5</v>
      </c>
      <c r="F2567" s="422" t="s">
        <v>79</v>
      </c>
    </row>
    <row r="2568" spans="2:7" ht="27">
      <c r="B2568" s="626">
        <v>43525</v>
      </c>
      <c r="C2568" s="21">
        <v>43525</v>
      </c>
      <c r="D2568" s="424" t="s">
        <v>8241</v>
      </c>
      <c r="E2568" s="26" t="s">
        <v>625</v>
      </c>
      <c r="F2568" s="423" t="s">
        <v>2395</v>
      </c>
      <c r="G2568" s="533"/>
    </row>
    <row r="2569" spans="2:7" ht="27">
      <c r="B2569" s="620">
        <v>43528</v>
      </c>
      <c r="C2569" s="21">
        <v>43528</v>
      </c>
      <c r="D2569" s="506" t="s">
        <v>8242</v>
      </c>
      <c r="E2569" s="428"/>
      <c r="F2569" s="428" t="s">
        <v>1114</v>
      </c>
    </row>
    <row r="2570" spans="2:7" ht="27">
      <c r="B2570" s="620">
        <v>43528</v>
      </c>
      <c r="C2570" s="21">
        <v>43528</v>
      </c>
      <c r="D2570" s="506" t="s">
        <v>8247</v>
      </c>
      <c r="E2570" s="428"/>
      <c r="F2570" s="428" t="s">
        <v>1114</v>
      </c>
    </row>
    <row r="2571" spans="2:7" ht="27">
      <c r="B2571" s="620">
        <v>43528</v>
      </c>
      <c r="C2571" s="21">
        <v>43528</v>
      </c>
      <c r="D2571" s="506" t="s">
        <v>8245</v>
      </c>
      <c r="E2571" s="428"/>
      <c r="F2571" s="428" t="s">
        <v>1114</v>
      </c>
    </row>
    <row r="2572" spans="2:7" ht="27">
      <c r="B2572" s="620">
        <v>43528</v>
      </c>
      <c r="C2572" s="21">
        <v>43528</v>
      </c>
      <c r="D2572" s="506" t="s">
        <v>8246</v>
      </c>
      <c r="E2572" s="428"/>
      <c r="F2572" s="428" t="s">
        <v>8302</v>
      </c>
    </row>
    <row r="2573" spans="2:7" ht="27">
      <c r="B2573" s="620">
        <v>43530</v>
      </c>
      <c r="C2573" s="21">
        <v>43530</v>
      </c>
      <c r="D2573" s="506" t="s">
        <v>8256</v>
      </c>
      <c r="E2573" s="428"/>
      <c r="F2573" s="428" t="s">
        <v>1114</v>
      </c>
    </row>
    <row r="2574" spans="2:7">
      <c r="B2574" s="620">
        <v>43530</v>
      </c>
      <c r="C2574" s="21">
        <v>43530</v>
      </c>
      <c r="D2574" s="506" t="s">
        <v>8254</v>
      </c>
      <c r="E2574" s="428" t="s">
        <v>171</v>
      </c>
      <c r="F2574" s="428" t="s">
        <v>777</v>
      </c>
    </row>
    <row r="2575" spans="2:7" ht="27">
      <c r="B2575" s="616">
        <v>43530</v>
      </c>
      <c r="C2575" s="21">
        <v>43530</v>
      </c>
      <c r="D2575" s="22" t="s">
        <v>8257</v>
      </c>
      <c r="E2575" s="422" t="s">
        <v>5</v>
      </c>
      <c r="F2575" s="422" t="s">
        <v>8367</v>
      </c>
    </row>
    <row r="2576" spans="2:7" ht="27">
      <c r="B2576" s="619">
        <v>43530</v>
      </c>
      <c r="C2576" s="144">
        <v>43530</v>
      </c>
      <c r="D2576" s="145" t="s">
        <v>8258</v>
      </c>
      <c r="E2576" s="141" t="s">
        <v>5</v>
      </c>
      <c r="F2576" s="141" t="s">
        <v>79</v>
      </c>
      <c r="G2576" s="220"/>
    </row>
    <row r="2577" spans="2:7" ht="27">
      <c r="B2577" s="620">
        <v>43530</v>
      </c>
      <c r="C2577" s="21">
        <v>43530</v>
      </c>
      <c r="D2577" s="428" t="s">
        <v>8259</v>
      </c>
      <c r="E2577" s="26" t="s">
        <v>5</v>
      </c>
      <c r="F2577" s="423" t="s">
        <v>79</v>
      </c>
    </row>
    <row r="2578" spans="2:7" ht="27">
      <c r="B2578" s="620">
        <v>43530</v>
      </c>
      <c r="C2578" s="21">
        <v>43530</v>
      </c>
      <c r="D2578" s="428" t="s">
        <v>8233</v>
      </c>
      <c r="E2578" s="26" t="s">
        <v>5</v>
      </c>
      <c r="F2578" s="423" t="s">
        <v>8367</v>
      </c>
    </row>
    <row r="2579" spans="2:7" ht="27">
      <c r="B2579" s="626">
        <v>43531</v>
      </c>
      <c r="C2579" s="21">
        <v>43531</v>
      </c>
      <c r="D2579" s="424" t="s">
        <v>8239</v>
      </c>
      <c r="E2579" s="26" t="s">
        <v>5</v>
      </c>
      <c r="F2579" s="423" t="s">
        <v>8367</v>
      </c>
    </row>
    <row r="2580" spans="2:7" ht="27">
      <c r="B2580" s="621">
        <v>43531</v>
      </c>
      <c r="C2580" s="146">
        <v>43531</v>
      </c>
      <c r="D2580" s="174" t="s">
        <v>8244</v>
      </c>
      <c r="E2580" s="172" t="s">
        <v>63</v>
      </c>
      <c r="F2580" s="141" t="s">
        <v>85</v>
      </c>
    </row>
    <row r="2581" spans="2:7" ht="27">
      <c r="B2581" s="620">
        <v>43531</v>
      </c>
      <c r="C2581" s="21">
        <v>43531</v>
      </c>
      <c r="D2581" s="428" t="s">
        <v>8386</v>
      </c>
      <c r="E2581" s="428" t="s">
        <v>208</v>
      </c>
      <c r="F2581" s="141" t="s">
        <v>85</v>
      </c>
    </row>
    <row r="2582" spans="2:7" ht="27">
      <c r="B2582" s="626">
        <v>43531</v>
      </c>
      <c r="C2582" s="21">
        <v>43531</v>
      </c>
      <c r="D2582" s="424" t="s">
        <v>8224</v>
      </c>
      <c r="E2582" s="26" t="s">
        <v>625</v>
      </c>
      <c r="F2582" s="26" t="s">
        <v>2395</v>
      </c>
      <c r="G2582" s="533"/>
    </row>
    <row r="2583" spans="2:7" ht="27">
      <c r="B2583" s="620">
        <v>43532</v>
      </c>
      <c r="C2583" s="21">
        <v>43532</v>
      </c>
      <c r="D2583" s="428" t="s">
        <v>8387</v>
      </c>
      <c r="E2583" s="428" t="s">
        <v>63</v>
      </c>
      <c r="F2583" s="141" t="s">
        <v>85</v>
      </c>
    </row>
    <row r="2584" spans="2:7" ht="27">
      <c r="B2584" s="632">
        <v>43535</v>
      </c>
      <c r="C2584" s="23">
        <v>43535</v>
      </c>
      <c r="D2584" s="194" t="s">
        <v>8394</v>
      </c>
      <c r="E2584" s="421" t="s">
        <v>5</v>
      </c>
      <c r="F2584" s="422" t="s">
        <v>85</v>
      </c>
    </row>
    <row r="2585" spans="2:7" ht="27">
      <c r="B2585" s="620">
        <v>43536</v>
      </c>
      <c r="C2585" s="21">
        <v>43536</v>
      </c>
      <c r="D2585" s="506" t="s">
        <v>8303</v>
      </c>
      <c r="E2585" s="428"/>
      <c r="F2585" s="423" t="s">
        <v>79</v>
      </c>
    </row>
    <row r="2586" spans="2:7" ht="27">
      <c r="B2586" s="620">
        <v>43536</v>
      </c>
      <c r="C2586" s="21">
        <v>43536</v>
      </c>
      <c r="D2586" s="428" t="s">
        <v>8397</v>
      </c>
      <c r="E2586" s="428" t="s">
        <v>63</v>
      </c>
      <c r="F2586" s="428" t="s">
        <v>85</v>
      </c>
      <c r="G2586" s="533"/>
    </row>
    <row r="2587" spans="2:7" ht="27">
      <c r="B2587" s="626">
        <v>43536</v>
      </c>
      <c r="C2587" s="21">
        <v>43536</v>
      </c>
      <c r="D2587" s="424" t="s">
        <v>8306</v>
      </c>
      <c r="E2587" s="26" t="s">
        <v>286</v>
      </c>
      <c r="F2587" s="26" t="s">
        <v>85</v>
      </c>
      <c r="G2587" s="533"/>
    </row>
    <row r="2588" spans="2:7" ht="27">
      <c r="B2588" s="616">
        <v>43536</v>
      </c>
      <c r="C2588" s="21">
        <v>43536</v>
      </c>
      <c r="D2588" s="22" t="s">
        <v>8618</v>
      </c>
      <c r="E2588" s="422" t="s">
        <v>625</v>
      </c>
      <c r="F2588" s="422" t="s">
        <v>6163</v>
      </c>
    </row>
    <row r="2589" spans="2:7" ht="27">
      <c r="B2589" s="620">
        <v>43537</v>
      </c>
      <c r="C2589" s="21">
        <v>43537</v>
      </c>
      <c r="D2589" s="428" t="s">
        <v>8292</v>
      </c>
      <c r="E2589" s="26" t="s">
        <v>625</v>
      </c>
      <c r="F2589" s="423" t="s">
        <v>8293</v>
      </c>
    </row>
    <row r="2590" spans="2:7" ht="54">
      <c r="B2590" s="626">
        <v>43537</v>
      </c>
      <c r="C2590" s="21">
        <v>43537</v>
      </c>
      <c r="D2590" s="428" t="s">
        <v>8655</v>
      </c>
      <c r="E2590" s="26" t="s">
        <v>625</v>
      </c>
      <c r="F2590" s="423" t="s">
        <v>6736</v>
      </c>
    </row>
    <row r="2591" spans="2:7" ht="27">
      <c r="B2591" s="620">
        <v>43538</v>
      </c>
      <c r="C2591" s="21">
        <v>43538</v>
      </c>
      <c r="D2591" s="428" t="s">
        <v>8393</v>
      </c>
      <c r="E2591" s="428" t="s">
        <v>63</v>
      </c>
      <c r="F2591" s="422" t="s">
        <v>1114</v>
      </c>
    </row>
    <row r="2592" spans="2:7" ht="27">
      <c r="B2592" s="620">
        <v>43538</v>
      </c>
      <c r="C2592" s="21">
        <v>43538</v>
      </c>
      <c r="D2592" s="428" t="s">
        <v>8401</v>
      </c>
      <c r="E2592" s="428" t="s">
        <v>5</v>
      </c>
      <c r="F2592" s="423" t="s">
        <v>8367</v>
      </c>
      <c r="G2592" s="533"/>
    </row>
    <row r="2593" spans="2:7" ht="27">
      <c r="B2593" s="626">
        <v>43539</v>
      </c>
      <c r="C2593" s="21">
        <v>43539</v>
      </c>
      <c r="D2593" s="424" t="s">
        <v>8369</v>
      </c>
      <c r="E2593" s="26" t="s">
        <v>5</v>
      </c>
      <c r="F2593" s="26" t="s">
        <v>79</v>
      </c>
      <c r="G2593" s="533"/>
    </row>
    <row r="2594" spans="2:7" ht="54">
      <c r="B2594" s="626">
        <v>43539</v>
      </c>
      <c r="C2594" s="21">
        <v>43539</v>
      </c>
      <c r="D2594" s="428" t="s">
        <v>8851</v>
      </c>
      <c r="E2594" s="26" t="s">
        <v>94</v>
      </c>
      <c r="F2594" s="423" t="s">
        <v>6174</v>
      </c>
    </row>
    <row r="2595" spans="2:7" ht="27">
      <c r="B2595" s="620">
        <v>43542</v>
      </c>
      <c r="C2595" s="21">
        <v>43542</v>
      </c>
      <c r="D2595" s="428" t="s">
        <v>8395</v>
      </c>
      <c r="E2595" s="428" t="s">
        <v>5</v>
      </c>
      <c r="F2595" s="422" t="s">
        <v>1114</v>
      </c>
    </row>
    <row r="2596" spans="2:7" ht="27">
      <c r="B2596" s="620">
        <v>43542</v>
      </c>
      <c r="C2596" s="21">
        <v>43542</v>
      </c>
      <c r="D2596" s="428" t="s">
        <v>8396</v>
      </c>
      <c r="E2596" s="428" t="s">
        <v>208</v>
      </c>
      <c r="F2596" s="422" t="s">
        <v>1114</v>
      </c>
    </row>
    <row r="2597" spans="2:7" ht="27">
      <c r="B2597" s="620">
        <v>43542</v>
      </c>
      <c r="C2597" s="21">
        <v>43542</v>
      </c>
      <c r="D2597" s="428" t="s">
        <v>8403</v>
      </c>
      <c r="E2597" s="428" t="s">
        <v>5</v>
      </c>
      <c r="F2597" s="428" t="s">
        <v>85</v>
      </c>
      <c r="G2597" s="533"/>
    </row>
    <row r="2598" spans="2:7" ht="27">
      <c r="B2598" s="620">
        <v>43542</v>
      </c>
      <c r="C2598" s="21">
        <v>43542</v>
      </c>
      <c r="D2598" s="428" t="s">
        <v>8404</v>
      </c>
      <c r="E2598" s="428" t="s">
        <v>5</v>
      </c>
      <c r="F2598" s="428" t="s">
        <v>85</v>
      </c>
      <c r="G2598" s="533"/>
    </row>
    <row r="2599" spans="2:7" ht="27">
      <c r="B2599" s="620">
        <v>43542</v>
      </c>
      <c r="C2599" s="21">
        <v>43542</v>
      </c>
      <c r="D2599" s="428" t="s">
        <v>8624</v>
      </c>
      <c r="E2599" s="26" t="s">
        <v>576</v>
      </c>
      <c r="F2599" s="423" t="s">
        <v>2411</v>
      </c>
    </row>
    <row r="2600" spans="2:7" ht="27">
      <c r="B2600" s="620">
        <v>43543</v>
      </c>
      <c r="C2600" s="21">
        <v>43543</v>
      </c>
      <c r="D2600" s="428" t="s">
        <v>8286</v>
      </c>
      <c r="E2600" s="26" t="s">
        <v>576</v>
      </c>
      <c r="F2600" s="423" t="s">
        <v>2411</v>
      </c>
    </row>
    <row r="2601" spans="2:7" ht="27">
      <c r="B2601" s="620">
        <v>43543</v>
      </c>
      <c r="C2601" s="21">
        <v>43543</v>
      </c>
      <c r="D2601" s="428" t="s">
        <v>8398</v>
      </c>
      <c r="E2601" s="428" t="s">
        <v>63</v>
      </c>
      <c r="F2601" s="428" t="s">
        <v>5332</v>
      </c>
      <c r="G2601" s="533"/>
    </row>
    <row r="2602" spans="2:7" ht="54">
      <c r="B2602" s="620">
        <v>43543</v>
      </c>
      <c r="C2602" s="21">
        <v>43543</v>
      </c>
      <c r="D2602" s="428" t="s">
        <v>8420</v>
      </c>
      <c r="E2602" s="26" t="s">
        <v>625</v>
      </c>
      <c r="F2602" s="423" t="s">
        <v>6367</v>
      </c>
      <c r="G2602" s="533"/>
    </row>
    <row r="2603" spans="2:7" ht="27">
      <c r="B2603" s="620">
        <v>43544</v>
      </c>
      <c r="C2603" s="21">
        <v>43544</v>
      </c>
      <c r="D2603" s="428" t="s">
        <v>8405</v>
      </c>
      <c r="E2603" s="428" t="s">
        <v>5</v>
      </c>
      <c r="F2603" s="428" t="s">
        <v>85</v>
      </c>
      <c r="G2603" s="533"/>
    </row>
    <row r="2604" spans="2:7" ht="27">
      <c r="B2604" s="616">
        <v>43545</v>
      </c>
      <c r="C2604" s="21">
        <v>43545</v>
      </c>
      <c r="D2604" s="22" t="s">
        <v>8288</v>
      </c>
      <c r="E2604" s="422" t="s">
        <v>625</v>
      </c>
      <c r="F2604" s="422" t="s">
        <v>1495</v>
      </c>
    </row>
    <row r="2605" spans="2:7" ht="27">
      <c r="B2605" s="620">
        <v>43545</v>
      </c>
      <c r="C2605" s="21">
        <v>43545</v>
      </c>
      <c r="D2605" s="428" t="s">
        <v>8402</v>
      </c>
      <c r="E2605" s="428" t="s">
        <v>5</v>
      </c>
      <c r="F2605" s="422" t="s">
        <v>1114</v>
      </c>
      <c r="G2605" s="533"/>
    </row>
    <row r="2606" spans="2:7" ht="40.5">
      <c r="B2606" s="626">
        <v>43545</v>
      </c>
      <c r="C2606" s="21">
        <v>43545</v>
      </c>
      <c r="D2606" s="428" t="s">
        <v>8627</v>
      </c>
      <c r="E2606" s="26" t="s">
        <v>171</v>
      </c>
      <c r="F2606" s="423" t="s">
        <v>8628</v>
      </c>
    </row>
    <row r="2607" spans="2:7" ht="27">
      <c r="B2607" s="626">
        <v>43550</v>
      </c>
      <c r="C2607" s="21">
        <v>43550</v>
      </c>
      <c r="D2607" s="424" t="s">
        <v>8297</v>
      </c>
      <c r="E2607" s="26" t="s">
        <v>195</v>
      </c>
      <c r="F2607" s="26" t="s">
        <v>1491</v>
      </c>
    </row>
    <row r="2608" spans="2:7" ht="54">
      <c r="B2608" s="626">
        <v>43550</v>
      </c>
      <c r="C2608" s="21">
        <v>43550</v>
      </c>
      <c r="D2608" s="428" t="s">
        <v>8852</v>
      </c>
      <c r="E2608" s="26" t="s">
        <v>94</v>
      </c>
      <c r="F2608" s="423" t="s">
        <v>6443</v>
      </c>
    </row>
    <row r="2609" spans="1:9" ht="27">
      <c r="B2609" s="620">
        <v>43551</v>
      </c>
      <c r="C2609" s="21">
        <v>43551</v>
      </c>
      <c r="D2609" s="428" t="s">
        <v>8290</v>
      </c>
      <c r="E2609" s="26" t="s">
        <v>625</v>
      </c>
      <c r="F2609" s="423" t="s">
        <v>2411</v>
      </c>
    </row>
    <row r="2610" spans="1:9" ht="27">
      <c r="B2610" s="620">
        <v>43551</v>
      </c>
      <c r="C2610" s="21">
        <v>43551</v>
      </c>
      <c r="D2610" s="428" t="s">
        <v>8408</v>
      </c>
      <c r="E2610" s="428" t="s">
        <v>5</v>
      </c>
      <c r="F2610" s="428" t="s">
        <v>85</v>
      </c>
      <c r="G2610" s="533"/>
    </row>
    <row r="2611" spans="1:9" ht="27">
      <c r="B2611" s="620">
        <v>43551</v>
      </c>
      <c r="C2611" s="21">
        <v>43551</v>
      </c>
      <c r="D2611" s="428" t="s">
        <v>8409</v>
      </c>
      <c r="E2611" s="428" t="s">
        <v>5</v>
      </c>
      <c r="F2611" s="428" t="s">
        <v>85</v>
      </c>
      <c r="G2611" s="533"/>
    </row>
    <row r="2612" spans="1:9" ht="27">
      <c r="B2612" s="620">
        <v>43551</v>
      </c>
      <c r="C2612" s="21">
        <v>43551</v>
      </c>
      <c r="D2612" s="428" t="s">
        <v>8412</v>
      </c>
      <c r="E2612" s="428" t="s">
        <v>5</v>
      </c>
      <c r="F2612" s="428" t="s">
        <v>85</v>
      </c>
      <c r="G2612" s="533"/>
    </row>
    <row r="2613" spans="1:9" ht="27">
      <c r="B2613" s="616">
        <v>43551</v>
      </c>
      <c r="C2613" s="21">
        <v>43551</v>
      </c>
      <c r="D2613" s="22" t="s">
        <v>8481</v>
      </c>
      <c r="E2613" s="422" t="s">
        <v>5</v>
      </c>
      <c r="F2613" s="422" t="s">
        <v>79</v>
      </c>
    </row>
    <row r="2614" spans="1:9" ht="27">
      <c r="B2614" s="616">
        <v>43551</v>
      </c>
      <c r="C2614" s="21">
        <v>43551</v>
      </c>
      <c r="D2614" s="22" t="s">
        <v>8493</v>
      </c>
      <c r="E2614" s="422" t="s">
        <v>5</v>
      </c>
      <c r="F2614" s="422" t="s">
        <v>79</v>
      </c>
    </row>
    <row r="2615" spans="1:9" ht="27">
      <c r="B2615" s="620">
        <v>43552</v>
      </c>
      <c r="C2615" s="21">
        <v>43552</v>
      </c>
      <c r="D2615" s="428" t="s">
        <v>8406</v>
      </c>
      <c r="E2615" s="428" t="s">
        <v>3534</v>
      </c>
      <c r="F2615" s="428" t="s">
        <v>8407</v>
      </c>
      <c r="G2615" s="533"/>
    </row>
    <row r="2616" spans="1:9" ht="27">
      <c r="B2616" s="620">
        <v>43553</v>
      </c>
      <c r="C2616" s="21">
        <v>43553</v>
      </c>
      <c r="D2616" s="428" t="s">
        <v>8410</v>
      </c>
      <c r="E2616" s="428" t="s">
        <v>5</v>
      </c>
      <c r="F2616" s="428" t="s">
        <v>8411</v>
      </c>
      <c r="G2616" s="533"/>
    </row>
    <row r="2617" spans="1:9" ht="27">
      <c r="B2617" s="616">
        <v>43553</v>
      </c>
      <c r="C2617" s="21">
        <v>43553</v>
      </c>
      <c r="D2617" s="22" t="s">
        <v>8482</v>
      </c>
      <c r="E2617" s="422" t="s">
        <v>5</v>
      </c>
      <c r="F2617" s="422" t="s">
        <v>79</v>
      </c>
    </row>
    <row r="2618" spans="1:9" ht="27">
      <c r="B2618" s="616">
        <v>43553</v>
      </c>
      <c r="C2618" s="21">
        <v>43553</v>
      </c>
      <c r="D2618" s="22" t="s">
        <v>8496</v>
      </c>
      <c r="E2618" s="422" t="s">
        <v>63</v>
      </c>
      <c r="F2618" s="422" t="s">
        <v>85</v>
      </c>
    </row>
    <row r="2619" spans="1:9" ht="27">
      <c r="B2619" s="616">
        <v>43553</v>
      </c>
      <c r="C2619" s="21">
        <v>43553</v>
      </c>
      <c r="D2619" s="22" t="s">
        <v>8595</v>
      </c>
      <c r="E2619" s="422" t="s">
        <v>5</v>
      </c>
      <c r="F2619" s="422" t="s">
        <v>85</v>
      </c>
    </row>
    <row r="2620" spans="1:9" s="1" customFormat="1" ht="27">
      <c r="A2620" s="493"/>
      <c r="B2620" s="620">
        <v>43556</v>
      </c>
      <c r="C2620" s="21">
        <v>43556</v>
      </c>
      <c r="D2620" s="428" t="s">
        <v>8363</v>
      </c>
      <c r="E2620" s="26" t="s">
        <v>63</v>
      </c>
      <c r="F2620" s="423" t="s">
        <v>79</v>
      </c>
      <c r="G2620" s="533"/>
      <c r="H2620"/>
      <c r="I2620"/>
    </row>
    <row r="2621" spans="1:9" ht="27">
      <c r="B2621" s="620">
        <v>43556</v>
      </c>
      <c r="C2621" s="21">
        <v>43556</v>
      </c>
      <c r="D2621" s="428" t="s">
        <v>8428</v>
      </c>
      <c r="E2621" s="26" t="s">
        <v>63</v>
      </c>
      <c r="F2621" s="423" t="s">
        <v>85</v>
      </c>
      <c r="G2621" s="533"/>
    </row>
    <row r="2622" spans="1:9" ht="27">
      <c r="B2622" s="616">
        <v>43556</v>
      </c>
      <c r="C2622" s="21">
        <v>43556</v>
      </c>
      <c r="D2622" s="22" t="s">
        <v>8427</v>
      </c>
      <c r="E2622" s="422" t="s">
        <v>63</v>
      </c>
      <c r="F2622" s="422" t="s">
        <v>85</v>
      </c>
      <c r="G2622" s="533"/>
    </row>
    <row r="2623" spans="1:9" ht="27">
      <c r="B2623" s="616">
        <v>43556</v>
      </c>
      <c r="C2623" s="21">
        <v>43556</v>
      </c>
      <c r="D2623" s="22" t="s">
        <v>8429</v>
      </c>
      <c r="E2623" s="422" t="s">
        <v>63</v>
      </c>
      <c r="F2623" s="422" t="s">
        <v>85</v>
      </c>
      <c r="G2623" s="533"/>
    </row>
    <row r="2624" spans="1:9" ht="27">
      <c r="B2624" s="620">
        <v>43556</v>
      </c>
      <c r="C2624" s="539">
        <v>43556</v>
      </c>
      <c r="D2624" s="428" t="s">
        <v>8448</v>
      </c>
      <c r="E2624" s="26" t="s">
        <v>5</v>
      </c>
      <c r="F2624" s="423" t="s">
        <v>85</v>
      </c>
      <c r="G2624" s="533"/>
    </row>
    <row r="2625" spans="2:7" ht="27">
      <c r="B2625" s="616">
        <v>43556</v>
      </c>
      <c r="C2625" s="21">
        <v>43556</v>
      </c>
      <c r="D2625" s="22" t="s">
        <v>8480</v>
      </c>
      <c r="E2625" s="422" t="s">
        <v>63</v>
      </c>
      <c r="F2625" s="422" t="s">
        <v>79</v>
      </c>
    </row>
    <row r="2626" spans="2:7" ht="27">
      <c r="B2626" s="616">
        <v>43556</v>
      </c>
      <c r="C2626" s="21">
        <v>43556</v>
      </c>
      <c r="D2626" s="22" t="s">
        <v>8485</v>
      </c>
      <c r="E2626" s="422" t="s">
        <v>63</v>
      </c>
      <c r="F2626" s="422" t="s">
        <v>85</v>
      </c>
    </row>
    <row r="2627" spans="2:7">
      <c r="B2627" s="616">
        <v>43556</v>
      </c>
      <c r="C2627" s="21">
        <v>43556</v>
      </c>
      <c r="D2627" s="22" t="s">
        <v>8497</v>
      </c>
      <c r="E2627" s="422" t="s">
        <v>63</v>
      </c>
      <c r="F2627" s="422" t="s">
        <v>169</v>
      </c>
    </row>
    <row r="2628" spans="2:7" ht="27">
      <c r="B2628" s="620">
        <v>43558</v>
      </c>
      <c r="C2628" s="21">
        <v>43558</v>
      </c>
      <c r="D2628" s="428" t="s">
        <v>8413</v>
      </c>
      <c r="E2628" s="26" t="s">
        <v>5</v>
      </c>
      <c r="F2628" s="423" t="s">
        <v>85</v>
      </c>
      <c r="G2628" s="533"/>
    </row>
    <row r="2629" spans="2:7" ht="40.5">
      <c r="B2629" s="620">
        <v>43559</v>
      </c>
      <c r="C2629" s="21"/>
      <c r="D2629" s="428" t="s">
        <v>8607</v>
      </c>
      <c r="E2629" s="428" t="s">
        <v>63</v>
      </c>
      <c r="F2629" s="428" t="s">
        <v>79</v>
      </c>
    </row>
    <row r="2630" spans="2:7" ht="27">
      <c r="B2630" s="620">
        <v>43560</v>
      </c>
      <c r="C2630" s="21">
        <v>43560</v>
      </c>
      <c r="D2630" s="428" t="s">
        <v>8414</v>
      </c>
      <c r="E2630" s="26" t="s">
        <v>5</v>
      </c>
      <c r="F2630" s="423" t="s">
        <v>85</v>
      </c>
      <c r="G2630" s="533"/>
    </row>
    <row r="2631" spans="2:7" ht="27">
      <c r="B2631" s="620">
        <v>43560</v>
      </c>
      <c r="C2631" s="21">
        <v>43560</v>
      </c>
      <c r="D2631" s="428" t="s">
        <v>8415</v>
      </c>
      <c r="E2631" s="26" t="s">
        <v>5</v>
      </c>
      <c r="F2631" s="423" t="s">
        <v>85</v>
      </c>
      <c r="G2631" s="533"/>
    </row>
    <row r="2632" spans="2:7" ht="27">
      <c r="B2632" s="620">
        <v>43560</v>
      </c>
      <c r="C2632" s="21">
        <v>43560</v>
      </c>
      <c r="D2632" s="428" t="s">
        <v>8416</v>
      </c>
      <c r="E2632" s="26" t="s">
        <v>2743</v>
      </c>
      <c r="F2632" s="423" t="s">
        <v>1114</v>
      </c>
      <c r="G2632" s="533"/>
    </row>
    <row r="2633" spans="2:7" ht="27">
      <c r="B2633" s="620">
        <v>43560</v>
      </c>
      <c r="C2633" s="21">
        <v>43560</v>
      </c>
      <c r="D2633" s="428" t="s">
        <v>8476</v>
      </c>
      <c r="E2633" s="26" t="s">
        <v>5</v>
      </c>
      <c r="F2633" s="423" t="s">
        <v>85</v>
      </c>
      <c r="G2633" s="533"/>
    </row>
    <row r="2634" spans="2:7" ht="27">
      <c r="B2634" s="626">
        <v>43560</v>
      </c>
      <c r="C2634" s="21">
        <v>43560</v>
      </c>
      <c r="D2634" s="428" t="s">
        <v>8583</v>
      </c>
      <c r="E2634" s="26" t="s">
        <v>5</v>
      </c>
      <c r="F2634" s="423" t="s">
        <v>79</v>
      </c>
    </row>
    <row r="2635" spans="2:7" ht="40.5">
      <c r="B2635" s="626">
        <v>43564</v>
      </c>
      <c r="C2635" s="21">
        <v>43564</v>
      </c>
      <c r="D2635" s="424" t="s">
        <v>8422</v>
      </c>
      <c r="E2635" s="238" t="s">
        <v>171</v>
      </c>
      <c r="F2635" s="423" t="s">
        <v>6174</v>
      </c>
      <c r="G2635" s="533"/>
    </row>
    <row r="2636" spans="2:7" ht="40.5">
      <c r="B2636" s="620">
        <v>43564</v>
      </c>
      <c r="C2636" s="21">
        <v>43564</v>
      </c>
      <c r="D2636" s="428" t="s">
        <v>8423</v>
      </c>
      <c r="E2636" s="26" t="s">
        <v>576</v>
      </c>
      <c r="F2636" s="423" t="s">
        <v>6174</v>
      </c>
      <c r="G2636" s="533"/>
    </row>
    <row r="2637" spans="2:7" ht="27">
      <c r="B2637" s="616">
        <v>43564</v>
      </c>
      <c r="C2637" s="21">
        <v>43564</v>
      </c>
      <c r="D2637" s="21" t="s">
        <v>8446</v>
      </c>
      <c r="E2637" s="422" t="s">
        <v>208</v>
      </c>
      <c r="F2637" s="422" t="s">
        <v>8447</v>
      </c>
      <c r="G2637" s="533"/>
    </row>
    <row r="2638" spans="2:7" ht="27">
      <c r="B2638" s="626">
        <v>43564</v>
      </c>
      <c r="C2638" s="21">
        <v>43564</v>
      </c>
      <c r="D2638" s="424" t="s">
        <v>8585</v>
      </c>
      <c r="E2638" s="236" t="s">
        <v>5</v>
      </c>
      <c r="F2638" s="428" t="s">
        <v>79</v>
      </c>
    </row>
    <row r="2639" spans="2:7" ht="27">
      <c r="B2639" s="620">
        <v>43564</v>
      </c>
      <c r="C2639" s="21">
        <v>43564</v>
      </c>
      <c r="D2639" s="22" t="s">
        <v>8586</v>
      </c>
      <c r="E2639" s="422" t="s">
        <v>5</v>
      </c>
      <c r="F2639" s="422" t="s">
        <v>85</v>
      </c>
    </row>
    <row r="2640" spans="2:7" ht="27">
      <c r="B2640" s="616">
        <v>43564</v>
      </c>
      <c r="C2640" s="21">
        <v>43564</v>
      </c>
      <c r="D2640" s="22" t="s">
        <v>8665</v>
      </c>
      <c r="E2640" s="422" t="s">
        <v>208</v>
      </c>
      <c r="F2640" s="422" t="s">
        <v>8243</v>
      </c>
    </row>
    <row r="2641" spans="2:7" ht="27">
      <c r="B2641" s="626">
        <v>43564</v>
      </c>
      <c r="C2641" s="21">
        <v>43564</v>
      </c>
      <c r="D2641" s="424" t="s">
        <v>8657</v>
      </c>
      <c r="E2641" s="26" t="s">
        <v>5</v>
      </c>
      <c r="F2641" s="428" t="s">
        <v>79</v>
      </c>
    </row>
    <row r="2642" spans="2:7" ht="27">
      <c r="B2642" s="616">
        <v>43564</v>
      </c>
      <c r="C2642" s="21">
        <v>43564</v>
      </c>
      <c r="D2642" s="22" t="s">
        <v>8665</v>
      </c>
      <c r="E2642" s="422" t="s">
        <v>208</v>
      </c>
      <c r="F2642" s="422" t="s">
        <v>8243</v>
      </c>
    </row>
    <row r="2643" spans="2:7" ht="54">
      <c r="B2643" s="632">
        <v>43564</v>
      </c>
      <c r="C2643" s="23">
        <v>43564</v>
      </c>
      <c r="D2643" s="428" t="s">
        <v>8514</v>
      </c>
      <c r="E2643" s="428" t="s">
        <v>171</v>
      </c>
      <c r="F2643" s="428" t="s">
        <v>8516</v>
      </c>
    </row>
    <row r="2644" spans="2:7" ht="54">
      <c r="B2644" s="616">
        <v>43565</v>
      </c>
      <c r="C2644" s="21">
        <v>43565</v>
      </c>
      <c r="D2644" s="22" t="s">
        <v>8483</v>
      </c>
      <c r="E2644" s="422" t="s">
        <v>171</v>
      </c>
      <c r="F2644" s="422" t="s">
        <v>8484</v>
      </c>
    </row>
    <row r="2645" spans="2:7" ht="27">
      <c r="B2645" s="616">
        <v>43566</v>
      </c>
      <c r="C2645" s="23">
        <v>43566</v>
      </c>
      <c r="D2645" s="22" t="s">
        <v>8499</v>
      </c>
      <c r="E2645" s="422" t="s">
        <v>208</v>
      </c>
      <c r="F2645" s="422" t="s">
        <v>8447</v>
      </c>
    </row>
    <row r="2646" spans="2:7" ht="45" customHeight="1">
      <c r="B2646" s="626">
        <v>43566</v>
      </c>
      <c r="C2646" s="21">
        <v>43566</v>
      </c>
      <c r="D2646" s="428" t="s">
        <v>8588</v>
      </c>
      <c r="E2646" s="26" t="s">
        <v>5</v>
      </c>
      <c r="F2646" s="423" t="s">
        <v>79</v>
      </c>
    </row>
    <row r="2647" spans="2:7" ht="27">
      <c r="B2647" s="620">
        <v>43566</v>
      </c>
      <c r="C2647" s="21">
        <v>43566</v>
      </c>
      <c r="D2647" s="22" t="s">
        <v>8666</v>
      </c>
      <c r="E2647" s="428" t="s">
        <v>63</v>
      </c>
      <c r="F2647" s="422" t="s">
        <v>8243</v>
      </c>
    </row>
    <row r="2648" spans="2:7" ht="81">
      <c r="B2648" s="616">
        <v>43566</v>
      </c>
      <c r="C2648" s="21">
        <v>43566</v>
      </c>
      <c r="D2648" s="22" t="s">
        <v>8663</v>
      </c>
      <c r="E2648" s="422" t="s">
        <v>63</v>
      </c>
      <c r="F2648" s="422" t="s">
        <v>8664</v>
      </c>
    </row>
    <row r="2649" spans="2:7" ht="27">
      <c r="B2649" s="626">
        <v>43566</v>
      </c>
      <c r="C2649" s="21">
        <v>43566</v>
      </c>
      <c r="D2649" s="428" t="s">
        <v>8629</v>
      </c>
      <c r="E2649" s="26" t="s">
        <v>1493</v>
      </c>
      <c r="F2649" s="26" t="s">
        <v>1495</v>
      </c>
    </row>
    <row r="2650" spans="2:7" ht="40.5">
      <c r="B2650" s="620">
        <v>43570</v>
      </c>
      <c r="C2650" s="21">
        <v>43570</v>
      </c>
      <c r="D2650" s="428" t="s">
        <v>8434</v>
      </c>
      <c r="E2650" s="26" t="s">
        <v>576</v>
      </c>
      <c r="F2650" s="423" t="s">
        <v>6576</v>
      </c>
      <c r="G2650" s="533"/>
    </row>
    <row r="2651" spans="2:7" ht="27">
      <c r="B2651" s="626">
        <v>43570</v>
      </c>
      <c r="C2651" s="21">
        <v>43570</v>
      </c>
      <c r="D2651" s="424" t="s">
        <v>8589</v>
      </c>
      <c r="E2651" s="26" t="s">
        <v>5</v>
      </c>
      <c r="F2651" s="423" t="s">
        <v>79</v>
      </c>
    </row>
    <row r="2652" spans="2:7" ht="27">
      <c r="B2652" s="621">
        <v>43570</v>
      </c>
      <c r="C2652" s="146">
        <v>43570</v>
      </c>
      <c r="D2652" s="174" t="s">
        <v>8670</v>
      </c>
      <c r="E2652" s="172" t="s">
        <v>63</v>
      </c>
      <c r="F2652" s="141" t="s">
        <v>79</v>
      </c>
    </row>
    <row r="2653" spans="2:7" ht="27">
      <c r="B2653" s="616">
        <v>43570</v>
      </c>
      <c r="C2653" s="21">
        <v>43570</v>
      </c>
      <c r="D2653" s="22" t="s">
        <v>8671</v>
      </c>
      <c r="E2653" s="422" t="s">
        <v>208</v>
      </c>
      <c r="F2653" s="422" t="s">
        <v>85</v>
      </c>
    </row>
    <row r="2654" spans="2:7" ht="21" customHeight="1">
      <c r="B2654" s="616">
        <v>43572</v>
      </c>
      <c r="C2654" s="21">
        <v>43572</v>
      </c>
      <c r="D2654" s="22" t="s">
        <v>8672</v>
      </c>
      <c r="E2654" s="422" t="s">
        <v>5</v>
      </c>
      <c r="F2654" s="422" t="s">
        <v>8673</v>
      </c>
    </row>
    <row r="2655" spans="2:7" ht="27">
      <c r="B2655" s="616">
        <v>43577</v>
      </c>
      <c r="C2655" s="21">
        <v>43577</v>
      </c>
      <c r="D2655" s="22" t="s">
        <v>8477</v>
      </c>
      <c r="E2655" s="422" t="s">
        <v>5</v>
      </c>
      <c r="F2655" s="422" t="s">
        <v>85</v>
      </c>
    </row>
    <row r="2656" spans="2:7" ht="27">
      <c r="B2656" s="616">
        <v>43577</v>
      </c>
      <c r="C2656" s="21">
        <v>43577</v>
      </c>
      <c r="D2656" s="22" t="s">
        <v>8478</v>
      </c>
      <c r="E2656" s="422" t="s">
        <v>63</v>
      </c>
      <c r="F2656" s="422" t="s">
        <v>8447</v>
      </c>
    </row>
    <row r="2657" spans="2:6" ht="40.5">
      <c r="B2657" s="620">
        <v>43579</v>
      </c>
      <c r="C2657" s="21">
        <v>43579</v>
      </c>
      <c r="D2657" s="428" t="s">
        <v>8590</v>
      </c>
      <c r="E2657" s="428" t="s">
        <v>208</v>
      </c>
      <c r="F2657" s="428" t="s">
        <v>2161</v>
      </c>
    </row>
    <row r="2658" spans="2:6" ht="27">
      <c r="B2658" s="616">
        <v>43579</v>
      </c>
      <c r="C2658" s="21">
        <v>43579</v>
      </c>
      <c r="D2658" s="22" t="s">
        <v>8591</v>
      </c>
      <c r="E2658" s="422" t="s">
        <v>208</v>
      </c>
      <c r="F2658" s="422" t="s">
        <v>8243</v>
      </c>
    </row>
    <row r="2659" spans="2:6" ht="18.75" customHeight="1">
      <c r="B2659" s="616">
        <v>43579</v>
      </c>
      <c r="C2659" s="21">
        <v>43579</v>
      </c>
      <c r="D2659" s="22" t="s">
        <v>8675</v>
      </c>
      <c r="E2659" s="422" t="s">
        <v>208</v>
      </c>
      <c r="F2659" s="422" t="s">
        <v>8243</v>
      </c>
    </row>
    <row r="2660" spans="2:6" ht="54">
      <c r="B2660" s="626">
        <v>43579</v>
      </c>
      <c r="C2660" s="21">
        <v>43579</v>
      </c>
      <c r="D2660" s="428" t="s">
        <v>8633</v>
      </c>
      <c r="E2660" s="26" t="s">
        <v>625</v>
      </c>
      <c r="F2660" s="423" t="s">
        <v>8632</v>
      </c>
    </row>
    <row r="2661" spans="2:6" ht="40.5">
      <c r="B2661" s="620">
        <v>43580</v>
      </c>
      <c r="C2661" s="21">
        <v>43580</v>
      </c>
      <c r="D2661" s="22" t="s">
        <v>8669</v>
      </c>
      <c r="E2661" s="428" t="s">
        <v>5</v>
      </c>
      <c r="F2661" s="428" t="s">
        <v>8668</v>
      </c>
    </row>
    <row r="2662" spans="2:6" ht="15.75" customHeight="1">
      <c r="B2662" s="620">
        <v>43581</v>
      </c>
      <c r="C2662" s="21">
        <v>43581</v>
      </c>
      <c r="D2662" s="22" t="s">
        <v>8667</v>
      </c>
      <c r="E2662" s="428" t="s">
        <v>5</v>
      </c>
      <c r="F2662" s="428" t="s">
        <v>8668</v>
      </c>
    </row>
    <row r="2663" spans="2:6" ht="27">
      <c r="B2663" s="616">
        <v>43585</v>
      </c>
      <c r="C2663" s="21">
        <v>43585</v>
      </c>
      <c r="D2663" s="22" t="s">
        <v>8592</v>
      </c>
      <c r="E2663" s="422" t="s">
        <v>208</v>
      </c>
      <c r="F2663" s="422" t="s">
        <v>8243</v>
      </c>
    </row>
    <row r="2664" spans="2:6" ht="27">
      <c r="B2664" s="620">
        <v>43585</v>
      </c>
      <c r="C2664" s="21">
        <v>43585</v>
      </c>
      <c r="D2664" s="22" t="s">
        <v>8687</v>
      </c>
      <c r="E2664" s="422" t="s">
        <v>208</v>
      </c>
      <c r="F2664" s="428" t="s">
        <v>85</v>
      </c>
    </row>
    <row r="2665" spans="2:6" ht="40.5">
      <c r="B2665" s="626">
        <v>43585</v>
      </c>
      <c r="C2665" s="21">
        <v>43585</v>
      </c>
      <c r="D2665" s="428" t="s">
        <v>8817</v>
      </c>
      <c r="E2665" s="26" t="s">
        <v>576</v>
      </c>
      <c r="F2665" s="423" t="s">
        <v>6212</v>
      </c>
    </row>
    <row r="2666" spans="2:6" ht="27">
      <c r="B2666" s="620">
        <v>43588</v>
      </c>
      <c r="C2666" s="21">
        <v>43588</v>
      </c>
      <c r="D2666" s="22" t="s">
        <v>8688</v>
      </c>
      <c r="E2666" s="428" t="s">
        <v>5</v>
      </c>
      <c r="F2666" s="422" t="s">
        <v>8447</v>
      </c>
    </row>
    <row r="2667" spans="2:6" ht="40.5">
      <c r="B2667" s="620">
        <v>43591</v>
      </c>
      <c r="C2667" s="21">
        <v>43591</v>
      </c>
      <c r="D2667" s="428" t="s">
        <v>8517</v>
      </c>
      <c r="E2667" s="26" t="s">
        <v>625</v>
      </c>
      <c r="F2667" s="423" t="s">
        <v>6174</v>
      </c>
    </row>
    <row r="2668" spans="2:6" ht="40.5">
      <c r="B2668" s="620">
        <v>43591</v>
      </c>
      <c r="C2668" s="21">
        <v>43591</v>
      </c>
      <c r="D2668" s="428" t="s">
        <v>8517</v>
      </c>
      <c r="E2668" s="26" t="s">
        <v>625</v>
      </c>
      <c r="F2668" s="423" t="s">
        <v>6174</v>
      </c>
    </row>
    <row r="2669" spans="2:6" ht="27">
      <c r="B2669" s="620">
        <v>43591</v>
      </c>
      <c r="C2669" s="21">
        <v>43591</v>
      </c>
      <c r="D2669" s="22" t="s">
        <v>8674</v>
      </c>
      <c r="E2669" s="422" t="s">
        <v>171</v>
      </c>
      <c r="F2669" s="422" t="s">
        <v>4337</v>
      </c>
    </row>
    <row r="2670" spans="2:6" ht="27">
      <c r="B2670" s="616">
        <v>43592</v>
      </c>
      <c r="C2670" s="23">
        <v>43592</v>
      </c>
      <c r="D2670" s="22" t="s">
        <v>8686</v>
      </c>
      <c r="E2670" s="422" t="s">
        <v>208</v>
      </c>
      <c r="F2670" s="422" t="s">
        <v>8447</v>
      </c>
    </row>
    <row r="2671" spans="2:6" ht="27">
      <c r="B2671" s="616">
        <v>43592</v>
      </c>
      <c r="C2671" s="23">
        <v>43592</v>
      </c>
      <c r="D2671" s="22" t="s">
        <v>8686</v>
      </c>
      <c r="E2671" s="422" t="s">
        <v>208</v>
      </c>
      <c r="F2671" s="422" t="s">
        <v>8447</v>
      </c>
    </row>
    <row r="2672" spans="2:6" ht="27">
      <c r="B2672" s="616">
        <v>43592</v>
      </c>
      <c r="C2672" s="21">
        <v>43592</v>
      </c>
      <c r="D2672" s="22" t="s">
        <v>8713</v>
      </c>
      <c r="E2672" s="422" t="s">
        <v>63</v>
      </c>
      <c r="F2672" s="422" t="s">
        <v>85</v>
      </c>
    </row>
    <row r="2673" spans="2:6" ht="27">
      <c r="B2673" s="616">
        <v>43593</v>
      </c>
      <c r="C2673" s="21">
        <v>43593</v>
      </c>
      <c r="D2673" s="22" t="s">
        <v>8601</v>
      </c>
      <c r="E2673" s="422" t="s">
        <v>5</v>
      </c>
      <c r="F2673" s="422" t="s">
        <v>8243</v>
      </c>
    </row>
    <row r="2674" spans="2:6" ht="27">
      <c r="B2674" s="616">
        <v>43593</v>
      </c>
      <c r="C2674" s="23">
        <v>43593</v>
      </c>
      <c r="D2674" s="22" t="s">
        <v>8692</v>
      </c>
      <c r="E2674" s="422" t="s">
        <v>5</v>
      </c>
      <c r="F2674" s="422" t="s">
        <v>85</v>
      </c>
    </row>
    <row r="2675" spans="2:6" ht="40.5">
      <c r="B2675" s="620">
        <v>43594</v>
      </c>
      <c r="C2675" s="21">
        <v>43594</v>
      </c>
      <c r="D2675" s="428" t="s">
        <v>8557</v>
      </c>
      <c r="E2675" s="26" t="s">
        <v>576</v>
      </c>
      <c r="F2675" s="423" t="s">
        <v>6174</v>
      </c>
    </row>
    <row r="2676" spans="2:6" ht="40.5">
      <c r="B2676" s="626">
        <v>43594</v>
      </c>
      <c r="C2676" s="21">
        <v>43594</v>
      </c>
      <c r="D2676" s="428" t="s">
        <v>8561</v>
      </c>
      <c r="E2676" s="26" t="s">
        <v>576</v>
      </c>
      <c r="F2676" s="423" t="s">
        <v>6174</v>
      </c>
    </row>
    <row r="2677" spans="2:6" ht="40.5">
      <c r="B2677" s="626">
        <v>43594</v>
      </c>
      <c r="C2677" s="21">
        <v>43594</v>
      </c>
      <c r="D2677" s="428" t="s">
        <v>8565</v>
      </c>
      <c r="E2677" s="26" t="s">
        <v>576</v>
      </c>
      <c r="F2677" s="423" t="s">
        <v>6174</v>
      </c>
    </row>
    <row r="2678" spans="2:6" ht="40.5">
      <c r="B2678" s="626">
        <v>43594</v>
      </c>
      <c r="C2678" s="21">
        <v>43594</v>
      </c>
      <c r="D2678" s="424" t="s">
        <v>8563</v>
      </c>
      <c r="E2678" s="26" t="s">
        <v>576</v>
      </c>
      <c r="F2678" s="26" t="s">
        <v>6174</v>
      </c>
    </row>
    <row r="2679" spans="2:6" ht="27">
      <c r="B2679" s="620">
        <v>43594</v>
      </c>
      <c r="C2679" s="21">
        <v>43594</v>
      </c>
      <c r="D2679" s="22" t="s">
        <v>8608</v>
      </c>
      <c r="E2679" s="428" t="s">
        <v>286</v>
      </c>
      <c r="F2679" s="428" t="s">
        <v>85</v>
      </c>
    </row>
    <row r="2680" spans="2:6" ht="27">
      <c r="B2680" s="616">
        <v>43594</v>
      </c>
      <c r="C2680" s="23">
        <v>43594</v>
      </c>
      <c r="D2680" s="22" t="s">
        <v>8767</v>
      </c>
      <c r="E2680" s="422" t="s">
        <v>208</v>
      </c>
      <c r="F2680" s="422" t="s">
        <v>8447</v>
      </c>
    </row>
    <row r="2681" spans="2:6" ht="27">
      <c r="B2681" s="616">
        <v>43595</v>
      </c>
      <c r="C2681" s="21">
        <v>43595</v>
      </c>
      <c r="D2681" s="22" t="s">
        <v>8609</v>
      </c>
      <c r="E2681" s="422" t="s">
        <v>286</v>
      </c>
      <c r="F2681" s="422" t="s">
        <v>85</v>
      </c>
    </row>
    <row r="2682" spans="2:6" ht="27">
      <c r="B2682" s="616">
        <v>43595</v>
      </c>
      <c r="C2682" s="23">
        <v>43595</v>
      </c>
      <c r="D2682" s="22" t="s">
        <v>8791</v>
      </c>
      <c r="E2682" s="422" t="s">
        <v>5</v>
      </c>
      <c r="F2682" s="422" t="s">
        <v>8447</v>
      </c>
    </row>
    <row r="2683" spans="2:6" ht="27">
      <c r="B2683" s="626">
        <v>43598</v>
      </c>
      <c r="C2683" s="21">
        <v>43598</v>
      </c>
      <c r="D2683" s="192" t="s">
        <v>8696</v>
      </c>
      <c r="E2683" s="424" t="s">
        <v>5</v>
      </c>
      <c r="F2683" s="26" t="s">
        <v>79</v>
      </c>
    </row>
    <row r="2684" spans="2:6" ht="40.5">
      <c r="B2684" s="626">
        <v>43598</v>
      </c>
      <c r="C2684" s="21">
        <v>43598</v>
      </c>
      <c r="D2684" s="428" t="s">
        <v>8636</v>
      </c>
      <c r="E2684" s="26" t="s">
        <v>576</v>
      </c>
      <c r="F2684" s="423" t="s">
        <v>6174</v>
      </c>
    </row>
    <row r="2685" spans="2:6" ht="27">
      <c r="B2685" s="620">
        <v>43599</v>
      </c>
      <c r="C2685" s="21">
        <v>43599</v>
      </c>
      <c r="D2685" s="22" t="s">
        <v>8610</v>
      </c>
      <c r="E2685" s="428" t="s">
        <v>63</v>
      </c>
      <c r="F2685" s="422" t="s">
        <v>85</v>
      </c>
    </row>
    <row r="2686" spans="2:6" ht="27">
      <c r="B2686" s="616">
        <v>43600</v>
      </c>
      <c r="C2686" s="21">
        <v>43600</v>
      </c>
      <c r="D2686" s="22" t="s">
        <v>8685</v>
      </c>
      <c r="E2686" s="422" t="s">
        <v>63</v>
      </c>
      <c r="F2686" s="422" t="s">
        <v>85</v>
      </c>
    </row>
    <row r="2687" spans="2:6" ht="40.5">
      <c r="B2687" s="626">
        <v>43601</v>
      </c>
      <c r="C2687" s="21">
        <v>43601</v>
      </c>
      <c r="D2687" s="428" t="s">
        <v>8613</v>
      </c>
      <c r="E2687" s="26" t="s">
        <v>625</v>
      </c>
      <c r="F2687" s="423" t="s">
        <v>6174</v>
      </c>
    </row>
    <row r="2688" spans="2:6" ht="54">
      <c r="B2688" s="616">
        <v>43601</v>
      </c>
      <c r="C2688" s="23">
        <v>43601</v>
      </c>
      <c r="D2688" s="22" t="s">
        <v>8728</v>
      </c>
      <c r="E2688" s="422" t="s">
        <v>171</v>
      </c>
      <c r="F2688" s="422" t="s">
        <v>8729</v>
      </c>
    </row>
    <row r="2689" spans="1:9" ht="27">
      <c r="B2689" s="616">
        <v>43601</v>
      </c>
      <c r="C2689" s="21">
        <v>43601</v>
      </c>
      <c r="D2689" s="22" t="s">
        <v>8757</v>
      </c>
      <c r="E2689" s="422" t="s">
        <v>5</v>
      </c>
      <c r="F2689" s="422" t="s">
        <v>4337</v>
      </c>
    </row>
    <row r="2690" spans="1:9" ht="27">
      <c r="B2690" s="616">
        <v>43601</v>
      </c>
      <c r="C2690" s="21">
        <v>43601</v>
      </c>
      <c r="D2690" s="22" t="s">
        <v>8759</v>
      </c>
      <c r="E2690" s="422" t="s">
        <v>63</v>
      </c>
      <c r="F2690" s="422" t="s">
        <v>85</v>
      </c>
    </row>
    <row r="2691" spans="1:9" ht="27">
      <c r="B2691" s="616">
        <v>43601</v>
      </c>
      <c r="C2691" s="21">
        <v>43601</v>
      </c>
      <c r="D2691" s="22" t="s">
        <v>8782</v>
      </c>
      <c r="E2691" s="422" t="s">
        <v>5</v>
      </c>
      <c r="F2691" s="422" t="s">
        <v>8243</v>
      </c>
      <c r="H2691" s="548"/>
    </row>
    <row r="2692" spans="1:9" ht="27">
      <c r="B2692" s="626">
        <v>43601</v>
      </c>
      <c r="C2692" s="21">
        <v>43601</v>
      </c>
      <c r="D2692" s="147" t="s">
        <v>8819</v>
      </c>
      <c r="E2692" s="26" t="s">
        <v>625</v>
      </c>
      <c r="F2692" s="26" t="s">
        <v>2411</v>
      </c>
    </row>
    <row r="2693" spans="1:9" ht="27">
      <c r="B2693" s="620">
        <v>43602</v>
      </c>
      <c r="C2693" s="21">
        <v>43602</v>
      </c>
      <c r="D2693" s="22" t="s">
        <v>8689</v>
      </c>
      <c r="E2693" s="428" t="s">
        <v>171</v>
      </c>
      <c r="F2693" s="428" t="s">
        <v>8690</v>
      </c>
    </row>
    <row r="2694" spans="1:9" ht="27">
      <c r="B2694" s="616">
        <v>43602</v>
      </c>
      <c r="C2694" s="23">
        <v>43602</v>
      </c>
      <c r="D2694" s="22" t="s">
        <v>8766</v>
      </c>
      <c r="E2694" s="422" t="s">
        <v>63</v>
      </c>
      <c r="F2694" s="422" t="s">
        <v>85</v>
      </c>
    </row>
    <row r="2695" spans="1:9" ht="40.5">
      <c r="B2695" s="626">
        <v>43602</v>
      </c>
      <c r="C2695" s="21">
        <v>43602</v>
      </c>
      <c r="D2695" s="428" t="s">
        <v>8881</v>
      </c>
      <c r="E2695" s="26" t="s">
        <v>171</v>
      </c>
      <c r="F2695" s="423" t="s">
        <v>8880</v>
      </c>
    </row>
    <row r="2696" spans="1:9">
      <c r="B2696" s="616">
        <v>43605</v>
      </c>
      <c r="C2696" s="23">
        <v>43605</v>
      </c>
      <c r="D2696" s="22" t="s">
        <v>8714</v>
      </c>
      <c r="E2696" s="422" t="s">
        <v>5</v>
      </c>
      <c r="F2696" s="422" t="s">
        <v>169</v>
      </c>
    </row>
    <row r="2697" spans="1:9" ht="14.25" customHeight="1">
      <c r="B2697" s="626">
        <v>43605</v>
      </c>
      <c r="C2697" s="21">
        <v>43605</v>
      </c>
      <c r="D2697" s="428" t="s">
        <v>8723</v>
      </c>
      <c r="E2697" s="26" t="s">
        <v>1630</v>
      </c>
      <c r="F2697" s="423" t="s">
        <v>6212</v>
      </c>
    </row>
    <row r="2698" spans="1:9" ht="27">
      <c r="B2698" s="616">
        <v>43605</v>
      </c>
      <c r="C2698" s="23">
        <v>43605</v>
      </c>
      <c r="D2698" s="22" t="s">
        <v>8768</v>
      </c>
      <c r="E2698" s="422" t="s">
        <v>503</v>
      </c>
      <c r="F2698" s="422" t="s">
        <v>8447</v>
      </c>
    </row>
    <row r="2699" spans="1:9" ht="27">
      <c r="B2699" s="626">
        <v>43605</v>
      </c>
      <c r="C2699" s="21">
        <v>43605</v>
      </c>
      <c r="D2699" s="428" t="s">
        <v>8784</v>
      </c>
      <c r="E2699" s="26" t="s">
        <v>5</v>
      </c>
      <c r="F2699" s="423" t="s">
        <v>79</v>
      </c>
    </row>
    <row r="2700" spans="1:9" ht="27">
      <c r="A2700" s="494"/>
      <c r="B2700" s="616">
        <v>43605</v>
      </c>
      <c r="C2700" s="21">
        <v>43605</v>
      </c>
      <c r="D2700" s="22" t="s">
        <v>8901</v>
      </c>
      <c r="E2700" s="422" t="s">
        <v>5</v>
      </c>
      <c r="F2700" s="422" t="s">
        <v>85</v>
      </c>
      <c r="G2700" s="1"/>
      <c r="H2700" s="1"/>
      <c r="I2700" s="1"/>
    </row>
    <row r="2701" spans="1:9" ht="27">
      <c r="B2701" s="616">
        <v>43606</v>
      </c>
      <c r="C2701" s="23">
        <v>43606</v>
      </c>
      <c r="D2701" s="22" t="s">
        <v>8693</v>
      </c>
      <c r="E2701" s="422" t="s">
        <v>8694</v>
      </c>
      <c r="F2701" s="422" t="s">
        <v>8695</v>
      </c>
    </row>
    <row r="2702" spans="1:9" ht="67.5">
      <c r="B2702" s="616">
        <v>43606</v>
      </c>
      <c r="C2702" s="21">
        <v>43606</v>
      </c>
      <c r="D2702" s="22" t="s">
        <v>8787</v>
      </c>
      <c r="E2702" s="422" t="s">
        <v>8788</v>
      </c>
      <c r="F2702" s="422" t="s">
        <v>8789</v>
      </c>
    </row>
    <row r="2703" spans="1:9" ht="27">
      <c r="A2703" s="494"/>
      <c r="B2703" s="616">
        <v>43606</v>
      </c>
      <c r="C2703" s="21">
        <v>43606</v>
      </c>
      <c r="D2703" s="22" t="s">
        <v>8902</v>
      </c>
      <c r="E2703" s="422" t="s">
        <v>208</v>
      </c>
      <c r="F2703" s="422" t="s">
        <v>1114</v>
      </c>
      <c r="G2703" s="1"/>
      <c r="H2703" s="1"/>
      <c r="I2703" s="1"/>
    </row>
    <row r="2704" spans="1:9" ht="27">
      <c r="A2704" s="494"/>
      <c r="B2704" s="616">
        <v>43606</v>
      </c>
      <c r="C2704" s="21">
        <v>43606</v>
      </c>
      <c r="D2704" s="22" t="s">
        <v>8903</v>
      </c>
      <c r="E2704" s="422" t="s">
        <v>5</v>
      </c>
      <c r="F2704" s="422" t="s">
        <v>85</v>
      </c>
      <c r="G2704" s="1"/>
      <c r="H2704" s="1"/>
      <c r="I2704" s="1"/>
    </row>
    <row r="2705" spans="1:9" ht="40.5">
      <c r="B2705" s="616">
        <v>43607</v>
      </c>
      <c r="C2705" s="23">
        <v>43607</v>
      </c>
      <c r="D2705" s="22" t="s">
        <v>8769</v>
      </c>
      <c r="E2705" s="422" t="s">
        <v>208</v>
      </c>
      <c r="F2705" s="422" t="s">
        <v>8770</v>
      </c>
    </row>
    <row r="2706" spans="1:9" ht="27">
      <c r="B2706" s="616">
        <v>43607</v>
      </c>
      <c r="C2706" s="23">
        <v>43607</v>
      </c>
      <c r="D2706" s="22" t="s">
        <v>8771</v>
      </c>
      <c r="E2706" s="422" t="s">
        <v>208</v>
      </c>
      <c r="F2706" s="422" t="s">
        <v>8447</v>
      </c>
    </row>
    <row r="2707" spans="1:9" ht="54">
      <c r="B2707" s="616">
        <v>43607</v>
      </c>
      <c r="C2707" s="21">
        <v>43607</v>
      </c>
      <c r="D2707" s="22" t="s">
        <v>8701</v>
      </c>
      <c r="E2707" s="422" t="s">
        <v>8702</v>
      </c>
      <c r="F2707" s="422" t="s">
        <v>8703</v>
      </c>
    </row>
    <row r="2708" spans="1:9" ht="27">
      <c r="B2708" s="616">
        <v>43608</v>
      </c>
      <c r="C2708" s="23">
        <v>43608</v>
      </c>
      <c r="D2708" s="22" t="s">
        <v>8786</v>
      </c>
      <c r="E2708" s="422" t="s">
        <v>5</v>
      </c>
      <c r="F2708" s="422" t="s">
        <v>79</v>
      </c>
    </row>
    <row r="2709" spans="1:9" ht="40.5">
      <c r="B2709" s="626">
        <v>43612</v>
      </c>
      <c r="C2709" s="21">
        <v>43612</v>
      </c>
      <c r="D2709" s="428" t="s">
        <v>8716</v>
      </c>
      <c r="E2709" s="26" t="s">
        <v>576</v>
      </c>
      <c r="F2709" s="423" t="s">
        <v>6174</v>
      </c>
    </row>
    <row r="2710" spans="1:9" ht="40.5">
      <c r="B2710" s="616">
        <v>43612</v>
      </c>
      <c r="C2710" s="21">
        <v>43612</v>
      </c>
      <c r="D2710" s="22" t="s">
        <v>8726</v>
      </c>
      <c r="E2710" s="422" t="s">
        <v>171</v>
      </c>
      <c r="F2710" s="422" t="s">
        <v>8727</v>
      </c>
    </row>
    <row r="2711" spans="1:9" ht="40.5">
      <c r="B2711" s="616">
        <v>43612</v>
      </c>
      <c r="C2711" s="23">
        <v>43612</v>
      </c>
      <c r="D2711" s="22" t="s">
        <v>8772</v>
      </c>
      <c r="E2711" s="422" t="s">
        <v>208</v>
      </c>
      <c r="F2711" s="422" t="s">
        <v>8774</v>
      </c>
    </row>
    <row r="2712" spans="1:9" ht="27">
      <c r="B2712" s="616">
        <v>43612</v>
      </c>
      <c r="C2712" s="23">
        <v>43612</v>
      </c>
      <c r="D2712" s="22" t="s">
        <v>8775</v>
      </c>
      <c r="E2712" s="422" t="s">
        <v>208</v>
      </c>
      <c r="F2712" s="422" t="s">
        <v>8447</v>
      </c>
    </row>
    <row r="2713" spans="1:9" ht="27">
      <c r="A2713" s="494"/>
      <c r="B2713" s="616">
        <v>43612</v>
      </c>
      <c r="C2713" s="21">
        <v>43612</v>
      </c>
      <c r="D2713" s="22" t="s">
        <v>8906</v>
      </c>
      <c r="E2713" s="422" t="s">
        <v>5</v>
      </c>
      <c r="F2713" s="422" t="s">
        <v>847</v>
      </c>
      <c r="G2713" s="1"/>
      <c r="H2713" s="1"/>
      <c r="I2713" s="1"/>
    </row>
    <row r="2714" spans="1:9" ht="40.5">
      <c r="B2714" s="616">
        <v>43613</v>
      </c>
      <c r="C2714" s="21">
        <v>43613</v>
      </c>
      <c r="D2714" s="22" t="s">
        <v>8734</v>
      </c>
      <c r="E2714" s="422" t="s">
        <v>171</v>
      </c>
      <c r="F2714" s="422" t="s">
        <v>8735</v>
      </c>
    </row>
    <row r="2715" spans="1:9" ht="27">
      <c r="B2715" s="616">
        <v>43613</v>
      </c>
      <c r="C2715" s="21">
        <v>43613</v>
      </c>
      <c r="D2715" s="22" t="s">
        <v>8776</v>
      </c>
      <c r="E2715" s="422" t="s">
        <v>63</v>
      </c>
      <c r="F2715" s="422" t="s">
        <v>8243</v>
      </c>
    </row>
    <row r="2716" spans="1:9" ht="27">
      <c r="A2716" s="494"/>
      <c r="B2716" s="620">
        <v>43614</v>
      </c>
      <c r="C2716" s="21">
        <v>43614</v>
      </c>
      <c r="D2716" s="428" t="s">
        <v>8904</v>
      </c>
      <c r="E2716" s="26" t="s">
        <v>5</v>
      </c>
      <c r="F2716" s="423" t="s">
        <v>79</v>
      </c>
      <c r="G2716" s="1"/>
      <c r="H2716" s="1"/>
      <c r="I2716" s="1"/>
    </row>
    <row r="2717" spans="1:9" ht="27">
      <c r="B2717" s="616">
        <v>43615</v>
      </c>
      <c r="C2717" s="23">
        <v>43615</v>
      </c>
      <c r="D2717" s="22" t="s">
        <v>8777</v>
      </c>
      <c r="E2717" s="422" t="s">
        <v>5</v>
      </c>
      <c r="F2717" s="422" t="s">
        <v>8243</v>
      </c>
    </row>
    <row r="2718" spans="1:9" ht="27">
      <c r="A2718" s="494"/>
      <c r="B2718" s="616">
        <v>43615</v>
      </c>
      <c r="C2718" s="21">
        <v>43615</v>
      </c>
      <c r="D2718" s="428" t="s">
        <v>8905</v>
      </c>
      <c r="E2718" s="422" t="s">
        <v>208</v>
      </c>
      <c r="F2718" s="422" t="s">
        <v>1114</v>
      </c>
      <c r="G2718" s="1"/>
      <c r="H2718" s="1"/>
      <c r="I2718" s="1"/>
    </row>
    <row r="2719" spans="1:9" ht="27">
      <c r="A2719" s="494"/>
      <c r="B2719" s="616">
        <v>43615</v>
      </c>
      <c r="C2719" s="21">
        <v>43615</v>
      </c>
      <c r="D2719" s="22" t="s">
        <v>8914</v>
      </c>
      <c r="E2719" s="422" t="s">
        <v>208</v>
      </c>
      <c r="F2719" s="422" t="s">
        <v>1114</v>
      </c>
      <c r="G2719" s="1"/>
      <c r="H2719" s="1"/>
      <c r="I2719" s="1"/>
    </row>
    <row r="2720" spans="1:9" ht="67.5">
      <c r="A2720" s="494"/>
      <c r="B2720" s="616">
        <v>43615</v>
      </c>
      <c r="C2720" s="21">
        <v>43615</v>
      </c>
      <c r="D2720" s="22" t="s">
        <v>8838</v>
      </c>
      <c r="E2720" s="422" t="s">
        <v>5</v>
      </c>
      <c r="F2720" s="422" t="s">
        <v>8839</v>
      </c>
      <c r="G2720" s="1"/>
      <c r="H2720" s="1"/>
      <c r="I2720" s="1"/>
    </row>
    <row r="2721" spans="1:9" ht="27">
      <c r="A2721" s="494"/>
      <c r="B2721" s="626">
        <v>43615</v>
      </c>
      <c r="C2721" s="21">
        <v>43615</v>
      </c>
      <c r="D2721" s="428" t="s">
        <v>8841</v>
      </c>
      <c r="E2721" s="424" t="s">
        <v>5</v>
      </c>
      <c r="F2721" s="26" t="s">
        <v>85</v>
      </c>
      <c r="G2721" s="1"/>
      <c r="H2721" s="1"/>
      <c r="I2721" s="1"/>
    </row>
    <row r="2722" spans="1:9" ht="27">
      <c r="B2722" s="616">
        <v>43616</v>
      </c>
      <c r="C2722" s="23">
        <v>43616</v>
      </c>
      <c r="D2722" s="22" t="s">
        <v>8778</v>
      </c>
      <c r="E2722" s="422" t="s">
        <v>208</v>
      </c>
      <c r="F2722" s="422" t="s">
        <v>8447</v>
      </c>
    </row>
    <row r="2723" spans="1:9" ht="27">
      <c r="A2723" s="494"/>
      <c r="B2723" s="616">
        <v>43620</v>
      </c>
      <c r="C2723" s="21">
        <v>43620</v>
      </c>
      <c r="D2723" s="22" t="s">
        <v>8916</v>
      </c>
      <c r="E2723" s="422" t="s">
        <v>208</v>
      </c>
      <c r="F2723" s="422" t="s">
        <v>8243</v>
      </c>
      <c r="G2723" s="1"/>
      <c r="H2723" s="1"/>
      <c r="I2723" s="1"/>
    </row>
    <row r="2724" spans="1:9" ht="27">
      <c r="A2724" s="494"/>
      <c r="B2724" s="616">
        <v>43621</v>
      </c>
      <c r="C2724" s="21">
        <v>43621</v>
      </c>
      <c r="D2724" s="22" t="s">
        <v>8907</v>
      </c>
      <c r="E2724" s="422" t="s">
        <v>5</v>
      </c>
      <c r="F2724" s="422" t="s">
        <v>1114</v>
      </c>
      <c r="G2724" s="1"/>
      <c r="H2724" s="1"/>
      <c r="I2724" s="1"/>
    </row>
    <row r="2725" spans="1:9" ht="27">
      <c r="B2725" s="626">
        <v>43622</v>
      </c>
      <c r="C2725" s="21">
        <v>43622</v>
      </c>
      <c r="D2725" s="424" t="s">
        <v>8741</v>
      </c>
      <c r="E2725" s="26" t="s">
        <v>5</v>
      </c>
      <c r="F2725" s="26" t="s">
        <v>79</v>
      </c>
    </row>
    <row r="2726" spans="1:9" ht="27">
      <c r="B2726" s="616">
        <v>43622</v>
      </c>
      <c r="C2726" s="21">
        <v>43622</v>
      </c>
      <c r="D2726" s="22" t="s">
        <v>8779</v>
      </c>
      <c r="E2726" s="422" t="s">
        <v>5</v>
      </c>
      <c r="F2726" s="422" t="s">
        <v>85</v>
      </c>
    </row>
    <row r="2727" spans="1:9" ht="27">
      <c r="B2727" s="626">
        <v>43622</v>
      </c>
      <c r="C2727" s="21">
        <v>43622</v>
      </c>
      <c r="D2727" s="424" t="s">
        <v>8780</v>
      </c>
      <c r="E2727" s="26" t="s">
        <v>5</v>
      </c>
      <c r="F2727" s="423" t="s">
        <v>79</v>
      </c>
    </row>
    <row r="2728" spans="1:9" ht="27">
      <c r="A2728" s="494"/>
      <c r="B2728" s="616">
        <v>43622</v>
      </c>
      <c r="C2728" s="21">
        <v>43622</v>
      </c>
      <c r="D2728" s="22" t="s">
        <v>8913</v>
      </c>
      <c r="E2728" s="422" t="s">
        <v>5</v>
      </c>
      <c r="F2728" s="422" t="s">
        <v>85</v>
      </c>
      <c r="G2728" s="1"/>
      <c r="H2728" s="1"/>
      <c r="I2728" s="1"/>
    </row>
    <row r="2729" spans="1:9" ht="27">
      <c r="A2729" s="494"/>
      <c r="B2729" s="616">
        <v>43623</v>
      </c>
      <c r="C2729" s="21">
        <v>43623</v>
      </c>
      <c r="D2729" s="22" t="s">
        <v>8915</v>
      </c>
      <c r="E2729" s="422" t="s">
        <v>208</v>
      </c>
      <c r="F2729" s="422" t="s">
        <v>8243</v>
      </c>
      <c r="G2729" s="1"/>
      <c r="H2729" s="1"/>
      <c r="I2729" s="1"/>
    </row>
    <row r="2730" spans="1:9" ht="27">
      <c r="A2730" s="494"/>
      <c r="B2730" s="616">
        <v>43626</v>
      </c>
      <c r="C2730" s="21">
        <v>43626</v>
      </c>
      <c r="D2730" s="22" t="s">
        <v>8840</v>
      </c>
      <c r="E2730" s="422" t="s">
        <v>63</v>
      </c>
      <c r="F2730" s="422" t="s">
        <v>85</v>
      </c>
      <c r="G2730" s="1"/>
      <c r="H2730" s="1"/>
      <c r="I2730" s="1"/>
    </row>
    <row r="2731" spans="1:9" ht="27">
      <c r="B2731" s="626">
        <v>43627</v>
      </c>
      <c r="C2731" s="21">
        <v>43627</v>
      </c>
      <c r="D2731" s="424" t="s">
        <v>8781</v>
      </c>
      <c r="E2731" s="26" t="s">
        <v>5</v>
      </c>
      <c r="F2731" s="26" t="s">
        <v>79</v>
      </c>
    </row>
    <row r="2732" spans="1:9" ht="54">
      <c r="B2732" s="626">
        <v>43627</v>
      </c>
      <c r="C2732" s="21">
        <v>43627</v>
      </c>
      <c r="D2732" s="428" t="s">
        <v>8750</v>
      </c>
      <c r="E2732" s="26" t="s">
        <v>94</v>
      </c>
      <c r="F2732" s="423" t="s">
        <v>6174</v>
      </c>
    </row>
    <row r="2733" spans="1:9" ht="27">
      <c r="B2733" s="616">
        <v>43627</v>
      </c>
      <c r="C2733" s="21">
        <v>43627</v>
      </c>
      <c r="D2733" s="22" t="s">
        <v>8882</v>
      </c>
      <c r="E2733" s="422" t="s">
        <v>208</v>
      </c>
      <c r="F2733" s="422" t="s">
        <v>8243</v>
      </c>
    </row>
    <row r="2734" spans="1:9" ht="27">
      <c r="B2734" s="626">
        <v>43627</v>
      </c>
      <c r="C2734" s="21">
        <v>43627</v>
      </c>
      <c r="D2734" s="428" t="s">
        <v>8952</v>
      </c>
      <c r="E2734" s="422" t="s">
        <v>286</v>
      </c>
      <c r="F2734" s="422" t="s">
        <v>8243</v>
      </c>
    </row>
    <row r="2735" spans="1:9" s="1" customFormat="1" ht="40.5">
      <c r="A2735" s="493"/>
      <c r="B2735" s="626">
        <v>43628</v>
      </c>
      <c r="C2735" s="21">
        <v>43628</v>
      </c>
      <c r="D2735" s="428" t="s">
        <v>8795</v>
      </c>
      <c r="E2735" s="26" t="s">
        <v>652</v>
      </c>
      <c r="F2735" s="423" t="s">
        <v>6174</v>
      </c>
      <c r="G2735"/>
      <c r="H2735"/>
      <c r="I2735"/>
    </row>
    <row r="2736" spans="1:9" s="1" customFormat="1" ht="40.5">
      <c r="A2736" s="493"/>
      <c r="B2736" s="626">
        <v>43628</v>
      </c>
      <c r="C2736" s="21">
        <v>43628</v>
      </c>
      <c r="D2736" s="428" t="s">
        <v>8801</v>
      </c>
      <c r="E2736" s="26" t="s">
        <v>652</v>
      </c>
      <c r="F2736" s="423" t="s">
        <v>6174</v>
      </c>
      <c r="G2736"/>
      <c r="H2736"/>
      <c r="I2736"/>
    </row>
    <row r="2737" spans="1:9" s="1" customFormat="1" ht="54">
      <c r="A2737" s="493"/>
      <c r="B2737" s="626">
        <v>43628</v>
      </c>
      <c r="C2737" s="21">
        <v>43628</v>
      </c>
      <c r="D2737" s="428" t="s">
        <v>8883</v>
      </c>
      <c r="E2737" s="26" t="s">
        <v>171</v>
      </c>
      <c r="F2737" s="423" t="s">
        <v>8484</v>
      </c>
      <c r="G2737"/>
      <c r="H2737"/>
      <c r="I2737"/>
    </row>
    <row r="2738" spans="1:9" s="1" customFormat="1" ht="27">
      <c r="A2738" s="493"/>
      <c r="B2738" s="616">
        <v>43628</v>
      </c>
      <c r="C2738" s="21">
        <v>43628</v>
      </c>
      <c r="D2738" s="22" t="s">
        <v>8951</v>
      </c>
      <c r="E2738" s="422" t="s">
        <v>5</v>
      </c>
      <c r="F2738" s="422" t="s">
        <v>8243</v>
      </c>
      <c r="G2738"/>
      <c r="H2738"/>
      <c r="I2738"/>
    </row>
    <row r="2739" spans="1:9" s="1" customFormat="1" ht="54">
      <c r="A2739" s="493"/>
      <c r="B2739" s="626">
        <v>43629</v>
      </c>
      <c r="C2739" s="21">
        <v>43629</v>
      </c>
      <c r="D2739" s="428" t="s">
        <v>8804</v>
      </c>
      <c r="E2739" s="26" t="s">
        <v>94</v>
      </c>
      <c r="F2739" s="423" t="s">
        <v>4916</v>
      </c>
      <c r="G2739"/>
      <c r="H2739"/>
      <c r="I2739"/>
    </row>
    <row r="2740" spans="1:9" s="1" customFormat="1" ht="27">
      <c r="A2740" s="493"/>
      <c r="B2740" s="626">
        <v>43629</v>
      </c>
      <c r="C2740" s="21">
        <v>43629</v>
      </c>
      <c r="D2740" s="428" t="s">
        <v>8889</v>
      </c>
      <c r="E2740" s="26" t="s">
        <v>5</v>
      </c>
      <c r="F2740" s="423" t="s">
        <v>8243</v>
      </c>
      <c r="G2740"/>
      <c r="H2740"/>
      <c r="I2740"/>
    </row>
    <row r="2741" spans="1:9" s="1" customFormat="1" ht="27">
      <c r="A2741" s="493"/>
      <c r="B2741" s="626">
        <v>43629</v>
      </c>
      <c r="C2741" s="21">
        <v>43629</v>
      </c>
      <c r="D2741" s="428" t="s">
        <v>8890</v>
      </c>
      <c r="E2741" s="26" t="s">
        <v>208</v>
      </c>
      <c r="F2741" s="423" t="s">
        <v>8243</v>
      </c>
      <c r="G2741"/>
      <c r="H2741"/>
      <c r="I2741"/>
    </row>
    <row r="2742" spans="1:9" s="1" customFormat="1" ht="40.5">
      <c r="A2742" s="493"/>
      <c r="B2742" s="616">
        <v>43630</v>
      </c>
      <c r="C2742" s="21">
        <v>43630</v>
      </c>
      <c r="D2742" s="22" t="s">
        <v>8871</v>
      </c>
      <c r="E2742" s="422" t="s">
        <v>208</v>
      </c>
      <c r="F2742" s="422" t="s">
        <v>8190</v>
      </c>
      <c r="G2742"/>
      <c r="H2742"/>
      <c r="I2742"/>
    </row>
    <row r="2743" spans="1:9" s="1" customFormat="1" ht="27">
      <c r="A2743" s="493"/>
      <c r="B2743" s="626">
        <v>43630</v>
      </c>
      <c r="C2743" s="21">
        <v>43630</v>
      </c>
      <c r="D2743" s="428" t="s">
        <v>8891</v>
      </c>
      <c r="E2743" s="26" t="s">
        <v>208</v>
      </c>
      <c r="F2743" s="423" t="s">
        <v>8243</v>
      </c>
      <c r="G2743"/>
      <c r="H2743"/>
      <c r="I2743"/>
    </row>
    <row r="2744" spans="1:9" s="1" customFormat="1" ht="27">
      <c r="A2744" s="493"/>
      <c r="B2744" s="616">
        <v>43630</v>
      </c>
      <c r="C2744" s="21">
        <v>43630</v>
      </c>
      <c r="D2744" s="22" t="s">
        <v>8842</v>
      </c>
      <c r="E2744" s="422" t="s">
        <v>5</v>
      </c>
      <c r="F2744" s="422" t="s">
        <v>79</v>
      </c>
      <c r="G2744"/>
      <c r="H2744"/>
      <c r="I2744"/>
    </row>
    <row r="2745" spans="1:9" s="1" customFormat="1" ht="27">
      <c r="A2745" s="493"/>
      <c r="B2745" s="637">
        <v>43633</v>
      </c>
      <c r="C2745" s="23">
        <v>43633</v>
      </c>
      <c r="D2745" s="201" t="s">
        <v>8843</v>
      </c>
      <c r="E2745" s="201" t="s">
        <v>63</v>
      </c>
      <c r="F2745" s="428" t="s">
        <v>79</v>
      </c>
      <c r="G2745"/>
      <c r="H2745"/>
      <c r="I2745"/>
    </row>
    <row r="2746" spans="1:9" s="1" customFormat="1" ht="27">
      <c r="A2746" s="493"/>
      <c r="B2746" s="626">
        <v>43633</v>
      </c>
      <c r="C2746" s="21">
        <v>43633</v>
      </c>
      <c r="D2746" s="424" t="s">
        <v>8812</v>
      </c>
      <c r="E2746" s="26" t="s">
        <v>63</v>
      </c>
      <c r="F2746" s="26" t="s">
        <v>79</v>
      </c>
      <c r="G2746"/>
      <c r="H2746"/>
      <c r="I2746"/>
    </row>
    <row r="2747" spans="1:9" s="1" customFormat="1" ht="27">
      <c r="A2747" s="493"/>
      <c r="B2747" s="616">
        <v>43634</v>
      </c>
      <c r="C2747" s="21">
        <v>43634</v>
      </c>
      <c r="D2747" s="22" t="s">
        <v>8893</v>
      </c>
      <c r="E2747" s="422" t="s">
        <v>63</v>
      </c>
      <c r="F2747" s="422" t="s">
        <v>8894</v>
      </c>
      <c r="G2747"/>
      <c r="H2747"/>
      <c r="I2747"/>
    </row>
    <row r="2748" spans="1:9" s="1" customFormat="1" ht="27">
      <c r="A2748" s="493"/>
      <c r="B2748" s="616">
        <v>43634</v>
      </c>
      <c r="C2748" s="21">
        <v>43634</v>
      </c>
      <c r="D2748" s="22" t="s">
        <v>8892</v>
      </c>
      <c r="E2748" s="422" t="s">
        <v>208</v>
      </c>
      <c r="F2748" s="422" t="s">
        <v>8243</v>
      </c>
      <c r="G2748"/>
      <c r="H2748"/>
      <c r="I2748"/>
    </row>
    <row r="2749" spans="1:9" s="1" customFormat="1" ht="27">
      <c r="A2749" s="493"/>
      <c r="B2749" s="621">
        <v>43635</v>
      </c>
      <c r="C2749" s="146">
        <v>43635</v>
      </c>
      <c r="D2749" s="174" t="s">
        <v>8873</v>
      </c>
      <c r="E2749" s="172" t="s">
        <v>5</v>
      </c>
      <c r="F2749" s="141" t="s">
        <v>79</v>
      </c>
      <c r="G2749"/>
      <c r="H2749"/>
      <c r="I2749"/>
    </row>
    <row r="2750" spans="1:9" s="1" customFormat="1" ht="27">
      <c r="A2750" s="493"/>
      <c r="B2750" s="616">
        <v>43635</v>
      </c>
      <c r="C2750" s="21">
        <v>43635</v>
      </c>
      <c r="D2750" s="22" t="s">
        <v>8895</v>
      </c>
      <c r="E2750" s="422" t="s">
        <v>5</v>
      </c>
      <c r="F2750" s="26" t="s">
        <v>79</v>
      </c>
      <c r="G2750"/>
      <c r="H2750"/>
      <c r="I2750"/>
    </row>
    <row r="2751" spans="1:9" s="1" customFormat="1" ht="27">
      <c r="A2751" s="493"/>
      <c r="B2751" s="616">
        <v>43635</v>
      </c>
      <c r="C2751" s="21">
        <v>43635</v>
      </c>
      <c r="D2751" s="22" t="s">
        <v>8896</v>
      </c>
      <c r="E2751" s="422" t="s">
        <v>63</v>
      </c>
      <c r="F2751" s="26" t="s">
        <v>79</v>
      </c>
      <c r="G2751"/>
      <c r="H2751"/>
      <c r="I2751"/>
    </row>
    <row r="2752" spans="1:9" s="1" customFormat="1" ht="27">
      <c r="A2752" s="494"/>
      <c r="B2752" s="626">
        <v>43635</v>
      </c>
      <c r="C2752" s="21">
        <v>43635</v>
      </c>
      <c r="D2752" s="428" t="s">
        <v>8877</v>
      </c>
      <c r="E2752" s="26" t="s">
        <v>8878</v>
      </c>
      <c r="F2752" s="423" t="s">
        <v>8367</v>
      </c>
    </row>
    <row r="2753" spans="1:9" ht="27">
      <c r="B2753" s="616">
        <v>43637</v>
      </c>
      <c r="C2753" s="23">
        <v>43637</v>
      </c>
      <c r="D2753" s="22" t="s">
        <v>8848</v>
      </c>
      <c r="E2753" s="422" t="s">
        <v>5</v>
      </c>
      <c r="F2753" s="422" t="s">
        <v>8243</v>
      </c>
    </row>
    <row r="2754" spans="1:9" ht="27">
      <c r="B2754" s="616">
        <v>43637</v>
      </c>
      <c r="C2754" s="21">
        <v>43637</v>
      </c>
      <c r="D2754" s="22" t="s">
        <v>8897</v>
      </c>
      <c r="E2754" s="422" t="s">
        <v>208</v>
      </c>
      <c r="F2754" s="422" t="s">
        <v>8243</v>
      </c>
    </row>
    <row r="2755" spans="1:9" ht="27">
      <c r="B2755" s="616">
        <v>43637</v>
      </c>
      <c r="C2755" s="21">
        <v>43637</v>
      </c>
      <c r="D2755" s="22" t="s">
        <v>8844</v>
      </c>
      <c r="E2755" s="422" t="s">
        <v>5</v>
      </c>
      <c r="F2755" s="422" t="s">
        <v>8243</v>
      </c>
    </row>
    <row r="2756" spans="1:9" ht="27">
      <c r="B2756" s="616">
        <v>43637</v>
      </c>
      <c r="C2756" s="21">
        <v>43637</v>
      </c>
      <c r="D2756" s="22" t="s">
        <v>8845</v>
      </c>
      <c r="E2756" s="422" t="s">
        <v>5</v>
      </c>
      <c r="F2756" s="422" t="s">
        <v>8846</v>
      </c>
    </row>
    <row r="2757" spans="1:9" ht="27">
      <c r="B2757" s="616">
        <v>43637</v>
      </c>
      <c r="C2757" s="21">
        <v>43637</v>
      </c>
      <c r="D2757" s="22" t="s">
        <v>8847</v>
      </c>
      <c r="E2757" s="422" t="s">
        <v>286</v>
      </c>
      <c r="F2757" s="422" t="s">
        <v>8243</v>
      </c>
    </row>
    <row r="2758" spans="1:9" ht="27">
      <c r="B2758" s="616">
        <v>43641</v>
      </c>
      <c r="C2758" s="21">
        <v>43641</v>
      </c>
      <c r="D2758" s="22" t="s">
        <v>8898</v>
      </c>
      <c r="E2758" s="422" t="s">
        <v>5</v>
      </c>
      <c r="F2758" s="422" t="s">
        <v>8894</v>
      </c>
    </row>
    <row r="2759" spans="1:9" ht="27">
      <c r="A2759" s="494"/>
      <c r="B2759" s="632">
        <v>43642</v>
      </c>
      <c r="C2759" s="23">
        <v>43642</v>
      </c>
      <c r="D2759" s="422" t="s">
        <v>8874</v>
      </c>
      <c r="E2759" s="421" t="s">
        <v>5</v>
      </c>
      <c r="F2759" s="422" t="s">
        <v>8920</v>
      </c>
      <c r="G2759" s="1"/>
      <c r="H2759" s="1"/>
      <c r="I2759" s="1"/>
    </row>
    <row r="2760" spans="1:9" ht="54">
      <c r="B2760" s="616">
        <v>43649</v>
      </c>
      <c r="C2760" s="21">
        <v>43649</v>
      </c>
      <c r="D2760" s="22" t="s">
        <v>8853</v>
      </c>
      <c r="E2760" s="422" t="s">
        <v>230</v>
      </c>
      <c r="F2760" s="422" t="s">
        <v>8854</v>
      </c>
    </row>
    <row r="2761" spans="1:9" ht="40.5">
      <c r="A2761" s="494"/>
      <c r="B2761" s="626">
        <v>43669</v>
      </c>
      <c r="C2761" s="21">
        <v>43669</v>
      </c>
      <c r="D2761" s="428" t="s">
        <v>8941</v>
      </c>
      <c r="E2761" s="26" t="s">
        <v>625</v>
      </c>
      <c r="F2761" s="423" t="s">
        <v>6174</v>
      </c>
      <c r="G2761" s="1"/>
      <c r="H2761" s="1"/>
      <c r="I2761" s="1"/>
    </row>
    <row r="2762" spans="1:9" hidden="1">
      <c r="B2762" s="626"/>
      <c r="C2762" s="21"/>
      <c r="D2762" s="428"/>
      <c r="E2762" s="26"/>
      <c r="F2762" s="423"/>
    </row>
    <row r="2763" spans="1:9" ht="40.5">
      <c r="B2763" s="616">
        <v>43495</v>
      </c>
      <c r="C2763" s="23">
        <v>43495</v>
      </c>
      <c r="D2763" s="22" t="s">
        <v>9010</v>
      </c>
      <c r="E2763" s="26" t="s">
        <v>171</v>
      </c>
      <c r="F2763" s="422" t="s">
        <v>9011</v>
      </c>
    </row>
    <row r="2764" spans="1:9" ht="40.5">
      <c r="B2764" s="616">
        <v>43497</v>
      </c>
      <c r="C2764" s="23">
        <v>43497</v>
      </c>
      <c r="D2764" s="22" t="s">
        <v>9017</v>
      </c>
      <c r="E2764" s="26" t="s">
        <v>171</v>
      </c>
      <c r="F2764" s="422" t="s">
        <v>9011</v>
      </c>
    </row>
    <row r="2765" spans="1:9" ht="27">
      <c r="B2765" s="616">
        <v>43496</v>
      </c>
      <c r="C2765" s="23">
        <v>43496</v>
      </c>
      <c r="D2765" s="22" t="s">
        <v>9018</v>
      </c>
      <c r="E2765" s="422" t="s">
        <v>9019</v>
      </c>
      <c r="F2765" s="423" t="s">
        <v>9009</v>
      </c>
    </row>
    <row r="2766" spans="1:9" ht="27">
      <c r="B2766" s="626">
        <v>43502</v>
      </c>
      <c r="C2766" s="21">
        <v>43502</v>
      </c>
      <c r="D2766" s="428" t="s">
        <v>8959</v>
      </c>
      <c r="E2766" s="26" t="s">
        <v>208</v>
      </c>
      <c r="F2766" s="423" t="s">
        <v>8243</v>
      </c>
    </row>
    <row r="2767" spans="1:9" ht="40.5">
      <c r="B2767" s="626">
        <v>43504</v>
      </c>
      <c r="C2767" s="21">
        <v>43504</v>
      </c>
      <c r="D2767" s="428" t="s">
        <v>9020</v>
      </c>
      <c r="E2767" s="26" t="s">
        <v>171</v>
      </c>
      <c r="F2767" s="423" t="s">
        <v>9021</v>
      </c>
    </row>
    <row r="2768" spans="1:9" ht="40.5">
      <c r="B2768" s="616">
        <v>43508</v>
      </c>
      <c r="C2768" s="21">
        <v>43508</v>
      </c>
      <c r="D2768" s="22" t="s">
        <v>8964</v>
      </c>
      <c r="E2768" s="422" t="s">
        <v>171</v>
      </c>
      <c r="F2768" s="422" t="s">
        <v>8965</v>
      </c>
    </row>
    <row r="2769" spans="2:6" ht="40.5">
      <c r="B2769" s="616">
        <v>43550</v>
      </c>
      <c r="C2769" s="23">
        <v>43550</v>
      </c>
      <c r="D2769" s="22" t="s">
        <v>9022</v>
      </c>
      <c r="E2769" s="422" t="s">
        <v>171</v>
      </c>
      <c r="F2769" s="422" t="s">
        <v>9023</v>
      </c>
    </row>
    <row r="2770" spans="2:6" ht="27">
      <c r="B2770" s="626">
        <v>43656</v>
      </c>
      <c r="C2770" s="21">
        <v>43656</v>
      </c>
      <c r="D2770" s="428" t="s">
        <v>8985</v>
      </c>
      <c r="E2770" s="26" t="s">
        <v>1493</v>
      </c>
      <c r="F2770" s="423" t="s">
        <v>1495</v>
      </c>
    </row>
    <row r="2771" spans="2:6" ht="27">
      <c r="B2771" s="626">
        <v>43669</v>
      </c>
      <c r="C2771" s="21">
        <v>43669</v>
      </c>
      <c r="D2771" s="428" t="s">
        <v>8982</v>
      </c>
      <c r="E2771" s="26" t="s">
        <v>5</v>
      </c>
      <c r="F2771" s="423" t="s">
        <v>8243</v>
      </c>
    </row>
    <row r="2772" spans="2:6" ht="27">
      <c r="B2772" s="616">
        <v>43664</v>
      </c>
      <c r="C2772" s="23">
        <v>43664</v>
      </c>
      <c r="D2772" s="22" t="s">
        <v>8938</v>
      </c>
      <c r="E2772" s="422" t="s">
        <v>171</v>
      </c>
      <c r="F2772" s="422" t="s">
        <v>8939</v>
      </c>
    </row>
    <row r="2773" spans="2:6" ht="27">
      <c r="B2773" s="616">
        <v>43665</v>
      </c>
      <c r="C2773" s="23">
        <v>43665</v>
      </c>
      <c r="D2773" s="22" t="s">
        <v>9025</v>
      </c>
      <c r="E2773" s="422" t="s">
        <v>7338</v>
      </c>
      <c r="F2773" s="422" t="s">
        <v>9024</v>
      </c>
    </row>
    <row r="2774" spans="2:6" ht="27">
      <c r="B2774" s="616">
        <v>43668</v>
      </c>
      <c r="C2774" s="23">
        <v>43668</v>
      </c>
      <c r="D2774" s="22" t="s">
        <v>9031</v>
      </c>
      <c r="E2774" s="422" t="s">
        <v>5</v>
      </c>
      <c r="F2774" s="423" t="s">
        <v>8243</v>
      </c>
    </row>
    <row r="2775" spans="2:6" ht="40.5">
      <c r="B2775" s="626">
        <v>43676</v>
      </c>
      <c r="C2775" s="21">
        <v>43676</v>
      </c>
      <c r="D2775" s="428" t="s">
        <v>8976</v>
      </c>
      <c r="E2775" s="26" t="s">
        <v>625</v>
      </c>
      <c r="F2775" s="423" t="s">
        <v>6174</v>
      </c>
    </row>
    <row r="2776" spans="2:6" ht="40.5">
      <c r="B2776" s="626">
        <v>43676</v>
      </c>
      <c r="C2776" s="21">
        <v>43676</v>
      </c>
      <c r="D2776" s="424" t="s">
        <v>8986</v>
      </c>
      <c r="E2776" s="26" t="s">
        <v>171</v>
      </c>
      <c r="F2776" s="26" t="s">
        <v>8628</v>
      </c>
    </row>
    <row r="2777" spans="2:6" ht="40.5">
      <c r="B2777" s="626">
        <v>43679</v>
      </c>
      <c r="C2777" s="21">
        <v>43679</v>
      </c>
      <c r="D2777" s="428" t="s">
        <v>8995</v>
      </c>
      <c r="E2777" s="26" t="s">
        <v>625</v>
      </c>
      <c r="F2777" s="423" t="s">
        <v>6174</v>
      </c>
    </row>
    <row r="2778" spans="2:6" ht="27">
      <c r="B2778" s="616">
        <v>43670</v>
      </c>
      <c r="C2778" s="21">
        <v>43670</v>
      </c>
      <c r="D2778" s="22" t="s">
        <v>9032</v>
      </c>
      <c r="E2778" s="422" t="s">
        <v>63</v>
      </c>
      <c r="F2778" s="422" t="s">
        <v>1114</v>
      </c>
    </row>
    <row r="2779" spans="2:6" ht="27">
      <c r="B2779" s="626">
        <v>43690</v>
      </c>
      <c r="C2779" s="21">
        <v>43690</v>
      </c>
      <c r="D2779" s="428" t="s">
        <v>9034</v>
      </c>
      <c r="E2779" s="26" t="s">
        <v>5</v>
      </c>
      <c r="F2779" s="423" t="s">
        <v>79</v>
      </c>
    </row>
    <row r="2780" spans="2:6" ht="27">
      <c r="B2780" s="626">
        <v>43690</v>
      </c>
      <c r="C2780" s="21">
        <v>43690</v>
      </c>
      <c r="D2780" s="424" t="s">
        <v>9035</v>
      </c>
      <c r="E2780" s="26" t="s">
        <v>5</v>
      </c>
      <c r="F2780" s="26" t="s">
        <v>79</v>
      </c>
    </row>
    <row r="2781" spans="2:6" ht="27">
      <c r="B2781" s="626">
        <v>43691</v>
      </c>
      <c r="C2781" s="21">
        <v>43691</v>
      </c>
      <c r="D2781" s="424" t="s">
        <v>9037</v>
      </c>
      <c r="E2781" s="26" t="s">
        <v>5</v>
      </c>
      <c r="F2781" s="26" t="s">
        <v>85</v>
      </c>
    </row>
    <row r="2782" spans="2:6" ht="27">
      <c r="B2782" s="626">
        <v>43682</v>
      </c>
      <c r="C2782" s="21">
        <v>43682</v>
      </c>
      <c r="D2782" s="424" t="s">
        <v>9041</v>
      </c>
      <c r="E2782" s="26" t="s">
        <v>5</v>
      </c>
      <c r="F2782" s="26" t="s">
        <v>79</v>
      </c>
    </row>
    <row r="2783" spans="2:6" ht="27">
      <c r="B2783" s="616">
        <v>43692</v>
      </c>
      <c r="C2783" s="23">
        <v>43692</v>
      </c>
      <c r="D2783" s="424" t="s">
        <v>9043</v>
      </c>
      <c r="E2783" s="26" t="s">
        <v>5</v>
      </c>
      <c r="F2783" s="26" t="s">
        <v>85</v>
      </c>
    </row>
    <row r="2784" spans="2:6" ht="27">
      <c r="B2784" s="626">
        <v>43693</v>
      </c>
      <c r="C2784" s="21">
        <v>43693</v>
      </c>
      <c r="D2784" s="428" t="s">
        <v>9045</v>
      </c>
      <c r="E2784" s="26" t="s">
        <v>5</v>
      </c>
      <c r="F2784" s="423" t="s">
        <v>79</v>
      </c>
    </row>
    <row r="2785" spans="2:6" ht="27">
      <c r="B2785" s="616">
        <v>43689</v>
      </c>
      <c r="C2785" s="23">
        <v>43689</v>
      </c>
      <c r="D2785" s="22" t="s">
        <v>9047</v>
      </c>
      <c r="E2785" s="422" t="s">
        <v>208</v>
      </c>
      <c r="F2785" s="422" t="s">
        <v>79</v>
      </c>
    </row>
    <row r="2786" spans="2:6" ht="27">
      <c r="B2786" s="616">
        <v>43661</v>
      </c>
      <c r="C2786" s="21">
        <v>43661</v>
      </c>
      <c r="D2786" s="22" t="s">
        <v>9048</v>
      </c>
      <c r="E2786" s="422" t="s">
        <v>9049</v>
      </c>
      <c r="F2786" s="422" t="s">
        <v>8243</v>
      </c>
    </row>
    <row r="2787" spans="2:6" ht="27">
      <c r="B2787" s="616">
        <v>43662</v>
      </c>
      <c r="C2787" s="23">
        <v>43662</v>
      </c>
      <c r="D2787" s="22" t="s">
        <v>9056</v>
      </c>
      <c r="E2787" s="422" t="s">
        <v>9049</v>
      </c>
      <c r="F2787" s="422" t="s">
        <v>9055</v>
      </c>
    </row>
    <row r="2788" spans="2:6" ht="27">
      <c r="B2788" s="616">
        <v>43670</v>
      </c>
      <c r="C2788" s="21">
        <v>43670</v>
      </c>
      <c r="D2788" s="22" t="s">
        <v>8998</v>
      </c>
      <c r="E2788" s="422" t="s">
        <v>63</v>
      </c>
      <c r="F2788" s="422" t="s">
        <v>1114</v>
      </c>
    </row>
    <row r="2789" spans="2:6" ht="27">
      <c r="B2789" s="616">
        <v>43668</v>
      </c>
      <c r="C2789" s="21">
        <v>43668</v>
      </c>
      <c r="D2789" s="22" t="s">
        <v>9057</v>
      </c>
      <c r="E2789" s="422" t="s">
        <v>63</v>
      </c>
      <c r="F2789" s="422" t="s">
        <v>8243</v>
      </c>
    </row>
    <row r="2790" spans="2:6" ht="27">
      <c r="B2790" s="620">
        <v>43677</v>
      </c>
      <c r="C2790" s="21">
        <v>43677</v>
      </c>
      <c r="D2790" s="22" t="s">
        <v>9062</v>
      </c>
      <c r="E2790" s="422" t="s">
        <v>63</v>
      </c>
      <c r="F2790" s="428" t="s">
        <v>85</v>
      </c>
    </row>
    <row r="2791" spans="2:6" ht="27">
      <c r="B2791" s="626">
        <v>43677</v>
      </c>
      <c r="C2791" s="21">
        <v>43677</v>
      </c>
      <c r="D2791" s="22" t="s">
        <v>9063</v>
      </c>
      <c r="E2791" s="26" t="s">
        <v>171</v>
      </c>
      <c r="F2791" s="423" t="s">
        <v>1114</v>
      </c>
    </row>
    <row r="2792" spans="2:6" ht="54">
      <c r="B2792" s="616">
        <v>43683</v>
      </c>
      <c r="C2792" s="21">
        <v>43683</v>
      </c>
      <c r="D2792" s="22" t="s">
        <v>9064</v>
      </c>
      <c r="E2792" s="422" t="s">
        <v>9065</v>
      </c>
      <c r="F2792" s="422" t="s">
        <v>1114</v>
      </c>
    </row>
    <row r="2793" spans="2:6" ht="27">
      <c r="B2793" s="616">
        <v>43669</v>
      </c>
      <c r="C2793" s="21">
        <v>43669</v>
      </c>
      <c r="D2793" s="22" t="s">
        <v>9066</v>
      </c>
      <c r="E2793" s="422" t="s">
        <v>9067</v>
      </c>
      <c r="F2793" s="422" t="s">
        <v>9068</v>
      </c>
    </row>
    <row r="2794" spans="2:6" ht="27">
      <c r="B2794" s="616">
        <v>43648</v>
      </c>
      <c r="C2794" s="21">
        <v>43648</v>
      </c>
      <c r="D2794" s="22" t="s">
        <v>9074</v>
      </c>
      <c r="E2794" s="422" t="s">
        <v>5</v>
      </c>
      <c r="F2794" s="422" t="s">
        <v>85</v>
      </c>
    </row>
    <row r="2795" spans="2:6" ht="27">
      <c r="B2795" s="616">
        <v>43677</v>
      </c>
      <c r="C2795" s="21">
        <v>43677</v>
      </c>
      <c r="D2795" s="22" t="s">
        <v>9093</v>
      </c>
      <c r="E2795" s="422" t="s">
        <v>5</v>
      </c>
      <c r="F2795" s="422" t="s">
        <v>79</v>
      </c>
    </row>
    <row r="2796" spans="2:6" ht="27">
      <c r="B2796" s="616">
        <v>43677</v>
      </c>
      <c r="C2796" s="21">
        <v>43677</v>
      </c>
      <c r="D2796" s="22" t="s">
        <v>9094</v>
      </c>
      <c r="E2796" s="422" t="s">
        <v>208</v>
      </c>
      <c r="F2796" s="422" t="s">
        <v>8894</v>
      </c>
    </row>
    <row r="2797" spans="2:6" ht="27">
      <c r="B2797" s="626">
        <v>43678</v>
      </c>
      <c r="C2797" s="21">
        <v>43678</v>
      </c>
      <c r="D2797" s="428" t="s">
        <v>8991</v>
      </c>
      <c r="E2797" s="26" t="s">
        <v>5</v>
      </c>
      <c r="F2797" s="423" t="s">
        <v>8243</v>
      </c>
    </row>
    <row r="2798" spans="2:6" ht="27">
      <c r="B2798" s="616">
        <v>43679</v>
      </c>
      <c r="C2798" s="21">
        <v>43679</v>
      </c>
      <c r="D2798" s="428" t="s">
        <v>9095</v>
      </c>
      <c r="E2798" s="26" t="s">
        <v>5</v>
      </c>
      <c r="F2798" s="422" t="s">
        <v>85</v>
      </c>
    </row>
    <row r="2799" spans="2:6" ht="27">
      <c r="B2799" s="626">
        <v>43682</v>
      </c>
      <c r="C2799" s="21">
        <v>43682</v>
      </c>
      <c r="D2799" s="424" t="s">
        <v>9038</v>
      </c>
      <c r="E2799" s="26" t="s">
        <v>5</v>
      </c>
      <c r="F2799" s="26" t="s">
        <v>79</v>
      </c>
    </row>
    <row r="2800" spans="2:6" ht="27">
      <c r="B2800" s="616">
        <v>43683</v>
      </c>
      <c r="C2800" s="21">
        <v>43683</v>
      </c>
      <c r="D2800" s="424" t="s">
        <v>9096</v>
      </c>
      <c r="E2800" s="422" t="s">
        <v>5</v>
      </c>
      <c r="F2800" s="423" t="s">
        <v>8243</v>
      </c>
    </row>
    <row r="2801" spans="2:6" ht="27">
      <c r="B2801" s="616">
        <v>43686</v>
      </c>
      <c r="C2801" s="21">
        <v>43686</v>
      </c>
      <c r="D2801" s="424" t="s">
        <v>9097</v>
      </c>
      <c r="E2801" s="422" t="s">
        <v>5</v>
      </c>
      <c r="F2801" s="423" t="s">
        <v>8243</v>
      </c>
    </row>
    <row r="2802" spans="2:6" ht="27">
      <c r="B2802" s="616">
        <v>43686</v>
      </c>
      <c r="C2802" s="21">
        <v>43686</v>
      </c>
      <c r="D2802" s="424" t="s">
        <v>9098</v>
      </c>
      <c r="E2802" s="422" t="s">
        <v>208</v>
      </c>
      <c r="F2802" s="423" t="s">
        <v>8243</v>
      </c>
    </row>
    <row r="2803" spans="2:6" ht="27">
      <c r="B2803" s="616">
        <v>43689</v>
      </c>
      <c r="C2803" s="21">
        <v>43689</v>
      </c>
      <c r="D2803" s="424" t="s">
        <v>9099</v>
      </c>
      <c r="E2803" s="422" t="s">
        <v>208</v>
      </c>
      <c r="F2803" s="423" t="s">
        <v>8243</v>
      </c>
    </row>
    <row r="2804" spans="2:6" ht="27">
      <c r="B2804" s="616">
        <v>43689</v>
      </c>
      <c r="C2804" s="21">
        <v>43689</v>
      </c>
      <c r="D2804" s="424" t="s">
        <v>9100</v>
      </c>
      <c r="E2804" s="422" t="s">
        <v>208</v>
      </c>
      <c r="F2804" s="422" t="s">
        <v>8894</v>
      </c>
    </row>
    <row r="2805" spans="2:6" ht="27">
      <c r="B2805" s="616">
        <v>43698</v>
      </c>
      <c r="C2805" s="21">
        <v>43698</v>
      </c>
      <c r="D2805" s="424" t="s">
        <v>9101</v>
      </c>
      <c r="E2805" s="422" t="s">
        <v>5</v>
      </c>
      <c r="F2805" s="422" t="s">
        <v>8894</v>
      </c>
    </row>
    <row r="2806" spans="2:6" ht="27">
      <c r="B2806" s="616">
        <v>43698</v>
      </c>
      <c r="C2806" s="21">
        <v>43698</v>
      </c>
      <c r="D2806" s="424" t="s">
        <v>9106</v>
      </c>
      <c r="E2806" s="422" t="s">
        <v>5</v>
      </c>
      <c r="F2806" s="422" t="s">
        <v>85</v>
      </c>
    </row>
    <row r="2807" spans="2:6" ht="27">
      <c r="B2807" s="616">
        <v>43698</v>
      </c>
      <c r="C2807" s="21">
        <v>43698</v>
      </c>
      <c r="D2807" s="22" t="s">
        <v>9107</v>
      </c>
      <c r="E2807" s="422" t="s">
        <v>208</v>
      </c>
      <c r="F2807" s="423" t="s">
        <v>8243</v>
      </c>
    </row>
    <row r="2808" spans="2:6" ht="27">
      <c r="B2808" s="616">
        <v>43700</v>
      </c>
      <c r="C2808" s="21">
        <v>43700</v>
      </c>
      <c r="D2808" s="22" t="s">
        <v>9108</v>
      </c>
      <c r="E2808" s="422" t="s">
        <v>208</v>
      </c>
      <c r="F2808" s="423" t="s">
        <v>8243</v>
      </c>
    </row>
    <row r="2809" spans="2:6" ht="27">
      <c r="B2809" s="626">
        <v>43703</v>
      </c>
      <c r="C2809" s="21">
        <v>43703</v>
      </c>
      <c r="D2809" s="428" t="s">
        <v>9136</v>
      </c>
      <c r="E2809" s="422" t="s">
        <v>5</v>
      </c>
      <c r="F2809" s="423" t="s">
        <v>9137</v>
      </c>
    </row>
    <row r="2810" spans="2:6" ht="27">
      <c r="B2810" s="616">
        <v>43703</v>
      </c>
      <c r="C2810" s="23">
        <v>43703</v>
      </c>
      <c r="D2810" s="22" t="s">
        <v>9138</v>
      </c>
      <c r="E2810" s="422" t="s">
        <v>5</v>
      </c>
      <c r="F2810" s="422" t="s">
        <v>8243</v>
      </c>
    </row>
    <row r="2811" spans="2:6" ht="27">
      <c r="B2811" s="616">
        <v>43704</v>
      </c>
      <c r="C2811" s="21">
        <v>43704</v>
      </c>
      <c r="D2811" s="22" t="s">
        <v>9139</v>
      </c>
      <c r="E2811" s="422" t="s">
        <v>208</v>
      </c>
      <c r="F2811" s="422" t="s">
        <v>8243</v>
      </c>
    </row>
    <row r="2812" spans="2:6" ht="27">
      <c r="B2812" s="626">
        <v>43706</v>
      </c>
      <c r="C2812" s="21">
        <v>43706</v>
      </c>
      <c r="D2812" s="428" t="s">
        <v>9110</v>
      </c>
      <c r="E2812" s="26" t="s">
        <v>208</v>
      </c>
      <c r="F2812" s="423" t="s">
        <v>5661</v>
      </c>
    </row>
    <row r="2813" spans="2:6" ht="27">
      <c r="B2813" s="626">
        <v>43706</v>
      </c>
      <c r="C2813" s="21">
        <v>43706</v>
      </c>
      <c r="D2813" s="428" t="s">
        <v>9085</v>
      </c>
      <c r="E2813" s="26" t="s">
        <v>5</v>
      </c>
      <c r="F2813" s="423" t="s">
        <v>5661</v>
      </c>
    </row>
    <row r="2814" spans="2:6" ht="27">
      <c r="B2814" s="616">
        <v>43706</v>
      </c>
      <c r="C2814" s="21">
        <v>43706</v>
      </c>
      <c r="D2814" s="22" t="s">
        <v>9140</v>
      </c>
      <c r="E2814" s="422" t="s">
        <v>5</v>
      </c>
      <c r="F2814" s="422" t="s">
        <v>8243</v>
      </c>
    </row>
    <row r="2815" spans="2:6" ht="27">
      <c r="B2815" s="620">
        <v>43707</v>
      </c>
      <c r="C2815" s="21">
        <v>43707</v>
      </c>
      <c r="D2815" s="22" t="s">
        <v>9141</v>
      </c>
      <c r="E2815" s="428" t="s">
        <v>63</v>
      </c>
      <c r="F2815" s="422" t="s">
        <v>8243</v>
      </c>
    </row>
    <row r="2816" spans="2:6" ht="27">
      <c r="B2816" s="616">
        <v>43710</v>
      </c>
      <c r="C2816" s="21">
        <v>43710</v>
      </c>
      <c r="D2816" s="22" t="s">
        <v>9142</v>
      </c>
      <c r="E2816" s="422" t="s">
        <v>63</v>
      </c>
      <c r="F2816" s="422" t="s">
        <v>8243</v>
      </c>
    </row>
    <row r="2817" spans="2:6" ht="27">
      <c r="B2817" s="616">
        <v>43711</v>
      </c>
      <c r="C2817" s="23">
        <v>43711</v>
      </c>
      <c r="D2817" s="22" t="s">
        <v>9143</v>
      </c>
      <c r="E2817" s="422" t="s">
        <v>63</v>
      </c>
      <c r="F2817" s="422" t="s">
        <v>8894</v>
      </c>
    </row>
    <row r="2818" spans="2:6" ht="27">
      <c r="B2818" s="616">
        <v>43712</v>
      </c>
      <c r="C2818" s="21">
        <v>43712</v>
      </c>
      <c r="D2818" s="22" t="s">
        <v>9144</v>
      </c>
      <c r="E2818" s="422" t="s">
        <v>208</v>
      </c>
      <c r="F2818" s="422" t="s">
        <v>8243</v>
      </c>
    </row>
    <row r="2819" spans="2:6" ht="27">
      <c r="B2819" s="616">
        <v>43717</v>
      </c>
      <c r="C2819" s="21">
        <v>43717</v>
      </c>
      <c r="D2819" s="22" t="s">
        <v>9146</v>
      </c>
      <c r="E2819" s="422" t="s">
        <v>208</v>
      </c>
      <c r="F2819" s="422" t="s">
        <v>85</v>
      </c>
    </row>
    <row r="2820" spans="2:6" ht="27">
      <c r="B2820" s="632">
        <v>43712</v>
      </c>
      <c r="C2820" s="23">
        <v>43712</v>
      </c>
      <c r="D2820" s="194" t="s">
        <v>9145</v>
      </c>
      <c r="E2820" s="421" t="s">
        <v>5</v>
      </c>
      <c r="F2820" s="422" t="s">
        <v>8001</v>
      </c>
    </row>
    <row r="2821" spans="2:6" ht="27">
      <c r="B2821" s="616">
        <v>43718</v>
      </c>
      <c r="C2821" s="21">
        <v>43718</v>
      </c>
      <c r="D2821" s="22" t="s">
        <v>9147</v>
      </c>
      <c r="E2821" s="422" t="s">
        <v>63</v>
      </c>
      <c r="F2821" s="422" t="s">
        <v>8243</v>
      </c>
    </row>
    <row r="2822" spans="2:6">
      <c r="B2822" s="616">
        <v>43705</v>
      </c>
      <c r="C2822" s="21">
        <v>43705</v>
      </c>
      <c r="D2822" s="22" t="s">
        <v>9148</v>
      </c>
      <c r="E2822" s="422" t="s">
        <v>286</v>
      </c>
      <c r="F2822" s="422" t="s">
        <v>9149</v>
      </c>
    </row>
    <row r="2823" spans="2:6" ht="27">
      <c r="B2823" s="637">
        <v>43710</v>
      </c>
      <c r="C2823" s="23">
        <v>43710</v>
      </c>
      <c r="D2823" s="201" t="s">
        <v>9150</v>
      </c>
      <c r="E2823" s="201" t="s">
        <v>625</v>
      </c>
      <c r="F2823" s="428" t="s">
        <v>1495</v>
      </c>
    </row>
    <row r="2824" spans="2:6" ht="27">
      <c r="B2824" s="626">
        <v>43707</v>
      </c>
      <c r="C2824" s="21">
        <v>43707</v>
      </c>
      <c r="D2824" s="424" t="s">
        <v>9151</v>
      </c>
      <c r="E2824" s="26" t="s">
        <v>625</v>
      </c>
      <c r="F2824" s="26" t="s">
        <v>1495</v>
      </c>
    </row>
    <row r="2825" spans="2:6" ht="27">
      <c r="B2825" s="623">
        <v>43718</v>
      </c>
      <c r="C2825" s="129">
        <v>43718</v>
      </c>
      <c r="D2825" s="504" t="s">
        <v>9152</v>
      </c>
      <c r="E2825" s="158" t="s">
        <v>5</v>
      </c>
      <c r="F2825" s="158" t="s">
        <v>8243</v>
      </c>
    </row>
    <row r="2826" spans="2:6" ht="27">
      <c r="B2826" s="616">
        <v>43719</v>
      </c>
      <c r="C2826" s="21">
        <v>43719</v>
      </c>
      <c r="D2826" s="504" t="s">
        <v>9153</v>
      </c>
      <c r="E2826" s="422" t="s">
        <v>208</v>
      </c>
      <c r="F2826" s="422" t="s">
        <v>85</v>
      </c>
    </row>
    <row r="2827" spans="2:6" ht="24">
      <c r="B2827" s="616">
        <v>43719</v>
      </c>
      <c r="C2827" s="21">
        <v>43719</v>
      </c>
      <c r="D2827" s="22" t="s">
        <v>9154</v>
      </c>
      <c r="E2827" s="422" t="s">
        <v>208</v>
      </c>
      <c r="F2827" s="249" t="s">
        <v>8243</v>
      </c>
    </row>
    <row r="2828" spans="2:6" ht="27">
      <c r="B2828" s="616">
        <v>43728</v>
      </c>
      <c r="C2828" s="21">
        <v>43728</v>
      </c>
      <c r="D2828" s="22" t="s">
        <v>9165</v>
      </c>
      <c r="E2828" s="422" t="s">
        <v>5</v>
      </c>
      <c r="F2828" s="422" t="s">
        <v>336</v>
      </c>
    </row>
    <row r="2829" spans="2:6" ht="24">
      <c r="B2829" s="626">
        <v>43734</v>
      </c>
      <c r="C2829" s="21">
        <v>43734</v>
      </c>
      <c r="D2829" s="424" t="s">
        <v>9166</v>
      </c>
      <c r="E2829" s="236" t="s">
        <v>5</v>
      </c>
      <c r="F2829" s="249" t="s">
        <v>8243</v>
      </c>
    </row>
    <row r="2830" spans="2:6" ht="27">
      <c r="B2830" s="626">
        <v>43738</v>
      </c>
      <c r="C2830" s="21">
        <v>43738</v>
      </c>
      <c r="D2830" s="424" t="s">
        <v>9169</v>
      </c>
      <c r="E2830" s="26" t="s">
        <v>5</v>
      </c>
      <c r="F2830" s="26" t="s">
        <v>85</v>
      </c>
    </row>
    <row r="2831" spans="2:6" ht="27">
      <c r="B2831" s="616">
        <v>43735</v>
      </c>
      <c r="C2831" s="21">
        <v>43735</v>
      </c>
      <c r="D2831" s="22" t="s">
        <v>9168</v>
      </c>
      <c r="E2831" s="422" t="s">
        <v>208</v>
      </c>
      <c r="F2831" s="422" t="s">
        <v>8243</v>
      </c>
    </row>
    <row r="2832" spans="2:6" ht="27">
      <c r="B2832" s="623">
        <v>43753</v>
      </c>
      <c r="C2832" s="129">
        <v>43753</v>
      </c>
      <c r="D2832" s="504" t="s">
        <v>9175</v>
      </c>
      <c r="E2832" s="158" t="s">
        <v>5</v>
      </c>
      <c r="F2832" s="158" t="s">
        <v>79</v>
      </c>
    </row>
    <row r="2833" spans="2:6" ht="27">
      <c r="B2833" s="621">
        <v>43753</v>
      </c>
      <c r="C2833" s="146">
        <v>43753</v>
      </c>
      <c r="D2833" s="146" t="s">
        <v>9176</v>
      </c>
      <c r="E2833" s="172" t="s">
        <v>5</v>
      </c>
      <c r="F2833" s="141" t="s">
        <v>9177</v>
      </c>
    </row>
    <row r="2834" spans="2:6" ht="27">
      <c r="B2834" s="621">
        <v>43739</v>
      </c>
      <c r="C2834" s="146">
        <v>43739</v>
      </c>
      <c r="D2834" s="146" t="s">
        <v>9188</v>
      </c>
      <c r="E2834" s="172" t="s">
        <v>208</v>
      </c>
      <c r="F2834" s="422" t="s">
        <v>8243</v>
      </c>
    </row>
    <row r="2835" spans="2:6" ht="27">
      <c r="B2835" s="623">
        <v>43740</v>
      </c>
      <c r="C2835" s="129">
        <v>43740</v>
      </c>
      <c r="D2835" s="504" t="s">
        <v>9189</v>
      </c>
      <c r="E2835" s="158" t="s">
        <v>208</v>
      </c>
      <c r="F2835" s="158" t="s">
        <v>8243</v>
      </c>
    </row>
    <row r="2836" spans="2:6" ht="27">
      <c r="B2836" s="623">
        <v>43748</v>
      </c>
      <c r="C2836" s="129">
        <v>43748</v>
      </c>
      <c r="D2836" s="504" t="s">
        <v>9190</v>
      </c>
      <c r="E2836" s="158" t="s">
        <v>3534</v>
      </c>
      <c r="F2836" s="158" t="s">
        <v>85</v>
      </c>
    </row>
    <row r="2837" spans="2:6" ht="27">
      <c r="B2837" s="623">
        <v>43753</v>
      </c>
      <c r="C2837" s="129">
        <v>43753</v>
      </c>
      <c r="D2837" s="504" t="s">
        <v>9191</v>
      </c>
      <c r="E2837" s="158" t="s">
        <v>5</v>
      </c>
      <c r="F2837" s="158" t="s">
        <v>79</v>
      </c>
    </row>
    <row r="2838" spans="2:6" ht="27">
      <c r="B2838" s="626">
        <v>43754</v>
      </c>
      <c r="C2838" s="21">
        <v>43754</v>
      </c>
      <c r="D2838" s="424" t="s">
        <v>9192</v>
      </c>
      <c r="E2838" s="26" t="s">
        <v>5</v>
      </c>
      <c r="F2838" s="26" t="s">
        <v>79</v>
      </c>
    </row>
    <row r="2839" spans="2:6" ht="27">
      <c r="B2839" s="626">
        <v>43754</v>
      </c>
      <c r="C2839" s="21">
        <v>43754</v>
      </c>
      <c r="D2839" s="424" t="s">
        <v>9193</v>
      </c>
      <c r="E2839" s="26" t="s">
        <v>5</v>
      </c>
      <c r="F2839" s="26" t="s">
        <v>85</v>
      </c>
    </row>
    <row r="2840" spans="2:6" ht="27">
      <c r="B2840" s="623">
        <v>43755</v>
      </c>
      <c r="C2840" s="129">
        <v>43755</v>
      </c>
      <c r="D2840" s="504" t="s">
        <v>9194</v>
      </c>
      <c r="E2840" s="158" t="s">
        <v>208</v>
      </c>
      <c r="F2840" s="158" t="s">
        <v>8243</v>
      </c>
    </row>
    <row r="2841" spans="2:6" ht="67.5">
      <c r="B2841" s="626">
        <v>43692</v>
      </c>
      <c r="C2841" s="21">
        <v>43692</v>
      </c>
      <c r="D2841" s="428" t="s">
        <v>9197</v>
      </c>
      <c r="E2841" s="26" t="s">
        <v>625</v>
      </c>
      <c r="F2841" s="423" t="s">
        <v>9198</v>
      </c>
    </row>
    <row r="2842" spans="2:6" ht="27">
      <c r="B2842" s="621">
        <v>43690</v>
      </c>
      <c r="C2842" s="146">
        <v>43690</v>
      </c>
      <c r="D2842" s="146" t="s">
        <v>9199</v>
      </c>
      <c r="E2842" s="172" t="s">
        <v>2743</v>
      </c>
      <c r="F2842" s="141" t="s">
        <v>8243</v>
      </c>
    </row>
    <row r="2843" spans="2:6" ht="54.75" thickBot="1">
      <c r="B2843" s="621">
        <v>43710</v>
      </c>
      <c r="C2843" s="146">
        <v>43710</v>
      </c>
      <c r="D2843" s="582" t="s">
        <v>9200</v>
      </c>
      <c r="E2843" s="172" t="s">
        <v>208</v>
      </c>
      <c r="F2843" s="141" t="s">
        <v>9201</v>
      </c>
    </row>
    <row r="2844" spans="2:6" ht="27">
      <c r="B2844" s="621">
        <v>43698</v>
      </c>
      <c r="C2844" s="146">
        <v>43698</v>
      </c>
      <c r="D2844" s="146" t="s">
        <v>9202</v>
      </c>
      <c r="E2844" s="172" t="s">
        <v>171</v>
      </c>
      <c r="F2844" s="141" t="s">
        <v>2378</v>
      </c>
    </row>
    <row r="2845" spans="2:6" ht="27">
      <c r="B2845" s="623">
        <v>43720</v>
      </c>
      <c r="C2845" s="129">
        <v>43720</v>
      </c>
      <c r="D2845" s="504" t="s">
        <v>9203</v>
      </c>
      <c r="E2845" s="158" t="s">
        <v>208</v>
      </c>
      <c r="F2845" s="158" t="s">
        <v>8243</v>
      </c>
    </row>
    <row r="2846" spans="2:6" ht="40.5">
      <c r="B2846" s="623">
        <v>43735</v>
      </c>
      <c r="C2846" s="129">
        <v>43735</v>
      </c>
      <c r="D2846" s="504" t="s">
        <v>9204</v>
      </c>
      <c r="E2846" s="158" t="s">
        <v>576</v>
      </c>
      <c r="F2846" s="158" t="s">
        <v>9205</v>
      </c>
    </row>
    <row r="2847" spans="2:6" ht="27">
      <c r="B2847" s="623">
        <v>43732</v>
      </c>
      <c r="C2847" s="129">
        <v>43732</v>
      </c>
      <c r="D2847" s="504" t="s">
        <v>9206</v>
      </c>
      <c r="E2847" s="158" t="s">
        <v>208</v>
      </c>
      <c r="F2847" s="158" t="s">
        <v>9207</v>
      </c>
    </row>
    <row r="2848" spans="2:6" ht="27">
      <c r="B2848" s="626">
        <v>43756</v>
      </c>
      <c r="C2848" s="21">
        <v>43756</v>
      </c>
      <c r="D2848" s="424" t="s">
        <v>9195</v>
      </c>
      <c r="E2848" s="26" t="s">
        <v>5</v>
      </c>
      <c r="F2848" s="26" t="s">
        <v>85</v>
      </c>
    </row>
    <row r="2849" spans="1:6" ht="27">
      <c r="B2849" s="626">
        <v>43756</v>
      </c>
      <c r="C2849" s="21">
        <v>43756</v>
      </c>
      <c r="D2849" s="424" t="s">
        <v>9196</v>
      </c>
      <c r="E2849" s="26" t="s">
        <v>503</v>
      </c>
      <c r="F2849" s="26" t="s">
        <v>8243</v>
      </c>
    </row>
    <row r="2850" spans="1:6" s="584" customFormat="1" ht="27">
      <c r="A2850" s="583"/>
      <c r="B2850" s="623">
        <v>43762</v>
      </c>
      <c r="C2850" s="129">
        <v>43762</v>
      </c>
      <c r="D2850" s="504" t="s">
        <v>9222</v>
      </c>
      <c r="E2850" s="158" t="s">
        <v>208</v>
      </c>
      <c r="F2850" s="158" t="s">
        <v>8243</v>
      </c>
    </row>
    <row r="2851" spans="1:6" s="584" customFormat="1" ht="27">
      <c r="A2851" s="583"/>
      <c r="B2851" s="623">
        <v>43763</v>
      </c>
      <c r="C2851" s="129">
        <v>43763</v>
      </c>
      <c r="D2851" s="504" t="s">
        <v>9223</v>
      </c>
      <c r="E2851" s="158" t="s">
        <v>5</v>
      </c>
      <c r="F2851" s="158" t="s">
        <v>85</v>
      </c>
    </row>
    <row r="2852" spans="1:6" ht="27">
      <c r="B2852" s="623">
        <v>43763</v>
      </c>
      <c r="C2852" s="129">
        <v>43763</v>
      </c>
      <c r="D2852" s="504" t="s">
        <v>9224</v>
      </c>
      <c r="E2852" s="158" t="s">
        <v>208</v>
      </c>
      <c r="F2852" s="158" t="s">
        <v>8243</v>
      </c>
    </row>
    <row r="2853" spans="1:6" ht="27">
      <c r="B2853" s="616">
        <v>43777</v>
      </c>
      <c r="C2853" s="21">
        <v>43777</v>
      </c>
      <c r="D2853" s="424" t="s">
        <v>9234</v>
      </c>
      <c r="E2853" s="422" t="s">
        <v>5</v>
      </c>
      <c r="F2853" s="422" t="s">
        <v>85</v>
      </c>
    </row>
    <row r="2854" spans="1:6" ht="27">
      <c r="B2854" s="626">
        <v>43633</v>
      </c>
      <c r="C2854" s="21">
        <v>43633</v>
      </c>
      <c r="D2854" s="424" t="s">
        <v>8812</v>
      </c>
      <c r="E2854" s="26" t="s">
        <v>63</v>
      </c>
      <c r="F2854" s="26" t="s">
        <v>79</v>
      </c>
    </row>
    <row r="2855" spans="1:6" ht="27">
      <c r="B2855" s="616">
        <v>43635</v>
      </c>
      <c r="C2855" s="21">
        <v>43635</v>
      </c>
      <c r="D2855" s="22" t="s">
        <v>8896</v>
      </c>
      <c r="E2855" s="422" t="s">
        <v>63</v>
      </c>
      <c r="F2855" s="26" t="s">
        <v>79</v>
      </c>
    </row>
    <row r="2856" spans="1:6" ht="27">
      <c r="B2856" s="623">
        <v>43637</v>
      </c>
      <c r="C2856" s="612">
        <v>43637</v>
      </c>
      <c r="D2856" s="504" t="s">
        <v>8848</v>
      </c>
      <c r="E2856" s="158" t="s">
        <v>5</v>
      </c>
      <c r="F2856" s="158" t="s">
        <v>8243</v>
      </c>
    </row>
    <row r="2857" spans="1:6" ht="27">
      <c r="B2857" s="147">
        <v>43781</v>
      </c>
      <c r="C2857" s="21">
        <v>43781</v>
      </c>
      <c r="D2857" s="428" t="s">
        <v>9245</v>
      </c>
      <c r="E2857" s="26" t="s">
        <v>208</v>
      </c>
      <c r="F2857" s="423" t="s">
        <v>79</v>
      </c>
    </row>
    <row r="2858" spans="1:6" ht="27">
      <c r="B2858" s="420">
        <v>43805</v>
      </c>
      <c r="C2858" s="23">
        <v>43805</v>
      </c>
      <c r="D2858" s="428" t="s">
        <v>9237</v>
      </c>
      <c r="E2858" s="26" t="s">
        <v>5</v>
      </c>
      <c r="F2858" s="423" t="s">
        <v>79</v>
      </c>
    </row>
    <row r="2859" spans="1:6" ht="27">
      <c r="B2859" s="616">
        <v>43809</v>
      </c>
      <c r="C2859" s="23">
        <v>43809</v>
      </c>
      <c r="D2859" s="428" t="s">
        <v>9247</v>
      </c>
      <c r="E2859" s="422" t="s">
        <v>63</v>
      </c>
      <c r="F2859" s="422" t="s">
        <v>85</v>
      </c>
    </row>
    <row r="2860" spans="1:6" ht="27">
      <c r="B2860" s="147">
        <v>43815</v>
      </c>
      <c r="C2860" s="21">
        <v>43815</v>
      </c>
      <c r="D2860" s="428" t="s">
        <v>9239</v>
      </c>
      <c r="E2860" s="26" t="s">
        <v>5</v>
      </c>
      <c r="F2860" s="423" t="s">
        <v>79</v>
      </c>
    </row>
    <row r="2861" spans="1:6" ht="27.75" thickBot="1">
      <c r="B2861" s="620">
        <v>43691</v>
      </c>
      <c r="C2861" s="21">
        <v>43691</v>
      </c>
      <c r="D2861" s="428" t="s">
        <v>9248</v>
      </c>
      <c r="E2861" s="26" t="s">
        <v>208</v>
      </c>
      <c r="F2861" s="428" t="s">
        <v>8894</v>
      </c>
    </row>
    <row r="2862" spans="1:6" ht="27.75" thickBot="1">
      <c r="B2862" s="626">
        <v>43698</v>
      </c>
      <c r="C2862" s="21">
        <v>43698</v>
      </c>
      <c r="D2862" s="665" t="s">
        <v>9249</v>
      </c>
      <c r="E2862" s="26" t="s">
        <v>208</v>
      </c>
      <c r="F2862" s="158" t="s">
        <v>8243</v>
      </c>
    </row>
    <row r="2863" spans="1:6" ht="55.5" thickTop="1" thickBot="1">
      <c r="B2863" s="128">
        <v>43705</v>
      </c>
      <c r="C2863" s="129">
        <v>43705</v>
      </c>
      <c r="D2863" s="504" t="s">
        <v>9215</v>
      </c>
      <c r="E2863" s="158" t="s">
        <v>208</v>
      </c>
      <c r="F2863" s="158" t="s">
        <v>9216</v>
      </c>
    </row>
    <row r="2864" spans="1:6" ht="27.75" thickBot="1">
      <c r="B2864" s="645">
        <v>43721</v>
      </c>
      <c r="C2864" s="23">
        <v>43721</v>
      </c>
      <c r="D2864" s="665" t="s">
        <v>9250</v>
      </c>
      <c r="E2864" s="158" t="s">
        <v>208</v>
      </c>
      <c r="F2864" s="422" t="s">
        <v>8243</v>
      </c>
    </row>
    <row r="2865" spans="1:6" ht="54.75" thickTop="1">
      <c r="B2865" s="423">
        <v>43745</v>
      </c>
      <c r="C2865" s="21">
        <v>43745</v>
      </c>
      <c r="D2865" s="424" t="s">
        <v>9256</v>
      </c>
      <c r="E2865" s="422" t="s">
        <v>586</v>
      </c>
      <c r="F2865" s="422" t="s">
        <v>9257</v>
      </c>
    </row>
    <row r="2866" spans="1:6" s="584" customFormat="1" ht="27">
      <c r="A2866" s="583"/>
      <c r="B2866" s="128">
        <v>43818</v>
      </c>
      <c r="C2866" s="612">
        <v>43818</v>
      </c>
      <c r="D2866" s="504" t="s">
        <v>9260</v>
      </c>
      <c r="E2866" s="158" t="s">
        <v>63</v>
      </c>
      <c r="F2866" s="158" t="s">
        <v>9261</v>
      </c>
    </row>
    <row r="2867" spans="1:6" s="584" customFormat="1" ht="40.5">
      <c r="A2867" s="583"/>
      <c r="B2867" s="128">
        <v>43745</v>
      </c>
      <c r="C2867" s="129">
        <v>43745</v>
      </c>
      <c r="D2867" s="504" t="s">
        <v>9258</v>
      </c>
      <c r="E2867" s="158" t="s">
        <v>63</v>
      </c>
      <c r="F2867" s="158" t="s">
        <v>9259</v>
      </c>
    </row>
    <row r="2868" spans="1:6" ht="27">
      <c r="B2868" s="147">
        <v>43801</v>
      </c>
      <c r="C2868" s="21">
        <v>43801</v>
      </c>
      <c r="D2868" s="424" t="s">
        <v>9262</v>
      </c>
      <c r="E2868" s="26" t="s">
        <v>208</v>
      </c>
      <c r="F2868" s="26" t="s">
        <v>8243</v>
      </c>
    </row>
    <row r="2869" spans="1:6" ht="27">
      <c r="B2869" s="147">
        <v>43817</v>
      </c>
      <c r="C2869" s="21">
        <v>43817</v>
      </c>
      <c r="D2869" s="428" t="s">
        <v>9266</v>
      </c>
      <c r="E2869" s="26" t="s">
        <v>9265</v>
      </c>
      <c r="F2869" s="423" t="s">
        <v>2395</v>
      </c>
    </row>
    <row r="2870" spans="1:6" ht="27">
      <c r="B2870" s="147">
        <v>43817</v>
      </c>
      <c r="C2870" s="21">
        <v>43817</v>
      </c>
      <c r="D2870" s="428" t="s">
        <v>9267</v>
      </c>
      <c r="E2870" s="26" t="s">
        <v>9265</v>
      </c>
      <c r="F2870" s="423" t="s">
        <v>2395</v>
      </c>
    </row>
    <row r="2871" spans="1:6" ht="27">
      <c r="B2871" s="147">
        <v>43817</v>
      </c>
      <c r="C2871" s="21">
        <v>43817</v>
      </c>
      <c r="D2871" s="428" t="s">
        <v>9271</v>
      </c>
      <c r="E2871" s="26" t="s">
        <v>9265</v>
      </c>
      <c r="F2871" s="423" t="s">
        <v>2395</v>
      </c>
    </row>
    <row r="2872" spans="1:6" ht="27">
      <c r="B2872" s="147">
        <v>43817</v>
      </c>
      <c r="C2872" s="21">
        <v>43817</v>
      </c>
      <c r="D2872" s="428" t="s">
        <v>9276</v>
      </c>
      <c r="E2872" s="26" t="s">
        <v>9265</v>
      </c>
      <c r="F2872" s="423" t="s">
        <v>2395</v>
      </c>
    </row>
    <row r="2873" spans="1:6" ht="27">
      <c r="B2873" s="147">
        <v>43817</v>
      </c>
      <c r="C2873" s="21">
        <v>43817</v>
      </c>
      <c r="D2873" s="428" t="s">
        <v>9278</v>
      </c>
      <c r="E2873" s="26" t="s">
        <v>9265</v>
      </c>
      <c r="F2873" s="423" t="s">
        <v>2395</v>
      </c>
    </row>
    <row r="2874" spans="1:6" ht="27">
      <c r="B2874" s="147">
        <v>42888</v>
      </c>
      <c r="C2874" s="21">
        <v>42888</v>
      </c>
      <c r="D2874" s="428" t="s">
        <v>9300</v>
      </c>
      <c r="E2874" s="26" t="s">
        <v>5</v>
      </c>
      <c r="F2874" s="423" t="s">
        <v>79</v>
      </c>
    </row>
    <row r="2875" spans="1:6" ht="27">
      <c r="B2875" s="147">
        <v>43472</v>
      </c>
      <c r="C2875" s="21">
        <v>43472</v>
      </c>
      <c r="D2875" s="428" t="s">
        <v>9301</v>
      </c>
      <c r="E2875" s="26" t="s">
        <v>5</v>
      </c>
      <c r="F2875" s="423" t="s">
        <v>8243</v>
      </c>
    </row>
    <row r="2876" spans="1:6" ht="54">
      <c r="B2876" s="147">
        <v>43817</v>
      </c>
      <c r="C2876" s="21">
        <v>43817</v>
      </c>
      <c r="D2876" s="428" t="s">
        <v>9294</v>
      </c>
      <c r="E2876" s="26" t="s">
        <v>9284</v>
      </c>
      <c r="F2876" s="423" t="s">
        <v>1495</v>
      </c>
    </row>
    <row r="2877" spans="1:6">
      <c r="B2877" s="616">
        <v>43818</v>
      </c>
      <c r="C2877" s="23">
        <v>43818</v>
      </c>
      <c r="D2877" s="22" t="s">
        <v>9304</v>
      </c>
      <c r="E2877" s="422" t="s">
        <v>63</v>
      </c>
      <c r="F2877" s="422" t="s">
        <v>169</v>
      </c>
    </row>
    <row r="2878" spans="1:6" ht="27">
      <c r="B2878" s="128">
        <v>43809</v>
      </c>
      <c r="C2878" s="129">
        <v>43809</v>
      </c>
      <c r="D2878" s="504" t="s">
        <v>9305</v>
      </c>
      <c r="E2878" s="158" t="s">
        <v>5</v>
      </c>
      <c r="F2878" s="158" t="s">
        <v>8243</v>
      </c>
    </row>
    <row r="2879" spans="1:6">
      <c r="B2879" s="128">
        <v>43830</v>
      </c>
      <c r="C2879" s="129">
        <v>43830</v>
      </c>
      <c r="D2879" s="504" t="s">
        <v>9306</v>
      </c>
      <c r="E2879" s="158" t="s">
        <v>5</v>
      </c>
      <c r="F2879" s="158" t="s">
        <v>121</v>
      </c>
    </row>
    <row r="2880" spans="1:6" ht="27">
      <c r="B2880" s="147">
        <v>43805</v>
      </c>
      <c r="C2880" s="21">
        <v>43805</v>
      </c>
      <c r="D2880" s="428" t="s">
        <v>9308</v>
      </c>
      <c r="E2880" s="26" t="s">
        <v>5</v>
      </c>
      <c r="F2880" s="423" t="s">
        <v>79</v>
      </c>
    </row>
    <row r="2881" spans="2:6" ht="27">
      <c r="B2881" s="147">
        <v>43805</v>
      </c>
      <c r="C2881" s="21">
        <v>43805</v>
      </c>
      <c r="D2881" s="428" t="s">
        <v>9312</v>
      </c>
      <c r="E2881" s="26" t="s">
        <v>5</v>
      </c>
      <c r="F2881" s="423" t="s">
        <v>79</v>
      </c>
    </row>
    <row r="2882" spans="2:6" ht="27">
      <c r="B2882" s="147">
        <v>43805</v>
      </c>
      <c r="C2882" s="21">
        <v>43805</v>
      </c>
      <c r="D2882" s="428" t="s">
        <v>9317</v>
      </c>
      <c r="E2882" s="26" t="s">
        <v>5</v>
      </c>
      <c r="F2882" s="423" t="s">
        <v>79</v>
      </c>
    </row>
    <row r="2883" spans="2:6" ht="27">
      <c r="B2883" s="616"/>
      <c r="C2883" s="23"/>
      <c r="D2883" s="22" t="s">
        <v>9320</v>
      </c>
      <c r="E2883" s="422" t="s">
        <v>208</v>
      </c>
      <c r="F2883" s="422" t="s">
        <v>8243</v>
      </c>
    </row>
    <row r="2884" spans="2:6" ht="54">
      <c r="B2884" s="147">
        <v>43783</v>
      </c>
      <c r="C2884" s="21">
        <v>43783</v>
      </c>
      <c r="D2884" s="428" t="s">
        <v>9289</v>
      </c>
      <c r="E2884" s="26" t="s">
        <v>9284</v>
      </c>
      <c r="F2884" s="423" t="s">
        <v>1495</v>
      </c>
    </row>
    <row r="2885" spans="2:6" ht="54">
      <c r="B2885" s="147">
        <v>43817</v>
      </c>
      <c r="C2885" s="21">
        <v>43817</v>
      </c>
      <c r="D2885" s="428" t="s">
        <v>9291</v>
      </c>
      <c r="E2885" s="26" t="s">
        <v>9284</v>
      </c>
      <c r="F2885" s="423" t="s">
        <v>1495</v>
      </c>
    </row>
    <row r="2886" spans="2:6" ht="27">
      <c r="B2886" s="147">
        <v>43822</v>
      </c>
      <c r="C2886" s="21">
        <v>43822</v>
      </c>
      <c r="D2886" s="428" t="s">
        <v>9322</v>
      </c>
      <c r="E2886" s="422" t="s">
        <v>5</v>
      </c>
      <c r="F2886" s="423" t="s">
        <v>85</v>
      </c>
    </row>
    <row r="2887" spans="2:6" ht="27">
      <c r="B2887" s="616">
        <v>43818</v>
      </c>
      <c r="C2887" s="23">
        <v>43818</v>
      </c>
      <c r="D2887" s="22" t="s">
        <v>9323</v>
      </c>
      <c r="E2887" s="422" t="s">
        <v>208</v>
      </c>
      <c r="F2887" s="423" t="s">
        <v>85</v>
      </c>
    </row>
    <row r="2888" spans="2:6" ht="27">
      <c r="B2888" s="147">
        <v>43858</v>
      </c>
      <c r="C2888" s="21">
        <v>43858</v>
      </c>
      <c r="D2888" s="424" t="s">
        <v>9350</v>
      </c>
      <c r="E2888" s="26" t="s">
        <v>5</v>
      </c>
      <c r="F2888" s="423" t="s">
        <v>79</v>
      </c>
    </row>
    <row r="2889" spans="2:6" ht="27">
      <c r="B2889" s="147">
        <v>43857</v>
      </c>
      <c r="C2889" s="23">
        <v>43857</v>
      </c>
      <c r="D2889" s="424" t="s">
        <v>9352</v>
      </c>
      <c r="E2889" s="26" t="s">
        <v>9351</v>
      </c>
      <c r="F2889" s="422" t="s">
        <v>79</v>
      </c>
    </row>
    <row r="2890" spans="2:6" ht="27">
      <c r="B2890" s="147">
        <v>43857</v>
      </c>
      <c r="C2890" s="21">
        <v>43857</v>
      </c>
      <c r="D2890" s="424" t="s">
        <v>9353</v>
      </c>
      <c r="E2890" s="26" t="s">
        <v>5</v>
      </c>
      <c r="F2890" s="423" t="s">
        <v>79</v>
      </c>
    </row>
    <row r="2891" spans="2:6" ht="27">
      <c r="B2891" s="147">
        <v>43854</v>
      </c>
      <c r="C2891" s="21">
        <v>43854</v>
      </c>
      <c r="D2891" s="428" t="s">
        <v>9355</v>
      </c>
      <c r="E2891" s="26" t="s">
        <v>5</v>
      </c>
      <c r="F2891" s="423" t="s">
        <v>79</v>
      </c>
    </row>
    <row r="2892" spans="2:6" ht="27">
      <c r="B2892" s="616">
        <v>43857</v>
      </c>
      <c r="C2892" s="23">
        <v>43857</v>
      </c>
      <c r="D2892" s="22" t="s">
        <v>9356</v>
      </c>
      <c r="E2892" s="422" t="s">
        <v>208</v>
      </c>
      <c r="F2892" s="422" t="s">
        <v>8243</v>
      </c>
    </row>
    <row r="2893" spans="2:6" ht="27">
      <c r="B2893" s="147">
        <v>43847</v>
      </c>
      <c r="C2893" s="21">
        <v>43844</v>
      </c>
      <c r="D2893" s="424" t="s">
        <v>9357</v>
      </c>
      <c r="E2893" s="26" t="s">
        <v>208</v>
      </c>
      <c r="F2893" s="26" t="s">
        <v>8243</v>
      </c>
    </row>
    <row r="2894" spans="2:6" ht="27">
      <c r="B2894" s="616">
        <v>43857</v>
      </c>
      <c r="C2894" s="23">
        <v>43857</v>
      </c>
      <c r="D2894" s="22" t="s">
        <v>9363</v>
      </c>
      <c r="E2894" s="422" t="s">
        <v>208</v>
      </c>
      <c r="F2894" s="422" t="s">
        <v>9207</v>
      </c>
    </row>
    <row r="2895" spans="2:6" ht="27">
      <c r="B2895" s="128">
        <v>43838</v>
      </c>
      <c r="C2895" s="129">
        <v>43838</v>
      </c>
      <c r="D2895" s="504" t="s">
        <v>9365</v>
      </c>
      <c r="E2895" s="158" t="s">
        <v>208</v>
      </c>
      <c r="F2895" s="158" t="s">
        <v>8243</v>
      </c>
    </row>
    <row r="2896" spans="2:6" ht="27">
      <c r="B2896" s="620">
        <v>43838</v>
      </c>
      <c r="C2896" s="21">
        <v>43838</v>
      </c>
      <c r="D2896" s="428" t="s">
        <v>9370</v>
      </c>
      <c r="E2896" s="158" t="s">
        <v>208</v>
      </c>
      <c r="F2896" s="158" t="s">
        <v>8243</v>
      </c>
    </row>
    <row r="2897" spans="2:6" ht="27">
      <c r="B2897" s="128">
        <v>43840</v>
      </c>
      <c r="C2897" s="129">
        <v>43840</v>
      </c>
      <c r="D2897" s="504" t="s">
        <v>9371</v>
      </c>
      <c r="E2897" s="158" t="s">
        <v>208</v>
      </c>
      <c r="F2897" s="158" t="s">
        <v>8243</v>
      </c>
    </row>
    <row r="2898" spans="2:6" ht="27">
      <c r="B2898" s="128">
        <v>43843</v>
      </c>
      <c r="C2898" s="129">
        <v>43843</v>
      </c>
      <c r="D2898" s="504" t="s">
        <v>9372</v>
      </c>
      <c r="E2898" s="158" t="s">
        <v>63</v>
      </c>
      <c r="F2898" s="158" t="s">
        <v>8243</v>
      </c>
    </row>
    <row r="2899" spans="2:6" ht="27">
      <c r="B2899" s="128">
        <v>43843</v>
      </c>
      <c r="C2899" s="129">
        <v>43843</v>
      </c>
      <c r="D2899" s="504" t="s">
        <v>9374</v>
      </c>
      <c r="E2899" s="158" t="s">
        <v>63</v>
      </c>
      <c r="F2899" s="158" t="s">
        <v>8243</v>
      </c>
    </row>
    <row r="2900" spans="2:6" ht="27">
      <c r="B2900" s="623">
        <v>43843</v>
      </c>
      <c r="C2900" s="612">
        <v>43843</v>
      </c>
      <c r="D2900" s="504" t="s">
        <v>9376</v>
      </c>
      <c r="E2900" s="158" t="s">
        <v>63</v>
      </c>
      <c r="F2900" s="158" t="s">
        <v>8243</v>
      </c>
    </row>
    <row r="2901" spans="2:6" ht="27">
      <c r="B2901" s="423">
        <v>43844</v>
      </c>
      <c r="C2901" s="21">
        <v>43844</v>
      </c>
      <c r="D2901" s="22" t="s">
        <v>9377</v>
      </c>
      <c r="E2901" s="422" t="s">
        <v>5</v>
      </c>
      <c r="F2901" s="422" t="s">
        <v>8243</v>
      </c>
    </row>
    <row r="2902" spans="2:6" ht="27">
      <c r="B2902" s="620">
        <v>43846</v>
      </c>
      <c r="C2902" s="21">
        <v>43846</v>
      </c>
      <c r="D2902" s="428" t="s">
        <v>9383</v>
      </c>
      <c r="E2902" s="428" t="s">
        <v>5</v>
      </c>
      <c r="F2902" s="428" t="s">
        <v>1114</v>
      </c>
    </row>
    <row r="2903" spans="2:6" ht="27">
      <c r="B2903" s="147">
        <v>43846</v>
      </c>
      <c r="C2903" s="21">
        <v>43846</v>
      </c>
      <c r="D2903" s="424" t="s">
        <v>9384</v>
      </c>
      <c r="E2903" s="26" t="s">
        <v>5</v>
      </c>
      <c r="F2903" s="26" t="s">
        <v>79</v>
      </c>
    </row>
    <row r="2904" spans="2:6" ht="27">
      <c r="B2904" s="147">
        <v>43846</v>
      </c>
      <c r="C2904" s="21">
        <v>43846</v>
      </c>
      <c r="D2904" s="424" t="s">
        <v>9385</v>
      </c>
      <c r="E2904" s="26" t="s">
        <v>5</v>
      </c>
      <c r="F2904" s="26" t="s">
        <v>85</v>
      </c>
    </row>
    <row r="2905" spans="2:6" ht="27">
      <c r="B2905" s="128">
        <v>43847</v>
      </c>
      <c r="C2905" s="129">
        <v>43847</v>
      </c>
      <c r="D2905" s="504" t="s">
        <v>9386</v>
      </c>
      <c r="E2905" s="158" t="s">
        <v>208</v>
      </c>
      <c r="F2905" s="158" t="s">
        <v>1114</v>
      </c>
    </row>
    <row r="2906" spans="2:6" ht="27">
      <c r="B2906" s="128">
        <v>43847</v>
      </c>
      <c r="C2906" s="129">
        <v>43847</v>
      </c>
      <c r="D2906" s="504" t="s">
        <v>9387</v>
      </c>
      <c r="E2906" s="158" t="s">
        <v>5</v>
      </c>
      <c r="F2906" s="158" t="s">
        <v>8243</v>
      </c>
    </row>
    <row r="2907" spans="2:6" ht="27">
      <c r="B2907" s="666">
        <v>43850</v>
      </c>
      <c r="C2907" s="612">
        <v>43850</v>
      </c>
      <c r="D2907" s="667" t="s">
        <v>9388</v>
      </c>
      <c r="E2907" s="668" t="s">
        <v>5</v>
      </c>
      <c r="F2907" s="158" t="s">
        <v>85</v>
      </c>
    </row>
    <row r="2908" spans="2:6" ht="27">
      <c r="B2908" s="626">
        <v>43851</v>
      </c>
      <c r="C2908" s="21">
        <v>43851</v>
      </c>
      <c r="D2908" s="667" t="s">
        <v>9389</v>
      </c>
      <c r="E2908" s="26" t="s">
        <v>208</v>
      </c>
      <c r="F2908" s="423" t="s">
        <v>1114</v>
      </c>
    </row>
    <row r="2909" spans="2:6" ht="27">
      <c r="B2909" s="616">
        <v>43852</v>
      </c>
      <c r="C2909" s="23">
        <v>43852</v>
      </c>
      <c r="D2909" s="667" t="s">
        <v>9390</v>
      </c>
      <c r="E2909" s="26" t="s">
        <v>208</v>
      </c>
      <c r="F2909" s="423" t="s">
        <v>1114</v>
      </c>
    </row>
    <row r="2910" spans="2:6" ht="27">
      <c r="B2910" s="616">
        <v>43859</v>
      </c>
      <c r="C2910" s="23">
        <v>43859</v>
      </c>
      <c r="D2910" s="22" t="s">
        <v>9391</v>
      </c>
      <c r="E2910" s="422" t="s">
        <v>9067</v>
      </c>
      <c r="F2910" s="422" t="s">
        <v>8894</v>
      </c>
    </row>
    <row r="2911" spans="2:6" ht="27">
      <c r="B2911" s="666">
        <v>43853</v>
      </c>
      <c r="C2911" s="612">
        <v>43853</v>
      </c>
      <c r="D2911" s="667" t="s">
        <v>9392</v>
      </c>
      <c r="E2911" s="668" t="s">
        <v>208</v>
      </c>
      <c r="F2911" s="158" t="s">
        <v>1114</v>
      </c>
    </row>
    <row r="2912" spans="2:6" ht="27">
      <c r="B2912" s="423">
        <v>43864</v>
      </c>
      <c r="C2912" s="21">
        <v>43864</v>
      </c>
      <c r="D2912" s="22" t="s">
        <v>9393</v>
      </c>
      <c r="E2912" s="422" t="s">
        <v>63</v>
      </c>
      <c r="F2912" s="422" t="s">
        <v>79</v>
      </c>
    </row>
    <row r="2913" spans="1:6" ht="27">
      <c r="B2913" s="60">
        <v>43866</v>
      </c>
      <c r="C2913" s="61">
        <v>43866</v>
      </c>
      <c r="D2913" s="62" t="s">
        <v>9394</v>
      </c>
      <c r="E2913" s="58" t="s">
        <v>208</v>
      </c>
      <c r="F2913" s="58" t="s">
        <v>8243</v>
      </c>
    </row>
    <row r="2914" spans="1:6" ht="27">
      <c r="B2914" s="423">
        <v>43867</v>
      </c>
      <c r="C2914" s="21">
        <v>43867</v>
      </c>
      <c r="D2914" s="424" t="s">
        <v>9395</v>
      </c>
      <c r="E2914" s="422" t="s">
        <v>5</v>
      </c>
      <c r="F2914" s="422" t="s">
        <v>85</v>
      </c>
    </row>
    <row r="2915" spans="1:6" ht="27">
      <c r="B2915" s="60">
        <v>43843</v>
      </c>
      <c r="C2915" s="61">
        <v>43843</v>
      </c>
      <c r="D2915" s="62" t="s">
        <v>9440</v>
      </c>
      <c r="E2915" s="58" t="s">
        <v>9441</v>
      </c>
      <c r="F2915" s="58" t="s">
        <v>8243</v>
      </c>
    </row>
    <row r="2916" spans="1:6" ht="27">
      <c r="B2916" s="77">
        <v>43843</v>
      </c>
      <c r="C2916" s="78">
        <v>43843</v>
      </c>
      <c r="D2916" s="79" t="s">
        <v>9442</v>
      </c>
      <c r="E2916" s="75" t="s">
        <v>9441</v>
      </c>
      <c r="F2916" s="75" t="s">
        <v>8447</v>
      </c>
    </row>
    <row r="2917" spans="1:6" ht="27">
      <c r="B2917" s="616">
        <v>43846</v>
      </c>
      <c r="C2917" s="23">
        <v>43846</v>
      </c>
      <c r="D2917" s="22" t="s">
        <v>9443</v>
      </c>
      <c r="E2917" s="422" t="s">
        <v>208</v>
      </c>
      <c r="F2917" s="422" t="s">
        <v>79</v>
      </c>
    </row>
    <row r="2918" spans="1:6" ht="27">
      <c r="B2918" s="616">
        <v>43847</v>
      </c>
      <c r="C2918" s="23">
        <v>43847</v>
      </c>
      <c r="D2918" s="22" t="s">
        <v>9444</v>
      </c>
      <c r="E2918" s="422" t="s">
        <v>9445</v>
      </c>
      <c r="F2918" s="422" t="s">
        <v>1114</v>
      </c>
    </row>
    <row r="2919" spans="1:6" ht="27">
      <c r="B2919" s="147">
        <v>43850</v>
      </c>
      <c r="C2919" s="21">
        <v>43850</v>
      </c>
      <c r="D2919" s="428" t="s">
        <v>9446</v>
      </c>
      <c r="E2919" s="26" t="s">
        <v>5</v>
      </c>
      <c r="F2919" s="423" t="s">
        <v>8243</v>
      </c>
    </row>
    <row r="2920" spans="1:6" ht="27">
      <c r="B2920" s="626">
        <v>43850</v>
      </c>
      <c r="C2920" s="21">
        <v>43850</v>
      </c>
      <c r="D2920" s="428" t="s">
        <v>9448</v>
      </c>
      <c r="E2920" s="26" t="s">
        <v>5</v>
      </c>
      <c r="F2920" s="423" t="s">
        <v>8243</v>
      </c>
    </row>
    <row r="2921" spans="1:6" ht="27">
      <c r="B2921" s="147">
        <v>43857</v>
      </c>
      <c r="C2921" s="21">
        <v>43857</v>
      </c>
      <c r="D2921" s="424" t="s">
        <v>9353</v>
      </c>
      <c r="E2921" s="26" t="s">
        <v>5</v>
      </c>
      <c r="F2921" s="423" t="s">
        <v>79</v>
      </c>
    </row>
    <row r="2922" spans="1:6" ht="27">
      <c r="B2922" s="147">
        <v>43858</v>
      </c>
      <c r="C2922" s="21">
        <v>43858</v>
      </c>
      <c r="D2922" s="192" t="s">
        <v>9449</v>
      </c>
      <c r="E2922" s="424" t="s">
        <v>5</v>
      </c>
      <c r="F2922" s="26" t="s">
        <v>79</v>
      </c>
    </row>
    <row r="2923" spans="1:6" ht="27">
      <c r="B2923" s="147">
        <v>43858</v>
      </c>
      <c r="C2923" s="21">
        <v>43858</v>
      </c>
      <c r="D2923" s="424" t="s">
        <v>9450</v>
      </c>
      <c r="E2923" s="26" t="s">
        <v>5</v>
      </c>
      <c r="F2923" s="26" t="s">
        <v>79</v>
      </c>
    </row>
    <row r="2924" spans="1:6" ht="27">
      <c r="B2924" s="626">
        <v>43859</v>
      </c>
      <c r="C2924" s="21">
        <v>43859</v>
      </c>
      <c r="D2924" s="424" t="s">
        <v>9391</v>
      </c>
      <c r="E2924" s="26" t="s">
        <v>9067</v>
      </c>
      <c r="F2924" s="423" t="s">
        <v>9207</v>
      </c>
    </row>
    <row r="2925" spans="1:6" ht="27">
      <c r="B2925" s="616">
        <v>43865</v>
      </c>
      <c r="C2925" s="23">
        <v>43865</v>
      </c>
      <c r="D2925" s="22" t="s">
        <v>9451</v>
      </c>
      <c r="E2925" s="422" t="s">
        <v>208</v>
      </c>
      <c r="F2925" s="422" t="s">
        <v>847</v>
      </c>
    </row>
    <row r="2926" spans="1:6" ht="27">
      <c r="B2926" s="423">
        <v>43864</v>
      </c>
      <c r="C2926" s="21">
        <v>43864</v>
      </c>
      <c r="D2926" s="22" t="s">
        <v>9393</v>
      </c>
      <c r="E2926" s="422" t="s">
        <v>63</v>
      </c>
      <c r="F2926" s="422" t="s">
        <v>79</v>
      </c>
    </row>
    <row r="2927" spans="1:6" s="584" customFormat="1" ht="27">
      <c r="A2927" s="583"/>
      <c r="B2927" s="128">
        <v>43864</v>
      </c>
      <c r="C2927" s="129">
        <v>43864</v>
      </c>
      <c r="D2927" s="504" t="s">
        <v>9453</v>
      </c>
      <c r="E2927" s="158" t="s">
        <v>63</v>
      </c>
      <c r="F2927" s="158" t="s">
        <v>85</v>
      </c>
    </row>
    <row r="2928" spans="1:6" ht="27">
      <c r="B2928" s="147">
        <v>43867</v>
      </c>
      <c r="C2928" s="21">
        <v>43867</v>
      </c>
      <c r="D2928" s="192" t="s">
        <v>9396</v>
      </c>
      <c r="E2928" s="424" t="s">
        <v>5</v>
      </c>
      <c r="F2928" s="26" t="s">
        <v>85</v>
      </c>
    </row>
    <row r="2929" spans="2:6" ht="27">
      <c r="B2929" s="128">
        <v>43867</v>
      </c>
      <c r="C2929" s="129">
        <v>43867</v>
      </c>
      <c r="D2929" s="504" t="s">
        <v>9455</v>
      </c>
      <c r="E2929" s="158" t="s">
        <v>208</v>
      </c>
      <c r="F2929" s="158" t="s">
        <v>8255</v>
      </c>
    </row>
    <row r="2930" spans="2:6">
      <c r="B2930" s="626"/>
      <c r="C2930" s="21"/>
      <c r="D2930" s="428"/>
      <c r="E2930" s="26"/>
      <c r="F2930" s="423"/>
    </row>
    <row r="2931" spans="2:6">
      <c r="B2931" s="616"/>
      <c r="C2931" s="23"/>
      <c r="D2931" s="22"/>
      <c r="E2931" s="422"/>
      <c r="F2931" s="422"/>
    </row>
    <row r="2932" spans="2:6">
      <c r="B2932" s="616"/>
      <c r="C2932" s="23"/>
      <c r="D2932" s="22"/>
      <c r="E2932" s="422"/>
      <c r="F2932" s="422"/>
    </row>
    <row r="2933" spans="2:6">
      <c r="B2933" s="616"/>
      <c r="C2933" s="23"/>
      <c r="D2933" s="22"/>
      <c r="E2933" s="422"/>
      <c r="F2933" s="422"/>
    </row>
    <row r="2934" spans="2:6">
      <c r="B2934" s="616"/>
      <c r="C2934" s="23"/>
      <c r="D2934" s="22"/>
      <c r="E2934" s="422"/>
      <c r="F2934" s="422"/>
    </row>
    <row r="2935" spans="2:6">
      <c r="B2935" s="620"/>
      <c r="C2935" s="21"/>
      <c r="D2935" s="428"/>
      <c r="E2935" s="428"/>
      <c r="F2935" s="428"/>
    </row>
    <row r="2936" spans="2:6">
      <c r="B2936" s="626"/>
      <c r="C2936" s="21"/>
      <c r="D2936" s="428"/>
      <c r="E2936" s="26"/>
      <c r="F2936" s="423"/>
    </row>
    <row r="2937" spans="2:6">
      <c r="B2937" s="616"/>
      <c r="C2937" s="23"/>
      <c r="D2937" s="22"/>
      <c r="E2937" s="422"/>
      <c r="F2937" s="422"/>
    </row>
    <row r="2938" spans="2:6">
      <c r="B2938" s="616"/>
      <c r="C2938" s="23"/>
      <c r="D2938" s="22"/>
      <c r="E2938" s="422"/>
      <c r="F2938" s="422"/>
    </row>
    <row r="2939" spans="2:6">
      <c r="B2939" s="620"/>
      <c r="C2939" s="21"/>
      <c r="D2939" s="428"/>
      <c r="E2939" s="428"/>
      <c r="F2939" s="428"/>
    </row>
    <row r="2940" spans="2:6">
      <c r="B2940" s="626"/>
      <c r="C2940" s="21"/>
      <c r="D2940" s="428"/>
      <c r="E2940" s="26"/>
      <c r="F2940" s="423"/>
    </row>
    <row r="2941" spans="2:6">
      <c r="B2941" s="616"/>
      <c r="C2941" s="23"/>
      <c r="D2941" s="22"/>
      <c r="E2941" s="422"/>
      <c r="F2941" s="422"/>
    </row>
    <row r="2942" spans="2:6">
      <c r="B2942" s="616"/>
      <c r="C2942" s="23"/>
      <c r="D2942" s="22"/>
      <c r="E2942" s="422"/>
      <c r="F2942" s="422"/>
    </row>
    <row r="2943" spans="2:6">
      <c r="B2943" s="616"/>
      <c r="C2943" s="23"/>
      <c r="D2943" s="22"/>
      <c r="E2943" s="422"/>
      <c r="F2943" s="422"/>
    </row>
    <row r="2944" spans="2:6">
      <c r="B2944" s="616"/>
      <c r="C2944" s="23"/>
      <c r="D2944" s="22"/>
      <c r="E2944" s="422"/>
      <c r="F2944" s="422"/>
    </row>
    <row r="2945" spans="2:6">
      <c r="B2945" s="620"/>
      <c r="C2945" s="21"/>
      <c r="D2945" s="428"/>
      <c r="E2945" s="428"/>
      <c r="F2945" s="428"/>
    </row>
    <row r="2946" spans="2:6">
      <c r="B2946" s="626"/>
      <c r="C2946" s="21"/>
      <c r="D2946" s="428"/>
      <c r="E2946" s="26"/>
      <c r="F2946" s="423"/>
    </row>
    <row r="2947" spans="2:6">
      <c r="B2947" s="616"/>
      <c r="C2947" s="23"/>
      <c r="D2947" s="22"/>
      <c r="E2947" s="422"/>
      <c r="F2947" s="422"/>
    </row>
    <row r="2948" spans="2:6">
      <c r="B2948" s="616"/>
      <c r="C2948" s="23"/>
      <c r="D2948" s="22"/>
      <c r="E2948" s="422"/>
      <c r="F2948" s="422"/>
    </row>
    <row r="2949" spans="2:6">
      <c r="B2949" s="616"/>
      <c r="C2949" s="23"/>
      <c r="D2949" s="22"/>
      <c r="E2949" s="422"/>
      <c r="F2949" s="422"/>
    </row>
    <row r="2950" spans="2:6">
      <c r="B2950" s="616"/>
      <c r="C2950" s="23"/>
      <c r="D2950" s="22"/>
      <c r="E2950" s="422"/>
      <c r="F2950" s="422"/>
    </row>
    <row r="2951" spans="2:6">
      <c r="B2951" s="620"/>
      <c r="C2951" s="21"/>
      <c r="D2951" s="428"/>
      <c r="E2951" s="428"/>
      <c r="F2951" s="428"/>
    </row>
    <row r="2952" spans="2:6">
      <c r="B2952" s="626"/>
      <c r="C2952" s="21"/>
      <c r="D2952" s="428"/>
      <c r="E2952" s="26"/>
      <c r="F2952" s="423"/>
    </row>
    <row r="2953" spans="2:6">
      <c r="B2953" s="616"/>
      <c r="C2953" s="23"/>
      <c r="D2953" s="22"/>
      <c r="E2953" s="422"/>
      <c r="F2953" s="422"/>
    </row>
    <row r="2954" spans="2:6">
      <c r="B2954" s="616"/>
      <c r="C2954" s="23"/>
      <c r="D2954" s="22"/>
      <c r="E2954" s="422"/>
      <c r="F2954" s="422"/>
    </row>
  </sheetData>
  <autoFilter ref="A1:I1" xr:uid="{FAA5588B-D3E1-4AC1-8E20-F7A616DE2674}">
    <sortState xmlns:xlrd2="http://schemas.microsoft.com/office/spreadsheetml/2017/richdata2" ref="A2:I2761">
      <sortCondition ref="B1"/>
    </sortState>
  </autoFilter>
  <sortState xmlns:xlrd2="http://schemas.microsoft.com/office/spreadsheetml/2017/richdata2" ref="A2450:I2459">
    <sortCondition ref="B2450:B2459"/>
  </sortState>
  <hyperlinks>
    <hyperlink ref="D269" r:id="rId1" display="EXT15-00004085" xr:uid="{7CDECA80-7A2F-4EB5-B742-F665631DA821}"/>
  </hyperlinks>
  <pageMargins left="0.7" right="0.7" top="0.75" bottom="0.75" header="0.3" footer="0.3"/>
  <pageSetup orientation="portrait"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4AA9AF-7A5F-4813-82F1-AC3C80A788CA}">
  <dimension ref="A1:UM7"/>
  <sheetViews>
    <sheetView topLeftCell="AH2" workbookViewId="0">
      <selection activeCell="AU7" sqref="AU7"/>
    </sheetView>
  </sheetViews>
  <sheetFormatPr baseColWidth="10" defaultRowHeight="15"/>
  <sheetData>
    <row r="1" spans="1:559" ht="90" customHeight="1">
      <c r="A1" s="2" t="s">
        <v>2</v>
      </c>
      <c r="B1" s="2" t="s">
        <v>3</v>
      </c>
      <c r="C1" s="3" t="s">
        <v>4</v>
      </c>
      <c r="D1" s="4" t="s">
        <v>5</v>
      </c>
      <c r="E1" s="5" t="s">
        <v>6</v>
      </c>
      <c r="F1" s="6" t="s">
        <v>7</v>
      </c>
      <c r="G1" s="7" t="s">
        <v>8</v>
      </c>
      <c r="H1" s="2" t="s">
        <v>9</v>
      </c>
      <c r="I1" s="2" t="s">
        <v>10</v>
      </c>
      <c r="J1" s="5" t="s">
        <v>11</v>
      </c>
      <c r="K1" s="6" t="s">
        <v>12</v>
      </c>
      <c r="L1" s="7" t="s">
        <v>13</v>
      </c>
      <c r="M1" s="2" t="s">
        <v>9</v>
      </c>
      <c r="N1" s="2" t="s">
        <v>10</v>
      </c>
      <c r="O1" s="5" t="s">
        <v>14</v>
      </c>
      <c r="P1" s="6" t="s">
        <v>15</v>
      </c>
      <c r="Q1" s="7" t="s">
        <v>16</v>
      </c>
      <c r="R1" s="2" t="s">
        <v>9</v>
      </c>
      <c r="S1" s="2" t="s">
        <v>10</v>
      </c>
      <c r="T1" s="5" t="s">
        <v>17</v>
      </c>
      <c r="U1" s="6" t="s">
        <v>18</v>
      </c>
      <c r="V1" s="7" t="s">
        <v>19</v>
      </c>
      <c r="W1" s="2" t="s">
        <v>9</v>
      </c>
      <c r="X1" s="2" t="s">
        <v>10</v>
      </c>
      <c r="Y1" s="5" t="s">
        <v>20</v>
      </c>
      <c r="Z1" s="6" t="s">
        <v>21</v>
      </c>
      <c r="AA1" s="7" t="s">
        <v>22</v>
      </c>
      <c r="AB1" s="2" t="s">
        <v>9</v>
      </c>
      <c r="AC1" s="2" t="s">
        <v>10</v>
      </c>
      <c r="AD1" s="5" t="s">
        <v>23</v>
      </c>
      <c r="AE1" s="6" t="s">
        <v>24</v>
      </c>
      <c r="AF1" s="7" t="s">
        <v>25</v>
      </c>
      <c r="AG1" s="2" t="s">
        <v>9</v>
      </c>
      <c r="AH1" s="2" t="s">
        <v>10</v>
      </c>
      <c r="AI1" s="5" t="s">
        <v>26</v>
      </c>
      <c r="AJ1" s="6" t="s">
        <v>27</v>
      </c>
      <c r="AK1" s="7" t="s">
        <v>28</v>
      </c>
      <c r="AL1" s="2" t="s">
        <v>9</v>
      </c>
      <c r="AM1" s="2" t="s">
        <v>10</v>
      </c>
      <c r="AN1" s="2" t="s">
        <v>29</v>
      </c>
      <c r="AO1" s="472" t="s">
        <v>7945</v>
      </c>
      <c r="AP1" s="8" t="s">
        <v>30</v>
      </c>
      <c r="AQ1" s="7" t="s">
        <v>31</v>
      </c>
      <c r="AR1" s="2" t="s">
        <v>32</v>
      </c>
      <c r="AS1" s="5" t="s">
        <v>33</v>
      </c>
      <c r="AT1" s="5" t="s">
        <v>34</v>
      </c>
      <c r="AU1" s="2" t="s">
        <v>35</v>
      </c>
      <c r="AV1" s="2" t="s">
        <v>36</v>
      </c>
      <c r="AW1" s="2" t="s">
        <v>37</v>
      </c>
      <c r="AX1" s="5" t="s">
        <v>38</v>
      </c>
      <c r="AY1" s="2" t="s">
        <v>39</v>
      </c>
      <c r="AZ1" s="5" t="s">
        <v>40</v>
      </c>
      <c r="BA1" s="527" t="s">
        <v>41</v>
      </c>
      <c r="BB1" s="5" t="s">
        <v>8312</v>
      </c>
      <c r="BC1" s="2" t="s">
        <v>42</v>
      </c>
      <c r="BD1" s="2" t="s">
        <v>43</v>
      </c>
      <c r="BE1" s="2" t="s">
        <v>44</v>
      </c>
      <c r="BF1" s="7" t="s">
        <v>45</v>
      </c>
      <c r="BG1" s="7" t="s">
        <v>46</v>
      </c>
      <c r="BH1" s="7" t="s">
        <v>47</v>
      </c>
      <c r="BI1" s="551" t="s">
        <v>8862</v>
      </c>
      <c r="BJ1" s="7" t="s">
        <v>48</v>
      </c>
      <c r="BK1" s="9" t="s">
        <v>49</v>
      </c>
      <c r="BL1" s="9" t="s">
        <v>50</v>
      </c>
      <c r="BM1" s="580" t="s">
        <v>7589</v>
      </c>
      <c r="BN1" s="5" t="s">
        <v>51</v>
      </c>
      <c r="BO1" s="6" t="s">
        <v>52</v>
      </c>
      <c r="BP1" s="581" t="s">
        <v>9118</v>
      </c>
      <c r="BQ1" s="11" t="s">
        <v>53</v>
      </c>
      <c r="BR1" s="389" t="s">
        <v>7446</v>
      </c>
      <c r="BS1" s="11" t="s">
        <v>7590</v>
      </c>
      <c r="BT1" s="11" t="s">
        <v>35</v>
      </c>
      <c r="BU1" s="7" t="s">
        <v>54</v>
      </c>
      <c r="BV1" s="12" t="s">
        <v>55</v>
      </c>
      <c r="BW1" s="12" t="s">
        <v>56</v>
      </c>
      <c r="BX1" s="7" t="s">
        <v>7588</v>
      </c>
      <c r="BY1" s="13" t="s">
        <v>57</v>
      </c>
      <c r="BZ1" s="10" t="s">
        <v>7589</v>
      </c>
      <c r="CA1" s="5" t="s">
        <v>51</v>
      </c>
      <c r="CB1" s="6" t="s">
        <v>52</v>
      </c>
      <c r="CC1" s="14" t="s">
        <v>58</v>
      </c>
      <c r="CD1" s="15" t="s">
        <v>59</v>
      </c>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c r="IY1" s="1"/>
      <c r="IZ1" s="1"/>
      <c r="JA1" s="1"/>
      <c r="JB1" s="1"/>
      <c r="JC1" s="1"/>
      <c r="JD1" s="1"/>
      <c r="JE1" s="1"/>
      <c r="JF1" s="1"/>
      <c r="JG1" s="1"/>
      <c r="JH1" s="1"/>
      <c r="JI1" s="1"/>
      <c r="JJ1" s="1"/>
      <c r="JK1" s="1"/>
      <c r="JL1" s="1"/>
      <c r="JM1" s="1"/>
      <c r="JN1" s="1"/>
      <c r="JO1" s="1"/>
      <c r="JP1" s="1"/>
      <c r="JQ1" s="1"/>
      <c r="JR1" s="1"/>
      <c r="JS1" s="1"/>
      <c r="JT1" s="1"/>
      <c r="JU1" s="1"/>
      <c r="JV1" s="1"/>
      <c r="JW1" s="1"/>
      <c r="JX1" s="1"/>
      <c r="JY1" s="1"/>
      <c r="JZ1" s="1"/>
      <c r="KA1" s="1"/>
      <c r="KB1" s="1"/>
      <c r="KC1" s="1"/>
      <c r="KD1" s="1"/>
      <c r="KE1" s="1"/>
      <c r="KF1" s="1"/>
      <c r="KG1" s="1"/>
      <c r="KH1" s="1"/>
      <c r="KI1" s="1"/>
      <c r="KJ1" s="1"/>
      <c r="KK1" s="1"/>
      <c r="KL1" s="1"/>
      <c r="KM1" s="1"/>
      <c r="KN1" s="1"/>
      <c r="KO1" s="1"/>
      <c r="KP1" s="1"/>
      <c r="KQ1" s="1"/>
      <c r="KR1" s="1"/>
      <c r="KS1" s="1"/>
      <c r="KT1" s="1"/>
      <c r="KU1" s="1"/>
      <c r="KV1" s="1"/>
      <c r="KW1" s="1"/>
      <c r="KX1" s="1"/>
      <c r="KY1" s="1"/>
      <c r="KZ1" s="1"/>
      <c r="LA1" s="1"/>
      <c r="LB1" s="1"/>
      <c r="LC1" s="1"/>
      <c r="LD1" s="1"/>
      <c r="LE1" s="1"/>
      <c r="LF1" s="1"/>
      <c r="LG1" s="1"/>
      <c r="LH1" s="1"/>
      <c r="LI1" s="1"/>
      <c r="LJ1" s="1"/>
      <c r="LK1" s="1"/>
      <c r="LL1" s="1"/>
      <c r="LM1" s="1"/>
      <c r="LN1" s="1"/>
      <c r="LO1" s="1"/>
      <c r="LP1" s="1"/>
      <c r="LQ1" s="1"/>
      <c r="LR1" s="1"/>
      <c r="LS1" s="1"/>
      <c r="LT1" s="1"/>
      <c r="LU1" s="1"/>
      <c r="LV1" s="1"/>
      <c r="LW1" s="1"/>
      <c r="LX1" s="1"/>
      <c r="LY1" s="1"/>
      <c r="LZ1" s="1"/>
      <c r="MA1" s="1"/>
      <c r="MB1" s="1"/>
      <c r="MC1" s="1"/>
      <c r="MD1" s="1"/>
      <c r="ME1" s="1"/>
      <c r="MF1" s="1"/>
      <c r="MG1" s="1"/>
      <c r="MH1" s="1"/>
      <c r="MI1" s="1"/>
      <c r="MJ1" s="1"/>
      <c r="MK1" s="1"/>
      <c r="ML1" s="1"/>
      <c r="MM1" s="1"/>
      <c r="MN1" s="1"/>
      <c r="MO1" s="1"/>
      <c r="MP1" s="1"/>
      <c r="MQ1" s="1"/>
      <c r="MR1" s="1"/>
      <c r="MS1" s="1"/>
      <c r="MT1" s="1"/>
      <c r="MU1" s="1"/>
      <c r="MV1" s="1"/>
      <c r="MW1" s="1"/>
      <c r="MX1" s="1"/>
      <c r="MY1" s="1"/>
      <c r="MZ1" s="1"/>
      <c r="NA1" s="1"/>
      <c r="NB1" s="1"/>
      <c r="NC1" s="1"/>
      <c r="ND1" s="1"/>
      <c r="NE1" s="1"/>
      <c r="NF1" s="1"/>
      <c r="NG1" s="1"/>
      <c r="NH1" s="1"/>
      <c r="NI1" s="1"/>
      <c r="NJ1" s="1"/>
      <c r="NK1" s="1"/>
      <c r="NL1" s="1"/>
      <c r="NM1" s="1"/>
      <c r="NN1" s="1"/>
      <c r="NO1" s="1"/>
      <c r="NP1" s="1"/>
      <c r="NQ1" s="1"/>
      <c r="NR1" s="1"/>
      <c r="NS1" s="1"/>
      <c r="NT1" s="1"/>
      <c r="NU1" s="1"/>
      <c r="NV1" s="1"/>
      <c r="NW1" s="1"/>
      <c r="NX1" s="1"/>
      <c r="NY1" s="1"/>
      <c r="NZ1" s="1"/>
      <c r="OA1" s="1"/>
      <c r="OB1" s="1"/>
      <c r="OC1" s="1"/>
      <c r="OD1" s="1"/>
      <c r="OE1" s="1"/>
      <c r="OF1" s="1"/>
      <c r="OG1" s="1"/>
      <c r="OH1" s="1"/>
      <c r="OI1" s="1"/>
      <c r="OJ1" s="1"/>
      <c r="OK1" s="1"/>
      <c r="OL1" s="1"/>
      <c r="OM1" s="1"/>
      <c r="ON1" s="1"/>
      <c r="OO1" s="1"/>
      <c r="OP1" s="1"/>
      <c r="OQ1" s="1"/>
      <c r="OR1" s="1"/>
      <c r="OS1" s="1"/>
      <c r="OT1" s="1"/>
      <c r="OU1" s="1"/>
      <c r="OV1" s="1"/>
      <c r="OW1" s="1"/>
      <c r="OX1" s="1"/>
      <c r="OY1" s="1"/>
      <c r="OZ1" s="1"/>
      <c r="PA1" s="1"/>
      <c r="PB1" s="1"/>
      <c r="PC1" s="1"/>
      <c r="PD1" s="1"/>
      <c r="PE1" s="1"/>
      <c r="PF1" s="1"/>
      <c r="PG1" s="1"/>
      <c r="PH1" s="1"/>
      <c r="PI1" s="1"/>
      <c r="PJ1" s="1"/>
      <c r="PK1" s="1"/>
      <c r="PL1" s="1"/>
      <c r="PM1" s="1"/>
      <c r="PN1" s="1"/>
      <c r="PO1" s="1"/>
      <c r="PP1" s="1"/>
      <c r="PQ1" s="1"/>
      <c r="PR1" s="1"/>
      <c r="PS1" s="1"/>
      <c r="PT1" s="1"/>
      <c r="PU1" s="1"/>
      <c r="PV1" s="1"/>
      <c r="PW1" s="1"/>
      <c r="PX1" s="1"/>
      <c r="PY1" s="1"/>
      <c r="PZ1" s="1"/>
      <c r="QA1" s="1"/>
      <c r="QB1" s="1"/>
      <c r="QC1" s="1"/>
      <c r="QD1" s="1"/>
      <c r="QE1" s="1"/>
      <c r="QF1" s="1"/>
      <c r="QG1" s="1"/>
      <c r="QH1" s="1"/>
      <c r="QI1" s="1"/>
      <c r="QJ1" s="1"/>
      <c r="QK1" s="1"/>
      <c r="QL1" s="1"/>
      <c r="QM1" s="1"/>
      <c r="QN1" s="1"/>
      <c r="QO1" s="1"/>
      <c r="QP1" s="1"/>
      <c r="QQ1" s="1"/>
      <c r="QR1" s="1"/>
      <c r="QS1" s="1"/>
      <c r="QT1" s="1"/>
      <c r="QU1" s="1"/>
      <c r="QV1" s="1"/>
      <c r="QW1" s="1"/>
      <c r="QX1" s="1"/>
      <c r="QY1" s="1"/>
      <c r="QZ1" s="1"/>
      <c r="RA1" s="1"/>
      <c r="RB1" s="1"/>
      <c r="RC1" s="1"/>
      <c r="RD1" s="1"/>
      <c r="RE1" s="1"/>
      <c r="RF1" s="1"/>
      <c r="RG1" s="1"/>
      <c r="RH1" s="1"/>
      <c r="RI1" s="1"/>
      <c r="RJ1" s="1"/>
      <c r="RK1" s="1"/>
      <c r="RL1" s="1"/>
      <c r="RM1" s="1"/>
      <c r="RN1" s="1"/>
      <c r="RO1" s="1"/>
      <c r="RP1" s="1"/>
      <c r="RQ1" s="1"/>
      <c r="RR1" s="1"/>
      <c r="RS1" s="1"/>
      <c r="RT1" s="1"/>
      <c r="RU1" s="1"/>
      <c r="RV1" s="1"/>
      <c r="RW1" s="1"/>
      <c r="RX1" s="1"/>
      <c r="RY1" s="1"/>
      <c r="RZ1" s="1"/>
      <c r="SA1" s="1"/>
      <c r="SB1" s="1"/>
      <c r="SC1" s="1"/>
      <c r="SD1" s="1"/>
      <c r="SE1" s="1"/>
      <c r="SF1" s="1"/>
      <c r="SG1" s="1"/>
      <c r="SH1" s="1"/>
      <c r="SI1" s="1"/>
      <c r="SJ1" s="1"/>
      <c r="SK1" s="1"/>
      <c r="SL1" s="1"/>
      <c r="SM1" s="1"/>
      <c r="SN1" s="1"/>
      <c r="SO1" s="1"/>
      <c r="SP1" s="1"/>
      <c r="SQ1" s="1"/>
      <c r="SR1" s="1"/>
      <c r="SS1" s="1"/>
      <c r="ST1" s="1"/>
      <c r="SU1" s="1"/>
      <c r="SV1" s="1"/>
      <c r="SW1" s="1"/>
      <c r="SX1" s="1"/>
      <c r="SY1" s="1"/>
      <c r="SZ1" s="1"/>
      <c r="TA1" s="1"/>
      <c r="TB1" s="1"/>
      <c r="TC1" s="1"/>
      <c r="TD1" s="1"/>
      <c r="TE1" s="1"/>
      <c r="TF1" s="1"/>
      <c r="TG1" s="1"/>
      <c r="TH1" s="1"/>
      <c r="TI1" s="1"/>
      <c r="TJ1" s="1"/>
      <c r="TK1" s="1"/>
      <c r="TL1" s="1"/>
      <c r="TM1" s="1"/>
      <c r="TN1" s="1"/>
      <c r="TO1" s="1"/>
      <c r="TP1" s="1"/>
      <c r="TQ1" s="1"/>
      <c r="TR1" s="1"/>
      <c r="TS1" s="1"/>
      <c r="TT1" s="1"/>
      <c r="TU1" s="1"/>
      <c r="TV1" s="1"/>
      <c r="TW1" s="1"/>
      <c r="TX1" s="1"/>
      <c r="TY1" s="1"/>
      <c r="TZ1" s="1"/>
      <c r="UA1" s="1"/>
      <c r="UB1" s="1"/>
      <c r="UC1" s="1"/>
      <c r="UD1" s="1"/>
      <c r="UE1" s="1"/>
      <c r="UF1" s="1"/>
      <c r="UG1" s="1"/>
      <c r="UH1" s="1"/>
      <c r="UI1" s="1"/>
      <c r="UJ1" s="1"/>
      <c r="UK1" s="1"/>
      <c r="UL1" s="1"/>
      <c r="UM1" s="1"/>
    </row>
    <row r="2" spans="1:559" ht="67.5">
      <c r="A2" s="96">
        <v>931</v>
      </c>
      <c r="B2" s="258" t="s">
        <v>6400</v>
      </c>
      <c r="C2" s="127">
        <v>91420064</v>
      </c>
      <c r="D2" s="424"/>
      <c r="E2" s="147">
        <v>43781</v>
      </c>
      <c r="F2" s="21">
        <v>43781</v>
      </c>
      <c r="G2" s="428" t="s">
        <v>9245</v>
      </c>
      <c r="H2" s="26" t="s">
        <v>208</v>
      </c>
      <c r="I2" s="423" t="s">
        <v>79</v>
      </c>
      <c r="J2" s="147"/>
      <c r="K2" s="21"/>
      <c r="L2" s="428"/>
      <c r="M2" s="26"/>
      <c r="N2" s="423"/>
      <c r="O2" s="147"/>
      <c r="P2" s="21"/>
      <c r="Q2" s="424"/>
      <c r="R2" s="26"/>
      <c r="S2" s="26"/>
      <c r="T2" s="233"/>
      <c r="U2" s="234"/>
      <c r="V2" s="235"/>
      <c r="W2" s="236"/>
      <c r="X2" s="249"/>
      <c r="Y2" s="233"/>
      <c r="Z2" s="234"/>
      <c r="AA2" s="235"/>
      <c r="AB2" s="236"/>
      <c r="AC2" s="249"/>
      <c r="AD2" s="233"/>
      <c r="AE2" s="234"/>
      <c r="AF2" s="235"/>
      <c r="AG2" s="236"/>
      <c r="AH2" s="249"/>
      <c r="AI2" s="237"/>
      <c r="AJ2" s="234"/>
      <c r="AK2" s="235"/>
      <c r="AL2" s="236"/>
      <c r="AM2" s="249"/>
      <c r="AN2" s="422"/>
      <c r="AO2" s="508"/>
      <c r="AP2" s="421"/>
      <c r="AQ2" s="427" t="s">
        <v>9246</v>
      </c>
      <c r="AR2" s="428" t="s">
        <v>9090</v>
      </c>
      <c r="AS2" s="426">
        <v>40875</v>
      </c>
      <c r="AT2" s="426">
        <v>40908</v>
      </c>
      <c r="AU2" s="422" t="s">
        <v>8980</v>
      </c>
      <c r="AV2" s="421" t="s">
        <v>69</v>
      </c>
      <c r="AW2" s="428" t="s">
        <v>8752</v>
      </c>
      <c r="AX2" s="420">
        <v>43403</v>
      </c>
      <c r="AY2" s="428" t="s">
        <v>94</v>
      </c>
      <c r="AZ2" s="420">
        <v>43740</v>
      </c>
      <c r="BA2" s="16"/>
      <c r="BB2" s="250"/>
      <c r="BC2" s="428" t="s">
        <v>8296</v>
      </c>
      <c r="BD2" s="422" t="s">
        <v>7243</v>
      </c>
      <c r="BE2" s="22"/>
      <c r="BF2" s="22"/>
      <c r="BG2" s="235"/>
      <c r="BH2" s="194"/>
      <c r="BI2" s="552"/>
      <c r="BJ2" s="235"/>
      <c r="BK2" s="159"/>
      <c r="BL2" s="159"/>
      <c r="BM2" s="196"/>
      <c r="BN2" s="384"/>
      <c r="BO2" s="541"/>
      <c r="BP2" s="384"/>
      <c r="BQ2" s="449"/>
      <c r="BR2" s="392"/>
      <c r="BS2" s="243"/>
      <c r="BT2" s="243"/>
      <c r="BU2" s="235"/>
      <c r="BV2" s="235"/>
      <c r="BW2" s="235"/>
      <c r="BX2" s="235"/>
      <c r="BY2" s="244"/>
      <c r="BZ2" s="245"/>
      <c r="CA2" s="233"/>
      <c r="CB2" s="246"/>
      <c r="CC2" s="246"/>
      <c r="CD2" s="32"/>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c r="IX2" s="1"/>
      <c r="IY2" s="1"/>
      <c r="IZ2" s="1"/>
      <c r="JA2" s="1"/>
      <c r="JB2" s="1"/>
      <c r="JC2" s="1"/>
      <c r="JD2" s="1"/>
      <c r="JE2" s="1"/>
      <c r="JF2" s="1"/>
      <c r="JG2" s="1"/>
      <c r="JH2" s="1"/>
      <c r="JI2" s="1"/>
      <c r="JJ2" s="1"/>
      <c r="JK2" s="1"/>
      <c r="JL2" s="1"/>
      <c r="JM2" s="1"/>
      <c r="JN2" s="1"/>
      <c r="JO2" s="1"/>
      <c r="JP2" s="1"/>
      <c r="JQ2" s="1"/>
      <c r="JR2" s="1"/>
      <c r="JS2" s="1"/>
      <c r="JT2" s="1"/>
      <c r="JU2" s="1"/>
      <c r="JV2" s="1"/>
      <c r="JW2" s="1"/>
      <c r="JX2" s="1"/>
      <c r="JY2" s="1"/>
      <c r="JZ2" s="1"/>
      <c r="KA2" s="1"/>
      <c r="KB2" s="1"/>
      <c r="KC2" s="1"/>
      <c r="KD2" s="1"/>
      <c r="KE2" s="1"/>
      <c r="KF2" s="1"/>
      <c r="KG2" s="1"/>
      <c r="KH2" s="1"/>
      <c r="KI2" s="1"/>
      <c r="KJ2" s="1"/>
      <c r="KK2" s="1"/>
      <c r="KL2" s="1"/>
      <c r="KM2" s="1"/>
      <c r="KN2" s="1"/>
      <c r="KO2" s="1"/>
      <c r="KP2" s="1"/>
      <c r="KQ2" s="1"/>
      <c r="KR2" s="1"/>
      <c r="KS2" s="1"/>
      <c r="KT2" s="1"/>
      <c r="KU2" s="1"/>
      <c r="KV2" s="1"/>
      <c r="KW2" s="1"/>
      <c r="KX2" s="1"/>
      <c r="KY2" s="1"/>
      <c r="KZ2" s="1"/>
      <c r="LA2" s="1"/>
      <c r="LB2" s="1"/>
      <c r="LC2" s="1"/>
      <c r="LD2" s="1"/>
      <c r="LE2" s="1"/>
      <c r="LF2" s="1"/>
      <c r="LG2" s="1"/>
      <c r="LH2" s="1"/>
      <c r="LI2" s="1"/>
      <c r="LJ2" s="1"/>
      <c r="LK2" s="1"/>
      <c r="LL2" s="1"/>
      <c r="LM2" s="1"/>
      <c r="LN2" s="1"/>
      <c r="LO2" s="1"/>
      <c r="LP2" s="1"/>
      <c r="LQ2" s="1"/>
      <c r="LR2" s="1"/>
      <c r="LS2" s="1"/>
      <c r="LT2" s="1"/>
      <c r="LU2" s="1"/>
      <c r="LV2" s="1"/>
      <c r="LW2" s="1"/>
      <c r="LX2" s="1"/>
      <c r="LY2" s="1"/>
      <c r="LZ2" s="1"/>
      <c r="MA2" s="1"/>
      <c r="MB2" s="1"/>
      <c r="MC2" s="1"/>
      <c r="MD2" s="1"/>
      <c r="ME2" s="1"/>
      <c r="MF2" s="1"/>
      <c r="MG2" s="1"/>
      <c r="MH2" s="1"/>
      <c r="MI2" s="1"/>
      <c r="MJ2" s="1"/>
      <c r="MK2" s="1"/>
      <c r="ML2" s="1"/>
      <c r="MM2" s="1"/>
      <c r="MN2" s="1"/>
      <c r="MO2" s="1"/>
      <c r="MP2" s="1"/>
      <c r="MQ2" s="1"/>
      <c r="MR2" s="1"/>
      <c r="MS2" s="1"/>
      <c r="MT2" s="1"/>
      <c r="MU2" s="1"/>
      <c r="MV2" s="1"/>
      <c r="MW2" s="1"/>
      <c r="MX2" s="1"/>
      <c r="MY2" s="1"/>
      <c r="MZ2" s="1"/>
      <c r="NA2" s="1"/>
      <c r="NB2" s="1"/>
      <c r="NC2" s="1"/>
      <c r="ND2" s="1"/>
      <c r="NE2" s="1"/>
      <c r="NF2" s="1"/>
      <c r="NG2" s="1"/>
      <c r="NH2" s="1"/>
      <c r="NI2" s="1"/>
      <c r="NJ2" s="1"/>
      <c r="NK2" s="1"/>
      <c r="NL2" s="1"/>
      <c r="NM2" s="1"/>
      <c r="NN2" s="1"/>
      <c r="NO2" s="1"/>
      <c r="NP2" s="1"/>
      <c r="NQ2" s="1"/>
      <c r="NR2" s="1"/>
      <c r="NS2" s="1"/>
      <c r="NT2" s="1"/>
      <c r="NU2" s="1"/>
      <c r="NV2" s="1"/>
      <c r="NW2" s="1"/>
      <c r="NX2" s="1"/>
      <c r="NY2" s="1"/>
      <c r="NZ2" s="1"/>
      <c r="OA2" s="1"/>
      <c r="OB2" s="1"/>
      <c r="OC2" s="1"/>
      <c r="OD2" s="1"/>
      <c r="OE2" s="1"/>
      <c r="OF2" s="1"/>
      <c r="OG2" s="1"/>
      <c r="OH2" s="1"/>
      <c r="OI2" s="1"/>
      <c r="OJ2" s="1"/>
      <c r="OK2" s="1"/>
      <c r="OL2" s="1"/>
      <c r="OM2" s="1"/>
      <c r="ON2" s="1"/>
      <c r="OO2" s="1"/>
      <c r="OP2" s="1"/>
      <c r="OQ2" s="1"/>
      <c r="OR2" s="1"/>
      <c r="OS2" s="1"/>
      <c r="OT2" s="1"/>
      <c r="OU2" s="1"/>
      <c r="OV2" s="1"/>
      <c r="OW2" s="1"/>
      <c r="OX2" s="1"/>
      <c r="OY2" s="1"/>
      <c r="OZ2" s="1"/>
      <c r="PA2" s="1"/>
      <c r="PB2" s="1"/>
      <c r="PC2" s="1"/>
      <c r="PD2" s="1"/>
      <c r="PE2" s="1"/>
      <c r="PF2" s="1"/>
      <c r="PG2" s="1"/>
      <c r="PH2" s="1"/>
      <c r="PI2" s="1"/>
      <c r="PJ2" s="1"/>
      <c r="PK2" s="1"/>
      <c r="PL2" s="1"/>
      <c r="PM2" s="1"/>
      <c r="PN2" s="1"/>
      <c r="PO2" s="1"/>
      <c r="PP2" s="1"/>
      <c r="PQ2" s="1"/>
      <c r="PR2" s="1"/>
      <c r="PS2" s="1"/>
      <c r="PT2" s="1"/>
      <c r="PU2" s="1"/>
      <c r="PV2" s="1"/>
      <c r="PW2" s="1"/>
      <c r="PX2" s="1"/>
      <c r="PY2" s="1"/>
      <c r="PZ2" s="1"/>
      <c r="QA2" s="1"/>
      <c r="QB2" s="1"/>
      <c r="QC2" s="1"/>
      <c r="QD2" s="1"/>
      <c r="QE2" s="1"/>
      <c r="QF2" s="1"/>
      <c r="QG2" s="1"/>
      <c r="QH2" s="1"/>
      <c r="QI2" s="1"/>
      <c r="QJ2" s="1"/>
      <c r="QK2" s="1"/>
      <c r="QL2" s="1"/>
      <c r="QM2" s="1"/>
      <c r="QN2" s="1"/>
      <c r="QO2" s="1"/>
      <c r="QP2" s="1"/>
      <c r="QQ2" s="1"/>
      <c r="QR2" s="1"/>
      <c r="QS2" s="1"/>
      <c r="QT2" s="1"/>
      <c r="QU2" s="1"/>
      <c r="QV2" s="1"/>
      <c r="QW2" s="1"/>
      <c r="QX2" s="1"/>
      <c r="QY2" s="1"/>
      <c r="QZ2" s="1"/>
      <c r="RA2" s="1"/>
      <c r="RB2" s="1"/>
      <c r="RC2" s="1"/>
      <c r="RD2" s="1"/>
      <c r="RE2" s="1"/>
      <c r="RF2" s="1"/>
      <c r="RG2" s="1"/>
      <c r="RH2" s="1"/>
      <c r="RI2" s="1"/>
      <c r="RJ2" s="1"/>
      <c r="RK2" s="1"/>
      <c r="RL2" s="1"/>
      <c r="RM2" s="1"/>
      <c r="RN2" s="1"/>
      <c r="RO2" s="1"/>
      <c r="RP2" s="1"/>
      <c r="RQ2" s="1"/>
      <c r="RR2" s="1"/>
      <c r="RS2" s="1"/>
      <c r="RT2" s="1"/>
      <c r="RU2" s="1"/>
      <c r="RV2" s="1"/>
      <c r="RW2" s="1"/>
      <c r="RX2" s="1"/>
      <c r="RY2" s="1"/>
      <c r="RZ2" s="1"/>
      <c r="SA2" s="1"/>
      <c r="SB2" s="1"/>
      <c r="SC2" s="1"/>
      <c r="SD2" s="1"/>
      <c r="SE2" s="1"/>
      <c r="SF2" s="1"/>
      <c r="SG2" s="1"/>
      <c r="SH2" s="1"/>
      <c r="SI2" s="1"/>
      <c r="SJ2" s="1"/>
      <c r="SK2" s="1"/>
      <c r="SL2" s="1"/>
      <c r="SM2" s="1"/>
      <c r="SN2" s="1"/>
      <c r="SO2" s="1"/>
      <c r="SP2" s="1"/>
      <c r="SQ2" s="1"/>
      <c r="SR2" s="1"/>
      <c r="SS2" s="1"/>
      <c r="ST2" s="1"/>
      <c r="SU2" s="1"/>
      <c r="SV2" s="1"/>
      <c r="SW2" s="1"/>
      <c r="SX2" s="1"/>
      <c r="SY2" s="1"/>
      <c r="SZ2" s="1"/>
      <c r="TA2" s="1"/>
      <c r="TB2" s="1"/>
      <c r="TC2" s="1"/>
      <c r="TD2" s="1"/>
      <c r="TE2" s="1"/>
      <c r="TF2" s="1"/>
      <c r="TG2" s="1"/>
      <c r="TH2" s="1"/>
      <c r="TI2" s="1"/>
      <c r="TJ2" s="1"/>
      <c r="TK2" s="1"/>
      <c r="TL2" s="1"/>
      <c r="TM2" s="1"/>
      <c r="TN2" s="1"/>
      <c r="TO2" s="1"/>
      <c r="TP2" s="1"/>
      <c r="TQ2" s="1"/>
      <c r="TR2" s="1"/>
      <c r="TS2" s="1"/>
      <c r="TT2" s="1"/>
      <c r="TU2" s="1"/>
      <c r="TV2" s="1"/>
      <c r="TW2" s="1"/>
      <c r="TX2" s="1"/>
      <c r="TY2" s="1"/>
      <c r="TZ2" s="1"/>
      <c r="UA2" s="1"/>
      <c r="UB2" s="1"/>
      <c r="UC2" s="1"/>
      <c r="UD2" s="1"/>
      <c r="UE2" s="1"/>
      <c r="UF2" s="1"/>
      <c r="UG2" s="1"/>
      <c r="UH2" s="1"/>
      <c r="UI2" s="1"/>
      <c r="UJ2" s="1"/>
      <c r="UK2" s="1"/>
      <c r="UL2" s="1"/>
      <c r="UM2" s="1"/>
    </row>
    <row r="3" spans="1:559" ht="54">
      <c r="A3" s="96"/>
      <c r="B3" s="258" t="s">
        <v>9297</v>
      </c>
      <c r="C3" s="127">
        <v>52517477</v>
      </c>
      <c r="D3" s="147" t="s">
        <v>145</v>
      </c>
      <c r="E3" s="147">
        <v>43809</v>
      </c>
      <c r="F3" s="21">
        <v>43809</v>
      </c>
      <c r="G3" s="428" t="s">
        <v>9247</v>
      </c>
      <c r="H3" s="26" t="s">
        <v>5</v>
      </c>
      <c r="I3" s="423" t="s">
        <v>79</v>
      </c>
      <c r="J3" s="147"/>
      <c r="K3" s="21"/>
      <c r="L3" s="428"/>
      <c r="M3" s="26"/>
      <c r="N3" s="423"/>
      <c r="O3" s="147"/>
      <c r="P3" s="21"/>
      <c r="Q3" s="424"/>
      <c r="R3" s="26"/>
      <c r="S3" s="26"/>
      <c r="T3" s="233"/>
      <c r="U3" s="234"/>
      <c r="V3" s="235"/>
      <c r="W3" s="236"/>
      <c r="X3" s="249"/>
      <c r="Y3" s="233"/>
      <c r="Z3" s="234"/>
      <c r="AA3" s="235"/>
      <c r="AB3" s="236"/>
      <c r="AC3" s="249"/>
      <c r="AD3" s="233"/>
      <c r="AE3" s="234"/>
      <c r="AF3" s="235"/>
      <c r="AG3" s="236"/>
      <c r="AH3" s="249"/>
      <c r="AI3" s="237"/>
      <c r="AJ3" s="234"/>
      <c r="AK3" s="235"/>
      <c r="AL3" s="236"/>
      <c r="AM3" s="249"/>
      <c r="AN3" s="422"/>
      <c r="AO3" s="508"/>
      <c r="AP3" s="421"/>
      <c r="AQ3" s="427"/>
      <c r="AR3" s="428"/>
      <c r="AS3" s="426"/>
      <c r="AT3" s="426"/>
      <c r="AU3" s="422"/>
      <c r="AV3" s="421"/>
      <c r="AW3" s="428"/>
      <c r="AX3" s="420"/>
      <c r="AY3" s="428"/>
      <c r="AZ3" s="420"/>
      <c r="BA3" s="16"/>
      <c r="BB3" s="250"/>
      <c r="BC3" s="428"/>
      <c r="BD3" s="422"/>
      <c r="BE3" s="22"/>
      <c r="BF3" s="22"/>
      <c r="BG3" s="235"/>
      <c r="BH3" s="194"/>
      <c r="BI3" s="552"/>
      <c r="BJ3" s="235"/>
      <c r="BK3" s="159"/>
      <c r="BL3" s="159"/>
      <c r="BM3" s="196"/>
      <c r="BN3" s="384"/>
      <c r="BO3" s="541"/>
      <c r="BP3" s="384"/>
      <c r="BQ3" s="449"/>
      <c r="BR3" s="392"/>
      <c r="BS3" s="243"/>
      <c r="BT3" s="243"/>
      <c r="BU3" s="235"/>
      <c r="BV3" s="235"/>
      <c r="BW3" s="235"/>
      <c r="BX3" s="235"/>
      <c r="BY3" s="244"/>
      <c r="BZ3" s="245"/>
      <c r="CA3" s="233"/>
      <c r="CB3" s="246"/>
      <c r="CC3" s="246"/>
      <c r="CD3" s="32"/>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c r="IY3" s="1"/>
      <c r="IZ3" s="1"/>
      <c r="JA3" s="1"/>
      <c r="JB3" s="1"/>
      <c r="JC3" s="1"/>
      <c r="JD3" s="1"/>
      <c r="JE3" s="1"/>
      <c r="JF3" s="1"/>
      <c r="JG3" s="1"/>
      <c r="JH3" s="1"/>
      <c r="JI3" s="1"/>
      <c r="JJ3" s="1"/>
      <c r="JK3" s="1"/>
      <c r="JL3" s="1"/>
      <c r="JM3" s="1"/>
      <c r="JN3" s="1"/>
      <c r="JO3" s="1"/>
      <c r="JP3" s="1"/>
      <c r="JQ3" s="1"/>
      <c r="JR3" s="1"/>
      <c r="JS3" s="1"/>
      <c r="JT3" s="1"/>
      <c r="JU3" s="1"/>
      <c r="JV3" s="1"/>
      <c r="JW3" s="1"/>
      <c r="JX3" s="1"/>
      <c r="JY3" s="1"/>
      <c r="JZ3" s="1"/>
      <c r="KA3" s="1"/>
      <c r="KB3" s="1"/>
      <c r="KC3" s="1"/>
      <c r="KD3" s="1"/>
      <c r="KE3" s="1"/>
      <c r="KF3" s="1"/>
      <c r="KG3" s="1"/>
      <c r="KH3" s="1"/>
      <c r="KI3" s="1"/>
      <c r="KJ3" s="1"/>
      <c r="KK3" s="1"/>
      <c r="KL3" s="1"/>
      <c r="KM3" s="1"/>
      <c r="KN3" s="1"/>
      <c r="KO3" s="1"/>
      <c r="KP3" s="1"/>
      <c r="KQ3" s="1"/>
      <c r="KR3" s="1"/>
      <c r="KS3" s="1"/>
      <c r="KT3" s="1"/>
      <c r="KU3" s="1"/>
      <c r="KV3" s="1"/>
      <c r="KW3" s="1"/>
      <c r="KX3" s="1"/>
      <c r="KY3" s="1"/>
      <c r="KZ3" s="1"/>
      <c r="LA3" s="1"/>
      <c r="LB3" s="1"/>
      <c r="LC3" s="1"/>
      <c r="LD3" s="1"/>
      <c r="LE3" s="1"/>
      <c r="LF3" s="1"/>
      <c r="LG3" s="1"/>
      <c r="LH3" s="1"/>
      <c r="LI3" s="1"/>
      <c r="LJ3" s="1"/>
      <c r="LK3" s="1"/>
      <c r="LL3" s="1"/>
      <c r="LM3" s="1"/>
      <c r="LN3" s="1"/>
      <c r="LO3" s="1"/>
      <c r="LP3" s="1"/>
      <c r="LQ3" s="1"/>
      <c r="LR3" s="1"/>
      <c r="LS3" s="1"/>
      <c r="LT3" s="1"/>
      <c r="LU3" s="1"/>
      <c r="LV3" s="1"/>
      <c r="LW3" s="1"/>
      <c r="LX3" s="1"/>
      <c r="LY3" s="1"/>
      <c r="LZ3" s="1"/>
      <c r="MA3" s="1"/>
      <c r="MB3" s="1"/>
      <c r="MC3" s="1"/>
      <c r="MD3" s="1"/>
      <c r="ME3" s="1"/>
      <c r="MF3" s="1"/>
      <c r="MG3" s="1"/>
      <c r="MH3" s="1"/>
      <c r="MI3" s="1"/>
      <c r="MJ3" s="1"/>
      <c r="MK3" s="1"/>
      <c r="ML3" s="1"/>
      <c r="MM3" s="1"/>
      <c r="MN3" s="1"/>
      <c r="MO3" s="1"/>
      <c r="MP3" s="1"/>
      <c r="MQ3" s="1"/>
      <c r="MR3" s="1"/>
      <c r="MS3" s="1"/>
      <c r="MT3" s="1"/>
      <c r="MU3" s="1"/>
      <c r="MV3" s="1"/>
      <c r="MW3" s="1"/>
      <c r="MX3" s="1"/>
      <c r="MY3" s="1"/>
      <c r="MZ3" s="1"/>
      <c r="NA3" s="1"/>
      <c r="NB3" s="1"/>
      <c r="NC3" s="1"/>
      <c r="ND3" s="1"/>
      <c r="NE3" s="1"/>
      <c r="NF3" s="1"/>
      <c r="NG3" s="1"/>
      <c r="NH3" s="1"/>
      <c r="NI3" s="1"/>
      <c r="NJ3" s="1"/>
      <c r="NK3" s="1"/>
      <c r="NL3" s="1"/>
      <c r="NM3" s="1"/>
      <c r="NN3" s="1"/>
      <c r="NO3" s="1"/>
      <c r="NP3" s="1"/>
      <c r="NQ3" s="1"/>
      <c r="NR3" s="1"/>
      <c r="NS3" s="1"/>
      <c r="NT3" s="1"/>
      <c r="NU3" s="1"/>
      <c r="NV3" s="1"/>
      <c r="NW3" s="1"/>
      <c r="NX3" s="1"/>
      <c r="NY3" s="1"/>
      <c r="NZ3" s="1"/>
      <c r="OA3" s="1"/>
      <c r="OB3" s="1"/>
      <c r="OC3" s="1"/>
      <c r="OD3" s="1"/>
      <c r="OE3" s="1"/>
      <c r="OF3" s="1"/>
      <c r="OG3" s="1"/>
      <c r="OH3" s="1"/>
      <c r="OI3" s="1"/>
      <c r="OJ3" s="1"/>
      <c r="OK3" s="1"/>
      <c r="OL3" s="1"/>
      <c r="OM3" s="1"/>
      <c r="ON3" s="1"/>
      <c r="OO3" s="1"/>
      <c r="OP3" s="1"/>
      <c r="OQ3" s="1"/>
      <c r="OR3" s="1"/>
      <c r="OS3" s="1"/>
      <c r="OT3" s="1"/>
      <c r="OU3" s="1"/>
      <c r="OV3" s="1"/>
      <c r="OW3" s="1"/>
      <c r="OX3" s="1"/>
      <c r="OY3" s="1"/>
      <c r="OZ3" s="1"/>
      <c r="PA3" s="1"/>
      <c r="PB3" s="1"/>
      <c r="PC3" s="1"/>
      <c r="PD3" s="1"/>
      <c r="PE3" s="1"/>
      <c r="PF3" s="1"/>
      <c r="PG3" s="1"/>
      <c r="PH3" s="1"/>
      <c r="PI3" s="1"/>
      <c r="PJ3" s="1"/>
      <c r="PK3" s="1"/>
      <c r="PL3" s="1"/>
      <c r="PM3" s="1"/>
      <c r="PN3" s="1"/>
      <c r="PO3" s="1"/>
      <c r="PP3" s="1"/>
      <c r="PQ3" s="1"/>
      <c r="PR3" s="1"/>
      <c r="PS3" s="1"/>
      <c r="PT3" s="1"/>
      <c r="PU3" s="1"/>
      <c r="PV3" s="1"/>
      <c r="PW3" s="1"/>
      <c r="PX3" s="1"/>
      <c r="PY3" s="1"/>
      <c r="PZ3" s="1"/>
      <c r="QA3" s="1"/>
      <c r="QB3" s="1"/>
      <c r="QC3" s="1"/>
      <c r="QD3" s="1"/>
      <c r="QE3" s="1"/>
      <c r="QF3" s="1"/>
      <c r="QG3" s="1"/>
      <c r="QH3" s="1"/>
      <c r="QI3" s="1"/>
      <c r="QJ3" s="1"/>
      <c r="QK3" s="1"/>
      <c r="QL3" s="1"/>
      <c r="QM3" s="1"/>
      <c r="QN3" s="1"/>
      <c r="QO3" s="1"/>
      <c r="QP3" s="1"/>
      <c r="QQ3" s="1"/>
      <c r="QR3" s="1"/>
      <c r="QS3" s="1"/>
      <c r="QT3" s="1"/>
      <c r="QU3" s="1"/>
      <c r="QV3" s="1"/>
      <c r="QW3" s="1"/>
      <c r="QX3" s="1"/>
      <c r="QY3" s="1"/>
      <c r="QZ3" s="1"/>
      <c r="RA3" s="1"/>
      <c r="RB3" s="1"/>
      <c r="RC3" s="1"/>
      <c r="RD3" s="1"/>
      <c r="RE3" s="1"/>
      <c r="RF3" s="1"/>
      <c r="RG3" s="1"/>
      <c r="RH3" s="1"/>
      <c r="RI3" s="1"/>
      <c r="RJ3" s="1"/>
      <c r="RK3" s="1"/>
      <c r="RL3" s="1"/>
      <c r="RM3" s="1"/>
      <c r="RN3" s="1"/>
      <c r="RO3" s="1"/>
      <c r="RP3" s="1"/>
      <c r="RQ3" s="1"/>
      <c r="RR3" s="1"/>
      <c r="RS3" s="1"/>
      <c r="RT3" s="1"/>
      <c r="RU3" s="1"/>
      <c r="RV3" s="1"/>
      <c r="RW3" s="1"/>
      <c r="RX3" s="1"/>
      <c r="RY3" s="1"/>
      <c r="RZ3" s="1"/>
      <c r="SA3" s="1"/>
      <c r="SB3" s="1"/>
      <c r="SC3" s="1"/>
      <c r="SD3" s="1"/>
      <c r="SE3" s="1"/>
      <c r="SF3" s="1"/>
      <c r="SG3" s="1"/>
      <c r="SH3" s="1"/>
      <c r="SI3" s="1"/>
      <c r="SJ3" s="1"/>
      <c r="SK3" s="1"/>
      <c r="SL3" s="1"/>
      <c r="SM3" s="1"/>
      <c r="SN3" s="1"/>
      <c r="SO3" s="1"/>
      <c r="SP3" s="1"/>
      <c r="SQ3" s="1"/>
      <c r="SR3" s="1"/>
      <c r="SS3" s="1"/>
      <c r="ST3" s="1"/>
      <c r="SU3" s="1"/>
      <c r="SV3" s="1"/>
      <c r="SW3" s="1"/>
      <c r="SX3" s="1"/>
      <c r="SY3" s="1"/>
      <c r="SZ3" s="1"/>
      <c r="TA3" s="1"/>
      <c r="TB3" s="1"/>
      <c r="TC3" s="1"/>
      <c r="TD3" s="1"/>
      <c r="TE3" s="1"/>
      <c r="TF3" s="1"/>
      <c r="TG3" s="1"/>
      <c r="TH3" s="1"/>
      <c r="TI3" s="1"/>
      <c r="TJ3" s="1"/>
      <c r="TK3" s="1"/>
      <c r="TL3" s="1"/>
      <c r="TM3" s="1"/>
      <c r="TN3" s="1"/>
      <c r="TO3" s="1"/>
      <c r="TP3" s="1"/>
      <c r="TQ3" s="1"/>
      <c r="TR3" s="1"/>
      <c r="TS3" s="1"/>
      <c r="TT3" s="1"/>
      <c r="TU3" s="1"/>
      <c r="TV3" s="1"/>
      <c r="TW3" s="1"/>
      <c r="TX3" s="1"/>
      <c r="TY3" s="1"/>
      <c r="TZ3" s="1"/>
      <c r="UA3" s="1"/>
      <c r="UB3" s="1"/>
      <c r="UC3" s="1"/>
      <c r="UD3" s="1"/>
      <c r="UE3" s="1"/>
      <c r="UF3" s="1"/>
      <c r="UG3" s="1"/>
      <c r="UH3" s="1"/>
      <c r="UI3" s="1"/>
      <c r="UJ3" s="1"/>
      <c r="UK3" s="1"/>
      <c r="UL3" s="1"/>
      <c r="UM3" s="1"/>
    </row>
    <row r="4" spans="1:559" ht="40.5">
      <c r="A4" s="96"/>
      <c r="B4" s="258" t="s">
        <v>9346</v>
      </c>
      <c r="C4" s="127"/>
      <c r="D4" s="147" t="s">
        <v>9347</v>
      </c>
      <c r="E4" s="147">
        <v>43829</v>
      </c>
      <c r="F4" s="21">
        <v>43829</v>
      </c>
      <c r="G4" s="428" t="s">
        <v>9348</v>
      </c>
      <c r="H4" s="26" t="s">
        <v>5</v>
      </c>
      <c r="I4" s="423" t="s">
        <v>79</v>
      </c>
      <c r="J4" s="147"/>
      <c r="K4" s="21"/>
      <c r="L4" s="428"/>
      <c r="M4" s="26"/>
      <c r="N4" s="423"/>
      <c r="O4" s="147"/>
      <c r="P4" s="21"/>
      <c r="Q4" s="424"/>
      <c r="R4" s="26"/>
      <c r="S4" s="26"/>
      <c r="T4" s="233"/>
      <c r="U4" s="234"/>
      <c r="V4" s="235"/>
      <c r="W4" s="236"/>
      <c r="X4" s="249"/>
      <c r="Y4" s="233"/>
      <c r="Z4" s="234"/>
      <c r="AA4" s="235"/>
      <c r="AB4" s="236"/>
      <c r="AC4" s="249"/>
      <c r="AD4" s="233"/>
      <c r="AE4" s="234"/>
      <c r="AF4" s="235"/>
      <c r="AG4" s="236"/>
      <c r="AH4" s="249"/>
      <c r="AI4" s="237"/>
      <c r="AJ4" s="234"/>
      <c r="AK4" s="235"/>
      <c r="AL4" s="236"/>
      <c r="AM4" s="249"/>
      <c r="AN4" s="422"/>
      <c r="AO4" s="508"/>
      <c r="AP4" s="421"/>
      <c r="AQ4" s="427"/>
      <c r="AR4" s="428"/>
      <c r="AS4" s="426"/>
      <c r="AT4" s="426"/>
      <c r="AU4" s="422"/>
      <c r="AV4" s="421"/>
      <c r="AW4" s="428"/>
      <c r="AX4" s="420"/>
      <c r="AY4" s="428"/>
      <c r="AZ4" s="420"/>
      <c r="BA4" s="16"/>
      <c r="BB4" s="250"/>
      <c r="BC4" s="428"/>
      <c r="BD4" s="422"/>
      <c r="BE4" s="22"/>
      <c r="BF4" s="22"/>
      <c r="BG4" s="235"/>
      <c r="BH4" s="194"/>
      <c r="BI4" s="552"/>
      <c r="BJ4" s="235"/>
      <c r="BK4" s="159"/>
      <c r="BL4" s="159"/>
      <c r="BM4" s="196"/>
      <c r="BN4" s="384"/>
      <c r="BO4" s="541"/>
      <c r="BP4" s="384"/>
      <c r="BQ4" s="449"/>
      <c r="BR4" s="392"/>
      <c r="BS4" s="243"/>
      <c r="BT4" s="243"/>
      <c r="BU4" s="235"/>
      <c r="BV4" s="235"/>
      <c r="BW4" s="235"/>
      <c r="BX4" s="235"/>
      <c r="BY4" s="244"/>
      <c r="BZ4" s="245"/>
      <c r="CA4" s="233"/>
      <c r="CB4" s="246"/>
      <c r="CC4" s="246"/>
      <c r="CD4" s="32"/>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c r="IX4" s="1"/>
      <c r="IY4" s="1"/>
      <c r="IZ4" s="1"/>
      <c r="JA4" s="1"/>
      <c r="JB4" s="1"/>
      <c r="JC4" s="1"/>
      <c r="JD4" s="1"/>
      <c r="JE4" s="1"/>
      <c r="JF4" s="1"/>
      <c r="JG4" s="1"/>
      <c r="JH4" s="1"/>
      <c r="JI4" s="1"/>
      <c r="JJ4" s="1"/>
      <c r="JK4" s="1"/>
      <c r="JL4" s="1"/>
      <c r="JM4" s="1"/>
      <c r="JN4" s="1"/>
      <c r="JO4" s="1"/>
      <c r="JP4" s="1"/>
      <c r="JQ4" s="1"/>
      <c r="JR4" s="1"/>
      <c r="JS4" s="1"/>
      <c r="JT4" s="1"/>
      <c r="JU4" s="1"/>
      <c r="JV4" s="1"/>
      <c r="JW4" s="1"/>
      <c r="JX4" s="1"/>
      <c r="JY4" s="1"/>
      <c r="JZ4" s="1"/>
      <c r="KA4" s="1"/>
      <c r="KB4" s="1"/>
      <c r="KC4" s="1"/>
      <c r="KD4" s="1"/>
      <c r="KE4" s="1"/>
      <c r="KF4" s="1"/>
      <c r="KG4" s="1"/>
      <c r="KH4" s="1"/>
      <c r="KI4" s="1"/>
      <c r="KJ4" s="1"/>
      <c r="KK4" s="1"/>
      <c r="KL4" s="1"/>
      <c r="KM4" s="1"/>
      <c r="KN4" s="1"/>
      <c r="KO4" s="1"/>
      <c r="KP4" s="1"/>
      <c r="KQ4" s="1"/>
      <c r="KR4" s="1"/>
      <c r="KS4" s="1"/>
      <c r="KT4" s="1"/>
      <c r="KU4" s="1"/>
      <c r="KV4" s="1"/>
      <c r="KW4" s="1"/>
      <c r="KX4" s="1"/>
      <c r="KY4" s="1"/>
      <c r="KZ4" s="1"/>
      <c r="LA4" s="1"/>
      <c r="LB4" s="1"/>
      <c r="LC4" s="1"/>
      <c r="LD4" s="1"/>
      <c r="LE4" s="1"/>
      <c r="LF4" s="1"/>
      <c r="LG4" s="1"/>
      <c r="LH4" s="1"/>
      <c r="LI4" s="1"/>
      <c r="LJ4" s="1"/>
      <c r="LK4" s="1"/>
      <c r="LL4" s="1"/>
      <c r="LM4" s="1"/>
      <c r="LN4" s="1"/>
      <c r="LO4" s="1"/>
      <c r="LP4" s="1"/>
      <c r="LQ4" s="1"/>
      <c r="LR4" s="1"/>
      <c r="LS4" s="1"/>
      <c r="LT4" s="1"/>
      <c r="LU4" s="1"/>
      <c r="LV4" s="1"/>
      <c r="LW4" s="1"/>
      <c r="LX4" s="1"/>
      <c r="LY4" s="1"/>
      <c r="LZ4" s="1"/>
      <c r="MA4" s="1"/>
      <c r="MB4" s="1"/>
      <c r="MC4" s="1"/>
      <c r="MD4" s="1"/>
      <c r="ME4" s="1"/>
      <c r="MF4" s="1"/>
      <c r="MG4" s="1"/>
      <c r="MH4" s="1"/>
      <c r="MI4" s="1"/>
      <c r="MJ4" s="1"/>
      <c r="MK4" s="1"/>
      <c r="ML4" s="1"/>
      <c r="MM4" s="1"/>
      <c r="MN4" s="1"/>
      <c r="MO4" s="1"/>
      <c r="MP4" s="1"/>
      <c r="MQ4" s="1"/>
      <c r="MR4" s="1"/>
      <c r="MS4" s="1"/>
      <c r="MT4" s="1"/>
      <c r="MU4" s="1"/>
      <c r="MV4" s="1"/>
      <c r="MW4" s="1"/>
      <c r="MX4" s="1"/>
      <c r="MY4" s="1"/>
      <c r="MZ4" s="1"/>
      <c r="NA4" s="1"/>
      <c r="NB4" s="1"/>
      <c r="NC4" s="1"/>
      <c r="ND4" s="1"/>
      <c r="NE4" s="1"/>
      <c r="NF4" s="1"/>
      <c r="NG4" s="1"/>
      <c r="NH4" s="1"/>
      <c r="NI4" s="1"/>
      <c r="NJ4" s="1"/>
      <c r="NK4" s="1"/>
      <c r="NL4" s="1"/>
      <c r="NM4" s="1"/>
      <c r="NN4" s="1"/>
      <c r="NO4" s="1"/>
      <c r="NP4" s="1"/>
      <c r="NQ4" s="1"/>
      <c r="NR4" s="1"/>
      <c r="NS4" s="1"/>
      <c r="NT4" s="1"/>
      <c r="NU4" s="1"/>
      <c r="NV4" s="1"/>
      <c r="NW4" s="1"/>
      <c r="NX4" s="1"/>
      <c r="NY4" s="1"/>
      <c r="NZ4" s="1"/>
      <c r="OA4" s="1"/>
      <c r="OB4" s="1"/>
      <c r="OC4" s="1"/>
      <c r="OD4" s="1"/>
      <c r="OE4" s="1"/>
      <c r="OF4" s="1"/>
      <c r="OG4" s="1"/>
      <c r="OH4" s="1"/>
      <c r="OI4" s="1"/>
      <c r="OJ4" s="1"/>
      <c r="OK4" s="1"/>
      <c r="OL4" s="1"/>
      <c r="OM4" s="1"/>
      <c r="ON4" s="1"/>
      <c r="OO4" s="1"/>
      <c r="OP4" s="1"/>
      <c r="OQ4" s="1"/>
      <c r="OR4" s="1"/>
      <c r="OS4" s="1"/>
      <c r="OT4" s="1"/>
      <c r="OU4" s="1"/>
      <c r="OV4" s="1"/>
      <c r="OW4" s="1"/>
      <c r="OX4" s="1"/>
      <c r="OY4" s="1"/>
      <c r="OZ4" s="1"/>
      <c r="PA4" s="1"/>
      <c r="PB4" s="1"/>
      <c r="PC4" s="1"/>
      <c r="PD4" s="1"/>
      <c r="PE4" s="1"/>
      <c r="PF4" s="1"/>
      <c r="PG4" s="1"/>
      <c r="PH4" s="1"/>
      <c r="PI4" s="1"/>
      <c r="PJ4" s="1"/>
      <c r="PK4" s="1"/>
      <c r="PL4" s="1"/>
      <c r="PM4" s="1"/>
      <c r="PN4" s="1"/>
      <c r="PO4" s="1"/>
      <c r="PP4" s="1"/>
      <c r="PQ4" s="1"/>
      <c r="PR4" s="1"/>
      <c r="PS4" s="1"/>
      <c r="PT4" s="1"/>
      <c r="PU4" s="1"/>
      <c r="PV4" s="1"/>
      <c r="PW4" s="1"/>
      <c r="PX4" s="1"/>
      <c r="PY4" s="1"/>
      <c r="PZ4" s="1"/>
      <c r="QA4" s="1"/>
      <c r="QB4" s="1"/>
      <c r="QC4" s="1"/>
      <c r="QD4" s="1"/>
      <c r="QE4" s="1"/>
      <c r="QF4" s="1"/>
      <c r="QG4" s="1"/>
      <c r="QH4" s="1"/>
      <c r="QI4" s="1"/>
      <c r="QJ4" s="1"/>
      <c r="QK4" s="1"/>
      <c r="QL4" s="1"/>
      <c r="QM4" s="1"/>
      <c r="QN4" s="1"/>
      <c r="QO4" s="1"/>
      <c r="QP4" s="1"/>
      <c r="QQ4" s="1"/>
      <c r="QR4" s="1"/>
      <c r="QS4" s="1"/>
      <c r="QT4" s="1"/>
      <c r="QU4" s="1"/>
      <c r="QV4" s="1"/>
      <c r="QW4" s="1"/>
      <c r="QX4" s="1"/>
      <c r="QY4" s="1"/>
      <c r="QZ4" s="1"/>
      <c r="RA4" s="1"/>
      <c r="RB4" s="1"/>
      <c r="RC4" s="1"/>
      <c r="RD4" s="1"/>
      <c r="RE4" s="1"/>
      <c r="RF4" s="1"/>
      <c r="RG4" s="1"/>
      <c r="RH4" s="1"/>
      <c r="RI4" s="1"/>
      <c r="RJ4" s="1"/>
      <c r="RK4" s="1"/>
      <c r="RL4" s="1"/>
      <c r="RM4" s="1"/>
      <c r="RN4" s="1"/>
      <c r="RO4" s="1"/>
      <c r="RP4" s="1"/>
      <c r="RQ4" s="1"/>
      <c r="RR4" s="1"/>
      <c r="RS4" s="1"/>
      <c r="RT4" s="1"/>
      <c r="RU4" s="1"/>
      <c r="RV4" s="1"/>
      <c r="RW4" s="1"/>
      <c r="RX4" s="1"/>
      <c r="RY4" s="1"/>
      <c r="RZ4" s="1"/>
      <c r="SA4" s="1"/>
      <c r="SB4" s="1"/>
      <c r="SC4" s="1"/>
      <c r="SD4" s="1"/>
      <c r="SE4" s="1"/>
      <c r="SF4" s="1"/>
      <c r="SG4" s="1"/>
      <c r="SH4" s="1"/>
      <c r="SI4" s="1"/>
      <c r="SJ4" s="1"/>
      <c r="SK4" s="1"/>
      <c r="SL4" s="1"/>
      <c r="SM4" s="1"/>
      <c r="SN4" s="1"/>
      <c r="SO4" s="1"/>
      <c r="SP4" s="1"/>
      <c r="SQ4" s="1"/>
      <c r="SR4" s="1"/>
      <c r="SS4" s="1"/>
      <c r="ST4" s="1"/>
      <c r="SU4" s="1"/>
      <c r="SV4" s="1"/>
      <c r="SW4" s="1"/>
      <c r="SX4" s="1"/>
      <c r="SY4" s="1"/>
      <c r="SZ4" s="1"/>
      <c r="TA4" s="1"/>
      <c r="TB4" s="1"/>
      <c r="TC4" s="1"/>
      <c r="TD4" s="1"/>
      <c r="TE4" s="1"/>
      <c r="TF4" s="1"/>
      <c r="TG4" s="1"/>
      <c r="TH4" s="1"/>
      <c r="TI4" s="1"/>
      <c r="TJ4" s="1"/>
      <c r="TK4" s="1"/>
      <c r="TL4" s="1"/>
      <c r="TM4" s="1"/>
      <c r="TN4" s="1"/>
      <c r="TO4" s="1"/>
      <c r="TP4" s="1"/>
      <c r="TQ4" s="1"/>
      <c r="TR4" s="1"/>
      <c r="TS4" s="1"/>
      <c r="TT4" s="1"/>
      <c r="TU4" s="1"/>
      <c r="TV4" s="1"/>
      <c r="TW4" s="1"/>
      <c r="TX4" s="1"/>
      <c r="TY4" s="1"/>
      <c r="TZ4" s="1"/>
      <c r="UA4" s="1"/>
      <c r="UB4" s="1"/>
      <c r="UC4" s="1"/>
      <c r="UD4" s="1"/>
      <c r="UE4" s="1"/>
      <c r="UF4" s="1"/>
      <c r="UG4" s="1"/>
      <c r="UH4" s="1"/>
      <c r="UI4" s="1"/>
      <c r="UJ4" s="1"/>
      <c r="UK4" s="1"/>
      <c r="UL4" s="1"/>
      <c r="UM4" s="1"/>
    </row>
    <row r="5" spans="1:559" ht="54">
      <c r="A5" s="96"/>
      <c r="B5" s="258" t="s">
        <v>9740</v>
      </c>
      <c r="C5" s="127"/>
      <c r="D5" s="147"/>
      <c r="E5" s="147" t="s">
        <v>9741</v>
      </c>
      <c r="F5" s="21">
        <v>44127</v>
      </c>
      <c r="G5" s="428" t="s">
        <v>9739</v>
      </c>
      <c r="H5" s="26" t="s">
        <v>208</v>
      </c>
      <c r="I5" s="423" t="s">
        <v>79</v>
      </c>
      <c r="J5" s="147"/>
      <c r="K5" s="21"/>
      <c r="L5" s="428"/>
      <c r="M5" s="26"/>
      <c r="N5" s="423"/>
      <c r="O5" s="147"/>
      <c r="P5" s="21"/>
      <c r="Q5" s="424"/>
      <c r="R5" s="26"/>
      <c r="S5" s="26"/>
      <c r="T5" s="233"/>
      <c r="U5" s="234"/>
      <c r="V5" s="235"/>
      <c r="W5" s="236"/>
      <c r="X5" s="249"/>
      <c r="Y5" s="233"/>
      <c r="Z5" s="234"/>
      <c r="AA5" s="235"/>
      <c r="AB5" s="236"/>
      <c r="AC5" s="249"/>
      <c r="AD5" s="233"/>
      <c r="AE5" s="234"/>
      <c r="AF5" s="235"/>
      <c r="AG5" s="236"/>
      <c r="AH5" s="249"/>
      <c r="AI5" s="237"/>
      <c r="AJ5" s="234"/>
      <c r="AK5" s="235"/>
      <c r="AL5" s="236"/>
      <c r="AM5" s="249"/>
      <c r="AN5" s="422"/>
      <c r="AO5" s="508"/>
      <c r="AP5" s="421"/>
      <c r="AQ5" s="427"/>
      <c r="AR5" s="428"/>
      <c r="AS5" s="426"/>
      <c r="AT5" s="426"/>
      <c r="AU5" s="422"/>
      <c r="AV5" s="421"/>
      <c r="AW5" s="428"/>
      <c r="AX5" s="420"/>
      <c r="AY5" s="428"/>
      <c r="AZ5" s="420"/>
      <c r="BA5" s="16"/>
      <c r="BB5" s="250"/>
      <c r="BC5" s="428"/>
      <c r="BD5" s="422"/>
      <c r="BE5" s="22"/>
      <c r="BF5" s="22"/>
      <c r="BG5" s="235"/>
      <c r="BH5" s="194"/>
      <c r="BI5" s="552"/>
      <c r="BJ5" s="235"/>
      <c r="BK5" s="159"/>
      <c r="BL5" s="159"/>
      <c r="BM5" s="196"/>
      <c r="BN5" s="384"/>
      <c r="BO5" s="541"/>
      <c r="BP5" s="384"/>
      <c r="BQ5" s="449"/>
      <c r="BR5" s="392"/>
      <c r="BS5" s="243"/>
      <c r="BT5" s="243"/>
      <c r="BU5" s="235"/>
      <c r="BV5" s="235"/>
      <c r="BW5" s="235"/>
      <c r="BX5" s="235"/>
      <c r="BY5" s="244"/>
      <c r="BZ5" s="245"/>
      <c r="CA5" s="233"/>
      <c r="CB5" s="246"/>
      <c r="CC5" s="246"/>
      <c r="CD5" s="32"/>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c r="IY5" s="1"/>
      <c r="IZ5" s="1"/>
      <c r="JA5" s="1"/>
      <c r="JB5" s="1"/>
      <c r="JC5" s="1"/>
      <c r="JD5" s="1"/>
      <c r="JE5" s="1"/>
      <c r="JF5" s="1"/>
      <c r="JG5" s="1"/>
      <c r="JH5" s="1"/>
      <c r="JI5" s="1"/>
      <c r="JJ5" s="1"/>
      <c r="JK5" s="1"/>
      <c r="JL5" s="1"/>
      <c r="JM5" s="1"/>
      <c r="JN5" s="1"/>
      <c r="JO5" s="1"/>
      <c r="JP5" s="1"/>
      <c r="JQ5" s="1"/>
      <c r="JR5" s="1"/>
      <c r="JS5" s="1"/>
      <c r="JT5" s="1"/>
      <c r="JU5" s="1"/>
      <c r="JV5" s="1"/>
      <c r="JW5" s="1"/>
      <c r="JX5" s="1"/>
      <c r="JY5" s="1"/>
      <c r="JZ5" s="1"/>
      <c r="KA5" s="1"/>
      <c r="KB5" s="1"/>
      <c r="KC5" s="1"/>
      <c r="KD5" s="1"/>
      <c r="KE5" s="1"/>
      <c r="KF5" s="1"/>
      <c r="KG5" s="1"/>
      <c r="KH5" s="1"/>
      <c r="KI5" s="1"/>
      <c r="KJ5" s="1"/>
      <c r="KK5" s="1"/>
      <c r="KL5" s="1"/>
      <c r="KM5" s="1"/>
      <c r="KN5" s="1"/>
      <c r="KO5" s="1"/>
      <c r="KP5" s="1"/>
      <c r="KQ5" s="1"/>
      <c r="KR5" s="1"/>
      <c r="KS5" s="1"/>
      <c r="KT5" s="1"/>
      <c r="KU5" s="1"/>
      <c r="KV5" s="1"/>
      <c r="KW5" s="1"/>
      <c r="KX5" s="1"/>
      <c r="KY5" s="1"/>
      <c r="KZ5" s="1"/>
      <c r="LA5" s="1"/>
      <c r="LB5" s="1"/>
      <c r="LC5" s="1"/>
      <c r="LD5" s="1"/>
      <c r="LE5" s="1"/>
      <c r="LF5" s="1"/>
      <c r="LG5" s="1"/>
      <c r="LH5" s="1"/>
      <c r="LI5" s="1"/>
      <c r="LJ5" s="1"/>
      <c r="LK5" s="1"/>
      <c r="LL5" s="1"/>
      <c r="LM5" s="1"/>
      <c r="LN5" s="1"/>
      <c r="LO5" s="1"/>
      <c r="LP5" s="1"/>
      <c r="LQ5" s="1"/>
      <c r="LR5" s="1"/>
      <c r="LS5" s="1"/>
      <c r="LT5" s="1"/>
      <c r="LU5" s="1"/>
      <c r="LV5" s="1"/>
      <c r="LW5" s="1"/>
      <c r="LX5" s="1"/>
      <c r="LY5" s="1"/>
      <c r="LZ5" s="1"/>
      <c r="MA5" s="1"/>
      <c r="MB5" s="1"/>
      <c r="MC5" s="1"/>
      <c r="MD5" s="1"/>
      <c r="ME5" s="1"/>
      <c r="MF5" s="1"/>
      <c r="MG5" s="1"/>
      <c r="MH5" s="1"/>
      <c r="MI5" s="1"/>
      <c r="MJ5" s="1"/>
      <c r="MK5" s="1"/>
      <c r="ML5" s="1"/>
      <c r="MM5" s="1"/>
      <c r="MN5" s="1"/>
      <c r="MO5" s="1"/>
      <c r="MP5" s="1"/>
      <c r="MQ5" s="1"/>
      <c r="MR5" s="1"/>
      <c r="MS5" s="1"/>
      <c r="MT5" s="1"/>
      <c r="MU5" s="1"/>
      <c r="MV5" s="1"/>
      <c r="MW5" s="1"/>
      <c r="MX5" s="1"/>
      <c r="MY5" s="1"/>
      <c r="MZ5" s="1"/>
      <c r="NA5" s="1"/>
      <c r="NB5" s="1"/>
      <c r="NC5" s="1"/>
      <c r="ND5" s="1"/>
      <c r="NE5" s="1"/>
      <c r="NF5" s="1"/>
      <c r="NG5" s="1"/>
      <c r="NH5" s="1"/>
      <c r="NI5" s="1"/>
      <c r="NJ5" s="1"/>
      <c r="NK5" s="1"/>
      <c r="NL5" s="1"/>
      <c r="NM5" s="1"/>
      <c r="NN5" s="1"/>
      <c r="NO5" s="1"/>
      <c r="NP5" s="1"/>
      <c r="NQ5" s="1"/>
      <c r="NR5" s="1"/>
      <c r="NS5" s="1"/>
      <c r="NT5" s="1"/>
      <c r="NU5" s="1"/>
      <c r="NV5" s="1"/>
      <c r="NW5" s="1"/>
      <c r="NX5" s="1"/>
      <c r="NY5" s="1"/>
      <c r="NZ5" s="1"/>
      <c r="OA5" s="1"/>
      <c r="OB5" s="1"/>
      <c r="OC5" s="1"/>
      <c r="OD5" s="1"/>
      <c r="OE5" s="1"/>
      <c r="OF5" s="1"/>
      <c r="OG5" s="1"/>
      <c r="OH5" s="1"/>
      <c r="OI5" s="1"/>
      <c r="OJ5" s="1"/>
      <c r="OK5" s="1"/>
      <c r="OL5" s="1"/>
      <c r="OM5" s="1"/>
      <c r="ON5" s="1"/>
      <c r="OO5" s="1"/>
      <c r="OP5" s="1"/>
      <c r="OQ5" s="1"/>
      <c r="OR5" s="1"/>
      <c r="OS5" s="1"/>
      <c r="OT5" s="1"/>
      <c r="OU5" s="1"/>
      <c r="OV5" s="1"/>
      <c r="OW5" s="1"/>
      <c r="OX5" s="1"/>
      <c r="OY5" s="1"/>
      <c r="OZ5" s="1"/>
      <c r="PA5" s="1"/>
      <c r="PB5" s="1"/>
      <c r="PC5" s="1"/>
      <c r="PD5" s="1"/>
      <c r="PE5" s="1"/>
      <c r="PF5" s="1"/>
      <c r="PG5" s="1"/>
      <c r="PH5" s="1"/>
      <c r="PI5" s="1"/>
      <c r="PJ5" s="1"/>
      <c r="PK5" s="1"/>
      <c r="PL5" s="1"/>
      <c r="PM5" s="1"/>
      <c r="PN5" s="1"/>
      <c r="PO5" s="1"/>
      <c r="PP5" s="1"/>
      <c r="PQ5" s="1"/>
      <c r="PR5" s="1"/>
      <c r="PS5" s="1"/>
      <c r="PT5" s="1"/>
      <c r="PU5" s="1"/>
      <c r="PV5" s="1"/>
      <c r="PW5" s="1"/>
      <c r="PX5" s="1"/>
      <c r="PY5" s="1"/>
      <c r="PZ5" s="1"/>
      <c r="QA5" s="1"/>
      <c r="QB5" s="1"/>
      <c r="QC5" s="1"/>
      <c r="QD5" s="1"/>
      <c r="QE5" s="1"/>
      <c r="QF5" s="1"/>
      <c r="QG5" s="1"/>
      <c r="QH5" s="1"/>
      <c r="QI5" s="1"/>
      <c r="QJ5" s="1"/>
      <c r="QK5" s="1"/>
      <c r="QL5" s="1"/>
      <c r="QM5" s="1"/>
      <c r="QN5" s="1"/>
      <c r="QO5" s="1"/>
      <c r="QP5" s="1"/>
      <c r="QQ5" s="1"/>
      <c r="QR5" s="1"/>
      <c r="QS5" s="1"/>
      <c r="QT5" s="1"/>
      <c r="QU5" s="1"/>
      <c r="QV5" s="1"/>
      <c r="QW5" s="1"/>
      <c r="QX5" s="1"/>
      <c r="QY5" s="1"/>
      <c r="QZ5" s="1"/>
      <c r="RA5" s="1"/>
      <c r="RB5" s="1"/>
      <c r="RC5" s="1"/>
      <c r="RD5" s="1"/>
      <c r="RE5" s="1"/>
      <c r="RF5" s="1"/>
      <c r="RG5" s="1"/>
      <c r="RH5" s="1"/>
      <c r="RI5" s="1"/>
      <c r="RJ5" s="1"/>
      <c r="RK5" s="1"/>
      <c r="RL5" s="1"/>
      <c r="RM5" s="1"/>
      <c r="RN5" s="1"/>
      <c r="RO5" s="1"/>
      <c r="RP5" s="1"/>
      <c r="RQ5" s="1"/>
      <c r="RR5" s="1"/>
      <c r="RS5" s="1"/>
      <c r="RT5" s="1"/>
      <c r="RU5" s="1"/>
      <c r="RV5" s="1"/>
      <c r="RW5" s="1"/>
      <c r="RX5" s="1"/>
      <c r="RY5" s="1"/>
      <c r="RZ5" s="1"/>
      <c r="SA5" s="1"/>
      <c r="SB5" s="1"/>
      <c r="SC5" s="1"/>
      <c r="SD5" s="1"/>
      <c r="SE5" s="1"/>
      <c r="SF5" s="1"/>
      <c r="SG5" s="1"/>
      <c r="SH5" s="1"/>
      <c r="SI5" s="1"/>
      <c r="SJ5" s="1"/>
      <c r="SK5" s="1"/>
      <c r="SL5" s="1"/>
      <c r="SM5" s="1"/>
      <c r="SN5" s="1"/>
      <c r="SO5" s="1"/>
      <c r="SP5" s="1"/>
      <c r="SQ5" s="1"/>
      <c r="SR5" s="1"/>
      <c r="SS5" s="1"/>
      <c r="ST5" s="1"/>
      <c r="SU5" s="1"/>
      <c r="SV5" s="1"/>
      <c r="SW5" s="1"/>
      <c r="SX5" s="1"/>
      <c r="SY5" s="1"/>
      <c r="SZ5" s="1"/>
      <c r="TA5" s="1"/>
      <c r="TB5" s="1"/>
      <c r="TC5" s="1"/>
      <c r="TD5" s="1"/>
      <c r="TE5" s="1"/>
      <c r="TF5" s="1"/>
      <c r="TG5" s="1"/>
      <c r="TH5" s="1"/>
      <c r="TI5" s="1"/>
      <c r="TJ5" s="1"/>
      <c r="TK5" s="1"/>
      <c r="TL5" s="1"/>
      <c r="TM5" s="1"/>
      <c r="TN5" s="1"/>
      <c r="TO5" s="1"/>
      <c r="TP5" s="1"/>
      <c r="TQ5" s="1"/>
      <c r="TR5" s="1"/>
      <c r="TS5" s="1"/>
      <c r="TT5" s="1"/>
      <c r="TU5" s="1"/>
      <c r="TV5" s="1"/>
      <c r="TW5" s="1"/>
      <c r="TX5" s="1"/>
      <c r="TY5" s="1"/>
      <c r="TZ5" s="1"/>
      <c r="UA5" s="1"/>
      <c r="UB5" s="1"/>
      <c r="UC5" s="1"/>
      <c r="UD5" s="1"/>
      <c r="UE5" s="1"/>
      <c r="UF5" s="1"/>
      <c r="UG5" s="1"/>
      <c r="UH5" s="1"/>
      <c r="UI5" s="1"/>
      <c r="UJ5" s="1"/>
      <c r="UK5" s="1"/>
      <c r="UL5" s="1"/>
      <c r="UM5" s="1"/>
    </row>
    <row r="6" spans="1:559" ht="40.5">
      <c r="B6" s="676" t="s">
        <v>9805</v>
      </c>
      <c r="E6" s="147">
        <v>44195</v>
      </c>
      <c r="F6" s="21">
        <v>44195</v>
      </c>
      <c r="G6" s="428" t="s">
        <v>9804</v>
      </c>
      <c r="H6" s="26" t="s">
        <v>208</v>
      </c>
      <c r="I6" s="423" t="s">
        <v>79</v>
      </c>
    </row>
    <row r="7" spans="1:559" ht="54">
      <c r="B7" s="676" t="s">
        <v>10386</v>
      </c>
      <c r="E7" s="147">
        <v>44337</v>
      </c>
      <c r="F7" s="21">
        <v>44337</v>
      </c>
      <c r="G7" s="428" t="s">
        <v>10387</v>
      </c>
      <c r="H7" s="26" t="s">
        <v>576</v>
      </c>
      <c r="I7" s="423" t="s">
        <v>2395</v>
      </c>
      <c r="AU7" s="888" t="s">
        <v>10388</v>
      </c>
    </row>
  </sheetData>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27E9D1-EF9B-44E5-A7A6-E8FCC7505195}">
  <dimension ref="A1:WWY144"/>
  <sheetViews>
    <sheetView topLeftCell="AN1" workbookViewId="0">
      <pane ySplit="1" topLeftCell="A130" activePane="bottomLeft" state="frozen"/>
      <selection pane="bottomLeft" activeCell="AP133" sqref="AP133:AW133"/>
    </sheetView>
  </sheetViews>
  <sheetFormatPr baseColWidth="10" defaultRowHeight="15"/>
  <cols>
    <col min="2" max="2" width="22.28515625" customWidth="1"/>
    <col min="3" max="3" width="11.42578125" style="669"/>
    <col min="5" max="5" width="11.42578125" style="669"/>
    <col min="7" max="7" width="14.7109375" style="670" bestFit="1" customWidth="1"/>
    <col min="9" max="9" width="16.42578125" customWidth="1"/>
    <col min="42" max="42" width="21.7109375" customWidth="1"/>
    <col min="46" max="46" width="19.42578125" customWidth="1"/>
  </cols>
  <sheetData>
    <row r="1" spans="1:217" s="822" customFormat="1" ht="71.25" customHeight="1">
      <c r="A1" s="819" t="s">
        <v>2</v>
      </c>
      <c r="B1" s="819" t="s">
        <v>3</v>
      </c>
      <c r="C1" s="3" t="s">
        <v>4</v>
      </c>
      <c r="D1" s="14" t="s">
        <v>5</v>
      </c>
      <c r="E1" s="5" t="s">
        <v>6</v>
      </c>
      <c r="F1" s="6" t="s">
        <v>7</v>
      </c>
      <c r="G1" s="7" t="s">
        <v>8</v>
      </c>
      <c r="H1" s="819" t="s">
        <v>9</v>
      </c>
      <c r="I1" s="819" t="s">
        <v>10</v>
      </c>
      <c r="J1" s="5" t="s">
        <v>11</v>
      </c>
      <c r="K1" s="6" t="s">
        <v>12</v>
      </c>
      <c r="L1" s="7" t="s">
        <v>13</v>
      </c>
      <c r="M1" s="819" t="s">
        <v>9</v>
      </c>
      <c r="N1" s="819" t="s">
        <v>10</v>
      </c>
      <c r="O1" s="5" t="s">
        <v>14</v>
      </c>
      <c r="P1" s="6" t="s">
        <v>15</v>
      </c>
      <c r="Q1" s="7" t="s">
        <v>16</v>
      </c>
      <c r="R1" s="819" t="s">
        <v>9</v>
      </c>
      <c r="S1" s="819" t="s">
        <v>10</v>
      </c>
      <c r="T1" s="5" t="s">
        <v>17</v>
      </c>
      <c r="U1" s="6" t="s">
        <v>18</v>
      </c>
      <c r="V1" s="7" t="s">
        <v>19</v>
      </c>
      <c r="W1" s="819" t="s">
        <v>9</v>
      </c>
      <c r="X1" s="819" t="s">
        <v>10</v>
      </c>
      <c r="Y1" s="5" t="s">
        <v>20</v>
      </c>
      <c r="Z1" s="6" t="s">
        <v>21</v>
      </c>
      <c r="AA1" s="7" t="s">
        <v>22</v>
      </c>
      <c r="AB1" s="819" t="s">
        <v>9</v>
      </c>
      <c r="AC1" s="819" t="s">
        <v>10</v>
      </c>
      <c r="AD1" s="5" t="s">
        <v>23</v>
      </c>
      <c r="AE1" s="6" t="s">
        <v>24</v>
      </c>
      <c r="AF1" s="7" t="s">
        <v>25</v>
      </c>
      <c r="AG1" s="819" t="s">
        <v>9</v>
      </c>
      <c r="AH1" s="819" t="s">
        <v>10</v>
      </c>
      <c r="AI1" s="5" t="s">
        <v>26</v>
      </c>
      <c r="AJ1" s="6" t="s">
        <v>27</v>
      </c>
      <c r="AK1" s="7" t="s">
        <v>28</v>
      </c>
      <c r="AL1" s="819" t="s">
        <v>9</v>
      </c>
      <c r="AM1" s="819" t="s">
        <v>10</v>
      </c>
      <c r="AN1" s="819" t="s">
        <v>29</v>
      </c>
      <c r="AO1" s="819" t="s">
        <v>30</v>
      </c>
      <c r="AP1" s="7" t="s">
        <v>31</v>
      </c>
      <c r="AQ1" s="819" t="s">
        <v>32</v>
      </c>
      <c r="AR1" s="5" t="s">
        <v>33</v>
      </c>
      <c r="AS1" s="5" t="s">
        <v>34</v>
      </c>
      <c r="AT1" s="819" t="s">
        <v>35</v>
      </c>
      <c r="AU1" s="819" t="s">
        <v>36</v>
      </c>
      <c r="AV1" s="819" t="s">
        <v>37</v>
      </c>
      <c r="AW1" s="5" t="s">
        <v>38</v>
      </c>
      <c r="AX1" s="820" t="s">
        <v>39</v>
      </c>
      <c r="AY1" s="5" t="s">
        <v>40</v>
      </c>
      <c r="AZ1" s="527" t="s">
        <v>41</v>
      </c>
      <c r="BA1" s="819" t="s">
        <v>42</v>
      </c>
      <c r="BB1" s="819" t="s">
        <v>43</v>
      </c>
      <c r="BC1" s="819" t="s">
        <v>44</v>
      </c>
      <c r="BD1" s="7" t="s">
        <v>45</v>
      </c>
      <c r="BE1" s="7" t="s">
        <v>46</v>
      </c>
      <c r="BF1" s="7" t="s">
        <v>47</v>
      </c>
      <c r="BG1" s="7" t="s">
        <v>48</v>
      </c>
      <c r="BH1" s="9" t="s">
        <v>49</v>
      </c>
      <c r="BI1" s="9" t="s">
        <v>50</v>
      </c>
      <c r="BJ1" s="10" t="s">
        <v>9887</v>
      </c>
      <c r="BK1" s="5" t="s">
        <v>51</v>
      </c>
      <c r="BL1" s="6" t="s">
        <v>52</v>
      </c>
      <c r="BM1" s="821" t="s">
        <v>53</v>
      </c>
      <c r="BN1" s="819" t="s">
        <v>9888</v>
      </c>
      <c r="BO1" s="7" t="s">
        <v>54</v>
      </c>
      <c r="BP1" s="12" t="s">
        <v>55</v>
      </c>
      <c r="BQ1" s="12" t="s">
        <v>56</v>
      </c>
      <c r="BR1" s="13" t="s">
        <v>50</v>
      </c>
      <c r="BS1" s="7" t="s">
        <v>9887</v>
      </c>
      <c r="BT1" s="5" t="s">
        <v>51</v>
      </c>
      <c r="BU1" s="6" t="s">
        <v>52</v>
      </c>
    </row>
    <row r="2" spans="1:217" s="827" customFormat="1" ht="56.25" customHeight="1">
      <c r="A2" s="57">
        <v>199</v>
      </c>
      <c r="B2" s="117" t="s">
        <v>9889</v>
      </c>
      <c r="C2" s="59">
        <v>16678604</v>
      </c>
      <c r="D2" s="823" t="s">
        <v>9890</v>
      </c>
      <c r="E2" s="60">
        <v>42327</v>
      </c>
      <c r="F2" s="61">
        <v>42309</v>
      </c>
      <c r="G2" s="62" t="s">
        <v>9891</v>
      </c>
      <c r="H2" s="117" t="s">
        <v>625</v>
      </c>
      <c r="I2" s="117" t="s">
        <v>183</v>
      </c>
      <c r="J2" s="60"/>
      <c r="K2" s="61"/>
      <c r="L2" s="62"/>
      <c r="M2" s="117"/>
      <c r="N2" s="117"/>
      <c r="O2" s="60"/>
      <c r="P2" s="63"/>
      <c r="Q2" s="62"/>
      <c r="R2" s="117"/>
      <c r="S2" s="117"/>
      <c r="T2" s="60"/>
      <c r="U2" s="61"/>
      <c r="V2" s="62"/>
      <c r="W2" s="117"/>
      <c r="X2" s="117"/>
      <c r="Y2" s="60"/>
      <c r="Z2" s="61"/>
      <c r="AA2" s="62"/>
      <c r="AB2" s="117"/>
      <c r="AC2" s="117"/>
      <c r="AD2" s="60"/>
      <c r="AE2" s="61"/>
      <c r="AF2" s="62"/>
      <c r="AG2" s="117"/>
      <c r="AH2" s="117"/>
      <c r="AI2" s="66"/>
      <c r="AJ2" s="61"/>
      <c r="AK2" s="62"/>
      <c r="AL2" s="117"/>
      <c r="AM2" s="117"/>
      <c r="AN2" s="117" t="s">
        <v>2414</v>
      </c>
      <c r="AO2" s="117" t="s">
        <v>2558</v>
      </c>
      <c r="AP2" s="62" t="s">
        <v>9892</v>
      </c>
      <c r="AQ2" s="117"/>
      <c r="AR2" s="60">
        <v>37073</v>
      </c>
      <c r="AS2" s="60">
        <v>37771</v>
      </c>
      <c r="AT2" s="117" t="s">
        <v>9893</v>
      </c>
      <c r="AU2" s="117" t="s">
        <v>69</v>
      </c>
      <c r="AV2" s="117" t="s">
        <v>2417</v>
      </c>
      <c r="AW2" s="60">
        <v>42317</v>
      </c>
      <c r="AX2" s="824"/>
      <c r="AY2" s="60"/>
      <c r="AZ2" s="27"/>
      <c r="BA2" s="117" t="s">
        <v>95</v>
      </c>
      <c r="BB2" s="117"/>
      <c r="BC2" s="825"/>
      <c r="BD2" s="99"/>
      <c r="BE2" s="99"/>
      <c r="BF2" s="62"/>
      <c r="BG2" s="62"/>
      <c r="BH2" s="67">
        <v>35000000</v>
      </c>
      <c r="BI2" s="67"/>
      <c r="BJ2" s="68"/>
      <c r="BK2" s="60"/>
      <c r="BL2" s="69"/>
      <c r="BM2" s="425"/>
      <c r="BN2" s="117"/>
      <c r="BO2" s="62"/>
      <c r="BP2" s="62"/>
      <c r="BQ2" s="62"/>
      <c r="BR2" s="71"/>
      <c r="BS2" s="62"/>
      <c r="BT2" s="60"/>
      <c r="BU2" s="61"/>
      <c r="BV2" s="826"/>
      <c r="BW2" s="826"/>
      <c r="BX2" s="826"/>
      <c r="BY2" s="826"/>
      <c r="BZ2" s="826"/>
      <c r="CA2" s="826"/>
      <c r="CB2" s="826"/>
      <c r="CC2" s="826"/>
      <c r="CD2" s="826"/>
      <c r="CE2" s="826"/>
      <c r="CF2" s="826"/>
      <c r="CG2" s="826"/>
      <c r="CH2" s="826"/>
      <c r="CI2" s="826"/>
      <c r="CJ2" s="826"/>
      <c r="CK2" s="826"/>
      <c r="CL2" s="826"/>
      <c r="CM2" s="826"/>
      <c r="CN2" s="826"/>
      <c r="CO2" s="826"/>
      <c r="CP2" s="826"/>
      <c r="CQ2" s="826"/>
      <c r="CR2" s="826"/>
      <c r="CS2" s="826"/>
      <c r="CT2" s="826"/>
      <c r="CU2" s="826"/>
      <c r="CV2" s="826"/>
      <c r="CW2" s="826"/>
      <c r="CX2" s="826"/>
      <c r="CY2" s="826"/>
      <c r="CZ2" s="826"/>
      <c r="DA2" s="826"/>
      <c r="DB2" s="826"/>
      <c r="DC2" s="826"/>
      <c r="DD2" s="826"/>
      <c r="DE2" s="826"/>
      <c r="DF2" s="826"/>
      <c r="DG2" s="826"/>
      <c r="DH2" s="826"/>
      <c r="DI2" s="826"/>
      <c r="DJ2" s="826"/>
      <c r="DK2" s="826"/>
      <c r="DL2" s="826"/>
      <c r="DM2" s="826"/>
      <c r="DN2" s="826"/>
      <c r="DO2" s="826"/>
      <c r="DP2" s="826"/>
      <c r="DQ2" s="826"/>
      <c r="DR2" s="826"/>
      <c r="DS2" s="826"/>
      <c r="DT2" s="826"/>
      <c r="DU2" s="826"/>
      <c r="DV2" s="826"/>
      <c r="DW2" s="826"/>
      <c r="DX2" s="826"/>
      <c r="DY2" s="826"/>
      <c r="DZ2" s="826"/>
      <c r="EA2" s="826"/>
      <c r="EB2" s="826"/>
      <c r="EC2" s="826"/>
      <c r="ED2" s="826"/>
      <c r="EE2" s="826"/>
      <c r="EF2" s="826"/>
      <c r="EG2" s="826"/>
      <c r="EH2" s="826"/>
      <c r="EI2" s="826"/>
      <c r="EJ2" s="826"/>
      <c r="EK2" s="826"/>
      <c r="EL2" s="826"/>
      <c r="EM2" s="826"/>
      <c r="EN2" s="826"/>
      <c r="EO2" s="826"/>
      <c r="EP2" s="826"/>
      <c r="EQ2" s="826"/>
      <c r="ER2" s="826"/>
      <c r="ES2" s="826"/>
      <c r="ET2" s="826"/>
      <c r="EU2" s="826"/>
      <c r="EV2" s="826"/>
      <c r="EW2" s="826"/>
      <c r="EX2" s="826"/>
      <c r="EY2" s="826"/>
      <c r="EZ2" s="826"/>
      <c r="FA2" s="826"/>
      <c r="FB2" s="826"/>
      <c r="FC2" s="826"/>
      <c r="FD2" s="826"/>
      <c r="FE2" s="826"/>
      <c r="FF2" s="826"/>
      <c r="FG2" s="826"/>
      <c r="FH2" s="826"/>
      <c r="FI2" s="826"/>
      <c r="FJ2" s="826"/>
      <c r="FK2" s="826"/>
      <c r="FL2" s="826"/>
      <c r="FM2" s="826"/>
      <c r="FN2" s="826"/>
      <c r="FO2" s="826"/>
      <c r="FP2" s="826"/>
      <c r="FQ2" s="826"/>
      <c r="FR2" s="826"/>
      <c r="FS2" s="826"/>
      <c r="FT2" s="826"/>
      <c r="FU2" s="826"/>
      <c r="FV2" s="826"/>
      <c r="FW2" s="826"/>
      <c r="FX2" s="826"/>
      <c r="FY2" s="826"/>
      <c r="FZ2" s="826"/>
      <c r="GA2" s="826"/>
      <c r="GB2" s="826"/>
      <c r="GC2" s="826"/>
      <c r="GD2" s="826"/>
      <c r="GE2" s="826"/>
      <c r="GF2" s="826"/>
      <c r="GG2" s="826"/>
      <c r="GH2" s="826"/>
      <c r="GI2" s="826"/>
      <c r="GJ2" s="826"/>
      <c r="GK2" s="826"/>
      <c r="GL2" s="826"/>
      <c r="GM2" s="826"/>
      <c r="GN2" s="826"/>
      <c r="GO2" s="826"/>
      <c r="GP2" s="826"/>
      <c r="GQ2" s="826"/>
      <c r="GR2" s="826"/>
      <c r="GS2" s="826"/>
      <c r="GT2" s="826"/>
      <c r="GU2" s="826"/>
      <c r="GV2" s="826"/>
      <c r="GW2" s="826"/>
      <c r="GX2" s="826"/>
      <c r="GY2" s="826"/>
      <c r="GZ2" s="826"/>
      <c r="HA2" s="826"/>
      <c r="HB2" s="826"/>
      <c r="HC2" s="826"/>
      <c r="HD2" s="826"/>
      <c r="HE2" s="826"/>
      <c r="HF2" s="826"/>
      <c r="HG2" s="826"/>
      <c r="HH2" s="826"/>
      <c r="HI2" s="826"/>
    </row>
    <row r="3" spans="1:217" s="827" customFormat="1" ht="56.25" customHeight="1">
      <c r="A3" s="96">
        <v>332</v>
      </c>
      <c r="B3" s="148" t="s">
        <v>9894</v>
      </c>
      <c r="C3" s="142">
        <v>30982630</v>
      </c>
      <c r="D3" s="828" t="s">
        <v>906</v>
      </c>
      <c r="E3" s="143">
        <v>42653</v>
      </c>
      <c r="F3" s="144">
        <v>42644</v>
      </c>
      <c r="G3" s="145" t="s">
        <v>2820</v>
      </c>
      <c r="H3" s="148" t="s">
        <v>171</v>
      </c>
      <c r="I3" s="148" t="s">
        <v>183</v>
      </c>
      <c r="J3" s="143"/>
      <c r="K3" s="144"/>
      <c r="L3" s="145"/>
      <c r="M3" s="148"/>
      <c r="N3" s="148"/>
      <c r="O3" s="143"/>
      <c r="P3" s="146"/>
      <c r="Q3" s="145"/>
      <c r="R3" s="148"/>
      <c r="S3" s="148"/>
      <c r="T3" s="143"/>
      <c r="U3" s="144"/>
      <c r="V3" s="145"/>
      <c r="W3" s="148"/>
      <c r="X3" s="148"/>
      <c r="Y3" s="143"/>
      <c r="Z3" s="144"/>
      <c r="AA3" s="145"/>
      <c r="AB3" s="148"/>
      <c r="AC3" s="148"/>
      <c r="AD3" s="143"/>
      <c r="AE3" s="144"/>
      <c r="AF3" s="145"/>
      <c r="AG3" s="148"/>
      <c r="AH3" s="148"/>
      <c r="AI3" s="148"/>
      <c r="AJ3" s="144"/>
      <c r="AK3" s="145"/>
      <c r="AL3" s="148"/>
      <c r="AM3" s="148"/>
      <c r="AN3" s="148"/>
      <c r="AO3" s="148"/>
      <c r="AP3" s="145" t="s">
        <v>9895</v>
      </c>
      <c r="AQ3" s="148" t="s">
        <v>161</v>
      </c>
      <c r="AR3" s="143" t="s">
        <v>579</v>
      </c>
      <c r="AS3" s="143" t="s">
        <v>579</v>
      </c>
      <c r="AT3" s="148" t="s">
        <v>9896</v>
      </c>
      <c r="AU3" s="148" t="s">
        <v>579</v>
      </c>
      <c r="AV3" s="148" t="s">
        <v>9897</v>
      </c>
      <c r="AW3" s="143">
        <v>42068</v>
      </c>
      <c r="AX3" s="824" t="s">
        <v>579</v>
      </c>
      <c r="AY3" s="143" t="s">
        <v>579</v>
      </c>
      <c r="AZ3" s="27" t="s">
        <v>579</v>
      </c>
      <c r="BA3" s="148" t="s">
        <v>4732</v>
      </c>
      <c r="BB3" s="148"/>
      <c r="BC3" s="148"/>
      <c r="BD3" s="145"/>
      <c r="BE3" s="145"/>
      <c r="BF3" s="145"/>
      <c r="BG3" s="145"/>
      <c r="BH3" s="149"/>
      <c r="BI3" s="149"/>
      <c r="BJ3" s="150"/>
      <c r="BK3" s="143"/>
      <c r="BL3" s="829"/>
      <c r="BM3" s="424"/>
      <c r="BN3" s="148"/>
      <c r="BO3" s="145"/>
      <c r="BP3" s="145"/>
      <c r="BQ3" s="145"/>
      <c r="BR3" s="152"/>
      <c r="BS3" s="145"/>
      <c r="BT3" s="143"/>
      <c r="BU3" s="144"/>
      <c r="BV3" s="826"/>
      <c r="BW3" s="826"/>
      <c r="BX3" s="826"/>
      <c r="BY3" s="826"/>
      <c r="BZ3" s="826"/>
      <c r="CA3" s="826"/>
      <c r="CB3" s="826"/>
      <c r="CC3" s="826"/>
      <c r="CD3" s="826"/>
      <c r="CE3" s="826"/>
      <c r="CF3" s="826"/>
      <c r="CG3" s="826"/>
      <c r="CH3" s="826"/>
      <c r="CI3" s="826"/>
      <c r="CJ3" s="826"/>
      <c r="CK3" s="826"/>
      <c r="CL3" s="826"/>
      <c r="CM3" s="826"/>
      <c r="CN3" s="826"/>
      <c r="CO3" s="826"/>
      <c r="CP3" s="826"/>
      <c r="CQ3" s="826"/>
      <c r="CR3" s="826"/>
      <c r="CS3" s="826"/>
      <c r="CT3" s="826"/>
      <c r="CU3" s="826"/>
      <c r="CV3" s="826"/>
      <c r="CW3" s="826"/>
      <c r="CX3" s="826"/>
      <c r="CY3" s="826"/>
      <c r="CZ3" s="826"/>
      <c r="DA3" s="826"/>
      <c r="DB3" s="826"/>
      <c r="DC3" s="826"/>
      <c r="DD3" s="826"/>
      <c r="DE3" s="826"/>
      <c r="DF3" s="826"/>
      <c r="DG3" s="826"/>
      <c r="DH3" s="826"/>
      <c r="DI3" s="826"/>
      <c r="DJ3" s="826"/>
      <c r="DK3" s="826"/>
      <c r="DL3" s="826"/>
      <c r="DM3" s="826"/>
      <c r="DN3" s="826"/>
      <c r="DO3" s="826"/>
      <c r="DP3" s="826"/>
      <c r="DQ3" s="826"/>
      <c r="DR3" s="826"/>
      <c r="DS3" s="826"/>
      <c r="DT3" s="826"/>
      <c r="DU3" s="826"/>
      <c r="DV3" s="826"/>
      <c r="DW3" s="826"/>
      <c r="DX3" s="826"/>
      <c r="DY3" s="826"/>
      <c r="DZ3" s="826"/>
      <c r="EA3" s="826"/>
      <c r="EB3" s="826"/>
      <c r="EC3" s="826"/>
      <c r="ED3" s="826"/>
      <c r="EE3" s="826"/>
      <c r="EF3" s="826"/>
      <c r="EG3" s="826"/>
      <c r="EH3" s="826"/>
      <c r="EI3" s="826"/>
      <c r="EJ3" s="826"/>
      <c r="EK3" s="826"/>
      <c r="EL3" s="826"/>
      <c r="EM3" s="826"/>
      <c r="EN3" s="826"/>
      <c r="EO3" s="826"/>
      <c r="EP3" s="826"/>
      <c r="EQ3" s="826"/>
      <c r="ER3" s="826"/>
      <c r="ES3" s="826"/>
      <c r="ET3" s="826"/>
      <c r="EU3" s="826"/>
      <c r="EV3" s="826"/>
      <c r="EW3" s="826"/>
      <c r="EX3" s="826"/>
      <c r="EY3" s="826"/>
      <c r="EZ3" s="826"/>
      <c r="FA3" s="826"/>
      <c r="FB3" s="826"/>
      <c r="FC3" s="826"/>
      <c r="FD3" s="826"/>
      <c r="FE3" s="826"/>
      <c r="FF3" s="826"/>
      <c r="FG3" s="826"/>
      <c r="FH3" s="826"/>
      <c r="FI3" s="826"/>
      <c r="FJ3" s="826"/>
      <c r="FK3" s="826"/>
      <c r="FL3" s="826"/>
      <c r="FM3" s="826"/>
      <c r="FN3" s="826"/>
      <c r="FO3" s="826"/>
      <c r="FP3" s="826"/>
      <c r="FQ3" s="826"/>
      <c r="FR3" s="826"/>
      <c r="FS3" s="826"/>
      <c r="FT3" s="826"/>
      <c r="FU3" s="826"/>
      <c r="FV3" s="826"/>
      <c r="FW3" s="826"/>
      <c r="FX3" s="826"/>
      <c r="FY3" s="826"/>
      <c r="FZ3" s="826"/>
      <c r="GA3" s="826"/>
      <c r="GB3" s="826"/>
      <c r="GC3" s="826"/>
      <c r="GD3" s="826"/>
      <c r="GE3" s="826"/>
      <c r="GF3" s="826"/>
      <c r="GG3" s="826"/>
      <c r="GH3" s="826"/>
      <c r="GI3" s="826"/>
      <c r="GJ3" s="826"/>
      <c r="GK3" s="826"/>
      <c r="GL3" s="826"/>
      <c r="GM3" s="826"/>
      <c r="GN3" s="826"/>
      <c r="GO3" s="826"/>
      <c r="GP3" s="826"/>
      <c r="GQ3" s="826"/>
      <c r="GR3" s="826"/>
      <c r="GS3" s="826"/>
      <c r="GT3" s="826"/>
      <c r="GU3" s="826"/>
      <c r="GV3" s="826"/>
      <c r="GW3" s="826"/>
      <c r="GX3" s="826"/>
      <c r="GY3" s="826"/>
      <c r="GZ3" s="826"/>
      <c r="HA3" s="826"/>
      <c r="HB3" s="826"/>
      <c r="HC3" s="826"/>
      <c r="HD3" s="826"/>
      <c r="HE3" s="826"/>
      <c r="HF3" s="826"/>
      <c r="HG3" s="826"/>
      <c r="HH3" s="826"/>
      <c r="HI3" s="826"/>
    </row>
    <row r="4" spans="1:217" s="827" customFormat="1" ht="56.25" customHeight="1">
      <c r="A4" s="57">
        <v>448</v>
      </c>
      <c r="B4" s="117" t="s">
        <v>9898</v>
      </c>
      <c r="C4" s="59">
        <v>79298834</v>
      </c>
      <c r="D4" s="823" t="s">
        <v>9899</v>
      </c>
      <c r="E4" s="60">
        <v>42780</v>
      </c>
      <c r="F4" s="61">
        <v>42767</v>
      </c>
      <c r="G4" s="117" t="s">
        <v>9900</v>
      </c>
      <c r="H4" s="117" t="s">
        <v>625</v>
      </c>
      <c r="I4" s="117" t="s">
        <v>183</v>
      </c>
      <c r="J4" s="60">
        <v>41799</v>
      </c>
      <c r="K4" s="61">
        <v>41791</v>
      </c>
      <c r="L4" s="117" t="s">
        <v>9901</v>
      </c>
      <c r="M4" s="117" t="s">
        <v>625</v>
      </c>
      <c r="N4" s="117" t="s">
        <v>582</v>
      </c>
      <c r="O4" s="60">
        <v>42545</v>
      </c>
      <c r="P4" s="61">
        <v>42522</v>
      </c>
      <c r="Q4" s="117" t="s">
        <v>625</v>
      </c>
      <c r="R4" s="117" t="s">
        <v>582</v>
      </c>
      <c r="S4" s="117"/>
      <c r="T4" s="60"/>
      <c r="U4" s="61"/>
      <c r="V4" s="62"/>
      <c r="W4" s="117"/>
      <c r="X4" s="117"/>
      <c r="Y4" s="60"/>
      <c r="Z4" s="61"/>
      <c r="AA4" s="62"/>
      <c r="AB4" s="117"/>
      <c r="AC4" s="117"/>
      <c r="AD4" s="60"/>
      <c r="AE4" s="61"/>
      <c r="AF4" s="62"/>
      <c r="AG4" s="117"/>
      <c r="AH4" s="117"/>
      <c r="AI4" s="117"/>
      <c r="AJ4" s="61"/>
      <c r="AK4" s="62"/>
      <c r="AL4" s="117"/>
      <c r="AM4" s="117"/>
      <c r="AN4" s="121" t="s">
        <v>9902</v>
      </c>
      <c r="AO4" s="117"/>
      <c r="AP4" s="117" t="s">
        <v>9903</v>
      </c>
      <c r="AQ4" s="117" t="s">
        <v>161</v>
      </c>
      <c r="AR4" s="60">
        <v>34858</v>
      </c>
      <c r="AS4" s="60">
        <v>40724</v>
      </c>
      <c r="AT4" s="117" t="s">
        <v>9904</v>
      </c>
      <c r="AU4" s="117" t="s">
        <v>69</v>
      </c>
      <c r="AV4" s="117" t="s">
        <v>2657</v>
      </c>
      <c r="AW4" s="60">
        <v>42628</v>
      </c>
      <c r="AX4" s="824" t="s">
        <v>67</v>
      </c>
      <c r="AY4" s="60" t="s">
        <v>67</v>
      </c>
      <c r="AZ4" s="27"/>
      <c r="BA4" s="117" t="s">
        <v>95</v>
      </c>
      <c r="BB4" s="117"/>
      <c r="BC4" s="117"/>
      <c r="BD4" s="62"/>
      <c r="BE4" s="62"/>
      <c r="BF4" s="62"/>
      <c r="BG4" s="62"/>
      <c r="BH4" s="67"/>
      <c r="BI4" s="67"/>
      <c r="BJ4" s="68"/>
      <c r="BK4" s="60"/>
      <c r="BL4" s="61"/>
      <c r="BM4" s="425"/>
      <c r="BN4" s="117"/>
      <c r="BO4" s="62"/>
      <c r="BP4" s="62"/>
      <c r="BQ4" s="62"/>
      <c r="BR4" s="71"/>
      <c r="BS4" s="62"/>
      <c r="BT4" s="60"/>
      <c r="BU4" s="61"/>
      <c r="BV4" s="826"/>
      <c r="BW4" s="826"/>
      <c r="BX4" s="826"/>
      <c r="BY4" s="826"/>
      <c r="BZ4" s="826"/>
      <c r="CA4" s="826"/>
      <c r="CB4" s="826"/>
      <c r="CC4" s="826"/>
      <c r="CD4" s="826"/>
      <c r="CE4" s="826"/>
      <c r="CF4" s="826"/>
      <c r="CG4" s="826"/>
      <c r="CH4" s="826"/>
      <c r="CI4" s="826"/>
      <c r="CJ4" s="826"/>
      <c r="CK4" s="826"/>
      <c r="CL4" s="826"/>
      <c r="CM4" s="826"/>
      <c r="CN4" s="826"/>
      <c r="CO4" s="826"/>
      <c r="CP4" s="826"/>
      <c r="CQ4" s="826"/>
      <c r="CR4" s="826"/>
      <c r="CS4" s="826"/>
      <c r="CT4" s="826"/>
      <c r="CU4" s="826"/>
      <c r="CV4" s="826"/>
      <c r="CW4" s="826"/>
      <c r="CX4" s="826"/>
      <c r="CY4" s="826"/>
      <c r="CZ4" s="826"/>
      <c r="DA4" s="826"/>
      <c r="DB4" s="826"/>
      <c r="DC4" s="826"/>
      <c r="DD4" s="826"/>
      <c r="DE4" s="826"/>
      <c r="DF4" s="826"/>
      <c r="DG4" s="826"/>
      <c r="DH4" s="826"/>
      <c r="DI4" s="826"/>
      <c r="DJ4" s="826"/>
      <c r="DK4" s="826"/>
      <c r="DL4" s="826"/>
      <c r="DM4" s="826"/>
      <c r="DN4" s="826"/>
      <c r="DO4" s="826"/>
      <c r="DP4" s="826"/>
      <c r="DQ4" s="826"/>
      <c r="DR4" s="826"/>
      <c r="DS4" s="826"/>
      <c r="DT4" s="826"/>
      <c r="DU4" s="826"/>
      <c r="DV4" s="826"/>
      <c r="DW4" s="826"/>
      <c r="DX4" s="826"/>
      <c r="DY4" s="826"/>
      <c r="DZ4" s="826"/>
      <c r="EA4" s="826"/>
      <c r="EB4" s="826"/>
      <c r="EC4" s="826"/>
      <c r="ED4" s="826"/>
      <c r="EE4" s="826"/>
      <c r="EF4" s="826"/>
      <c r="EG4" s="826"/>
      <c r="EH4" s="826"/>
      <c r="EI4" s="826"/>
      <c r="EJ4" s="826"/>
      <c r="EK4" s="826"/>
      <c r="EL4" s="826"/>
      <c r="EM4" s="826"/>
      <c r="EN4" s="826"/>
      <c r="EO4" s="826"/>
      <c r="EP4" s="826"/>
      <c r="EQ4" s="826"/>
      <c r="ER4" s="826"/>
      <c r="ES4" s="826"/>
      <c r="ET4" s="826"/>
      <c r="EU4" s="826"/>
      <c r="EV4" s="826"/>
      <c r="EW4" s="826"/>
      <c r="EX4" s="826"/>
      <c r="EY4" s="826"/>
      <c r="EZ4" s="826"/>
      <c r="FA4" s="826"/>
      <c r="FB4" s="826"/>
      <c r="FC4" s="826"/>
      <c r="FD4" s="826"/>
      <c r="FE4" s="826"/>
      <c r="FF4" s="826"/>
      <c r="FG4" s="826"/>
      <c r="FH4" s="826"/>
      <c r="FI4" s="826"/>
      <c r="FJ4" s="826"/>
      <c r="FK4" s="826"/>
      <c r="FL4" s="826"/>
      <c r="FM4" s="826"/>
      <c r="FN4" s="826"/>
      <c r="FO4" s="826"/>
      <c r="FP4" s="826"/>
      <c r="FQ4" s="826"/>
      <c r="FR4" s="826"/>
      <c r="FS4" s="826"/>
      <c r="FT4" s="826"/>
      <c r="FU4" s="826"/>
      <c r="FV4" s="826"/>
      <c r="FW4" s="826"/>
      <c r="FX4" s="826"/>
      <c r="FY4" s="826"/>
      <c r="FZ4" s="826"/>
      <c r="GA4" s="826"/>
      <c r="GB4" s="826"/>
      <c r="GC4" s="826"/>
      <c r="GD4" s="826"/>
      <c r="GE4" s="826"/>
      <c r="GF4" s="826"/>
      <c r="GG4" s="826"/>
      <c r="GH4" s="826"/>
      <c r="GI4" s="826"/>
      <c r="GJ4" s="826"/>
      <c r="GK4" s="826"/>
      <c r="GL4" s="826"/>
      <c r="GM4" s="826"/>
      <c r="GN4" s="826"/>
      <c r="GO4" s="826"/>
      <c r="GP4" s="826"/>
      <c r="GQ4" s="826"/>
      <c r="GR4" s="826"/>
      <c r="GS4" s="826"/>
      <c r="GT4" s="826"/>
      <c r="GU4" s="826"/>
      <c r="GV4" s="826"/>
      <c r="GW4" s="826"/>
      <c r="GX4" s="826"/>
      <c r="GY4" s="826"/>
      <c r="GZ4" s="826"/>
      <c r="HA4" s="826"/>
      <c r="HB4" s="826"/>
      <c r="HC4" s="826"/>
      <c r="HD4" s="826"/>
      <c r="HE4" s="826"/>
      <c r="HF4" s="826"/>
      <c r="HG4" s="826"/>
      <c r="HH4" s="826"/>
      <c r="HI4" s="826"/>
    </row>
    <row r="5" spans="1:217" s="827" customFormat="1" ht="56.25" customHeight="1">
      <c r="A5" s="96">
        <v>612</v>
      </c>
      <c r="B5" s="148" t="s">
        <v>9905</v>
      </c>
      <c r="C5" s="142">
        <v>72132728</v>
      </c>
      <c r="D5" s="828"/>
      <c r="E5" s="143"/>
      <c r="F5" s="144"/>
      <c r="G5" s="145" t="s">
        <v>271</v>
      </c>
      <c r="H5" s="148"/>
      <c r="I5" s="148"/>
      <c r="J5" s="143"/>
      <c r="K5" s="144"/>
      <c r="L5" s="145"/>
      <c r="M5" s="148"/>
      <c r="N5" s="148"/>
      <c r="O5" s="143"/>
      <c r="P5" s="146"/>
      <c r="Q5" s="145"/>
      <c r="R5" s="148"/>
      <c r="S5" s="148"/>
      <c r="T5" s="143"/>
      <c r="U5" s="144"/>
      <c r="V5" s="145"/>
      <c r="W5" s="148"/>
      <c r="X5" s="148"/>
      <c r="Y5" s="143"/>
      <c r="Z5" s="144"/>
      <c r="AA5" s="145"/>
      <c r="AB5" s="148"/>
      <c r="AC5" s="148"/>
      <c r="AD5" s="143"/>
      <c r="AE5" s="144"/>
      <c r="AF5" s="145"/>
      <c r="AG5" s="148"/>
      <c r="AH5" s="148"/>
      <c r="AI5" s="148"/>
      <c r="AJ5" s="144"/>
      <c r="AK5" s="145"/>
      <c r="AL5" s="148"/>
      <c r="AM5" s="148"/>
      <c r="AN5" s="126"/>
      <c r="AO5" s="126"/>
      <c r="AP5" s="145"/>
      <c r="AQ5" s="148"/>
      <c r="AR5" s="143"/>
      <c r="AS5" s="143"/>
      <c r="AT5" s="148" t="s">
        <v>9906</v>
      </c>
      <c r="AU5" s="148"/>
      <c r="AV5" s="148"/>
      <c r="AW5" s="143"/>
      <c r="AX5" s="824"/>
      <c r="AY5" s="143"/>
      <c r="AZ5" s="27"/>
      <c r="BA5" s="126"/>
      <c r="BB5" s="126"/>
      <c r="BC5" s="148"/>
      <c r="BD5" s="145"/>
      <c r="BE5" s="145"/>
      <c r="BF5" s="145"/>
      <c r="BG5" s="145"/>
      <c r="BH5" s="149"/>
      <c r="BI5" s="149"/>
      <c r="BJ5" s="150"/>
      <c r="BK5" s="143"/>
      <c r="BL5" s="144"/>
      <c r="BM5" s="424"/>
      <c r="BN5" s="148"/>
      <c r="BO5" s="145"/>
      <c r="BP5" s="145"/>
      <c r="BQ5" s="145"/>
      <c r="BR5" s="152"/>
      <c r="BS5" s="145"/>
      <c r="BT5" s="143"/>
      <c r="BU5" s="144"/>
      <c r="BV5" s="826"/>
      <c r="BW5" s="826"/>
      <c r="BX5" s="826"/>
      <c r="BY5" s="826"/>
      <c r="BZ5" s="826"/>
      <c r="CA5" s="826"/>
      <c r="CB5" s="826"/>
      <c r="CC5" s="826"/>
      <c r="CD5" s="826"/>
      <c r="CE5" s="826"/>
      <c r="CF5" s="826"/>
      <c r="CG5" s="826"/>
      <c r="CH5" s="826"/>
      <c r="CI5" s="826"/>
      <c r="CJ5" s="826"/>
      <c r="CK5" s="826"/>
      <c r="CL5" s="826"/>
      <c r="CM5" s="826"/>
      <c r="CN5" s="826"/>
      <c r="CO5" s="826"/>
      <c r="CP5" s="826"/>
      <c r="CQ5" s="826"/>
      <c r="CR5" s="826"/>
      <c r="CS5" s="826"/>
      <c r="CT5" s="826"/>
      <c r="CU5" s="826"/>
      <c r="CV5" s="826"/>
      <c r="CW5" s="826"/>
      <c r="CX5" s="826"/>
      <c r="CY5" s="826"/>
      <c r="CZ5" s="826"/>
      <c r="DA5" s="826"/>
      <c r="DB5" s="826"/>
      <c r="DC5" s="826"/>
      <c r="DD5" s="826"/>
      <c r="DE5" s="826"/>
      <c r="DF5" s="826"/>
      <c r="DG5" s="826"/>
      <c r="DH5" s="826"/>
      <c r="DI5" s="826"/>
      <c r="DJ5" s="826"/>
      <c r="DK5" s="826"/>
      <c r="DL5" s="826"/>
      <c r="DM5" s="826"/>
      <c r="DN5" s="826"/>
      <c r="DO5" s="826"/>
      <c r="DP5" s="826"/>
      <c r="DQ5" s="826"/>
      <c r="DR5" s="826"/>
      <c r="DS5" s="826"/>
      <c r="DT5" s="826"/>
      <c r="DU5" s="826"/>
      <c r="DV5" s="826"/>
      <c r="DW5" s="826"/>
      <c r="DX5" s="826"/>
      <c r="DY5" s="826"/>
      <c r="DZ5" s="826"/>
      <c r="EA5" s="826"/>
      <c r="EB5" s="826"/>
      <c r="EC5" s="826"/>
      <c r="ED5" s="826"/>
      <c r="EE5" s="826"/>
      <c r="EF5" s="826"/>
      <c r="EG5" s="826"/>
      <c r="EH5" s="826"/>
      <c r="EI5" s="826"/>
      <c r="EJ5" s="826"/>
      <c r="EK5" s="826"/>
      <c r="EL5" s="826"/>
      <c r="EM5" s="826"/>
      <c r="EN5" s="826"/>
      <c r="EO5" s="826"/>
      <c r="EP5" s="826"/>
      <c r="EQ5" s="826"/>
      <c r="ER5" s="826"/>
      <c r="ES5" s="826"/>
      <c r="ET5" s="826"/>
      <c r="EU5" s="826"/>
      <c r="EV5" s="826"/>
      <c r="EW5" s="826"/>
      <c r="EX5" s="826"/>
      <c r="EY5" s="826"/>
      <c r="EZ5" s="826"/>
      <c r="FA5" s="826"/>
      <c r="FB5" s="826"/>
      <c r="FC5" s="826"/>
      <c r="FD5" s="826"/>
      <c r="FE5" s="826"/>
      <c r="FF5" s="826"/>
      <c r="FG5" s="826"/>
      <c r="FH5" s="826"/>
      <c r="FI5" s="826"/>
      <c r="FJ5" s="826"/>
      <c r="FK5" s="826"/>
      <c r="FL5" s="826"/>
      <c r="FM5" s="826"/>
      <c r="FN5" s="826"/>
      <c r="FO5" s="826"/>
      <c r="FP5" s="826"/>
      <c r="FQ5" s="826"/>
      <c r="FR5" s="826"/>
      <c r="FS5" s="826"/>
      <c r="FT5" s="826"/>
      <c r="FU5" s="826"/>
      <c r="FV5" s="826"/>
      <c r="FW5" s="826"/>
      <c r="FX5" s="826"/>
      <c r="FY5" s="826"/>
      <c r="FZ5" s="826"/>
      <c r="GA5" s="826"/>
      <c r="GB5" s="826"/>
      <c r="GC5" s="826"/>
      <c r="GD5" s="826"/>
      <c r="GE5" s="826"/>
      <c r="GF5" s="826"/>
      <c r="GG5" s="826"/>
      <c r="GH5" s="826"/>
      <c r="GI5" s="826"/>
      <c r="GJ5" s="826"/>
      <c r="GK5" s="826"/>
      <c r="GL5" s="826"/>
      <c r="GM5" s="826"/>
      <c r="GN5" s="826"/>
      <c r="GO5" s="826"/>
      <c r="GP5" s="826"/>
      <c r="GQ5" s="826"/>
      <c r="GR5" s="826"/>
      <c r="GS5" s="826"/>
      <c r="GT5" s="826"/>
      <c r="GU5" s="826"/>
      <c r="GV5" s="826"/>
      <c r="GW5" s="826"/>
      <c r="GX5" s="826"/>
      <c r="GY5" s="826"/>
      <c r="GZ5" s="826"/>
      <c r="HA5" s="826"/>
      <c r="HB5" s="826"/>
      <c r="HC5" s="826"/>
      <c r="HD5" s="826"/>
      <c r="HE5" s="826"/>
      <c r="HF5" s="826"/>
      <c r="HG5" s="826"/>
      <c r="HH5" s="826"/>
      <c r="HI5" s="826"/>
    </row>
    <row r="6" spans="1:217" s="827" customFormat="1" ht="56.25" customHeight="1">
      <c r="A6" s="33">
        <v>620</v>
      </c>
      <c r="B6" s="73" t="s">
        <v>5767</v>
      </c>
      <c r="C6" s="139">
        <v>72259738</v>
      </c>
      <c r="D6" s="830"/>
      <c r="E6" s="37">
        <v>42773</v>
      </c>
      <c r="F6" s="38">
        <v>42767</v>
      </c>
      <c r="G6" s="39" t="s">
        <v>9907</v>
      </c>
      <c r="H6" s="73" t="s">
        <v>208</v>
      </c>
      <c r="I6" s="73" t="s">
        <v>9908</v>
      </c>
      <c r="J6" s="37"/>
      <c r="K6" s="38"/>
      <c r="L6" s="39"/>
      <c r="M6" s="73"/>
      <c r="N6" s="73"/>
      <c r="O6" s="37"/>
      <c r="P6" s="40"/>
      <c r="Q6" s="39"/>
      <c r="R6" s="73"/>
      <c r="S6" s="73"/>
      <c r="T6" s="37"/>
      <c r="U6" s="38"/>
      <c r="V6" s="39"/>
      <c r="W6" s="73"/>
      <c r="X6" s="73"/>
      <c r="Y6" s="37"/>
      <c r="Z6" s="38"/>
      <c r="AA6" s="39"/>
      <c r="AB6" s="73"/>
      <c r="AC6" s="73"/>
      <c r="AD6" s="37"/>
      <c r="AE6" s="38"/>
      <c r="AF6" s="39"/>
      <c r="AG6" s="73"/>
      <c r="AH6" s="73"/>
      <c r="AI6" s="73"/>
      <c r="AJ6" s="38"/>
      <c r="AK6" s="39"/>
      <c r="AL6" s="73"/>
      <c r="AM6" s="73"/>
      <c r="AN6" s="73"/>
      <c r="AO6" s="73"/>
      <c r="AP6" s="39"/>
      <c r="AQ6" s="73" t="s">
        <v>4858</v>
      </c>
      <c r="AR6" s="37"/>
      <c r="AS6" s="37"/>
      <c r="AT6" s="73" t="s">
        <v>9909</v>
      </c>
      <c r="AU6" s="73"/>
      <c r="AV6" s="73"/>
      <c r="AW6" s="37"/>
      <c r="AX6" s="824"/>
      <c r="AY6" s="37"/>
      <c r="AZ6" s="27"/>
      <c r="BA6" s="73"/>
      <c r="BB6" s="73"/>
      <c r="BC6" s="73"/>
      <c r="BD6" s="39"/>
      <c r="BE6" s="39"/>
      <c r="BF6" s="39"/>
      <c r="BG6" s="39"/>
      <c r="BH6" s="74"/>
      <c r="BI6" s="74"/>
      <c r="BJ6" s="44"/>
      <c r="BK6" s="37"/>
      <c r="BL6" s="38"/>
      <c r="BM6" s="53"/>
      <c r="BN6" s="73"/>
      <c r="BO6" s="39"/>
      <c r="BP6" s="39"/>
      <c r="BQ6" s="39"/>
      <c r="BR6" s="51"/>
      <c r="BS6" s="39"/>
      <c r="BT6" s="37"/>
      <c r="BU6" s="38"/>
      <c r="BV6" s="826"/>
      <c r="BW6" s="826"/>
      <c r="BX6" s="826"/>
      <c r="BY6" s="826"/>
      <c r="BZ6" s="826"/>
      <c r="CA6" s="826"/>
      <c r="CB6" s="826"/>
      <c r="CC6" s="826"/>
      <c r="CD6" s="826"/>
      <c r="CE6" s="826"/>
      <c r="CF6" s="826"/>
      <c r="CG6" s="826"/>
      <c r="CH6" s="826"/>
      <c r="CI6" s="826"/>
      <c r="CJ6" s="826"/>
      <c r="CK6" s="826"/>
      <c r="CL6" s="826"/>
      <c r="CM6" s="826"/>
      <c r="CN6" s="826"/>
      <c r="CO6" s="826"/>
      <c r="CP6" s="826"/>
      <c r="CQ6" s="826"/>
      <c r="CR6" s="826"/>
      <c r="CS6" s="826"/>
      <c r="CT6" s="826"/>
      <c r="CU6" s="826"/>
      <c r="CV6" s="826"/>
      <c r="CW6" s="826"/>
      <c r="CX6" s="826"/>
      <c r="CY6" s="826"/>
      <c r="CZ6" s="826"/>
      <c r="DA6" s="826"/>
      <c r="DB6" s="826"/>
      <c r="DC6" s="826"/>
      <c r="DD6" s="826"/>
      <c r="DE6" s="826"/>
      <c r="DF6" s="826"/>
      <c r="DG6" s="826"/>
      <c r="DH6" s="826"/>
      <c r="DI6" s="826"/>
      <c r="DJ6" s="826"/>
      <c r="DK6" s="826"/>
      <c r="DL6" s="826"/>
      <c r="DM6" s="826"/>
      <c r="DN6" s="826"/>
      <c r="DO6" s="826"/>
      <c r="DP6" s="826"/>
      <c r="DQ6" s="826"/>
      <c r="DR6" s="826"/>
      <c r="DS6" s="826"/>
      <c r="DT6" s="826"/>
      <c r="DU6" s="826"/>
      <c r="DV6" s="826"/>
      <c r="DW6" s="826"/>
      <c r="DX6" s="826"/>
      <c r="DY6" s="826"/>
      <c r="DZ6" s="826"/>
      <c r="EA6" s="826"/>
      <c r="EB6" s="826"/>
      <c r="EC6" s="826"/>
      <c r="ED6" s="826"/>
      <c r="EE6" s="826"/>
      <c r="EF6" s="826"/>
      <c r="EG6" s="826"/>
      <c r="EH6" s="826"/>
      <c r="EI6" s="826"/>
      <c r="EJ6" s="826"/>
      <c r="EK6" s="826"/>
      <c r="EL6" s="826"/>
      <c r="EM6" s="826"/>
      <c r="EN6" s="826"/>
      <c r="EO6" s="826"/>
      <c r="EP6" s="826"/>
      <c r="EQ6" s="826"/>
      <c r="ER6" s="826"/>
      <c r="ES6" s="826"/>
      <c r="ET6" s="826"/>
      <c r="EU6" s="826"/>
      <c r="EV6" s="826"/>
      <c r="EW6" s="826"/>
      <c r="EX6" s="826"/>
      <c r="EY6" s="826"/>
      <c r="EZ6" s="826"/>
      <c r="FA6" s="826"/>
      <c r="FB6" s="826"/>
      <c r="FC6" s="826"/>
      <c r="FD6" s="826"/>
      <c r="FE6" s="826"/>
      <c r="FF6" s="826"/>
      <c r="FG6" s="826"/>
      <c r="FH6" s="826"/>
      <c r="FI6" s="826"/>
      <c r="FJ6" s="826"/>
      <c r="FK6" s="826"/>
      <c r="FL6" s="826"/>
      <c r="FM6" s="826"/>
      <c r="FN6" s="826"/>
      <c r="FO6" s="826"/>
      <c r="FP6" s="826"/>
      <c r="FQ6" s="826"/>
      <c r="FR6" s="826"/>
      <c r="FS6" s="826"/>
      <c r="FT6" s="826"/>
      <c r="FU6" s="826"/>
      <c r="FV6" s="826"/>
      <c r="FW6" s="826"/>
      <c r="FX6" s="826"/>
      <c r="FY6" s="826"/>
      <c r="FZ6" s="826"/>
      <c r="GA6" s="826"/>
      <c r="GB6" s="826"/>
      <c r="GC6" s="826"/>
      <c r="GD6" s="826"/>
      <c r="GE6" s="826"/>
      <c r="GF6" s="826"/>
      <c r="GG6" s="826"/>
      <c r="GH6" s="826"/>
      <c r="GI6" s="826"/>
      <c r="GJ6" s="826"/>
      <c r="GK6" s="826"/>
      <c r="GL6" s="826"/>
      <c r="GM6" s="826"/>
      <c r="GN6" s="826"/>
      <c r="GO6" s="826"/>
      <c r="GP6" s="826"/>
      <c r="GQ6" s="826"/>
      <c r="GR6" s="826"/>
      <c r="GS6" s="826"/>
      <c r="GT6" s="826"/>
      <c r="GU6" s="826"/>
      <c r="GV6" s="826"/>
      <c r="GW6" s="826"/>
      <c r="GX6" s="826"/>
      <c r="GY6" s="826"/>
      <c r="GZ6" s="826"/>
      <c r="HA6" s="826"/>
      <c r="HB6" s="826"/>
      <c r="HC6" s="826"/>
      <c r="HD6" s="826"/>
      <c r="HE6" s="826"/>
      <c r="HF6" s="826"/>
      <c r="HG6" s="826"/>
      <c r="HH6" s="826"/>
      <c r="HI6" s="826"/>
    </row>
    <row r="7" spans="1:217" s="827" customFormat="1" ht="56.25" customHeight="1">
      <c r="A7" s="33">
        <v>625</v>
      </c>
      <c r="B7" s="73" t="s">
        <v>9910</v>
      </c>
      <c r="C7" s="35"/>
      <c r="D7" s="830"/>
      <c r="E7" s="37">
        <v>42916</v>
      </c>
      <c r="F7" s="38">
        <v>42887</v>
      </c>
      <c r="G7" s="39" t="s">
        <v>9911</v>
      </c>
      <c r="H7" s="73" t="s">
        <v>581</v>
      </c>
      <c r="I7" s="73" t="s">
        <v>9912</v>
      </c>
      <c r="J7" s="37"/>
      <c r="K7" s="38"/>
      <c r="L7" s="39"/>
      <c r="M7" s="73"/>
      <c r="N7" s="73"/>
      <c r="O7" s="37"/>
      <c r="P7" s="40"/>
      <c r="Q7" s="39"/>
      <c r="R7" s="73"/>
      <c r="S7" s="73"/>
      <c r="T7" s="37"/>
      <c r="U7" s="38"/>
      <c r="V7" s="39"/>
      <c r="W7" s="73"/>
      <c r="X7" s="73"/>
      <c r="Y7" s="37"/>
      <c r="Z7" s="38"/>
      <c r="AA7" s="39"/>
      <c r="AB7" s="73"/>
      <c r="AC7" s="73"/>
      <c r="AD7" s="37"/>
      <c r="AE7" s="38"/>
      <c r="AF7" s="39"/>
      <c r="AG7" s="73"/>
      <c r="AH7" s="73"/>
      <c r="AI7" s="73"/>
      <c r="AJ7" s="38"/>
      <c r="AK7" s="39"/>
      <c r="AL7" s="73"/>
      <c r="AM7" s="73"/>
      <c r="AN7" s="73"/>
      <c r="AO7" s="73"/>
      <c r="AP7" s="39" t="s">
        <v>9913</v>
      </c>
      <c r="AQ7" s="73"/>
      <c r="AR7" s="37" t="s">
        <v>67</v>
      </c>
      <c r="AS7" s="37" t="s">
        <v>67</v>
      </c>
      <c r="AT7" s="73" t="s">
        <v>9914</v>
      </c>
      <c r="AU7" s="73"/>
      <c r="AV7" s="73"/>
      <c r="AW7" s="37"/>
      <c r="AX7" s="824"/>
      <c r="AY7" s="37"/>
      <c r="AZ7" s="27"/>
      <c r="BA7" s="53" t="s">
        <v>561</v>
      </c>
      <c r="BB7" s="53"/>
      <c r="BC7" s="73"/>
      <c r="BD7" s="39"/>
      <c r="BE7" s="39"/>
      <c r="BF7" s="39"/>
      <c r="BG7" s="39"/>
      <c r="BH7" s="74"/>
      <c r="BI7" s="74"/>
      <c r="BJ7" s="44"/>
      <c r="BK7" s="37"/>
      <c r="BL7" s="38"/>
      <c r="BM7" s="53"/>
      <c r="BN7" s="73"/>
      <c r="BO7" s="39"/>
      <c r="BP7" s="39"/>
      <c r="BQ7" s="39"/>
      <c r="BR7" s="51"/>
      <c r="BS7" s="39"/>
      <c r="BT7" s="37"/>
      <c r="BU7" s="38"/>
      <c r="BV7" s="826"/>
      <c r="BW7" s="826"/>
      <c r="BX7" s="826"/>
      <c r="BY7" s="826"/>
      <c r="BZ7" s="826"/>
      <c r="CA7" s="826"/>
      <c r="CB7" s="826"/>
      <c r="CC7" s="826"/>
      <c r="CD7" s="826"/>
      <c r="CE7" s="826"/>
      <c r="CF7" s="826"/>
      <c r="CG7" s="826"/>
      <c r="CH7" s="826"/>
      <c r="CI7" s="826"/>
      <c r="CJ7" s="826"/>
      <c r="CK7" s="826"/>
      <c r="CL7" s="826"/>
      <c r="CM7" s="826"/>
      <c r="CN7" s="826"/>
      <c r="CO7" s="826"/>
      <c r="CP7" s="826"/>
      <c r="CQ7" s="826"/>
      <c r="CR7" s="826"/>
      <c r="CS7" s="826"/>
      <c r="CT7" s="826"/>
      <c r="CU7" s="826"/>
      <c r="CV7" s="826"/>
      <c r="CW7" s="826"/>
      <c r="CX7" s="826"/>
      <c r="CY7" s="826"/>
      <c r="CZ7" s="826"/>
      <c r="DA7" s="826"/>
      <c r="DB7" s="826"/>
      <c r="DC7" s="826"/>
      <c r="DD7" s="826"/>
      <c r="DE7" s="826"/>
      <c r="DF7" s="826"/>
      <c r="DG7" s="826"/>
      <c r="DH7" s="826"/>
      <c r="DI7" s="826"/>
      <c r="DJ7" s="826"/>
      <c r="DK7" s="826"/>
      <c r="DL7" s="826"/>
      <c r="DM7" s="826"/>
      <c r="DN7" s="826"/>
      <c r="DO7" s="826"/>
      <c r="DP7" s="826"/>
      <c r="DQ7" s="826"/>
      <c r="DR7" s="826"/>
      <c r="DS7" s="826"/>
      <c r="DT7" s="826"/>
      <c r="DU7" s="826"/>
      <c r="DV7" s="826"/>
      <c r="DW7" s="826"/>
      <c r="DX7" s="826"/>
      <c r="DY7" s="826"/>
      <c r="DZ7" s="826"/>
      <c r="EA7" s="826"/>
      <c r="EB7" s="826"/>
      <c r="EC7" s="826"/>
      <c r="ED7" s="826"/>
      <c r="EE7" s="826"/>
      <c r="EF7" s="826"/>
      <c r="EG7" s="826"/>
      <c r="EH7" s="826"/>
      <c r="EI7" s="826"/>
      <c r="EJ7" s="826"/>
      <c r="EK7" s="826"/>
      <c r="EL7" s="826"/>
      <c r="EM7" s="826"/>
      <c r="EN7" s="826"/>
      <c r="EO7" s="826"/>
      <c r="EP7" s="826"/>
      <c r="EQ7" s="826"/>
      <c r="ER7" s="826"/>
      <c r="ES7" s="826"/>
      <c r="ET7" s="826"/>
      <c r="EU7" s="826"/>
      <c r="EV7" s="826"/>
      <c r="EW7" s="826"/>
      <c r="EX7" s="826"/>
      <c r="EY7" s="826"/>
      <c r="EZ7" s="826"/>
      <c r="FA7" s="826"/>
      <c r="FB7" s="826"/>
      <c r="FC7" s="826"/>
      <c r="FD7" s="826"/>
      <c r="FE7" s="826"/>
      <c r="FF7" s="826"/>
      <c r="FG7" s="826"/>
      <c r="FH7" s="826"/>
      <c r="FI7" s="826"/>
      <c r="FJ7" s="826"/>
      <c r="FK7" s="826"/>
      <c r="FL7" s="826"/>
      <c r="FM7" s="826"/>
      <c r="FN7" s="826"/>
      <c r="FO7" s="826"/>
      <c r="FP7" s="826"/>
      <c r="FQ7" s="826"/>
      <c r="FR7" s="826"/>
      <c r="FS7" s="826"/>
      <c r="FT7" s="826"/>
      <c r="FU7" s="826"/>
      <c r="FV7" s="826"/>
      <c r="FW7" s="826"/>
      <c r="FX7" s="826"/>
      <c r="FY7" s="826"/>
      <c r="FZ7" s="826"/>
      <c r="GA7" s="826"/>
      <c r="GB7" s="826"/>
      <c r="GC7" s="826"/>
      <c r="GD7" s="826"/>
      <c r="GE7" s="826"/>
      <c r="GF7" s="826"/>
      <c r="GG7" s="826"/>
      <c r="GH7" s="826"/>
      <c r="GI7" s="826"/>
      <c r="GJ7" s="826"/>
      <c r="GK7" s="826"/>
      <c r="GL7" s="826"/>
      <c r="GM7" s="826"/>
      <c r="GN7" s="826"/>
      <c r="GO7" s="826"/>
      <c r="GP7" s="826"/>
      <c r="GQ7" s="826"/>
      <c r="GR7" s="826"/>
      <c r="GS7" s="826"/>
      <c r="GT7" s="826"/>
      <c r="GU7" s="826"/>
      <c r="GV7" s="826"/>
      <c r="GW7" s="826"/>
      <c r="GX7" s="826"/>
      <c r="GY7" s="826"/>
      <c r="GZ7" s="826"/>
      <c r="HA7" s="826"/>
      <c r="HB7" s="826"/>
      <c r="HC7" s="826"/>
      <c r="HD7" s="826"/>
      <c r="HE7" s="826"/>
      <c r="HF7" s="826"/>
      <c r="HG7" s="826"/>
      <c r="HH7" s="826"/>
      <c r="HI7" s="826"/>
    </row>
    <row r="8" spans="1:217" s="827" customFormat="1" ht="56.25" customHeight="1">
      <c r="A8" s="33">
        <v>626</v>
      </c>
      <c r="B8" s="73" t="s">
        <v>9915</v>
      </c>
      <c r="C8" s="35"/>
      <c r="D8" s="830"/>
      <c r="E8" s="37">
        <v>42923</v>
      </c>
      <c r="F8" s="38">
        <v>42917</v>
      </c>
      <c r="G8" s="39" t="s">
        <v>9916</v>
      </c>
      <c r="H8" s="73" t="s">
        <v>171</v>
      </c>
      <c r="I8" s="73" t="s">
        <v>9917</v>
      </c>
      <c r="J8" s="37"/>
      <c r="K8" s="38"/>
      <c r="L8" s="39"/>
      <c r="M8" s="73"/>
      <c r="N8" s="73"/>
      <c r="O8" s="37"/>
      <c r="P8" s="40"/>
      <c r="Q8" s="39"/>
      <c r="R8" s="73"/>
      <c r="S8" s="73"/>
      <c r="T8" s="37"/>
      <c r="U8" s="38"/>
      <c r="V8" s="39"/>
      <c r="W8" s="73"/>
      <c r="X8" s="73"/>
      <c r="Y8" s="37"/>
      <c r="Z8" s="38"/>
      <c r="AA8" s="39"/>
      <c r="AB8" s="73"/>
      <c r="AC8" s="73"/>
      <c r="AD8" s="37"/>
      <c r="AE8" s="38"/>
      <c r="AF8" s="39"/>
      <c r="AG8" s="73"/>
      <c r="AH8" s="73"/>
      <c r="AI8" s="73"/>
      <c r="AJ8" s="38"/>
      <c r="AK8" s="39"/>
      <c r="AL8" s="73"/>
      <c r="AM8" s="73"/>
      <c r="AN8" s="73"/>
      <c r="AO8" s="73"/>
      <c r="AP8" s="46" t="s">
        <v>9918</v>
      </c>
      <c r="AQ8" s="73" t="s">
        <v>79</v>
      </c>
      <c r="AR8" s="37" t="s">
        <v>67</v>
      </c>
      <c r="AS8" s="37" t="s">
        <v>67</v>
      </c>
      <c r="AT8" s="73" t="s">
        <v>9919</v>
      </c>
      <c r="AU8" s="73"/>
      <c r="AV8" s="73" t="s">
        <v>9920</v>
      </c>
      <c r="AW8" s="37">
        <v>42143</v>
      </c>
      <c r="AX8" s="824"/>
      <c r="AY8" s="37"/>
      <c r="AZ8" s="27"/>
      <c r="BA8" s="53" t="s">
        <v>561</v>
      </c>
      <c r="BB8" s="53"/>
      <c r="BC8" s="73" t="s">
        <v>9921</v>
      </c>
      <c r="BD8" s="39"/>
      <c r="BE8" s="39"/>
      <c r="BF8" s="39"/>
      <c r="BG8" s="39"/>
      <c r="BH8" s="74"/>
      <c r="BI8" s="74"/>
      <c r="BJ8" s="44"/>
      <c r="BK8" s="37"/>
      <c r="BL8" s="38"/>
      <c r="BM8" s="53"/>
      <c r="BN8" s="73"/>
      <c r="BO8" s="39"/>
      <c r="BP8" s="39"/>
      <c r="BQ8" s="39"/>
      <c r="BR8" s="51"/>
      <c r="BS8" s="39"/>
      <c r="BT8" s="37"/>
      <c r="BU8" s="38"/>
      <c r="BV8" s="826"/>
      <c r="BW8" s="826"/>
      <c r="BX8" s="826"/>
      <c r="BY8" s="826"/>
      <c r="BZ8" s="826"/>
      <c r="CA8" s="826"/>
      <c r="CB8" s="826"/>
      <c r="CC8" s="826"/>
      <c r="CD8" s="826"/>
      <c r="CE8" s="826"/>
      <c r="CF8" s="826"/>
      <c r="CG8" s="826"/>
      <c r="CH8" s="826"/>
      <c r="CI8" s="826"/>
      <c r="CJ8" s="826"/>
      <c r="CK8" s="826"/>
      <c r="CL8" s="826"/>
      <c r="CM8" s="826"/>
      <c r="CN8" s="826"/>
      <c r="CO8" s="826"/>
      <c r="CP8" s="826"/>
      <c r="CQ8" s="826"/>
      <c r="CR8" s="826"/>
      <c r="CS8" s="826"/>
      <c r="CT8" s="826"/>
      <c r="CU8" s="826"/>
      <c r="CV8" s="826"/>
      <c r="CW8" s="826"/>
      <c r="CX8" s="826"/>
      <c r="CY8" s="826"/>
      <c r="CZ8" s="826"/>
      <c r="DA8" s="826"/>
      <c r="DB8" s="826"/>
      <c r="DC8" s="826"/>
      <c r="DD8" s="826"/>
      <c r="DE8" s="826"/>
      <c r="DF8" s="826"/>
      <c r="DG8" s="826"/>
      <c r="DH8" s="826"/>
      <c r="DI8" s="826"/>
      <c r="DJ8" s="826"/>
      <c r="DK8" s="826"/>
      <c r="DL8" s="826"/>
      <c r="DM8" s="826"/>
      <c r="DN8" s="826"/>
      <c r="DO8" s="826"/>
      <c r="DP8" s="826"/>
      <c r="DQ8" s="826"/>
      <c r="DR8" s="826"/>
      <c r="DS8" s="826"/>
      <c r="DT8" s="826"/>
      <c r="DU8" s="826"/>
      <c r="DV8" s="826"/>
      <c r="DW8" s="826"/>
      <c r="DX8" s="826"/>
      <c r="DY8" s="826"/>
      <c r="DZ8" s="826"/>
      <c r="EA8" s="826"/>
      <c r="EB8" s="826"/>
      <c r="EC8" s="826"/>
      <c r="ED8" s="826"/>
      <c r="EE8" s="826"/>
      <c r="EF8" s="826"/>
      <c r="EG8" s="826"/>
      <c r="EH8" s="826"/>
      <c r="EI8" s="826"/>
      <c r="EJ8" s="826"/>
      <c r="EK8" s="826"/>
      <c r="EL8" s="826"/>
      <c r="EM8" s="826"/>
      <c r="EN8" s="826"/>
      <c r="EO8" s="826"/>
      <c r="EP8" s="826"/>
      <c r="EQ8" s="826"/>
      <c r="ER8" s="826"/>
      <c r="ES8" s="826"/>
      <c r="ET8" s="826"/>
      <c r="EU8" s="826"/>
      <c r="EV8" s="826"/>
      <c r="EW8" s="826"/>
      <c r="EX8" s="826"/>
      <c r="EY8" s="826"/>
      <c r="EZ8" s="826"/>
      <c r="FA8" s="826"/>
      <c r="FB8" s="826"/>
      <c r="FC8" s="826"/>
      <c r="FD8" s="826"/>
      <c r="FE8" s="826"/>
      <c r="FF8" s="826"/>
      <c r="FG8" s="826"/>
      <c r="FH8" s="826"/>
      <c r="FI8" s="826"/>
      <c r="FJ8" s="826"/>
      <c r="FK8" s="826"/>
      <c r="FL8" s="826"/>
      <c r="FM8" s="826"/>
      <c r="FN8" s="826"/>
      <c r="FO8" s="826"/>
      <c r="FP8" s="826"/>
      <c r="FQ8" s="826"/>
      <c r="FR8" s="826"/>
      <c r="FS8" s="826"/>
      <c r="FT8" s="826"/>
      <c r="FU8" s="826"/>
      <c r="FV8" s="826"/>
      <c r="FW8" s="826"/>
      <c r="FX8" s="826"/>
      <c r="FY8" s="826"/>
      <c r="FZ8" s="826"/>
      <c r="GA8" s="826"/>
      <c r="GB8" s="826"/>
      <c r="GC8" s="826"/>
      <c r="GD8" s="826"/>
      <c r="GE8" s="826"/>
      <c r="GF8" s="826"/>
      <c r="GG8" s="826"/>
      <c r="GH8" s="826"/>
      <c r="GI8" s="826"/>
      <c r="GJ8" s="826"/>
      <c r="GK8" s="826"/>
      <c r="GL8" s="826"/>
      <c r="GM8" s="826"/>
      <c r="GN8" s="826"/>
      <c r="GO8" s="826"/>
      <c r="GP8" s="826"/>
      <c r="GQ8" s="826"/>
      <c r="GR8" s="826"/>
      <c r="GS8" s="826"/>
      <c r="GT8" s="826"/>
      <c r="GU8" s="826"/>
      <c r="GV8" s="826"/>
      <c r="GW8" s="826"/>
      <c r="GX8" s="826"/>
      <c r="GY8" s="826"/>
      <c r="GZ8" s="826"/>
      <c r="HA8" s="826"/>
      <c r="HB8" s="826"/>
      <c r="HC8" s="826"/>
      <c r="HD8" s="826"/>
      <c r="HE8" s="826"/>
      <c r="HF8" s="826"/>
      <c r="HG8" s="826"/>
      <c r="HH8" s="826"/>
      <c r="HI8" s="826"/>
    </row>
    <row r="9" spans="1:217" s="827" customFormat="1" ht="56.25" customHeight="1">
      <c r="A9" s="57">
        <v>655</v>
      </c>
      <c r="B9" s="117" t="s">
        <v>9922</v>
      </c>
      <c r="C9" s="59" t="s">
        <v>9923</v>
      </c>
      <c r="D9" s="823" t="s">
        <v>9924</v>
      </c>
      <c r="E9" s="60">
        <v>42625</v>
      </c>
      <c r="F9" s="61">
        <v>42614</v>
      </c>
      <c r="G9" s="62" t="s">
        <v>9925</v>
      </c>
      <c r="H9" s="117" t="s">
        <v>5</v>
      </c>
      <c r="I9" s="117" t="s">
        <v>9926</v>
      </c>
      <c r="J9" s="60">
        <v>43015</v>
      </c>
      <c r="K9" s="61">
        <v>42644</v>
      </c>
      <c r="L9" s="62" t="s">
        <v>9927</v>
      </c>
      <c r="M9" s="117" t="s">
        <v>5</v>
      </c>
      <c r="N9" s="117" t="s">
        <v>9928</v>
      </c>
      <c r="O9" s="60">
        <v>42655</v>
      </c>
      <c r="P9" s="63">
        <v>42644</v>
      </c>
      <c r="Q9" s="62" t="s">
        <v>9929</v>
      </c>
      <c r="R9" s="117" t="s">
        <v>503</v>
      </c>
      <c r="S9" s="117" t="s">
        <v>9930</v>
      </c>
      <c r="T9" s="60">
        <v>42653</v>
      </c>
      <c r="U9" s="61">
        <v>42644</v>
      </c>
      <c r="V9" s="62" t="s">
        <v>9931</v>
      </c>
      <c r="W9" s="117" t="s">
        <v>503</v>
      </c>
      <c r="X9" s="117" t="s">
        <v>9930</v>
      </c>
      <c r="Y9" s="60">
        <v>42989</v>
      </c>
      <c r="Z9" s="61">
        <v>42979</v>
      </c>
      <c r="AA9" s="62" t="s">
        <v>9932</v>
      </c>
      <c r="AB9" s="117" t="s">
        <v>171</v>
      </c>
      <c r="AC9" s="117" t="s">
        <v>4034</v>
      </c>
      <c r="AD9" s="60">
        <v>42986</v>
      </c>
      <c r="AE9" s="61">
        <v>42979</v>
      </c>
      <c r="AF9" s="62" t="s">
        <v>9933</v>
      </c>
      <c r="AG9" s="117" t="s">
        <v>171</v>
      </c>
      <c r="AH9" s="117" t="s">
        <v>9934</v>
      </c>
      <c r="AI9" s="117"/>
      <c r="AJ9" s="61"/>
      <c r="AK9" s="62"/>
      <c r="AL9" s="117"/>
      <c r="AM9" s="117"/>
      <c r="AN9" s="117" t="s">
        <v>9935</v>
      </c>
      <c r="AO9" s="117"/>
      <c r="AP9" s="62" t="s">
        <v>9936</v>
      </c>
      <c r="AQ9" s="117" t="s">
        <v>4220</v>
      </c>
      <c r="AR9" s="60" t="s">
        <v>67</v>
      </c>
      <c r="AS9" s="60" t="s">
        <v>67</v>
      </c>
      <c r="AT9" s="117" t="s">
        <v>67</v>
      </c>
      <c r="AU9" s="117" t="s">
        <v>69</v>
      </c>
      <c r="AV9" s="117"/>
      <c r="AW9" s="60"/>
      <c r="AX9" s="824"/>
      <c r="AY9" s="60"/>
      <c r="AZ9" s="27"/>
      <c r="BA9" s="425" t="s">
        <v>561</v>
      </c>
      <c r="BB9" s="831" t="s">
        <v>6447</v>
      </c>
      <c r="BC9" s="117"/>
      <c r="BD9" s="62"/>
      <c r="BE9" s="62"/>
      <c r="BF9" s="62"/>
      <c r="BG9" s="62"/>
      <c r="BH9" s="67"/>
      <c r="BI9" s="67"/>
      <c r="BJ9" s="68"/>
      <c r="BK9" s="60"/>
      <c r="BL9" s="61"/>
      <c r="BM9" s="425"/>
      <c r="BN9" s="117"/>
      <c r="BO9" s="62"/>
      <c r="BP9" s="62"/>
      <c r="BQ9" s="62"/>
      <c r="BR9" s="71"/>
      <c r="BS9" s="62"/>
      <c r="BT9" s="60"/>
      <c r="BU9" s="61"/>
      <c r="BV9" s="826"/>
      <c r="BW9" s="826"/>
      <c r="BX9" s="826"/>
      <c r="BY9" s="826"/>
      <c r="BZ9" s="826"/>
      <c r="CA9" s="826"/>
      <c r="CB9" s="826"/>
      <c r="CC9" s="826"/>
      <c r="CD9" s="826"/>
      <c r="CE9" s="826"/>
      <c r="CF9" s="826"/>
      <c r="CG9" s="826"/>
      <c r="CH9" s="826"/>
      <c r="CI9" s="826"/>
      <c r="CJ9" s="826"/>
      <c r="CK9" s="826"/>
      <c r="CL9" s="826"/>
      <c r="CM9" s="826"/>
      <c r="CN9" s="826"/>
      <c r="CO9" s="826"/>
      <c r="CP9" s="826"/>
      <c r="CQ9" s="826"/>
      <c r="CR9" s="826"/>
      <c r="CS9" s="826"/>
      <c r="CT9" s="826"/>
      <c r="CU9" s="826"/>
      <c r="CV9" s="826"/>
      <c r="CW9" s="826"/>
      <c r="CX9" s="826"/>
      <c r="CY9" s="826"/>
      <c r="CZ9" s="826"/>
      <c r="DA9" s="826"/>
      <c r="DB9" s="826"/>
      <c r="DC9" s="826"/>
      <c r="DD9" s="826"/>
      <c r="DE9" s="826"/>
      <c r="DF9" s="826"/>
      <c r="DG9" s="826"/>
      <c r="DH9" s="826"/>
      <c r="DI9" s="826"/>
      <c r="DJ9" s="826"/>
      <c r="DK9" s="826"/>
      <c r="DL9" s="826"/>
      <c r="DM9" s="826"/>
      <c r="DN9" s="826"/>
      <c r="DO9" s="826"/>
      <c r="DP9" s="826"/>
      <c r="DQ9" s="826"/>
      <c r="DR9" s="826"/>
      <c r="DS9" s="826"/>
      <c r="DT9" s="826"/>
      <c r="DU9" s="826"/>
      <c r="DV9" s="826"/>
      <c r="DW9" s="826"/>
      <c r="DX9" s="826"/>
      <c r="DY9" s="826"/>
      <c r="DZ9" s="826"/>
      <c r="EA9" s="826"/>
      <c r="EB9" s="826"/>
      <c r="EC9" s="826"/>
      <c r="ED9" s="826"/>
      <c r="EE9" s="826"/>
      <c r="EF9" s="826"/>
      <c r="EG9" s="826"/>
      <c r="EH9" s="826"/>
      <c r="EI9" s="826"/>
      <c r="EJ9" s="826"/>
      <c r="EK9" s="826"/>
      <c r="EL9" s="826"/>
      <c r="EM9" s="826"/>
      <c r="EN9" s="826"/>
      <c r="EO9" s="826"/>
      <c r="EP9" s="826"/>
      <c r="EQ9" s="826"/>
      <c r="ER9" s="826"/>
      <c r="ES9" s="826"/>
      <c r="ET9" s="826"/>
      <c r="EU9" s="826"/>
      <c r="EV9" s="826"/>
      <c r="EW9" s="826"/>
      <c r="EX9" s="826"/>
      <c r="EY9" s="826"/>
      <c r="EZ9" s="826"/>
      <c r="FA9" s="826"/>
      <c r="FB9" s="826"/>
      <c r="FC9" s="826"/>
      <c r="FD9" s="826"/>
      <c r="FE9" s="826"/>
      <c r="FF9" s="826"/>
      <c r="FG9" s="826"/>
      <c r="FH9" s="826"/>
      <c r="FI9" s="826"/>
      <c r="FJ9" s="826"/>
      <c r="FK9" s="826"/>
      <c r="FL9" s="826"/>
      <c r="FM9" s="826"/>
      <c r="FN9" s="826"/>
      <c r="FO9" s="826"/>
      <c r="FP9" s="826"/>
      <c r="FQ9" s="826"/>
      <c r="FR9" s="826"/>
      <c r="FS9" s="826"/>
      <c r="FT9" s="826"/>
      <c r="FU9" s="826"/>
      <c r="FV9" s="826"/>
      <c r="FW9" s="826"/>
      <c r="FX9" s="826"/>
      <c r="FY9" s="826"/>
      <c r="FZ9" s="826"/>
      <c r="GA9" s="826"/>
      <c r="GB9" s="826"/>
      <c r="GC9" s="826"/>
      <c r="GD9" s="826"/>
      <c r="GE9" s="826"/>
      <c r="GF9" s="826"/>
      <c r="GG9" s="826"/>
      <c r="GH9" s="826"/>
      <c r="GI9" s="826"/>
      <c r="GJ9" s="826"/>
      <c r="GK9" s="826"/>
      <c r="GL9" s="826"/>
      <c r="GM9" s="826"/>
      <c r="GN9" s="826"/>
      <c r="GO9" s="826"/>
      <c r="GP9" s="826"/>
      <c r="GQ9" s="826"/>
      <c r="GR9" s="826"/>
      <c r="GS9" s="826"/>
      <c r="GT9" s="826"/>
      <c r="GU9" s="826"/>
      <c r="GV9" s="826"/>
      <c r="GW9" s="826"/>
      <c r="GX9" s="826"/>
      <c r="GY9" s="826"/>
      <c r="GZ9" s="826"/>
      <c r="HA9" s="826"/>
      <c r="HB9" s="826"/>
      <c r="HC9" s="826"/>
      <c r="HD9" s="826"/>
      <c r="HE9" s="826"/>
      <c r="HF9" s="826"/>
      <c r="HG9" s="826"/>
      <c r="HH9" s="826"/>
      <c r="HI9" s="826"/>
    </row>
    <row r="10" spans="1:217" ht="56.25" customHeight="1">
      <c r="A10" s="96">
        <v>684</v>
      </c>
      <c r="B10" s="148" t="s">
        <v>9937</v>
      </c>
      <c r="C10" s="142">
        <v>6663922</v>
      </c>
      <c r="D10" s="828" t="s">
        <v>906</v>
      </c>
      <c r="E10" s="143">
        <v>43074</v>
      </c>
      <c r="F10" s="144">
        <v>43070</v>
      </c>
      <c r="G10" s="145" t="s">
        <v>5516</v>
      </c>
      <c r="H10" s="148" t="s">
        <v>171</v>
      </c>
      <c r="I10" s="148" t="s">
        <v>1393</v>
      </c>
      <c r="J10" s="143"/>
      <c r="K10" s="144"/>
      <c r="L10" s="145"/>
      <c r="M10" s="148"/>
      <c r="N10" s="148"/>
      <c r="O10" s="143"/>
      <c r="P10" s="146"/>
      <c r="Q10" s="145"/>
      <c r="R10" s="148"/>
      <c r="S10" s="148"/>
      <c r="T10" s="143"/>
      <c r="U10" s="144"/>
      <c r="V10" s="145"/>
      <c r="W10" s="148"/>
      <c r="X10" s="148"/>
      <c r="Y10" s="143"/>
      <c r="Z10" s="144"/>
      <c r="AA10" s="145"/>
      <c r="AB10" s="148"/>
      <c r="AC10" s="148"/>
      <c r="AD10" s="143"/>
      <c r="AE10" s="144"/>
      <c r="AF10" s="145"/>
      <c r="AG10" s="148"/>
      <c r="AH10" s="148"/>
      <c r="AI10" s="148"/>
      <c r="AJ10" s="144"/>
      <c r="AK10" s="145"/>
      <c r="AL10" s="148"/>
      <c r="AM10" s="148"/>
      <c r="AN10" s="126"/>
      <c r="AO10" s="126"/>
      <c r="AP10" s="145" t="s">
        <v>9938</v>
      </c>
      <c r="AQ10" s="126" t="s">
        <v>4220</v>
      </c>
      <c r="AR10" s="143"/>
      <c r="AS10" s="143"/>
      <c r="AT10" s="148"/>
      <c r="AU10" s="148"/>
      <c r="AV10" s="126" t="s">
        <v>9939</v>
      </c>
      <c r="AW10" s="143"/>
      <c r="AX10" s="824"/>
      <c r="AY10" s="143"/>
      <c r="AZ10" s="27"/>
      <c r="BA10" s="148" t="s">
        <v>95</v>
      </c>
      <c r="BB10" s="148"/>
      <c r="BC10" s="148"/>
      <c r="BD10" s="145"/>
      <c r="BE10" s="145"/>
      <c r="BF10" s="145"/>
      <c r="BG10" s="145"/>
      <c r="BH10" s="149"/>
      <c r="BI10" s="149"/>
      <c r="BJ10" s="150"/>
      <c r="BK10" s="143"/>
      <c r="BL10" s="144"/>
      <c r="BM10" s="424"/>
      <c r="BN10" s="148"/>
      <c r="BO10" s="145"/>
      <c r="BP10" s="145"/>
      <c r="BQ10" s="145"/>
      <c r="BR10" s="152"/>
      <c r="BS10" s="145"/>
      <c r="BT10" s="143"/>
      <c r="BU10" s="144"/>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row>
    <row r="11" spans="1:217" ht="56.25" customHeight="1">
      <c r="A11" s="57">
        <v>728</v>
      </c>
      <c r="B11" s="117" t="s">
        <v>9940</v>
      </c>
      <c r="C11" s="59">
        <v>78696034</v>
      </c>
      <c r="D11" s="823" t="s">
        <v>906</v>
      </c>
      <c r="E11" s="60">
        <v>43034</v>
      </c>
      <c r="F11" s="61">
        <v>43034</v>
      </c>
      <c r="G11" s="62" t="s">
        <v>9941</v>
      </c>
      <c r="H11" s="117" t="s">
        <v>625</v>
      </c>
      <c r="I11" s="117" t="s">
        <v>4034</v>
      </c>
      <c r="J11" s="60">
        <v>42998</v>
      </c>
      <c r="K11" s="61">
        <v>42998</v>
      </c>
      <c r="L11" s="62" t="s">
        <v>9942</v>
      </c>
      <c r="M11" s="117" t="s">
        <v>625</v>
      </c>
      <c r="N11" s="117" t="s">
        <v>4034</v>
      </c>
      <c r="O11" s="60"/>
      <c r="P11" s="63"/>
      <c r="Q11" s="62"/>
      <c r="R11" s="117"/>
      <c r="S11" s="117"/>
      <c r="T11" s="60"/>
      <c r="U11" s="61"/>
      <c r="V11" s="62"/>
      <c r="W11" s="117"/>
      <c r="X11" s="117"/>
      <c r="Y11" s="60"/>
      <c r="Z11" s="61"/>
      <c r="AA11" s="62"/>
      <c r="AB11" s="117"/>
      <c r="AC11" s="117"/>
      <c r="AD11" s="60"/>
      <c r="AE11" s="61"/>
      <c r="AF11" s="62"/>
      <c r="AG11" s="117"/>
      <c r="AH11" s="117"/>
      <c r="AI11" s="117"/>
      <c r="AJ11" s="61"/>
      <c r="AK11" s="62"/>
      <c r="AL11" s="117"/>
      <c r="AM11" s="117"/>
      <c r="AN11" s="117" t="s">
        <v>9943</v>
      </c>
      <c r="AO11" s="117" t="s">
        <v>2558</v>
      </c>
      <c r="AP11" s="62" t="s">
        <v>9944</v>
      </c>
      <c r="AQ11" s="117" t="s">
        <v>79</v>
      </c>
      <c r="AR11" s="60"/>
      <c r="AS11" s="60"/>
      <c r="AT11" s="117" t="s">
        <v>9945</v>
      </c>
      <c r="AU11" s="117"/>
      <c r="AV11" s="117" t="s">
        <v>9946</v>
      </c>
      <c r="AW11" s="60">
        <v>43047</v>
      </c>
      <c r="AX11" s="824"/>
      <c r="AY11" s="60"/>
      <c r="AZ11" s="27"/>
      <c r="BA11" s="425" t="s">
        <v>912</v>
      </c>
      <c r="BB11" s="425"/>
      <c r="BC11" s="117"/>
      <c r="BD11" s="62"/>
      <c r="BE11" s="62"/>
      <c r="BF11" s="62"/>
      <c r="BG11" s="62"/>
      <c r="BH11" s="832">
        <f>+'[419]MATRIZ '!$J$57</f>
        <v>11963901.141977495</v>
      </c>
      <c r="BI11" s="67"/>
      <c r="BJ11" s="68"/>
      <c r="BK11" s="60"/>
      <c r="BL11" s="61"/>
      <c r="BM11" s="425"/>
      <c r="BN11" s="117"/>
      <c r="BO11" s="62"/>
      <c r="BP11" s="62"/>
      <c r="BQ11" s="62"/>
      <c r="BR11" s="71"/>
      <c r="BS11" s="62"/>
      <c r="BT11" s="60"/>
      <c r="BU11" s="6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row>
    <row r="12" spans="1:217" s="827" customFormat="1" ht="56.25" customHeight="1">
      <c r="A12" s="33">
        <v>730</v>
      </c>
      <c r="B12" s="73" t="s">
        <v>3987</v>
      </c>
      <c r="C12" s="35">
        <v>52710738</v>
      </c>
      <c r="D12" s="830" t="s">
        <v>3988</v>
      </c>
      <c r="E12" s="37">
        <v>42334</v>
      </c>
      <c r="F12" s="38">
        <v>42309</v>
      </c>
      <c r="G12" s="39" t="s">
        <v>9947</v>
      </c>
      <c r="H12" s="73" t="s">
        <v>171</v>
      </c>
      <c r="I12" s="73" t="s">
        <v>3471</v>
      </c>
      <c r="J12" s="37" t="s">
        <v>9948</v>
      </c>
      <c r="K12" s="38">
        <v>42522</v>
      </c>
      <c r="L12" s="39" t="s">
        <v>9949</v>
      </c>
      <c r="M12" s="73" t="s">
        <v>171</v>
      </c>
      <c r="N12" s="73" t="s">
        <v>777</v>
      </c>
      <c r="O12" s="37">
        <v>42250</v>
      </c>
      <c r="P12" s="40">
        <v>42248</v>
      </c>
      <c r="Q12" s="39" t="s">
        <v>9950</v>
      </c>
      <c r="R12" s="73" t="s">
        <v>171</v>
      </c>
      <c r="S12" s="73" t="s">
        <v>9951</v>
      </c>
      <c r="T12" s="37">
        <v>42334</v>
      </c>
      <c r="U12" s="38">
        <v>42309</v>
      </c>
      <c r="V12" s="39" t="s">
        <v>9947</v>
      </c>
      <c r="W12" s="73" t="s">
        <v>171</v>
      </c>
      <c r="X12" s="73" t="s">
        <v>3471</v>
      </c>
      <c r="Y12" s="37"/>
      <c r="Z12" s="38"/>
      <c r="AA12" s="39"/>
      <c r="AB12" s="73"/>
      <c r="AC12" s="73"/>
      <c r="AD12" s="37"/>
      <c r="AE12" s="38"/>
      <c r="AF12" s="39"/>
      <c r="AG12" s="73"/>
      <c r="AH12" s="73"/>
      <c r="AI12" s="73"/>
      <c r="AJ12" s="38"/>
      <c r="AK12" s="39"/>
      <c r="AL12" s="73"/>
      <c r="AM12" s="73"/>
      <c r="AN12" s="73"/>
      <c r="AO12" s="73"/>
      <c r="AP12" s="39" t="s">
        <v>9952</v>
      </c>
      <c r="AQ12" s="73" t="s">
        <v>79</v>
      </c>
      <c r="AR12" s="37" t="s">
        <v>67</v>
      </c>
      <c r="AS12" s="37" t="s">
        <v>67</v>
      </c>
      <c r="AT12" s="73" t="s">
        <v>9953</v>
      </c>
      <c r="AU12" s="73" t="s">
        <v>69</v>
      </c>
      <c r="AV12" s="73" t="s">
        <v>67</v>
      </c>
      <c r="AW12" s="37" t="s">
        <v>67</v>
      </c>
      <c r="AX12" s="824" t="s">
        <v>67</v>
      </c>
      <c r="AY12" s="37" t="s">
        <v>67</v>
      </c>
      <c r="AZ12" s="27" t="s">
        <v>67</v>
      </c>
      <c r="BA12" s="53" t="s">
        <v>912</v>
      </c>
      <c r="BB12" s="53"/>
      <c r="BC12" s="73" t="s">
        <v>67</v>
      </c>
      <c r="BD12" s="39"/>
      <c r="BE12" s="39" t="s">
        <v>67</v>
      </c>
      <c r="BF12" s="39" t="s">
        <v>67</v>
      </c>
      <c r="BG12" s="39" t="s">
        <v>67</v>
      </c>
      <c r="BH12" s="74" t="s">
        <v>67</v>
      </c>
      <c r="BI12" s="74" t="s">
        <v>67</v>
      </c>
      <c r="BJ12" s="44" t="s">
        <v>67</v>
      </c>
      <c r="BK12" s="37" t="s">
        <v>67</v>
      </c>
      <c r="BL12" s="38" t="s">
        <v>67</v>
      </c>
      <c r="BM12" s="73" t="s">
        <v>67</v>
      </c>
      <c r="BN12" s="73"/>
      <c r="BO12" s="39" t="s">
        <v>67</v>
      </c>
      <c r="BP12" s="39" t="s">
        <v>67</v>
      </c>
      <c r="BQ12" s="39" t="s">
        <v>67</v>
      </c>
      <c r="BR12" s="51" t="s">
        <v>67</v>
      </c>
      <c r="BS12" s="39" t="s">
        <v>67</v>
      </c>
      <c r="BT12" s="37" t="s">
        <v>67</v>
      </c>
      <c r="BU12" s="38" t="s">
        <v>67</v>
      </c>
      <c r="BV12" s="826"/>
      <c r="BW12" s="826"/>
      <c r="BX12" s="826"/>
      <c r="BY12" s="826"/>
      <c r="BZ12" s="826"/>
      <c r="CA12" s="826"/>
      <c r="CB12" s="826"/>
      <c r="CC12" s="826"/>
      <c r="CD12" s="826"/>
      <c r="CE12" s="826"/>
      <c r="CF12" s="826"/>
      <c r="CG12" s="826"/>
      <c r="CH12" s="826"/>
      <c r="CI12" s="826"/>
      <c r="CJ12" s="826"/>
      <c r="CK12" s="826"/>
      <c r="CL12" s="826"/>
      <c r="CM12" s="826"/>
      <c r="CN12" s="826"/>
      <c r="CO12" s="826"/>
      <c r="CP12" s="826"/>
      <c r="CQ12" s="826"/>
      <c r="CR12" s="826"/>
      <c r="CS12" s="826"/>
      <c r="CT12" s="826"/>
      <c r="CU12" s="826"/>
      <c r="CV12" s="826"/>
      <c r="CW12" s="826"/>
      <c r="CX12" s="826"/>
      <c r="CY12" s="826"/>
      <c r="CZ12" s="826"/>
      <c r="DA12" s="826"/>
      <c r="DB12" s="826"/>
      <c r="DC12" s="826"/>
      <c r="DD12" s="826"/>
      <c r="DE12" s="826"/>
      <c r="DF12" s="826"/>
      <c r="DG12" s="826"/>
      <c r="DH12" s="826"/>
      <c r="DI12" s="826"/>
      <c r="DJ12" s="826"/>
      <c r="DK12" s="826"/>
      <c r="DL12" s="826"/>
      <c r="DM12" s="826"/>
      <c r="DN12" s="826"/>
      <c r="DO12" s="826"/>
      <c r="DP12" s="826"/>
      <c r="DQ12" s="826"/>
      <c r="DR12" s="826"/>
      <c r="DS12" s="826"/>
      <c r="DT12" s="826"/>
      <c r="DU12" s="826"/>
      <c r="DV12" s="826"/>
      <c r="DW12" s="826"/>
      <c r="DX12" s="826"/>
      <c r="DY12" s="826"/>
      <c r="DZ12" s="826"/>
      <c r="EA12" s="826"/>
      <c r="EB12" s="826"/>
      <c r="EC12" s="826"/>
      <c r="ED12" s="826"/>
      <c r="EE12" s="826"/>
      <c r="EF12" s="826"/>
      <c r="EG12" s="826"/>
      <c r="EH12" s="826"/>
      <c r="EI12" s="826"/>
      <c r="EJ12" s="826"/>
      <c r="EK12" s="826"/>
      <c r="EL12" s="826"/>
      <c r="EM12" s="826"/>
      <c r="EN12" s="826"/>
      <c r="EO12" s="826"/>
      <c r="EP12" s="826"/>
      <c r="EQ12" s="826"/>
      <c r="ER12" s="826"/>
      <c r="ES12" s="826"/>
      <c r="ET12" s="826"/>
      <c r="EU12" s="826"/>
      <c r="EV12" s="826"/>
      <c r="EW12" s="826"/>
      <c r="EX12" s="826"/>
      <c r="EY12" s="826"/>
      <c r="EZ12" s="826"/>
      <c r="FA12" s="826"/>
      <c r="FB12" s="826"/>
      <c r="FC12" s="826"/>
      <c r="FD12" s="826"/>
      <c r="FE12" s="826"/>
      <c r="FF12" s="826"/>
      <c r="FG12" s="826"/>
      <c r="FH12" s="826"/>
      <c r="FI12" s="826"/>
      <c r="FJ12" s="826"/>
      <c r="FK12" s="826"/>
      <c r="FL12" s="826"/>
      <c r="FM12" s="826"/>
      <c r="FN12" s="826"/>
      <c r="FO12" s="826"/>
      <c r="FP12" s="826"/>
      <c r="FQ12" s="826"/>
      <c r="FR12" s="826"/>
      <c r="FS12" s="826"/>
      <c r="FT12" s="826"/>
      <c r="FU12" s="826"/>
      <c r="FV12" s="826"/>
      <c r="FW12" s="826"/>
      <c r="FX12" s="826"/>
      <c r="FY12" s="826"/>
      <c r="FZ12" s="826"/>
      <c r="GA12" s="826"/>
      <c r="GB12" s="826"/>
      <c r="GC12" s="826"/>
      <c r="GD12" s="826"/>
      <c r="GE12" s="826"/>
      <c r="GF12" s="826"/>
      <c r="GG12" s="826"/>
      <c r="GH12" s="826"/>
      <c r="GI12" s="826"/>
      <c r="GJ12" s="826"/>
      <c r="GK12" s="826"/>
      <c r="GL12" s="826"/>
      <c r="GM12" s="826"/>
      <c r="GN12" s="826"/>
      <c r="GO12" s="826"/>
      <c r="GP12" s="826"/>
      <c r="GQ12" s="826"/>
      <c r="GR12" s="826"/>
      <c r="GS12" s="826"/>
      <c r="GT12" s="826"/>
      <c r="GU12" s="826"/>
      <c r="GV12" s="826"/>
      <c r="GW12" s="826"/>
      <c r="GX12" s="826"/>
      <c r="GY12" s="826"/>
      <c r="GZ12" s="826"/>
      <c r="HA12" s="826"/>
      <c r="HB12" s="826"/>
      <c r="HC12" s="826"/>
      <c r="HD12" s="826"/>
      <c r="HE12" s="826"/>
      <c r="HF12" s="826"/>
      <c r="HG12" s="826"/>
      <c r="HH12" s="826"/>
      <c r="HI12" s="826"/>
    </row>
    <row r="13" spans="1:217" s="827" customFormat="1" ht="56.25" customHeight="1">
      <c r="A13" s="96">
        <v>759</v>
      </c>
      <c r="B13" s="148" t="s">
        <v>9954</v>
      </c>
      <c r="C13" s="142" t="s">
        <v>9955</v>
      </c>
      <c r="D13" s="828" t="s">
        <v>9956</v>
      </c>
      <c r="E13" s="143">
        <v>42979</v>
      </c>
      <c r="F13" s="144">
        <v>42979</v>
      </c>
      <c r="G13" s="145" t="s">
        <v>9957</v>
      </c>
      <c r="H13" s="148" t="s">
        <v>171</v>
      </c>
      <c r="I13" s="148" t="s">
        <v>4034</v>
      </c>
      <c r="J13" s="143"/>
      <c r="K13" s="144"/>
      <c r="L13" s="145"/>
      <c r="M13" s="148"/>
      <c r="N13" s="148"/>
      <c r="O13" s="143"/>
      <c r="P13" s="146"/>
      <c r="Q13" s="145"/>
      <c r="R13" s="148"/>
      <c r="S13" s="148"/>
      <c r="T13" s="143"/>
      <c r="U13" s="144"/>
      <c r="V13" s="145"/>
      <c r="W13" s="148"/>
      <c r="X13" s="148"/>
      <c r="Y13" s="143"/>
      <c r="Z13" s="144"/>
      <c r="AA13" s="145"/>
      <c r="AB13" s="148"/>
      <c r="AC13" s="148"/>
      <c r="AD13" s="143"/>
      <c r="AE13" s="144"/>
      <c r="AF13" s="145"/>
      <c r="AG13" s="148"/>
      <c r="AH13" s="148"/>
      <c r="AI13" s="148"/>
      <c r="AJ13" s="144"/>
      <c r="AK13" s="145"/>
      <c r="AL13" s="148"/>
      <c r="AM13" s="148"/>
      <c r="AN13" s="126"/>
      <c r="AO13" s="126"/>
      <c r="AP13" s="145" t="s">
        <v>9958</v>
      </c>
      <c r="AQ13" s="126" t="s">
        <v>4220</v>
      </c>
      <c r="AR13" s="143" t="s">
        <v>67</v>
      </c>
      <c r="AS13" s="143" t="s">
        <v>67</v>
      </c>
      <c r="AT13" s="148" t="s">
        <v>4499</v>
      </c>
      <c r="AU13" s="148" t="s">
        <v>69</v>
      </c>
      <c r="AV13" s="148" t="s">
        <v>9959</v>
      </c>
      <c r="AW13" s="143"/>
      <c r="AX13" s="824"/>
      <c r="AY13" s="143"/>
      <c r="AZ13" s="27"/>
      <c r="BA13" s="148" t="s">
        <v>561</v>
      </c>
      <c r="BB13" s="148"/>
      <c r="BC13" s="148" t="s">
        <v>9960</v>
      </c>
      <c r="BD13" s="145"/>
      <c r="BE13" s="145"/>
      <c r="BF13" s="145"/>
      <c r="BG13" s="145"/>
      <c r="BH13" s="149"/>
      <c r="BI13" s="149"/>
      <c r="BJ13" s="150"/>
      <c r="BK13" s="143"/>
      <c r="BL13" s="144"/>
      <c r="BM13" s="424"/>
      <c r="BN13" s="148"/>
      <c r="BO13" s="145"/>
      <c r="BP13" s="145"/>
      <c r="BQ13" s="145"/>
      <c r="BR13" s="152"/>
      <c r="BS13" s="145"/>
      <c r="BT13" s="143"/>
      <c r="BU13" s="144"/>
      <c r="BV13" s="826"/>
      <c r="BW13" s="826"/>
      <c r="BX13" s="826"/>
      <c r="BY13" s="826"/>
      <c r="BZ13" s="826"/>
      <c r="CA13" s="826"/>
      <c r="CB13" s="826"/>
      <c r="CC13" s="826"/>
      <c r="CD13" s="826"/>
      <c r="CE13" s="826"/>
      <c r="CF13" s="826"/>
      <c r="CG13" s="826"/>
      <c r="CH13" s="826"/>
      <c r="CI13" s="826"/>
      <c r="CJ13" s="826"/>
      <c r="CK13" s="826"/>
      <c r="CL13" s="826"/>
      <c r="CM13" s="826"/>
      <c r="CN13" s="826"/>
      <c r="CO13" s="826"/>
      <c r="CP13" s="826"/>
      <c r="CQ13" s="826"/>
      <c r="CR13" s="826"/>
      <c r="CS13" s="826"/>
      <c r="CT13" s="826"/>
      <c r="CU13" s="826"/>
      <c r="CV13" s="826"/>
      <c r="CW13" s="826"/>
      <c r="CX13" s="826"/>
      <c r="CY13" s="826"/>
      <c r="CZ13" s="826"/>
      <c r="DA13" s="826"/>
      <c r="DB13" s="826"/>
      <c r="DC13" s="826"/>
      <c r="DD13" s="826"/>
      <c r="DE13" s="826"/>
      <c r="DF13" s="826"/>
      <c r="DG13" s="826"/>
      <c r="DH13" s="826"/>
      <c r="DI13" s="826"/>
      <c r="DJ13" s="826"/>
      <c r="DK13" s="826"/>
      <c r="DL13" s="826"/>
      <c r="DM13" s="826"/>
      <c r="DN13" s="826"/>
      <c r="DO13" s="826"/>
      <c r="DP13" s="826"/>
      <c r="DQ13" s="826"/>
      <c r="DR13" s="826"/>
      <c r="DS13" s="826"/>
      <c r="DT13" s="826"/>
      <c r="DU13" s="826"/>
      <c r="DV13" s="826"/>
      <c r="DW13" s="826"/>
      <c r="DX13" s="826"/>
      <c r="DY13" s="826"/>
      <c r="DZ13" s="826"/>
      <c r="EA13" s="826"/>
      <c r="EB13" s="826"/>
      <c r="EC13" s="826"/>
      <c r="ED13" s="826"/>
      <c r="EE13" s="826"/>
      <c r="EF13" s="826"/>
      <c r="EG13" s="826"/>
      <c r="EH13" s="826"/>
      <c r="EI13" s="826"/>
      <c r="EJ13" s="826"/>
      <c r="EK13" s="826"/>
      <c r="EL13" s="826"/>
      <c r="EM13" s="826"/>
      <c r="EN13" s="826"/>
      <c r="EO13" s="826"/>
      <c r="EP13" s="826"/>
      <c r="EQ13" s="826"/>
      <c r="ER13" s="826"/>
      <c r="ES13" s="826"/>
      <c r="ET13" s="826"/>
      <c r="EU13" s="826"/>
      <c r="EV13" s="826"/>
      <c r="EW13" s="826"/>
      <c r="EX13" s="826"/>
      <c r="EY13" s="826"/>
      <c r="EZ13" s="826"/>
      <c r="FA13" s="826"/>
      <c r="FB13" s="826"/>
      <c r="FC13" s="826"/>
      <c r="FD13" s="826"/>
      <c r="FE13" s="826"/>
      <c r="FF13" s="826"/>
      <c r="FG13" s="826"/>
      <c r="FH13" s="826"/>
      <c r="FI13" s="826"/>
      <c r="FJ13" s="826"/>
      <c r="FK13" s="826"/>
      <c r="FL13" s="826"/>
      <c r="FM13" s="826"/>
      <c r="FN13" s="826"/>
      <c r="FO13" s="826"/>
      <c r="FP13" s="826"/>
      <c r="FQ13" s="826"/>
      <c r="FR13" s="826"/>
      <c r="FS13" s="826"/>
      <c r="FT13" s="826"/>
      <c r="FU13" s="826"/>
      <c r="FV13" s="826"/>
      <c r="FW13" s="826"/>
      <c r="FX13" s="826"/>
      <c r="FY13" s="826"/>
      <c r="FZ13" s="826"/>
      <c r="GA13" s="826"/>
      <c r="GB13" s="826"/>
      <c r="GC13" s="826"/>
      <c r="GD13" s="826"/>
      <c r="GE13" s="826"/>
      <c r="GF13" s="826"/>
      <c r="GG13" s="826"/>
      <c r="GH13" s="826"/>
      <c r="GI13" s="826"/>
      <c r="GJ13" s="826"/>
      <c r="GK13" s="826"/>
      <c r="GL13" s="826"/>
      <c r="GM13" s="826"/>
      <c r="GN13" s="826"/>
      <c r="GO13" s="826"/>
      <c r="GP13" s="826"/>
      <c r="GQ13" s="826"/>
      <c r="GR13" s="826"/>
      <c r="GS13" s="826"/>
      <c r="GT13" s="826"/>
      <c r="GU13" s="826"/>
      <c r="GV13" s="826"/>
      <c r="GW13" s="826"/>
      <c r="GX13" s="826"/>
      <c r="GY13" s="826"/>
      <c r="GZ13" s="826"/>
      <c r="HA13" s="826"/>
      <c r="HB13" s="826"/>
      <c r="HC13" s="826"/>
      <c r="HD13" s="826"/>
      <c r="HE13" s="826"/>
      <c r="HF13" s="826"/>
      <c r="HG13" s="826"/>
      <c r="HH13" s="826"/>
      <c r="HI13" s="826"/>
    </row>
    <row r="14" spans="1:217" s="827" customFormat="1" ht="56.25" customHeight="1">
      <c r="A14" s="33">
        <v>764</v>
      </c>
      <c r="B14" s="73" t="s">
        <v>9961</v>
      </c>
      <c r="C14" s="35"/>
      <c r="D14" s="830"/>
      <c r="E14" s="37">
        <v>43215</v>
      </c>
      <c r="F14" s="38">
        <v>43191</v>
      </c>
      <c r="G14" s="39" t="s">
        <v>6230</v>
      </c>
      <c r="H14" s="73" t="s">
        <v>171</v>
      </c>
      <c r="I14" s="73" t="s">
        <v>9962</v>
      </c>
      <c r="J14" s="37"/>
      <c r="K14" s="38"/>
      <c r="L14" s="39"/>
      <c r="M14" s="73"/>
      <c r="N14" s="73"/>
      <c r="O14" s="37"/>
      <c r="P14" s="40"/>
      <c r="Q14" s="39"/>
      <c r="R14" s="73"/>
      <c r="S14" s="73"/>
      <c r="T14" s="37"/>
      <c r="U14" s="38"/>
      <c r="V14" s="39"/>
      <c r="W14" s="73"/>
      <c r="X14" s="73"/>
      <c r="Y14" s="37"/>
      <c r="Z14" s="38"/>
      <c r="AA14" s="39"/>
      <c r="AB14" s="73"/>
      <c r="AC14" s="73"/>
      <c r="AD14" s="37"/>
      <c r="AE14" s="38"/>
      <c r="AF14" s="39"/>
      <c r="AG14" s="73"/>
      <c r="AH14" s="73"/>
      <c r="AI14" s="73"/>
      <c r="AJ14" s="38"/>
      <c r="AK14" s="39"/>
      <c r="AL14" s="73"/>
      <c r="AM14" s="73"/>
      <c r="AN14" s="73"/>
      <c r="AO14" s="73"/>
      <c r="AP14" s="39" t="s">
        <v>9963</v>
      </c>
      <c r="AQ14" s="73" t="s">
        <v>9964</v>
      </c>
      <c r="AR14" s="37"/>
      <c r="AS14" s="37"/>
      <c r="AT14" s="73" t="s">
        <v>9965</v>
      </c>
      <c r="AU14" s="73" t="s">
        <v>69</v>
      </c>
      <c r="AV14" s="73"/>
      <c r="AW14" s="37"/>
      <c r="AX14" s="824"/>
      <c r="AY14" s="37"/>
      <c r="AZ14" s="27"/>
      <c r="BA14" s="73"/>
      <c r="BB14" s="73"/>
      <c r="BC14" s="73"/>
      <c r="BD14" s="39"/>
      <c r="BE14" s="39"/>
      <c r="BF14" s="39"/>
      <c r="BG14" s="39"/>
      <c r="BH14" s="74"/>
      <c r="BI14" s="74"/>
      <c r="BJ14" s="44"/>
      <c r="BK14" s="37"/>
      <c r="BL14" s="38"/>
      <c r="BM14" s="53"/>
      <c r="BN14" s="73"/>
      <c r="BO14" s="39"/>
      <c r="BP14" s="39"/>
      <c r="BQ14" s="39"/>
      <c r="BR14" s="51"/>
      <c r="BS14" s="39"/>
      <c r="BT14" s="37"/>
      <c r="BU14" s="38"/>
      <c r="BV14" s="826"/>
      <c r="BW14" s="826"/>
      <c r="BX14" s="826"/>
      <c r="BY14" s="826"/>
      <c r="BZ14" s="826"/>
      <c r="CA14" s="826"/>
      <c r="CB14" s="826"/>
      <c r="CC14" s="826"/>
      <c r="CD14" s="826"/>
      <c r="CE14" s="826"/>
      <c r="CF14" s="826"/>
      <c r="CG14" s="826"/>
      <c r="CH14" s="826"/>
      <c r="CI14" s="826"/>
      <c r="CJ14" s="826"/>
      <c r="CK14" s="826"/>
      <c r="CL14" s="826"/>
      <c r="CM14" s="826"/>
      <c r="CN14" s="826"/>
      <c r="CO14" s="826"/>
      <c r="CP14" s="826"/>
      <c r="CQ14" s="826"/>
      <c r="CR14" s="826"/>
      <c r="CS14" s="826"/>
      <c r="CT14" s="826"/>
      <c r="CU14" s="826"/>
      <c r="CV14" s="826"/>
      <c r="CW14" s="826"/>
      <c r="CX14" s="826"/>
      <c r="CY14" s="826"/>
      <c r="CZ14" s="826"/>
      <c r="DA14" s="826"/>
      <c r="DB14" s="826"/>
      <c r="DC14" s="826"/>
      <c r="DD14" s="826"/>
      <c r="DE14" s="826"/>
      <c r="DF14" s="826"/>
      <c r="DG14" s="826"/>
      <c r="DH14" s="826"/>
      <c r="DI14" s="826"/>
      <c r="DJ14" s="826"/>
      <c r="DK14" s="826"/>
      <c r="DL14" s="826"/>
      <c r="DM14" s="826"/>
      <c r="DN14" s="826"/>
      <c r="DO14" s="826"/>
      <c r="DP14" s="826"/>
      <c r="DQ14" s="826"/>
      <c r="DR14" s="826"/>
      <c r="DS14" s="826"/>
      <c r="DT14" s="826"/>
      <c r="DU14" s="826"/>
      <c r="DV14" s="826"/>
      <c r="DW14" s="826"/>
      <c r="DX14" s="826"/>
      <c r="DY14" s="826"/>
      <c r="DZ14" s="826"/>
      <c r="EA14" s="826"/>
      <c r="EB14" s="826"/>
      <c r="EC14" s="826"/>
      <c r="ED14" s="826"/>
      <c r="EE14" s="826"/>
      <c r="EF14" s="826"/>
      <c r="EG14" s="826"/>
      <c r="EH14" s="826"/>
      <c r="EI14" s="826"/>
      <c r="EJ14" s="826"/>
      <c r="EK14" s="826"/>
      <c r="EL14" s="826"/>
      <c r="EM14" s="826"/>
      <c r="EN14" s="826"/>
      <c r="EO14" s="826"/>
      <c r="EP14" s="826"/>
      <c r="EQ14" s="826"/>
      <c r="ER14" s="826"/>
      <c r="ES14" s="826"/>
      <c r="ET14" s="826"/>
      <c r="EU14" s="826"/>
      <c r="EV14" s="826"/>
      <c r="EW14" s="826"/>
      <c r="EX14" s="826"/>
      <c r="EY14" s="826"/>
      <c r="EZ14" s="826"/>
      <c r="FA14" s="826"/>
      <c r="FB14" s="826"/>
      <c r="FC14" s="826"/>
      <c r="FD14" s="826"/>
      <c r="FE14" s="826"/>
      <c r="FF14" s="826"/>
      <c r="FG14" s="826"/>
      <c r="FH14" s="826"/>
      <c r="FI14" s="826"/>
      <c r="FJ14" s="826"/>
      <c r="FK14" s="826"/>
      <c r="FL14" s="826"/>
      <c r="FM14" s="826"/>
      <c r="FN14" s="826"/>
      <c r="FO14" s="826"/>
      <c r="FP14" s="826"/>
      <c r="FQ14" s="826"/>
      <c r="FR14" s="826"/>
      <c r="FS14" s="826"/>
      <c r="FT14" s="826"/>
      <c r="FU14" s="826"/>
      <c r="FV14" s="826"/>
      <c r="FW14" s="826"/>
      <c r="FX14" s="826"/>
      <c r="FY14" s="826"/>
      <c r="FZ14" s="826"/>
      <c r="GA14" s="826"/>
      <c r="GB14" s="826"/>
      <c r="GC14" s="826"/>
      <c r="GD14" s="826"/>
      <c r="GE14" s="826"/>
      <c r="GF14" s="826"/>
      <c r="GG14" s="826"/>
      <c r="GH14" s="826"/>
      <c r="GI14" s="826"/>
      <c r="GJ14" s="826"/>
      <c r="GK14" s="826"/>
      <c r="GL14" s="826"/>
      <c r="GM14" s="826"/>
      <c r="GN14" s="826"/>
      <c r="GO14" s="826"/>
      <c r="GP14" s="826"/>
      <c r="GQ14" s="826"/>
      <c r="GR14" s="826"/>
      <c r="GS14" s="826"/>
      <c r="GT14" s="826"/>
      <c r="GU14" s="826"/>
      <c r="GV14" s="826"/>
      <c r="GW14" s="826"/>
      <c r="GX14" s="826"/>
      <c r="GY14" s="826"/>
      <c r="GZ14" s="826"/>
      <c r="HA14" s="826"/>
      <c r="HB14" s="826"/>
      <c r="HC14" s="826"/>
      <c r="HD14" s="826"/>
      <c r="HE14" s="826"/>
      <c r="HF14" s="826"/>
      <c r="HG14" s="826"/>
      <c r="HH14" s="826"/>
      <c r="HI14" s="826"/>
    </row>
    <row r="15" spans="1:217" s="827" customFormat="1" ht="56.25" customHeight="1">
      <c r="A15" s="96">
        <v>790</v>
      </c>
      <c r="B15" s="833" t="s">
        <v>9966</v>
      </c>
      <c r="C15" s="142">
        <v>79451427</v>
      </c>
      <c r="D15" s="828"/>
      <c r="E15" s="610"/>
      <c r="F15" s="234"/>
      <c r="G15" s="611"/>
      <c r="H15" s="148"/>
      <c r="I15" s="148"/>
      <c r="J15" s="143"/>
      <c r="K15" s="144"/>
      <c r="L15" s="145"/>
      <c r="M15" s="148"/>
      <c r="N15" s="148"/>
      <c r="O15" s="143"/>
      <c r="P15" s="146"/>
      <c r="Q15" s="145"/>
      <c r="R15" s="148"/>
      <c r="S15" s="148"/>
      <c r="T15" s="143"/>
      <c r="U15" s="144"/>
      <c r="V15" s="145"/>
      <c r="W15" s="148"/>
      <c r="X15" s="148"/>
      <c r="Y15" s="143"/>
      <c r="Z15" s="144"/>
      <c r="AA15" s="145"/>
      <c r="AB15" s="148"/>
      <c r="AC15" s="148"/>
      <c r="AD15" s="143"/>
      <c r="AE15" s="144"/>
      <c r="AF15" s="145"/>
      <c r="AG15" s="148"/>
      <c r="AH15" s="148"/>
      <c r="AI15" s="148"/>
      <c r="AJ15" s="144"/>
      <c r="AK15" s="145"/>
      <c r="AL15" s="148"/>
      <c r="AM15" s="148"/>
      <c r="AN15" s="126"/>
      <c r="AO15" s="126"/>
      <c r="AP15" s="145" t="s">
        <v>9967</v>
      </c>
      <c r="AQ15" s="148"/>
      <c r="AR15" s="143"/>
      <c r="AS15" s="143"/>
      <c r="AT15" s="148" t="s">
        <v>9968</v>
      </c>
      <c r="AU15" s="148"/>
      <c r="AV15" s="148"/>
      <c r="AW15" s="143"/>
      <c r="AX15" s="824"/>
      <c r="AY15" s="143"/>
      <c r="AZ15" s="27"/>
      <c r="BA15" s="148"/>
      <c r="BB15" s="148"/>
      <c r="BC15" s="148"/>
      <c r="BD15" s="145"/>
      <c r="BE15" s="145"/>
      <c r="BF15" s="145"/>
      <c r="BG15" s="145"/>
      <c r="BH15" s="149"/>
      <c r="BI15" s="149"/>
      <c r="BJ15" s="150"/>
      <c r="BK15" s="143"/>
      <c r="BL15" s="144"/>
      <c r="BM15" s="424"/>
      <c r="BN15" s="148"/>
      <c r="BO15" s="145"/>
      <c r="BP15" s="145"/>
      <c r="BQ15" s="145"/>
      <c r="BR15" s="152"/>
      <c r="BS15" s="145"/>
      <c r="BT15" s="143"/>
      <c r="BU15" s="144"/>
      <c r="BV15" s="826"/>
      <c r="BW15" s="826"/>
      <c r="BX15" s="826"/>
      <c r="BY15" s="826"/>
      <c r="BZ15" s="826"/>
      <c r="CA15" s="826"/>
      <c r="CB15" s="826"/>
      <c r="CC15" s="826"/>
      <c r="CD15" s="826"/>
      <c r="CE15" s="826"/>
      <c r="CF15" s="826"/>
      <c r="CG15" s="826"/>
      <c r="CH15" s="826"/>
      <c r="CI15" s="826"/>
      <c r="CJ15" s="826"/>
      <c r="CK15" s="826"/>
      <c r="CL15" s="826"/>
      <c r="CM15" s="826"/>
      <c r="CN15" s="826"/>
      <c r="CO15" s="826"/>
      <c r="CP15" s="826"/>
      <c r="CQ15" s="826"/>
      <c r="CR15" s="826"/>
      <c r="CS15" s="826"/>
      <c r="CT15" s="826"/>
      <c r="CU15" s="826"/>
      <c r="CV15" s="826"/>
      <c r="CW15" s="826"/>
      <c r="CX15" s="826"/>
      <c r="CY15" s="826"/>
      <c r="CZ15" s="826"/>
      <c r="DA15" s="826"/>
      <c r="DB15" s="826"/>
      <c r="DC15" s="826"/>
      <c r="DD15" s="826"/>
      <c r="DE15" s="826"/>
      <c r="DF15" s="826"/>
      <c r="DG15" s="826"/>
      <c r="DH15" s="826"/>
      <c r="DI15" s="826"/>
      <c r="DJ15" s="826"/>
      <c r="DK15" s="826"/>
      <c r="DL15" s="826"/>
      <c r="DM15" s="826"/>
      <c r="DN15" s="826"/>
      <c r="DO15" s="826"/>
      <c r="DP15" s="826"/>
      <c r="DQ15" s="826"/>
      <c r="DR15" s="826"/>
      <c r="DS15" s="826"/>
      <c r="DT15" s="826"/>
      <c r="DU15" s="826"/>
      <c r="DV15" s="826"/>
      <c r="DW15" s="826"/>
      <c r="DX15" s="826"/>
      <c r="DY15" s="826"/>
      <c r="DZ15" s="826"/>
      <c r="EA15" s="826"/>
      <c r="EB15" s="826"/>
      <c r="EC15" s="826"/>
      <c r="ED15" s="826"/>
      <c r="EE15" s="826"/>
      <c r="EF15" s="826"/>
      <c r="EG15" s="826"/>
      <c r="EH15" s="826"/>
      <c r="EI15" s="826"/>
      <c r="EJ15" s="826"/>
      <c r="EK15" s="826"/>
      <c r="EL15" s="826"/>
      <c r="EM15" s="826"/>
      <c r="EN15" s="826"/>
      <c r="EO15" s="826"/>
      <c r="EP15" s="826"/>
      <c r="EQ15" s="826"/>
      <c r="ER15" s="826"/>
      <c r="ES15" s="826"/>
      <c r="ET15" s="826"/>
      <c r="EU15" s="826"/>
      <c r="EV15" s="826"/>
      <c r="EW15" s="826"/>
      <c r="EX15" s="826"/>
      <c r="EY15" s="826"/>
      <c r="EZ15" s="826"/>
      <c r="FA15" s="826"/>
      <c r="FB15" s="826"/>
      <c r="FC15" s="826"/>
      <c r="FD15" s="826"/>
      <c r="FE15" s="826"/>
      <c r="FF15" s="826"/>
      <c r="FG15" s="826"/>
      <c r="FH15" s="826"/>
      <c r="FI15" s="826"/>
      <c r="FJ15" s="826"/>
      <c r="FK15" s="826"/>
      <c r="FL15" s="826"/>
      <c r="FM15" s="826"/>
      <c r="FN15" s="826"/>
      <c r="FO15" s="826"/>
      <c r="FP15" s="826"/>
      <c r="FQ15" s="826"/>
      <c r="FR15" s="826"/>
      <c r="FS15" s="826"/>
      <c r="FT15" s="826"/>
      <c r="FU15" s="826"/>
      <c r="FV15" s="826"/>
      <c r="FW15" s="826"/>
      <c r="FX15" s="826"/>
      <c r="FY15" s="826"/>
      <c r="FZ15" s="826"/>
      <c r="GA15" s="826"/>
      <c r="GB15" s="826"/>
      <c r="GC15" s="826"/>
      <c r="GD15" s="826"/>
      <c r="GE15" s="826"/>
      <c r="GF15" s="826"/>
      <c r="GG15" s="826"/>
      <c r="GH15" s="826"/>
      <c r="GI15" s="826"/>
      <c r="GJ15" s="826"/>
      <c r="GK15" s="826"/>
      <c r="GL15" s="826"/>
      <c r="GM15" s="826"/>
      <c r="GN15" s="826"/>
      <c r="GO15" s="826"/>
      <c r="GP15" s="826"/>
      <c r="GQ15" s="826"/>
      <c r="GR15" s="826"/>
      <c r="GS15" s="826"/>
      <c r="GT15" s="826"/>
      <c r="GU15" s="826"/>
      <c r="GV15" s="826"/>
      <c r="GW15" s="826"/>
      <c r="GX15" s="826"/>
      <c r="GY15" s="826"/>
      <c r="GZ15" s="826"/>
      <c r="HA15" s="826"/>
      <c r="HB15" s="826"/>
      <c r="HC15" s="826"/>
      <c r="HD15" s="826"/>
      <c r="HE15" s="826"/>
      <c r="HF15" s="826"/>
      <c r="HG15" s="826"/>
      <c r="HH15" s="826"/>
      <c r="HI15" s="826"/>
    </row>
    <row r="16" spans="1:217" s="827" customFormat="1" ht="56.25" customHeight="1">
      <c r="A16" s="96">
        <v>791</v>
      </c>
      <c r="B16" s="126" t="s">
        <v>9969</v>
      </c>
      <c r="C16" s="419">
        <v>79641282</v>
      </c>
      <c r="D16" s="834"/>
      <c r="E16" s="423"/>
      <c r="F16" s="21"/>
      <c r="G16" s="22"/>
      <c r="H16" s="126"/>
      <c r="I16" s="126"/>
      <c r="J16" s="420"/>
      <c r="K16" s="21"/>
      <c r="L16" s="835"/>
      <c r="M16" s="126"/>
      <c r="N16" s="428"/>
      <c r="O16" s="420"/>
      <c r="P16" s="23"/>
      <c r="Q16" s="22"/>
      <c r="R16" s="126"/>
      <c r="S16" s="126"/>
      <c r="T16" s="423"/>
      <c r="U16" s="21"/>
      <c r="V16" s="22"/>
      <c r="W16" s="126"/>
      <c r="X16" s="126"/>
      <c r="Y16" s="423"/>
      <c r="Z16" s="21"/>
      <c r="AA16" s="22"/>
      <c r="AB16" s="126"/>
      <c r="AC16" s="126"/>
      <c r="AD16" s="423"/>
      <c r="AE16" s="21"/>
      <c r="AF16" s="22"/>
      <c r="AG16" s="126"/>
      <c r="AH16" s="126"/>
      <c r="AI16" s="126"/>
      <c r="AJ16" s="21"/>
      <c r="AK16" s="22"/>
      <c r="AL16" s="126"/>
      <c r="AM16" s="126"/>
      <c r="AN16" s="126"/>
      <c r="AO16" s="126"/>
      <c r="AP16" s="22" t="s">
        <v>9970</v>
      </c>
      <c r="AQ16" s="126"/>
      <c r="AR16" s="423"/>
      <c r="AS16" s="423"/>
      <c r="AT16" s="126" t="s">
        <v>9971</v>
      </c>
      <c r="AU16" s="126"/>
      <c r="AV16" s="126"/>
      <c r="AW16" s="423"/>
      <c r="AX16" s="824"/>
      <c r="AY16" s="423"/>
      <c r="AZ16" s="27"/>
      <c r="BA16" s="126"/>
      <c r="BB16" s="126"/>
      <c r="BC16" s="126"/>
      <c r="BD16" s="22"/>
      <c r="BE16" s="22"/>
      <c r="BF16" s="22"/>
      <c r="BG16" s="22"/>
      <c r="BH16" s="28"/>
      <c r="BI16" s="28"/>
      <c r="BJ16" s="29"/>
      <c r="BK16" s="423"/>
      <c r="BL16" s="21"/>
      <c r="BM16" s="428"/>
      <c r="BN16" s="126"/>
      <c r="BO16" s="22"/>
      <c r="BP16" s="22"/>
      <c r="BQ16" s="22"/>
      <c r="BR16" s="97"/>
      <c r="BS16" s="22"/>
      <c r="BT16" s="423"/>
      <c r="BU16" s="21"/>
      <c r="BV16" s="826"/>
      <c r="BW16" s="826"/>
      <c r="BX16" s="826"/>
      <c r="BY16" s="826"/>
      <c r="BZ16" s="826"/>
      <c r="CA16" s="826"/>
      <c r="CB16" s="826"/>
      <c r="CC16" s="826"/>
      <c r="CD16" s="826"/>
      <c r="CE16" s="826"/>
      <c r="CF16" s="826"/>
      <c r="CG16" s="826"/>
      <c r="CH16" s="826"/>
      <c r="CI16" s="826"/>
      <c r="CJ16" s="826"/>
      <c r="CK16" s="826"/>
      <c r="CL16" s="826"/>
      <c r="CM16" s="826"/>
      <c r="CN16" s="826"/>
      <c r="CO16" s="826"/>
      <c r="CP16" s="826"/>
      <c r="CQ16" s="826"/>
      <c r="CR16" s="826"/>
      <c r="CS16" s="826"/>
      <c r="CT16" s="826"/>
      <c r="CU16" s="826"/>
      <c r="CV16" s="826"/>
      <c r="CW16" s="826"/>
      <c r="CX16" s="826"/>
      <c r="CY16" s="826"/>
      <c r="CZ16" s="826"/>
      <c r="DA16" s="826"/>
      <c r="DB16" s="826"/>
      <c r="DC16" s="826"/>
      <c r="DD16" s="826"/>
      <c r="DE16" s="826"/>
      <c r="DF16" s="826"/>
      <c r="DG16" s="826"/>
      <c r="DH16" s="826"/>
      <c r="DI16" s="826"/>
      <c r="DJ16" s="826"/>
      <c r="DK16" s="826"/>
      <c r="DL16" s="826"/>
      <c r="DM16" s="826"/>
      <c r="DN16" s="826"/>
      <c r="DO16" s="826"/>
      <c r="DP16" s="826"/>
      <c r="DQ16" s="826"/>
      <c r="DR16" s="826"/>
      <c r="DS16" s="826"/>
      <c r="DT16" s="826"/>
      <c r="DU16" s="826"/>
      <c r="DV16" s="826"/>
      <c r="DW16" s="826"/>
      <c r="DX16" s="826"/>
      <c r="DY16" s="826"/>
      <c r="DZ16" s="826"/>
      <c r="EA16" s="826"/>
      <c r="EB16" s="826"/>
      <c r="EC16" s="826"/>
      <c r="ED16" s="826"/>
      <c r="EE16" s="826"/>
      <c r="EF16" s="826"/>
      <c r="EG16" s="826"/>
      <c r="EH16" s="826"/>
      <c r="EI16" s="826"/>
      <c r="EJ16" s="826"/>
      <c r="EK16" s="826"/>
      <c r="EL16" s="826"/>
      <c r="EM16" s="826"/>
      <c r="EN16" s="826"/>
      <c r="EO16" s="826"/>
      <c r="EP16" s="826"/>
      <c r="EQ16" s="826"/>
      <c r="ER16" s="826"/>
      <c r="ES16" s="826"/>
      <c r="ET16" s="826"/>
      <c r="EU16" s="826"/>
      <c r="EV16" s="826"/>
      <c r="EW16" s="826"/>
      <c r="EX16" s="826"/>
      <c r="EY16" s="826"/>
      <c r="EZ16" s="826"/>
      <c r="FA16" s="826"/>
      <c r="FB16" s="826"/>
      <c r="FC16" s="826"/>
      <c r="FD16" s="826"/>
      <c r="FE16" s="826"/>
      <c r="FF16" s="826"/>
      <c r="FG16" s="826"/>
      <c r="FH16" s="826"/>
      <c r="FI16" s="826"/>
      <c r="FJ16" s="826"/>
      <c r="FK16" s="826"/>
      <c r="FL16" s="826"/>
      <c r="FM16" s="826"/>
      <c r="FN16" s="826"/>
      <c r="FO16" s="826"/>
      <c r="FP16" s="826"/>
      <c r="FQ16" s="826"/>
      <c r="FR16" s="826"/>
      <c r="FS16" s="826"/>
      <c r="FT16" s="826"/>
      <c r="FU16" s="826"/>
      <c r="FV16" s="826"/>
      <c r="FW16" s="826"/>
      <c r="FX16" s="826"/>
      <c r="FY16" s="826"/>
      <c r="FZ16" s="826"/>
      <c r="GA16" s="826"/>
      <c r="GB16" s="826"/>
      <c r="GC16" s="826"/>
      <c r="GD16" s="826"/>
      <c r="GE16" s="826"/>
      <c r="GF16" s="826"/>
      <c r="GG16" s="826"/>
      <c r="GH16" s="826"/>
      <c r="GI16" s="826"/>
      <c r="GJ16" s="826"/>
      <c r="GK16" s="826"/>
      <c r="GL16" s="826"/>
      <c r="GM16" s="826"/>
      <c r="GN16" s="826"/>
      <c r="GO16" s="826"/>
      <c r="GP16" s="826"/>
      <c r="GQ16" s="826"/>
      <c r="GR16" s="826"/>
      <c r="GS16" s="826"/>
      <c r="GT16" s="826"/>
      <c r="GU16" s="826"/>
      <c r="GV16" s="826"/>
      <c r="GW16" s="826"/>
      <c r="GX16" s="826"/>
      <c r="GY16" s="826"/>
      <c r="GZ16" s="826"/>
      <c r="HA16" s="826"/>
      <c r="HB16" s="826"/>
      <c r="HC16" s="826"/>
      <c r="HD16" s="826"/>
      <c r="HE16" s="826"/>
      <c r="HF16" s="826"/>
      <c r="HG16" s="826"/>
      <c r="HH16" s="826"/>
      <c r="HI16" s="826"/>
    </row>
    <row r="17" spans="1:217" s="827" customFormat="1" ht="56.25" customHeight="1">
      <c r="A17" s="96">
        <v>842</v>
      </c>
      <c r="B17" s="126" t="s">
        <v>4179</v>
      </c>
      <c r="C17" s="419">
        <v>11515248</v>
      </c>
      <c r="D17" s="828" t="s">
        <v>9642</v>
      </c>
      <c r="E17" s="143">
        <v>43336</v>
      </c>
      <c r="F17" s="146">
        <v>43336</v>
      </c>
      <c r="G17" s="145" t="s">
        <v>271</v>
      </c>
      <c r="H17" s="148" t="s">
        <v>9972</v>
      </c>
      <c r="I17" s="148" t="s">
        <v>1393</v>
      </c>
      <c r="J17" s="220"/>
      <c r="K17" s="220"/>
      <c r="L17" s="220"/>
      <c r="M17" s="220"/>
      <c r="N17" s="220"/>
      <c r="O17" s="220"/>
      <c r="P17" s="220"/>
      <c r="Q17" s="220"/>
      <c r="R17" s="220"/>
      <c r="S17" s="220"/>
      <c r="T17" s="220"/>
      <c r="U17" s="220"/>
      <c r="V17" s="220"/>
      <c r="W17" s="220"/>
      <c r="X17" s="220"/>
      <c r="Y17" s="220"/>
      <c r="Z17" s="220"/>
      <c r="AA17" s="220"/>
      <c r="AB17" s="220"/>
      <c r="AC17" s="220"/>
      <c r="AD17" s="220"/>
      <c r="AE17" s="220"/>
      <c r="AF17" s="220"/>
      <c r="AG17" s="220"/>
      <c r="AH17" s="220"/>
      <c r="AI17" s="220"/>
      <c r="AJ17" s="220"/>
      <c r="AK17" s="220"/>
      <c r="AL17" s="220"/>
      <c r="AM17" s="220"/>
      <c r="AN17" s="836"/>
      <c r="AO17" s="836"/>
      <c r="AP17" s="221" t="s">
        <v>9627</v>
      </c>
      <c r="AQ17" s="220"/>
      <c r="AR17" s="220"/>
      <c r="AS17" s="220"/>
      <c r="AT17" s="220"/>
      <c r="AU17" s="220"/>
      <c r="AV17" s="220"/>
      <c r="AW17" s="220"/>
      <c r="AX17" s="837"/>
      <c r="AY17" s="220"/>
      <c r="AZ17" s="224"/>
      <c r="BA17" s="148" t="s">
        <v>9973</v>
      </c>
      <c r="BB17" s="148" t="s">
        <v>6447</v>
      </c>
      <c r="BC17" s="220"/>
      <c r="BD17" s="220"/>
      <c r="BE17" s="220"/>
      <c r="BF17" s="220"/>
      <c r="BG17" s="220"/>
      <c r="BH17" s="220"/>
      <c r="BI17" s="220"/>
      <c r="BJ17" s="220"/>
      <c r="BK17" s="220"/>
      <c r="BL17" s="220"/>
      <c r="BM17" s="220"/>
      <c r="BN17" s="220"/>
      <c r="BO17" s="220"/>
      <c r="BP17" s="220"/>
      <c r="BQ17" s="220"/>
      <c r="BR17" s="220"/>
      <c r="BS17" s="220"/>
      <c r="BT17" s="220"/>
      <c r="BU17" s="220"/>
      <c r="BV17" s="826"/>
      <c r="BW17" s="826"/>
      <c r="BX17" s="826"/>
      <c r="BY17" s="826"/>
      <c r="BZ17" s="826"/>
      <c r="CA17" s="826"/>
      <c r="CB17" s="826"/>
      <c r="CC17" s="826"/>
      <c r="CD17" s="826"/>
      <c r="CE17" s="826"/>
      <c r="CF17" s="826"/>
      <c r="CG17" s="826"/>
      <c r="CH17" s="826"/>
      <c r="CI17" s="826"/>
      <c r="CJ17" s="826"/>
      <c r="CK17" s="826"/>
      <c r="CL17" s="826"/>
      <c r="CM17" s="826"/>
      <c r="CN17" s="826"/>
      <c r="CO17" s="826"/>
      <c r="CP17" s="826"/>
      <c r="CQ17" s="826"/>
      <c r="CR17" s="826"/>
      <c r="CS17" s="826"/>
      <c r="CT17" s="826"/>
      <c r="CU17" s="826"/>
      <c r="CV17" s="826"/>
      <c r="CW17" s="826"/>
      <c r="CX17" s="826"/>
      <c r="CY17" s="826"/>
      <c r="CZ17" s="826"/>
      <c r="DA17" s="826"/>
      <c r="DB17" s="826"/>
      <c r="DC17" s="826"/>
      <c r="DD17" s="826"/>
      <c r="DE17" s="826"/>
      <c r="DF17" s="826"/>
      <c r="DG17" s="826"/>
      <c r="DH17" s="826"/>
      <c r="DI17" s="826"/>
      <c r="DJ17" s="826"/>
      <c r="DK17" s="826"/>
      <c r="DL17" s="826"/>
      <c r="DM17" s="826"/>
      <c r="DN17" s="826"/>
      <c r="DO17" s="826"/>
      <c r="DP17" s="826"/>
      <c r="DQ17" s="826"/>
      <c r="DR17" s="826"/>
      <c r="DS17" s="826"/>
      <c r="DT17" s="826"/>
      <c r="DU17" s="826"/>
      <c r="DV17" s="826"/>
      <c r="DW17" s="826"/>
      <c r="DX17" s="826"/>
      <c r="DY17" s="826"/>
      <c r="DZ17" s="826"/>
      <c r="EA17" s="826"/>
      <c r="EB17" s="826"/>
      <c r="EC17" s="826"/>
      <c r="ED17" s="826"/>
      <c r="EE17" s="826"/>
      <c r="EF17" s="826"/>
      <c r="EG17" s="826"/>
      <c r="EH17" s="826"/>
      <c r="EI17" s="826"/>
      <c r="EJ17" s="826"/>
      <c r="EK17" s="826"/>
      <c r="EL17" s="826"/>
      <c r="EM17" s="826"/>
      <c r="EN17" s="826"/>
      <c r="EO17" s="826"/>
      <c r="EP17" s="826"/>
      <c r="EQ17" s="826"/>
      <c r="ER17" s="826"/>
      <c r="ES17" s="826"/>
      <c r="ET17" s="826"/>
      <c r="EU17" s="826"/>
      <c r="EV17" s="826"/>
      <c r="EW17" s="826"/>
      <c r="EX17" s="826"/>
      <c r="EY17" s="826"/>
      <c r="EZ17" s="826"/>
      <c r="FA17" s="826"/>
      <c r="FB17" s="826"/>
      <c r="FC17" s="826"/>
      <c r="FD17" s="826"/>
      <c r="FE17" s="826"/>
      <c r="FF17" s="826"/>
      <c r="FG17" s="826"/>
      <c r="FH17" s="826"/>
      <c r="FI17" s="826"/>
      <c r="FJ17" s="826"/>
      <c r="FK17" s="826"/>
      <c r="FL17" s="826"/>
      <c r="FM17" s="826"/>
      <c r="FN17" s="826"/>
      <c r="FO17" s="826"/>
      <c r="FP17" s="826"/>
      <c r="FQ17" s="826"/>
      <c r="FR17" s="826"/>
      <c r="FS17" s="826"/>
      <c r="FT17" s="826"/>
      <c r="FU17" s="826"/>
      <c r="FV17" s="826"/>
      <c r="FW17" s="826"/>
      <c r="FX17" s="826"/>
      <c r="FY17" s="826"/>
      <c r="FZ17" s="826"/>
      <c r="GA17" s="826"/>
      <c r="GB17" s="826"/>
      <c r="GC17" s="826"/>
      <c r="GD17" s="826"/>
      <c r="GE17" s="826"/>
      <c r="GF17" s="826"/>
      <c r="GG17" s="826"/>
      <c r="GH17" s="826"/>
      <c r="GI17" s="826"/>
      <c r="GJ17" s="826"/>
      <c r="GK17" s="826"/>
      <c r="GL17" s="826"/>
      <c r="GM17" s="826"/>
      <c r="GN17" s="826"/>
      <c r="GO17" s="826"/>
      <c r="GP17" s="826"/>
      <c r="GQ17" s="826"/>
      <c r="GR17" s="826"/>
      <c r="GS17" s="826"/>
      <c r="GT17" s="826"/>
      <c r="GU17" s="826"/>
      <c r="GV17" s="826"/>
      <c r="GW17" s="826"/>
      <c r="GX17" s="826"/>
      <c r="GY17" s="826"/>
      <c r="GZ17" s="826"/>
      <c r="HA17" s="826"/>
      <c r="HB17" s="826"/>
      <c r="HC17" s="826"/>
      <c r="HD17" s="826"/>
      <c r="HE17" s="826"/>
      <c r="HF17" s="826"/>
      <c r="HG17" s="826"/>
      <c r="HH17" s="826"/>
      <c r="HI17" s="826"/>
    </row>
    <row r="18" spans="1:217" s="827" customFormat="1" ht="56.25" customHeight="1">
      <c r="A18" s="96">
        <v>3</v>
      </c>
      <c r="B18" s="424" t="s">
        <v>8993</v>
      </c>
      <c r="C18" s="142">
        <v>91488652</v>
      </c>
      <c r="D18" s="424" t="s">
        <v>382</v>
      </c>
      <c r="E18" s="143"/>
      <c r="F18" s="146"/>
      <c r="G18" s="145"/>
      <c r="H18" s="148"/>
      <c r="I18" s="175"/>
      <c r="J18" s="173"/>
      <c r="K18" s="146"/>
      <c r="L18" s="174"/>
      <c r="M18" s="175"/>
      <c r="N18" s="175"/>
      <c r="O18" s="173"/>
      <c r="P18" s="146"/>
      <c r="Q18" s="174"/>
      <c r="R18" s="175"/>
      <c r="S18" s="175"/>
      <c r="T18" s="173"/>
      <c r="U18" s="146"/>
      <c r="V18" s="174"/>
      <c r="W18" s="175"/>
      <c r="X18" s="175"/>
      <c r="Y18" s="173"/>
      <c r="Z18" s="146"/>
      <c r="AA18" s="174"/>
      <c r="AB18" s="175"/>
      <c r="AC18" s="175"/>
      <c r="AD18" s="173"/>
      <c r="AE18" s="146"/>
      <c r="AF18" s="174"/>
      <c r="AG18" s="175"/>
      <c r="AH18" s="175"/>
      <c r="AI18" s="175"/>
      <c r="AJ18" s="146"/>
      <c r="AK18" s="174"/>
      <c r="AL18" s="175"/>
      <c r="AM18" s="175"/>
      <c r="AN18" s="195"/>
      <c r="AO18" s="195"/>
      <c r="AP18" s="22" t="s">
        <v>9974</v>
      </c>
      <c r="AQ18" s="175"/>
      <c r="AR18" s="173"/>
      <c r="AS18" s="173"/>
      <c r="AT18" s="175"/>
      <c r="AU18" s="175"/>
      <c r="AV18" s="126" t="s">
        <v>9975</v>
      </c>
      <c r="AW18" s="126" t="s">
        <v>9976</v>
      </c>
      <c r="AX18" s="824"/>
      <c r="AY18" s="173"/>
      <c r="AZ18" s="171"/>
      <c r="BA18" s="148"/>
      <c r="BB18" s="148"/>
      <c r="BC18" s="175"/>
      <c r="BD18" s="174"/>
      <c r="BE18" s="174"/>
      <c r="BF18" s="174"/>
      <c r="BG18" s="174"/>
      <c r="BH18" s="176"/>
      <c r="BI18" s="176"/>
      <c r="BJ18" s="177"/>
      <c r="BK18" s="173"/>
      <c r="BL18" s="146"/>
      <c r="BM18" s="838"/>
      <c r="BN18" s="175"/>
      <c r="BO18" s="174"/>
      <c r="BP18" s="174"/>
      <c r="BQ18" s="174"/>
      <c r="BR18" s="179"/>
      <c r="BS18" s="174"/>
      <c r="BT18" s="173"/>
      <c r="BU18" s="146"/>
      <c r="BV18" s="826"/>
      <c r="BW18" s="826"/>
      <c r="BX18" s="826"/>
      <c r="BY18" s="826"/>
      <c r="BZ18" s="826"/>
      <c r="CA18" s="826"/>
      <c r="CB18" s="826"/>
      <c r="CC18" s="826"/>
      <c r="CD18" s="826"/>
      <c r="CE18" s="826"/>
      <c r="CF18" s="826"/>
      <c r="CG18" s="826"/>
      <c r="CH18" s="826"/>
      <c r="CI18" s="826"/>
      <c r="CJ18" s="826"/>
      <c r="CK18" s="826"/>
      <c r="CL18" s="826"/>
      <c r="CM18" s="826"/>
      <c r="CN18" s="826"/>
      <c r="CO18" s="826"/>
      <c r="CP18" s="826"/>
      <c r="CQ18" s="826"/>
      <c r="CR18" s="826"/>
      <c r="CS18" s="826"/>
      <c r="CT18" s="826"/>
      <c r="CU18" s="826"/>
      <c r="CV18" s="826"/>
      <c r="CW18" s="826"/>
      <c r="CX18" s="826"/>
      <c r="CY18" s="826"/>
      <c r="CZ18" s="826"/>
      <c r="DA18" s="826"/>
      <c r="DB18" s="826"/>
      <c r="DC18" s="826"/>
      <c r="DD18" s="826"/>
      <c r="DE18" s="826"/>
      <c r="DF18" s="826"/>
      <c r="DG18" s="826"/>
      <c r="DH18" s="826"/>
      <c r="DI18" s="826"/>
      <c r="DJ18" s="826"/>
      <c r="DK18" s="826"/>
      <c r="DL18" s="826"/>
      <c r="DM18" s="826"/>
      <c r="DN18" s="826"/>
      <c r="DO18" s="826"/>
      <c r="DP18" s="826"/>
      <c r="DQ18" s="826"/>
      <c r="DR18" s="826"/>
      <c r="DS18" s="826"/>
      <c r="DT18" s="826"/>
      <c r="DU18" s="826"/>
      <c r="DV18" s="826"/>
      <c r="DW18" s="826"/>
      <c r="DX18" s="826"/>
      <c r="DY18" s="826"/>
      <c r="DZ18" s="826"/>
      <c r="EA18" s="826"/>
      <c r="EB18" s="826"/>
      <c r="EC18" s="826"/>
      <c r="ED18" s="826"/>
      <c r="EE18" s="826"/>
      <c r="EF18" s="826"/>
      <c r="EG18" s="826"/>
      <c r="EH18" s="826"/>
      <c r="EI18" s="826"/>
      <c r="EJ18" s="826"/>
      <c r="EK18" s="826"/>
      <c r="EL18" s="826"/>
      <c r="EM18" s="826"/>
      <c r="EN18" s="826"/>
      <c r="EO18" s="826"/>
      <c r="EP18" s="826"/>
      <c r="EQ18" s="826"/>
      <c r="ER18" s="826"/>
      <c r="ES18" s="826"/>
      <c r="ET18" s="826"/>
      <c r="EU18" s="826"/>
      <c r="EV18" s="826"/>
      <c r="EW18" s="826"/>
      <c r="EX18" s="826"/>
      <c r="EY18" s="826"/>
      <c r="EZ18" s="826"/>
      <c r="FA18" s="826"/>
      <c r="FB18" s="826"/>
      <c r="FC18" s="826"/>
      <c r="FD18" s="826"/>
      <c r="FE18" s="826"/>
      <c r="FF18" s="826"/>
      <c r="FG18" s="826"/>
      <c r="FH18" s="826"/>
      <c r="FI18" s="826"/>
      <c r="FJ18" s="826"/>
      <c r="FK18" s="826"/>
      <c r="FL18" s="826"/>
      <c r="FM18" s="826"/>
      <c r="FN18" s="826"/>
      <c r="FO18" s="826"/>
      <c r="FP18" s="826"/>
      <c r="FQ18" s="826"/>
      <c r="FR18" s="826"/>
      <c r="FS18" s="826"/>
      <c r="FT18" s="826"/>
      <c r="FU18" s="826"/>
      <c r="FV18" s="826"/>
      <c r="FW18" s="826"/>
      <c r="FX18" s="826"/>
      <c r="FY18" s="826"/>
      <c r="FZ18" s="826"/>
      <c r="GA18" s="826"/>
      <c r="GB18" s="826"/>
      <c r="GC18" s="826"/>
      <c r="GD18" s="826"/>
      <c r="GE18" s="826"/>
      <c r="GF18" s="826"/>
      <c r="GG18" s="826"/>
      <c r="GH18" s="826"/>
      <c r="GI18" s="826"/>
      <c r="GJ18" s="826"/>
      <c r="GK18" s="826"/>
      <c r="GL18" s="826"/>
      <c r="GM18" s="826"/>
      <c r="GN18" s="826"/>
      <c r="GO18" s="826"/>
      <c r="GP18" s="826"/>
      <c r="GQ18" s="826"/>
      <c r="GR18" s="826"/>
      <c r="GS18" s="826"/>
      <c r="GT18" s="826"/>
      <c r="GU18" s="826"/>
      <c r="GV18" s="826"/>
      <c r="GW18" s="826"/>
      <c r="GX18" s="826"/>
      <c r="GY18" s="826"/>
      <c r="GZ18" s="826"/>
      <c r="HA18" s="826"/>
      <c r="HB18" s="826"/>
      <c r="HC18" s="826"/>
      <c r="HD18" s="826"/>
      <c r="HE18" s="826"/>
      <c r="HF18" s="826"/>
      <c r="HG18" s="826"/>
      <c r="HH18" s="826"/>
      <c r="HI18" s="826"/>
    </row>
    <row r="19" spans="1:217" s="827" customFormat="1" ht="56.25" customHeight="1">
      <c r="A19" s="96">
        <v>5</v>
      </c>
      <c r="B19" s="148" t="s">
        <v>9977</v>
      </c>
      <c r="C19" s="142">
        <v>80031981</v>
      </c>
      <c r="D19" s="424" t="s">
        <v>9978</v>
      </c>
      <c r="E19" s="143"/>
      <c r="F19" s="146"/>
      <c r="G19" s="145"/>
      <c r="H19" s="148"/>
      <c r="I19" s="175"/>
      <c r="J19" s="173"/>
      <c r="K19" s="146"/>
      <c r="L19" s="174"/>
      <c r="M19" s="175"/>
      <c r="N19" s="175"/>
      <c r="O19" s="173"/>
      <c r="P19" s="146"/>
      <c r="Q19" s="174"/>
      <c r="R19" s="175"/>
      <c r="S19" s="175"/>
      <c r="T19" s="173"/>
      <c r="U19" s="146"/>
      <c r="V19" s="174"/>
      <c r="W19" s="175"/>
      <c r="X19" s="175"/>
      <c r="Y19" s="173"/>
      <c r="Z19" s="146"/>
      <c r="AA19" s="174"/>
      <c r="AB19" s="175"/>
      <c r="AC19" s="175"/>
      <c r="AD19" s="173"/>
      <c r="AE19" s="146"/>
      <c r="AF19" s="174"/>
      <c r="AG19" s="175"/>
      <c r="AH19" s="175"/>
      <c r="AI19" s="175"/>
      <c r="AJ19" s="146"/>
      <c r="AK19" s="174"/>
      <c r="AL19" s="175"/>
      <c r="AM19" s="175"/>
      <c r="AN19" s="195"/>
      <c r="AO19" s="195"/>
      <c r="AP19" s="22" t="s">
        <v>9979</v>
      </c>
      <c r="AQ19" s="175"/>
      <c r="AR19" s="173"/>
      <c r="AS19" s="173"/>
      <c r="AT19" s="175"/>
      <c r="AU19" s="175"/>
      <c r="AV19" s="126" t="s">
        <v>9980</v>
      </c>
      <c r="AW19" s="126" t="s">
        <v>9981</v>
      </c>
      <c r="AX19" s="839"/>
      <c r="AY19" s="173"/>
      <c r="AZ19" s="171"/>
      <c r="BA19" s="148"/>
      <c r="BB19" s="148"/>
      <c r="BC19" s="175"/>
      <c r="BD19" s="174"/>
      <c r="BE19" s="174"/>
      <c r="BF19" s="174"/>
      <c r="BG19" s="174"/>
      <c r="BH19" s="176"/>
      <c r="BI19" s="176"/>
      <c r="BJ19" s="177"/>
      <c r="BK19" s="173"/>
      <c r="BL19" s="146"/>
      <c r="BM19" s="838"/>
      <c r="BN19" s="175"/>
      <c r="BO19" s="174"/>
      <c r="BP19" s="174"/>
      <c r="BQ19" s="174"/>
      <c r="BR19" s="179"/>
      <c r="BS19" s="174"/>
      <c r="BT19" s="173"/>
      <c r="BU19" s="146"/>
      <c r="BV19" s="826"/>
      <c r="BW19" s="826"/>
      <c r="BX19" s="826"/>
      <c r="BY19" s="826"/>
      <c r="BZ19" s="826"/>
      <c r="CA19" s="826"/>
      <c r="CB19" s="826"/>
      <c r="CC19" s="826"/>
      <c r="CD19" s="826"/>
      <c r="CE19" s="826"/>
      <c r="CF19" s="826"/>
      <c r="CG19" s="826"/>
      <c r="CH19" s="826"/>
      <c r="CI19" s="826"/>
      <c r="CJ19" s="826"/>
      <c r="CK19" s="826"/>
      <c r="CL19" s="826"/>
      <c r="CM19" s="826"/>
      <c r="CN19" s="826"/>
      <c r="CO19" s="826"/>
      <c r="CP19" s="826"/>
      <c r="CQ19" s="826"/>
      <c r="CR19" s="826"/>
      <c r="CS19" s="826"/>
      <c r="CT19" s="826"/>
      <c r="CU19" s="826"/>
      <c r="CV19" s="826"/>
      <c r="CW19" s="826"/>
      <c r="CX19" s="826"/>
      <c r="CY19" s="826"/>
      <c r="CZ19" s="826"/>
      <c r="DA19" s="826"/>
      <c r="DB19" s="826"/>
      <c r="DC19" s="826"/>
      <c r="DD19" s="826"/>
      <c r="DE19" s="826"/>
      <c r="DF19" s="826"/>
      <c r="DG19" s="826"/>
      <c r="DH19" s="826"/>
      <c r="DI19" s="826"/>
      <c r="DJ19" s="826"/>
      <c r="DK19" s="826"/>
      <c r="DL19" s="826"/>
      <c r="DM19" s="826"/>
      <c r="DN19" s="826"/>
      <c r="DO19" s="826"/>
      <c r="DP19" s="826"/>
      <c r="DQ19" s="826"/>
      <c r="DR19" s="826"/>
      <c r="DS19" s="826"/>
      <c r="DT19" s="826"/>
      <c r="DU19" s="826"/>
      <c r="DV19" s="826"/>
      <c r="DW19" s="826"/>
      <c r="DX19" s="826"/>
      <c r="DY19" s="826"/>
      <c r="DZ19" s="826"/>
      <c r="EA19" s="826"/>
      <c r="EB19" s="826"/>
      <c r="EC19" s="826"/>
      <c r="ED19" s="826"/>
      <c r="EE19" s="826"/>
      <c r="EF19" s="826"/>
      <c r="EG19" s="826"/>
      <c r="EH19" s="826"/>
      <c r="EI19" s="826"/>
      <c r="EJ19" s="826"/>
      <c r="EK19" s="826"/>
      <c r="EL19" s="826"/>
      <c r="EM19" s="826"/>
      <c r="EN19" s="826"/>
      <c r="EO19" s="826"/>
      <c r="EP19" s="826"/>
      <c r="EQ19" s="826"/>
      <c r="ER19" s="826"/>
      <c r="ES19" s="826"/>
      <c r="ET19" s="826"/>
      <c r="EU19" s="826"/>
      <c r="EV19" s="826"/>
      <c r="EW19" s="826"/>
      <c r="EX19" s="826"/>
      <c r="EY19" s="826"/>
      <c r="EZ19" s="826"/>
      <c r="FA19" s="826"/>
      <c r="FB19" s="826"/>
      <c r="FC19" s="826"/>
      <c r="FD19" s="826"/>
      <c r="FE19" s="826"/>
      <c r="FF19" s="826"/>
      <c r="FG19" s="826"/>
      <c r="FH19" s="826"/>
      <c r="FI19" s="826"/>
      <c r="FJ19" s="826"/>
      <c r="FK19" s="826"/>
      <c r="FL19" s="826"/>
      <c r="FM19" s="826"/>
      <c r="FN19" s="826"/>
      <c r="FO19" s="826"/>
      <c r="FP19" s="826"/>
      <c r="FQ19" s="826"/>
      <c r="FR19" s="826"/>
      <c r="FS19" s="826"/>
      <c r="FT19" s="826"/>
      <c r="FU19" s="826"/>
      <c r="FV19" s="826"/>
      <c r="FW19" s="826"/>
      <c r="FX19" s="826"/>
      <c r="FY19" s="826"/>
      <c r="FZ19" s="826"/>
      <c r="GA19" s="826"/>
      <c r="GB19" s="826"/>
      <c r="GC19" s="826"/>
      <c r="GD19" s="826"/>
      <c r="GE19" s="826"/>
      <c r="GF19" s="826"/>
      <c r="GG19" s="826"/>
      <c r="GH19" s="826"/>
      <c r="GI19" s="826"/>
      <c r="GJ19" s="826"/>
      <c r="GK19" s="826"/>
      <c r="GL19" s="826"/>
      <c r="GM19" s="826"/>
      <c r="GN19" s="826"/>
      <c r="GO19" s="826"/>
      <c r="GP19" s="826"/>
      <c r="GQ19" s="826"/>
      <c r="GR19" s="826"/>
      <c r="GS19" s="826"/>
      <c r="GT19" s="826"/>
      <c r="GU19" s="826"/>
      <c r="GV19" s="826"/>
      <c r="GW19" s="826"/>
      <c r="GX19" s="826"/>
      <c r="GY19" s="826"/>
      <c r="GZ19" s="826"/>
      <c r="HA19" s="826"/>
      <c r="HB19" s="826"/>
      <c r="HC19" s="826"/>
      <c r="HD19" s="826"/>
      <c r="HE19" s="826"/>
      <c r="HF19" s="826"/>
      <c r="HG19" s="826"/>
      <c r="HH19" s="826"/>
      <c r="HI19" s="826"/>
    </row>
    <row r="20" spans="1:217" s="827" customFormat="1" ht="56.25" customHeight="1">
      <c r="A20" s="96">
        <v>7</v>
      </c>
      <c r="B20" s="148" t="s">
        <v>9982</v>
      </c>
      <c r="C20" s="142">
        <v>51709693</v>
      </c>
      <c r="D20" s="424" t="s">
        <v>9983</v>
      </c>
      <c r="E20" s="143"/>
      <c r="F20" s="146"/>
      <c r="G20" s="145"/>
      <c r="H20" s="148"/>
      <c r="I20" s="175"/>
      <c r="J20" s="173"/>
      <c r="K20" s="146"/>
      <c r="L20" s="174"/>
      <c r="M20" s="175"/>
      <c r="N20" s="175"/>
      <c r="O20" s="173"/>
      <c r="P20" s="146"/>
      <c r="Q20" s="174"/>
      <c r="R20" s="175"/>
      <c r="S20" s="175"/>
      <c r="T20" s="173"/>
      <c r="U20" s="146"/>
      <c r="V20" s="174"/>
      <c r="W20" s="175"/>
      <c r="X20" s="175"/>
      <c r="Y20" s="173"/>
      <c r="Z20" s="146"/>
      <c r="AA20" s="174"/>
      <c r="AB20" s="175"/>
      <c r="AC20" s="175"/>
      <c r="AD20" s="173"/>
      <c r="AE20" s="146"/>
      <c r="AF20" s="174"/>
      <c r="AG20" s="175"/>
      <c r="AH20" s="175"/>
      <c r="AI20" s="175"/>
      <c r="AJ20" s="146"/>
      <c r="AK20" s="174"/>
      <c r="AL20" s="175"/>
      <c r="AM20" s="175"/>
      <c r="AN20" s="195"/>
      <c r="AO20" s="195"/>
      <c r="AP20" s="22" t="s">
        <v>9984</v>
      </c>
      <c r="AQ20" s="175"/>
      <c r="AR20" s="173"/>
      <c r="AS20" s="173"/>
      <c r="AT20" s="175"/>
      <c r="AU20" s="175"/>
      <c r="AV20" s="126" t="s">
        <v>9985</v>
      </c>
      <c r="AW20" s="126" t="s">
        <v>9986</v>
      </c>
      <c r="AX20" s="839"/>
      <c r="AY20" s="173"/>
      <c r="AZ20" s="171"/>
      <c r="BA20" s="148"/>
      <c r="BB20" s="148"/>
      <c r="BC20" s="175"/>
      <c r="BD20" s="174"/>
      <c r="BE20" s="174"/>
      <c r="BF20" s="174"/>
      <c r="BG20" s="174"/>
      <c r="BH20" s="176"/>
      <c r="BI20" s="176"/>
      <c r="BJ20" s="177"/>
      <c r="BK20" s="173"/>
      <c r="BL20" s="146"/>
      <c r="BM20" s="838"/>
      <c r="BN20" s="175"/>
      <c r="BO20" s="174"/>
      <c r="BP20" s="174"/>
      <c r="BQ20" s="174"/>
      <c r="BR20" s="179"/>
      <c r="BS20" s="174"/>
      <c r="BT20" s="173"/>
      <c r="BU20" s="146"/>
      <c r="BV20" s="826"/>
      <c r="BW20" s="826"/>
      <c r="BX20" s="826"/>
      <c r="BY20" s="826"/>
      <c r="BZ20" s="826"/>
      <c r="CA20" s="826"/>
      <c r="CB20" s="826"/>
      <c r="CC20" s="826"/>
      <c r="CD20" s="826"/>
      <c r="CE20" s="826"/>
      <c r="CF20" s="826"/>
      <c r="CG20" s="826"/>
      <c r="CH20" s="826"/>
      <c r="CI20" s="826"/>
      <c r="CJ20" s="826"/>
      <c r="CK20" s="826"/>
      <c r="CL20" s="826"/>
      <c r="CM20" s="826"/>
      <c r="CN20" s="826"/>
      <c r="CO20" s="826"/>
      <c r="CP20" s="826"/>
      <c r="CQ20" s="826"/>
      <c r="CR20" s="826"/>
      <c r="CS20" s="826"/>
      <c r="CT20" s="826"/>
      <c r="CU20" s="826"/>
      <c r="CV20" s="826"/>
      <c r="CW20" s="826"/>
      <c r="CX20" s="826"/>
      <c r="CY20" s="826"/>
      <c r="CZ20" s="826"/>
      <c r="DA20" s="826"/>
      <c r="DB20" s="826"/>
      <c r="DC20" s="826"/>
      <c r="DD20" s="826"/>
      <c r="DE20" s="826"/>
      <c r="DF20" s="826"/>
      <c r="DG20" s="826"/>
      <c r="DH20" s="826"/>
      <c r="DI20" s="826"/>
      <c r="DJ20" s="826"/>
      <c r="DK20" s="826"/>
      <c r="DL20" s="826"/>
      <c r="DM20" s="826"/>
      <c r="DN20" s="826"/>
      <c r="DO20" s="826"/>
      <c r="DP20" s="826"/>
      <c r="DQ20" s="826"/>
      <c r="DR20" s="826"/>
      <c r="DS20" s="826"/>
      <c r="DT20" s="826"/>
      <c r="DU20" s="826"/>
      <c r="DV20" s="826"/>
      <c r="DW20" s="826"/>
      <c r="DX20" s="826"/>
      <c r="DY20" s="826"/>
      <c r="DZ20" s="826"/>
      <c r="EA20" s="826"/>
      <c r="EB20" s="826"/>
      <c r="EC20" s="826"/>
      <c r="ED20" s="826"/>
      <c r="EE20" s="826"/>
      <c r="EF20" s="826"/>
      <c r="EG20" s="826"/>
      <c r="EH20" s="826"/>
      <c r="EI20" s="826"/>
      <c r="EJ20" s="826"/>
      <c r="EK20" s="826"/>
      <c r="EL20" s="826"/>
      <c r="EM20" s="826"/>
      <c r="EN20" s="826"/>
      <c r="EO20" s="826"/>
      <c r="EP20" s="826"/>
      <c r="EQ20" s="826"/>
      <c r="ER20" s="826"/>
      <c r="ES20" s="826"/>
      <c r="ET20" s="826"/>
      <c r="EU20" s="826"/>
      <c r="EV20" s="826"/>
      <c r="EW20" s="826"/>
      <c r="EX20" s="826"/>
      <c r="EY20" s="826"/>
      <c r="EZ20" s="826"/>
      <c r="FA20" s="826"/>
      <c r="FB20" s="826"/>
      <c r="FC20" s="826"/>
      <c r="FD20" s="826"/>
      <c r="FE20" s="826"/>
      <c r="FF20" s="826"/>
      <c r="FG20" s="826"/>
      <c r="FH20" s="826"/>
      <c r="FI20" s="826"/>
      <c r="FJ20" s="826"/>
      <c r="FK20" s="826"/>
      <c r="FL20" s="826"/>
      <c r="FM20" s="826"/>
      <c r="FN20" s="826"/>
      <c r="FO20" s="826"/>
      <c r="FP20" s="826"/>
      <c r="FQ20" s="826"/>
      <c r="FR20" s="826"/>
      <c r="FS20" s="826"/>
      <c r="FT20" s="826"/>
      <c r="FU20" s="826"/>
      <c r="FV20" s="826"/>
      <c r="FW20" s="826"/>
      <c r="FX20" s="826"/>
      <c r="FY20" s="826"/>
      <c r="FZ20" s="826"/>
      <c r="GA20" s="826"/>
      <c r="GB20" s="826"/>
      <c r="GC20" s="826"/>
      <c r="GD20" s="826"/>
      <c r="GE20" s="826"/>
      <c r="GF20" s="826"/>
      <c r="GG20" s="826"/>
      <c r="GH20" s="826"/>
      <c r="GI20" s="826"/>
      <c r="GJ20" s="826"/>
      <c r="GK20" s="826"/>
      <c r="GL20" s="826"/>
      <c r="GM20" s="826"/>
      <c r="GN20" s="826"/>
      <c r="GO20" s="826"/>
      <c r="GP20" s="826"/>
      <c r="GQ20" s="826"/>
      <c r="GR20" s="826"/>
      <c r="GS20" s="826"/>
      <c r="GT20" s="826"/>
      <c r="GU20" s="826"/>
      <c r="GV20" s="826"/>
      <c r="GW20" s="826"/>
      <c r="GX20" s="826"/>
      <c r="GY20" s="826"/>
      <c r="GZ20" s="826"/>
      <c r="HA20" s="826"/>
      <c r="HB20" s="826"/>
      <c r="HC20" s="826"/>
      <c r="HD20" s="826"/>
      <c r="HE20" s="826"/>
      <c r="HF20" s="826"/>
      <c r="HG20" s="826"/>
      <c r="HH20" s="826"/>
      <c r="HI20" s="826"/>
    </row>
    <row r="21" spans="1:217" s="827" customFormat="1" ht="56.25" customHeight="1">
      <c r="A21" s="96">
        <v>9</v>
      </c>
      <c r="B21" s="840" t="s">
        <v>9987</v>
      </c>
      <c r="C21" s="142">
        <v>16862777</v>
      </c>
      <c r="D21" s="424" t="s">
        <v>9988</v>
      </c>
      <c r="E21" s="143"/>
      <c r="F21" s="146"/>
      <c r="G21" s="145"/>
      <c r="H21" s="148"/>
      <c r="I21" s="175"/>
      <c r="J21" s="173"/>
      <c r="K21" s="146"/>
      <c r="L21" s="174"/>
      <c r="M21" s="175"/>
      <c r="N21" s="175"/>
      <c r="O21" s="173"/>
      <c r="P21" s="146"/>
      <c r="Q21" s="174"/>
      <c r="R21" s="175"/>
      <c r="S21" s="175"/>
      <c r="T21" s="173"/>
      <c r="U21" s="146"/>
      <c r="V21" s="174"/>
      <c r="W21" s="175"/>
      <c r="X21" s="175"/>
      <c r="Y21" s="173"/>
      <c r="Z21" s="146"/>
      <c r="AA21" s="174"/>
      <c r="AB21" s="175"/>
      <c r="AC21" s="175"/>
      <c r="AD21" s="173"/>
      <c r="AE21" s="146"/>
      <c r="AF21" s="174"/>
      <c r="AG21" s="175"/>
      <c r="AH21" s="175"/>
      <c r="AI21" s="175"/>
      <c r="AJ21" s="146"/>
      <c r="AK21" s="174"/>
      <c r="AL21" s="175"/>
      <c r="AM21" s="175"/>
      <c r="AN21" s="195"/>
      <c r="AO21" s="195"/>
      <c r="AP21" s="22" t="s">
        <v>9989</v>
      </c>
      <c r="AQ21" s="175"/>
      <c r="AR21" s="173"/>
      <c r="AS21" s="173"/>
      <c r="AT21" s="175"/>
      <c r="AU21" s="175"/>
      <c r="AV21" s="126" t="s">
        <v>9990</v>
      </c>
      <c r="AW21" s="126" t="s">
        <v>9991</v>
      </c>
      <c r="AX21" s="839"/>
      <c r="AY21" s="173"/>
      <c r="AZ21" s="171"/>
      <c r="BA21" s="148"/>
      <c r="BB21" s="148"/>
      <c r="BC21" s="175"/>
      <c r="BD21" s="174"/>
      <c r="BE21" s="174"/>
      <c r="BF21" s="174"/>
      <c r="BG21" s="174"/>
      <c r="BH21" s="176"/>
      <c r="BI21" s="176"/>
      <c r="BJ21" s="177"/>
      <c r="BK21" s="173"/>
      <c r="BL21" s="146"/>
      <c r="BM21" s="838"/>
      <c r="BN21" s="175"/>
      <c r="BO21" s="174"/>
      <c r="BP21" s="174"/>
      <c r="BQ21" s="174"/>
      <c r="BR21" s="179"/>
      <c r="BS21" s="174"/>
      <c r="BT21" s="173"/>
      <c r="BU21" s="146"/>
      <c r="BV21" s="826"/>
      <c r="BW21" s="826"/>
      <c r="BX21" s="826"/>
      <c r="BY21" s="826"/>
      <c r="BZ21" s="826"/>
      <c r="CA21" s="826"/>
      <c r="CB21" s="826"/>
      <c r="CC21" s="826"/>
      <c r="CD21" s="826"/>
      <c r="CE21" s="826"/>
      <c r="CF21" s="826"/>
      <c r="CG21" s="826"/>
      <c r="CH21" s="826"/>
      <c r="CI21" s="826"/>
      <c r="CJ21" s="826"/>
      <c r="CK21" s="826"/>
      <c r="CL21" s="826"/>
      <c r="CM21" s="826"/>
      <c r="CN21" s="826"/>
      <c r="CO21" s="826"/>
      <c r="CP21" s="826"/>
      <c r="CQ21" s="826"/>
      <c r="CR21" s="826"/>
      <c r="CS21" s="826"/>
      <c r="CT21" s="826"/>
      <c r="CU21" s="826"/>
      <c r="CV21" s="826"/>
      <c r="CW21" s="826"/>
      <c r="CX21" s="826"/>
      <c r="CY21" s="826"/>
      <c r="CZ21" s="826"/>
      <c r="DA21" s="826"/>
      <c r="DB21" s="826"/>
      <c r="DC21" s="826"/>
      <c r="DD21" s="826"/>
      <c r="DE21" s="826"/>
      <c r="DF21" s="826"/>
      <c r="DG21" s="826"/>
      <c r="DH21" s="826"/>
      <c r="DI21" s="826"/>
      <c r="DJ21" s="826"/>
      <c r="DK21" s="826"/>
      <c r="DL21" s="826"/>
      <c r="DM21" s="826"/>
      <c r="DN21" s="826"/>
      <c r="DO21" s="826"/>
      <c r="DP21" s="826"/>
      <c r="DQ21" s="826"/>
      <c r="DR21" s="826"/>
      <c r="DS21" s="826"/>
      <c r="DT21" s="826"/>
      <c r="DU21" s="826"/>
      <c r="DV21" s="826"/>
      <c r="DW21" s="826"/>
      <c r="DX21" s="826"/>
      <c r="DY21" s="826"/>
      <c r="DZ21" s="826"/>
      <c r="EA21" s="826"/>
      <c r="EB21" s="826"/>
      <c r="EC21" s="826"/>
      <c r="ED21" s="826"/>
      <c r="EE21" s="826"/>
      <c r="EF21" s="826"/>
      <c r="EG21" s="826"/>
      <c r="EH21" s="826"/>
      <c r="EI21" s="826"/>
      <c r="EJ21" s="826"/>
      <c r="EK21" s="826"/>
      <c r="EL21" s="826"/>
      <c r="EM21" s="826"/>
      <c r="EN21" s="826"/>
      <c r="EO21" s="826"/>
      <c r="EP21" s="826"/>
      <c r="EQ21" s="826"/>
      <c r="ER21" s="826"/>
      <c r="ES21" s="826"/>
      <c r="ET21" s="826"/>
      <c r="EU21" s="826"/>
      <c r="EV21" s="826"/>
      <c r="EW21" s="826"/>
      <c r="EX21" s="826"/>
      <c r="EY21" s="826"/>
      <c r="EZ21" s="826"/>
      <c r="FA21" s="826"/>
      <c r="FB21" s="826"/>
      <c r="FC21" s="826"/>
      <c r="FD21" s="826"/>
      <c r="FE21" s="826"/>
      <c r="FF21" s="826"/>
      <c r="FG21" s="826"/>
      <c r="FH21" s="826"/>
      <c r="FI21" s="826"/>
      <c r="FJ21" s="826"/>
      <c r="FK21" s="826"/>
      <c r="FL21" s="826"/>
      <c r="FM21" s="826"/>
      <c r="FN21" s="826"/>
      <c r="FO21" s="826"/>
      <c r="FP21" s="826"/>
      <c r="FQ21" s="826"/>
      <c r="FR21" s="826"/>
      <c r="FS21" s="826"/>
      <c r="FT21" s="826"/>
      <c r="FU21" s="826"/>
      <c r="FV21" s="826"/>
      <c r="FW21" s="826"/>
      <c r="FX21" s="826"/>
      <c r="FY21" s="826"/>
      <c r="FZ21" s="826"/>
      <c r="GA21" s="826"/>
      <c r="GB21" s="826"/>
      <c r="GC21" s="826"/>
      <c r="GD21" s="826"/>
      <c r="GE21" s="826"/>
      <c r="GF21" s="826"/>
      <c r="GG21" s="826"/>
      <c r="GH21" s="826"/>
      <c r="GI21" s="826"/>
      <c r="GJ21" s="826"/>
      <c r="GK21" s="826"/>
      <c r="GL21" s="826"/>
      <c r="GM21" s="826"/>
      <c r="GN21" s="826"/>
      <c r="GO21" s="826"/>
      <c r="GP21" s="826"/>
      <c r="GQ21" s="826"/>
      <c r="GR21" s="826"/>
      <c r="GS21" s="826"/>
      <c r="GT21" s="826"/>
      <c r="GU21" s="826"/>
      <c r="GV21" s="826"/>
      <c r="GW21" s="826"/>
      <c r="GX21" s="826"/>
      <c r="GY21" s="826"/>
      <c r="GZ21" s="826"/>
      <c r="HA21" s="826"/>
      <c r="HB21" s="826"/>
      <c r="HC21" s="826"/>
      <c r="HD21" s="826"/>
      <c r="HE21" s="826"/>
      <c r="HF21" s="826"/>
      <c r="HG21" s="826"/>
      <c r="HH21" s="826"/>
      <c r="HI21" s="826"/>
    </row>
    <row r="22" spans="1:217" s="827" customFormat="1" ht="56.25" customHeight="1">
      <c r="A22" s="96">
        <v>10</v>
      </c>
      <c r="B22" s="840" t="s">
        <v>9681</v>
      </c>
      <c r="C22" s="142">
        <v>9395325</v>
      </c>
      <c r="D22" s="424" t="s">
        <v>597</v>
      </c>
      <c r="E22" s="143"/>
      <c r="F22" s="146"/>
      <c r="G22" s="145"/>
      <c r="H22" s="148"/>
      <c r="I22" s="175"/>
      <c r="J22" s="173"/>
      <c r="K22" s="146"/>
      <c r="L22" s="174"/>
      <c r="M22" s="175"/>
      <c r="N22" s="175"/>
      <c r="O22" s="173"/>
      <c r="P22" s="146"/>
      <c r="Q22" s="174"/>
      <c r="R22" s="175"/>
      <c r="S22" s="175"/>
      <c r="T22" s="173"/>
      <c r="U22" s="146"/>
      <c r="V22" s="174"/>
      <c r="W22" s="175"/>
      <c r="X22" s="175"/>
      <c r="Y22" s="173"/>
      <c r="Z22" s="146"/>
      <c r="AA22" s="174"/>
      <c r="AB22" s="175"/>
      <c r="AC22" s="175"/>
      <c r="AD22" s="173"/>
      <c r="AE22" s="146"/>
      <c r="AF22" s="174"/>
      <c r="AG22" s="175"/>
      <c r="AH22" s="175"/>
      <c r="AI22" s="175"/>
      <c r="AJ22" s="146"/>
      <c r="AK22" s="174"/>
      <c r="AL22" s="175"/>
      <c r="AM22" s="175"/>
      <c r="AN22" s="195"/>
      <c r="AO22" s="195"/>
      <c r="AP22" s="22" t="s">
        <v>9992</v>
      </c>
      <c r="AQ22" s="175"/>
      <c r="AR22" s="173"/>
      <c r="AS22" s="173"/>
      <c r="AT22" s="175"/>
      <c r="AU22" s="175"/>
      <c r="AV22" s="126" t="s">
        <v>9993</v>
      </c>
      <c r="AW22" s="126"/>
      <c r="AX22" s="839"/>
      <c r="AY22" s="173"/>
      <c r="AZ22" s="171"/>
      <c r="BA22" s="148"/>
      <c r="BB22" s="148"/>
      <c r="BC22" s="175"/>
      <c r="BD22" s="174"/>
      <c r="BE22" s="174"/>
      <c r="BF22" s="174"/>
      <c r="BG22" s="174"/>
      <c r="BH22" s="176"/>
      <c r="BI22" s="176"/>
      <c r="BJ22" s="177"/>
      <c r="BK22" s="173"/>
      <c r="BL22" s="146"/>
      <c r="BM22" s="838"/>
      <c r="BN22" s="175"/>
      <c r="BO22" s="174"/>
      <c r="BP22" s="174"/>
      <c r="BQ22" s="174"/>
      <c r="BR22" s="179"/>
      <c r="BS22" s="174"/>
      <c r="BT22" s="173"/>
      <c r="BU22" s="146"/>
      <c r="BV22" s="826"/>
      <c r="BW22" s="826"/>
      <c r="BX22" s="826"/>
      <c r="BY22" s="826"/>
      <c r="BZ22" s="826"/>
      <c r="CA22" s="826"/>
      <c r="CB22" s="826"/>
      <c r="CC22" s="826"/>
      <c r="CD22" s="826"/>
      <c r="CE22" s="826"/>
      <c r="CF22" s="826"/>
      <c r="CG22" s="826"/>
      <c r="CH22" s="826"/>
      <c r="CI22" s="826"/>
      <c r="CJ22" s="826"/>
      <c r="CK22" s="826"/>
      <c r="CL22" s="826"/>
      <c r="CM22" s="826"/>
      <c r="CN22" s="826"/>
      <c r="CO22" s="826"/>
      <c r="CP22" s="826"/>
      <c r="CQ22" s="826"/>
      <c r="CR22" s="826"/>
      <c r="CS22" s="826"/>
      <c r="CT22" s="826"/>
      <c r="CU22" s="826"/>
      <c r="CV22" s="826"/>
      <c r="CW22" s="826"/>
      <c r="CX22" s="826"/>
      <c r="CY22" s="826"/>
      <c r="CZ22" s="826"/>
      <c r="DA22" s="826"/>
      <c r="DB22" s="826"/>
      <c r="DC22" s="826"/>
      <c r="DD22" s="826"/>
      <c r="DE22" s="826"/>
      <c r="DF22" s="826"/>
      <c r="DG22" s="826"/>
      <c r="DH22" s="826"/>
      <c r="DI22" s="826"/>
      <c r="DJ22" s="826"/>
      <c r="DK22" s="826"/>
      <c r="DL22" s="826"/>
      <c r="DM22" s="826"/>
      <c r="DN22" s="826"/>
      <c r="DO22" s="826"/>
      <c r="DP22" s="826"/>
      <c r="DQ22" s="826"/>
      <c r="DR22" s="826"/>
      <c r="DS22" s="826"/>
      <c r="DT22" s="826"/>
      <c r="DU22" s="826"/>
      <c r="DV22" s="826"/>
      <c r="DW22" s="826"/>
      <c r="DX22" s="826"/>
      <c r="DY22" s="826"/>
      <c r="DZ22" s="826"/>
      <c r="EA22" s="826"/>
      <c r="EB22" s="826"/>
      <c r="EC22" s="826"/>
      <c r="ED22" s="826"/>
      <c r="EE22" s="826"/>
      <c r="EF22" s="826"/>
      <c r="EG22" s="826"/>
      <c r="EH22" s="826"/>
      <c r="EI22" s="826"/>
      <c r="EJ22" s="826"/>
      <c r="EK22" s="826"/>
      <c r="EL22" s="826"/>
      <c r="EM22" s="826"/>
      <c r="EN22" s="826"/>
      <c r="EO22" s="826"/>
      <c r="EP22" s="826"/>
      <c r="EQ22" s="826"/>
      <c r="ER22" s="826"/>
      <c r="ES22" s="826"/>
      <c r="ET22" s="826"/>
      <c r="EU22" s="826"/>
      <c r="EV22" s="826"/>
      <c r="EW22" s="826"/>
      <c r="EX22" s="826"/>
      <c r="EY22" s="826"/>
      <c r="EZ22" s="826"/>
      <c r="FA22" s="826"/>
      <c r="FB22" s="826"/>
      <c r="FC22" s="826"/>
      <c r="FD22" s="826"/>
      <c r="FE22" s="826"/>
      <c r="FF22" s="826"/>
      <c r="FG22" s="826"/>
      <c r="FH22" s="826"/>
      <c r="FI22" s="826"/>
      <c r="FJ22" s="826"/>
      <c r="FK22" s="826"/>
      <c r="FL22" s="826"/>
      <c r="FM22" s="826"/>
      <c r="FN22" s="826"/>
      <c r="FO22" s="826"/>
      <c r="FP22" s="826"/>
      <c r="FQ22" s="826"/>
      <c r="FR22" s="826"/>
      <c r="FS22" s="826"/>
      <c r="FT22" s="826"/>
      <c r="FU22" s="826"/>
      <c r="FV22" s="826"/>
      <c r="FW22" s="826"/>
      <c r="FX22" s="826"/>
      <c r="FY22" s="826"/>
      <c r="FZ22" s="826"/>
      <c r="GA22" s="826"/>
      <c r="GB22" s="826"/>
      <c r="GC22" s="826"/>
      <c r="GD22" s="826"/>
      <c r="GE22" s="826"/>
      <c r="GF22" s="826"/>
      <c r="GG22" s="826"/>
      <c r="GH22" s="826"/>
      <c r="GI22" s="826"/>
      <c r="GJ22" s="826"/>
      <c r="GK22" s="826"/>
      <c r="GL22" s="826"/>
      <c r="GM22" s="826"/>
      <c r="GN22" s="826"/>
      <c r="GO22" s="826"/>
      <c r="GP22" s="826"/>
      <c r="GQ22" s="826"/>
      <c r="GR22" s="826"/>
      <c r="GS22" s="826"/>
      <c r="GT22" s="826"/>
      <c r="GU22" s="826"/>
      <c r="GV22" s="826"/>
      <c r="GW22" s="826"/>
      <c r="GX22" s="826"/>
      <c r="GY22" s="826"/>
      <c r="GZ22" s="826"/>
      <c r="HA22" s="826"/>
      <c r="HB22" s="826"/>
      <c r="HC22" s="826"/>
      <c r="HD22" s="826"/>
      <c r="HE22" s="826"/>
      <c r="HF22" s="826"/>
      <c r="HG22" s="826"/>
      <c r="HH22" s="826"/>
      <c r="HI22" s="826"/>
    </row>
    <row r="23" spans="1:217" s="827" customFormat="1" ht="56.25" customHeight="1">
      <c r="A23" s="96">
        <v>12</v>
      </c>
      <c r="B23" s="840" t="s">
        <v>9994</v>
      </c>
      <c r="C23" s="142">
        <v>7723311</v>
      </c>
      <c r="D23" s="424" t="s">
        <v>8639</v>
      </c>
      <c r="E23" s="143"/>
      <c r="F23" s="146"/>
      <c r="G23" s="145"/>
      <c r="H23" s="148"/>
      <c r="I23" s="175"/>
      <c r="J23" s="173"/>
      <c r="K23" s="146"/>
      <c r="L23" s="174"/>
      <c r="M23" s="175"/>
      <c r="N23" s="175"/>
      <c r="O23" s="173"/>
      <c r="P23" s="146"/>
      <c r="Q23" s="174"/>
      <c r="R23" s="175"/>
      <c r="S23" s="175"/>
      <c r="T23" s="173"/>
      <c r="U23" s="146"/>
      <c r="V23" s="174"/>
      <c r="W23" s="175"/>
      <c r="X23" s="175"/>
      <c r="Y23" s="173"/>
      <c r="Z23" s="146"/>
      <c r="AA23" s="174"/>
      <c r="AB23" s="175"/>
      <c r="AC23" s="175"/>
      <c r="AD23" s="173"/>
      <c r="AE23" s="146"/>
      <c r="AF23" s="174"/>
      <c r="AG23" s="175"/>
      <c r="AH23" s="175"/>
      <c r="AI23" s="175"/>
      <c r="AJ23" s="146"/>
      <c r="AK23" s="174"/>
      <c r="AL23" s="175"/>
      <c r="AM23" s="175"/>
      <c r="AN23" s="195"/>
      <c r="AO23" s="195"/>
      <c r="AP23" s="22" t="s">
        <v>9995</v>
      </c>
      <c r="AQ23" s="175"/>
      <c r="AR23" s="173"/>
      <c r="AS23" s="173"/>
      <c r="AT23" s="175"/>
      <c r="AU23" s="175"/>
      <c r="AV23" s="126" t="s">
        <v>9996</v>
      </c>
      <c r="AW23" s="126" t="s">
        <v>9997</v>
      </c>
      <c r="AX23" s="839"/>
      <c r="AY23" s="173"/>
      <c r="AZ23" s="171"/>
      <c r="BA23" s="148"/>
      <c r="BB23" s="148"/>
      <c r="BC23" s="175"/>
      <c r="BD23" s="174"/>
      <c r="BE23" s="174"/>
      <c r="BF23" s="174"/>
      <c r="BG23" s="174"/>
      <c r="BH23" s="176"/>
      <c r="BI23" s="176"/>
      <c r="BJ23" s="177"/>
      <c r="BK23" s="173"/>
      <c r="BL23" s="146"/>
      <c r="BM23" s="838"/>
      <c r="BN23" s="175"/>
      <c r="BO23" s="174"/>
      <c r="BP23" s="174"/>
      <c r="BQ23" s="174"/>
      <c r="BR23" s="179"/>
      <c r="BS23" s="174"/>
      <c r="BT23" s="173"/>
      <c r="BU23" s="146"/>
      <c r="BV23" s="826"/>
      <c r="BW23" s="826"/>
      <c r="BX23" s="826"/>
      <c r="BY23" s="826"/>
      <c r="BZ23" s="826"/>
      <c r="CA23" s="826"/>
      <c r="CB23" s="826"/>
      <c r="CC23" s="826"/>
      <c r="CD23" s="826"/>
      <c r="CE23" s="826"/>
      <c r="CF23" s="826"/>
      <c r="CG23" s="826"/>
      <c r="CH23" s="826"/>
      <c r="CI23" s="826"/>
      <c r="CJ23" s="826"/>
      <c r="CK23" s="826"/>
      <c r="CL23" s="826"/>
      <c r="CM23" s="826"/>
      <c r="CN23" s="826"/>
      <c r="CO23" s="826"/>
      <c r="CP23" s="826"/>
      <c r="CQ23" s="826"/>
      <c r="CR23" s="826"/>
      <c r="CS23" s="826"/>
      <c r="CT23" s="826"/>
      <c r="CU23" s="826"/>
      <c r="CV23" s="826"/>
      <c r="CW23" s="826"/>
      <c r="CX23" s="826"/>
      <c r="CY23" s="826"/>
      <c r="CZ23" s="826"/>
      <c r="DA23" s="826"/>
      <c r="DB23" s="826"/>
      <c r="DC23" s="826"/>
      <c r="DD23" s="826"/>
      <c r="DE23" s="826"/>
      <c r="DF23" s="826"/>
      <c r="DG23" s="826"/>
      <c r="DH23" s="826"/>
      <c r="DI23" s="826"/>
      <c r="DJ23" s="826"/>
      <c r="DK23" s="826"/>
      <c r="DL23" s="826"/>
      <c r="DM23" s="826"/>
      <c r="DN23" s="826"/>
      <c r="DO23" s="826"/>
      <c r="DP23" s="826"/>
      <c r="DQ23" s="826"/>
      <c r="DR23" s="826"/>
      <c r="DS23" s="826"/>
      <c r="DT23" s="826"/>
      <c r="DU23" s="826"/>
      <c r="DV23" s="826"/>
      <c r="DW23" s="826"/>
      <c r="DX23" s="826"/>
      <c r="DY23" s="826"/>
      <c r="DZ23" s="826"/>
      <c r="EA23" s="826"/>
      <c r="EB23" s="826"/>
      <c r="EC23" s="826"/>
      <c r="ED23" s="826"/>
      <c r="EE23" s="826"/>
      <c r="EF23" s="826"/>
      <c r="EG23" s="826"/>
      <c r="EH23" s="826"/>
      <c r="EI23" s="826"/>
      <c r="EJ23" s="826"/>
      <c r="EK23" s="826"/>
      <c r="EL23" s="826"/>
      <c r="EM23" s="826"/>
      <c r="EN23" s="826"/>
      <c r="EO23" s="826"/>
      <c r="EP23" s="826"/>
      <c r="EQ23" s="826"/>
      <c r="ER23" s="826"/>
      <c r="ES23" s="826"/>
      <c r="ET23" s="826"/>
      <c r="EU23" s="826"/>
      <c r="EV23" s="826"/>
      <c r="EW23" s="826"/>
      <c r="EX23" s="826"/>
      <c r="EY23" s="826"/>
      <c r="EZ23" s="826"/>
      <c r="FA23" s="826"/>
      <c r="FB23" s="826"/>
      <c r="FC23" s="826"/>
      <c r="FD23" s="826"/>
      <c r="FE23" s="826"/>
      <c r="FF23" s="826"/>
      <c r="FG23" s="826"/>
      <c r="FH23" s="826"/>
      <c r="FI23" s="826"/>
      <c r="FJ23" s="826"/>
      <c r="FK23" s="826"/>
      <c r="FL23" s="826"/>
      <c r="FM23" s="826"/>
      <c r="FN23" s="826"/>
      <c r="FO23" s="826"/>
      <c r="FP23" s="826"/>
      <c r="FQ23" s="826"/>
      <c r="FR23" s="826"/>
      <c r="FS23" s="826"/>
      <c r="FT23" s="826"/>
      <c r="FU23" s="826"/>
      <c r="FV23" s="826"/>
      <c r="FW23" s="826"/>
      <c r="FX23" s="826"/>
      <c r="FY23" s="826"/>
      <c r="FZ23" s="826"/>
      <c r="GA23" s="826"/>
      <c r="GB23" s="826"/>
      <c r="GC23" s="826"/>
      <c r="GD23" s="826"/>
      <c r="GE23" s="826"/>
      <c r="GF23" s="826"/>
      <c r="GG23" s="826"/>
      <c r="GH23" s="826"/>
      <c r="GI23" s="826"/>
      <c r="GJ23" s="826"/>
      <c r="GK23" s="826"/>
      <c r="GL23" s="826"/>
      <c r="GM23" s="826"/>
      <c r="GN23" s="826"/>
      <c r="GO23" s="826"/>
      <c r="GP23" s="826"/>
      <c r="GQ23" s="826"/>
      <c r="GR23" s="826"/>
      <c r="GS23" s="826"/>
      <c r="GT23" s="826"/>
      <c r="GU23" s="826"/>
      <c r="GV23" s="826"/>
      <c r="GW23" s="826"/>
      <c r="GX23" s="826"/>
      <c r="GY23" s="826"/>
      <c r="GZ23" s="826"/>
      <c r="HA23" s="826"/>
      <c r="HB23" s="826"/>
      <c r="HC23" s="826"/>
      <c r="HD23" s="826"/>
      <c r="HE23" s="826"/>
      <c r="HF23" s="826"/>
      <c r="HG23" s="826"/>
      <c r="HH23" s="826"/>
      <c r="HI23" s="826"/>
    </row>
    <row r="24" spans="1:217" s="827" customFormat="1" ht="56.25" customHeight="1">
      <c r="A24" s="96">
        <v>13</v>
      </c>
      <c r="B24" s="840" t="s">
        <v>5966</v>
      </c>
      <c r="C24" s="142">
        <v>92028472</v>
      </c>
      <c r="D24" s="424" t="s">
        <v>2173</v>
      </c>
      <c r="E24" s="143"/>
      <c r="F24" s="146"/>
      <c r="G24" s="145"/>
      <c r="H24" s="148"/>
      <c r="I24" s="175"/>
      <c r="J24" s="173"/>
      <c r="K24" s="146"/>
      <c r="L24" s="174"/>
      <c r="M24" s="175"/>
      <c r="N24" s="175"/>
      <c r="O24" s="173"/>
      <c r="P24" s="146"/>
      <c r="Q24" s="174"/>
      <c r="R24" s="175"/>
      <c r="S24" s="175"/>
      <c r="T24" s="173"/>
      <c r="U24" s="146"/>
      <c r="V24" s="174"/>
      <c r="W24" s="175"/>
      <c r="X24" s="175"/>
      <c r="Y24" s="173"/>
      <c r="Z24" s="146"/>
      <c r="AA24" s="174"/>
      <c r="AB24" s="175"/>
      <c r="AC24" s="175"/>
      <c r="AD24" s="173"/>
      <c r="AE24" s="146"/>
      <c r="AF24" s="174"/>
      <c r="AG24" s="175"/>
      <c r="AH24" s="175"/>
      <c r="AI24" s="175"/>
      <c r="AJ24" s="146"/>
      <c r="AK24" s="174"/>
      <c r="AL24" s="175"/>
      <c r="AM24" s="175"/>
      <c r="AN24" s="195"/>
      <c r="AO24" s="195"/>
      <c r="AP24" s="22" t="s">
        <v>9998</v>
      </c>
      <c r="AQ24" s="175"/>
      <c r="AR24" s="173"/>
      <c r="AS24" s="173"/>
      <c r="AT24" s="175"/>
      <c r="AU24" s="175"/>
      <c r="AV24" s="126" t="s">
        <v>9999</v>
      </c>
      <c r="AW24" s="126" t="s">
        <v>9991</v>
      </c>
      <c r="AX24" s="839"/>
      <c r="AY24" s="173"/>
      <c r="AZ24" s="171"/>
      <c r="BA24" s="148"/>
      <c r="BB24" s="148"/>
      <c r="BC24" s="175"/>
      <c r="BD24" s="174"/>
      <c r="BE24" s="174"/>
      <c r="BF24" s="174"/>
      <c r="BG24" s="174"/>
      <c r="BH24" s="176"/>
      <c r="BI24" s="176"/>
      <c r="BJ24" s="177"/>
      <c r="BK24" s="173"/>
      <c r="BL24" s="146"/>
      <c r="BM24" s="838"/>
      <c r="BN24" s="175"/>
      <c r="BO24" s="174"/>
      <c r="BP24" s="174"/>
      <c r="BQ24" s="174"/>
      <c r="BR24" s="179"/>
      <c r="BS24" s="174"/>
      <c r="BT24" s="173"/>
      <c r="BU24" s="146"/>
      <c r="BV24" s="826"/>
      <c r="BW24" s="826"/>
      <c r="BX24" s="826"/>
      <c r="BY24" s="826"/>
      <c r="BZ24" s="826"/>
      <c r="CA24" s="826"/>
      <c r="CB24" s="826"/>
      <c r="CC24" s="826"/>
      <c r="CD24" s="826"/>
      <c r="CE24" s="826"/>
      <c r="CF24" s="826"/>
      <c r="CG24" s="826"/>
      <c r="CH24" s="826"/>
      <c r="CI24" s="826"/>
      <c r="CJ24" s="826"/>
      <c r="CK24" s="826"/>
      <c r="CL24" s="826"/>
      <c r="CM24" s="826"/>
      <c r="CN24" s="826"/>
      <c r="CO24" s="826"/>
      <c r="CP24" s="826"/>
      <c r="CQ24" s="826"/>
      <c r="CR24" s="826"/>
      <c r="CS24" s="826"/>
      <c r="CT24" s="826"/>
      <c r="CU24" s="826"/>
      <c r="CV24" s="826"/>
      <c r="CW24" s="826"/>
      <c r="CX24" s="826"/>
      <c r="CY24" s="826"/>
      <c r="CZ24" s="826"/>
      <c r="DA24" s="826"/>
      <c r="DB24" s="826"/>
      <c r="DC24" s="826"/>
      <c r="DD24" s="826"/>
      <c r="DE24" s="826"/>
      <c r="DF24" s="826"/>
      <c r="DG24" s="826"/>
      <c r="DH24" s="826"/>
      <c r="DI24" s="826"/>
      <c r="DJ24" s="826"/>
      <c r="DK24" s="826"/>
      <c r="DL24" s="826"/>
      <c r="DM24" s="826"/>
      <c r="DN24" s="826"/>
      <c r="DO24" s="826"/>
      <c r="DP24" s="826"/>
      <c r="DQ24" s="826"/>
      <c r="DR24" s="826"/>
      <c r="DS24" s="826"/>
      <c r="DT24" s="826"/>
      <c r="DU24" s="826"/>
      <c r="DV24" s="826"/>
      <c r="DW24" s="826"/>
      <c r="DX24" s="826"/>
      <c r="DY24" s="826"/>
      <c r="DZ24" s="826"/>
      <c r="EA24" s="826"/>
      <c r="EB24" s="826"/>
      <c r="EC24" s="826"/>
      <c r="ED24" s="826"/>
      <c r="EE24" s="826"/>
      <c r="EF24" s="826"/>
      <c r="EG24" s="826"/>
      <c r="EH24" s="826"/>
      <c r="EI24" s="826"/>
      <c r="EJ24" s="826"/>
      <c r="EK24" s="826"/>
      <c r="EL24" s="826"/>
      <c r="EM24" s="826"/>
      <c r="EN24" s="826"/>
      <c r="EO24" s="826"/>
      <c r="EP24" s="826"/>
      <c r="EQ24" s="826"/>
      <c r="ER24" s="826"/>
      <c r="ES24" s="826"/>
      <c r="ET24" s="826"/>
      <c r="EU24" s="826"/>
      <c r="EV24" s="826"/>
      <c r="EW24" s="826"/>
      <c r="EX24" s="826"/>
      <c r="EY24" s="826"/>
      <c r="EZ24" s="826"/>
      <c r="FA24" s="826"/>
      <c r="FB24" s="826"/>
      <c r="FC24" s="826"/>
      <c r="FD24" s="826"/>
      <c r="FE24" s="826"/>
      <c r="FF24" s="826"/>
      <c r="FG24" s="826"/>
      <c r="FH24" s="826"/>
      <c r="FI24" s="826"/>
      <c r="FJ24" s="826"/>
      <c r="FK24" s="826"/>
      <c r="FL24" s="826"/>
      <c r="FM24" s="826"/>
      <c r="FN24" s="826"/>
      <c r="FO24" s="826"/>
      <c r="FP24" s="826"/>
      <c r="FQ24" s="826"/>
      <c r="FR24" s="826"/>
      <c r="FS24" s="826"/>
      <c r="FT24" s="826"/>
      <c r="FU24" s="826"/>
      <c r="FV24" s="826"/>
      <c r="FW24" s="826"/>
      <c r="FX24" s="826"/>
      <c r="FY24" s="826"/>
      <c r="FZ24" s="826"/>
      <c r="GA24" s="826"/>
      <c r="GB24" s="826"/>
      <c r="GC24" s="826"/>
      <c r="GD24" s="826"/>
      <c r="GE24" s="826"/>
      <c r="GF24" s="826"/>
      <c r="GG24" s="826"/>
      <c r="GH24" s="826"/>
      <c r="GI24" s="826"/>
      <c r="GJ24" s="826"/>
      <c r="GK24" s="826"/>
      <c r="GL24" s="826"/>
      <c r="GM24" s="826"/>
      <c r="GN24" s="826"/>
      <c r="GO24" s="826"/>
      <c r="GP24" s="826"/>
      <c r="GQ24" s="826"/>
      <c r="GR24" s="826"/>
      <c r="GS24" s="826"/>
      <c r="GT24" s="826"/>
      <c r="GU24" s="826"/>
      <c r="GV24" s="826"/>
      <c r="GW24" s="826"/>
      <c r="GX24" s="826"/>
      <c r="GY24" s="826"/>
      <c r="GZ24" s="826"/>
      <c r="HA24" s="826"/>
      <c r="HB24" s="826"/>
      <c r="HC24" s="826"/>
      <c r="HD24" s="826"/>
      <c r="HE24" s="826"/>
      <c r="HF24" s="826"/>
      <c r="HG24" s="826"/>
      <c r="HH24" s="826"/>
      <c r="HI24" s="826"/>
    </row>
    <row r="25" spans="1:217" s="827" customFormat="1" ht="56.25" customHeight="1">
      <c r="A25" s="96">
        <v>14</v>
      </c>
      <c r="B25" s="840" t="s">
        <v>10000</v>
      </c>
      <c r="C25" s="142">
        <v>79693497</v>
      </c>
      <c r="D25" s="424" t="s">
        <v>9978</v>
      </c>
      <c r="E25" s="143"/>
      <c r="F25" s="146"/>
      <c r="G25" s="145"/>
      <c r="H25" s="148"/>
      <c r="I25" s="175"/>
      <c r="J25" s="173"/>
      <c r="K25" s="146"/>
      <c r="L25" s="174"/>
      <c r="M25" s="175"/>
      <c r="N25" s="175"/>
      <c r="O25" s="173"/>
      <c r="P25" s="146"/>
      <c r="Q25" s="174"/>
      <c r="R25" s="175"/>
      <c r="S25" s="175"/>
      <c r="T25" s="173"/>
      <c r="U25" s="146"/>
      <c r="V25" s="174"/>
      <c r="W25" s="175"/>
      <c r="X25" s="175"/>
      <c r="Y25" s="173"/>
      <c r="Z25" s="146"/>
      <c r="AA25" s="174"/>
      <c r="AB25" s="175"/>
      <c r="AC25" s="175"/>
      <c r="AD25" s="173"/>
      <c r="AE25" s="146"/>
      <c r="AF25" s="174"/>
      <c r="AG25" s="175"/>
      <c r="AH25" s="175"/>
      <c r="AI25" s="175"/>
      <c r="AJ25" s="146"/>
      <c r="AK25" s="174"/>
      <c r="AL25" s="175"/>
      <c r="AM25" s="175"/>
      <c r="AN25" s="195"/>
      <c r="AO25" s="195"/>
      <c r="AP25" s="22" t="s">
        <v>10001</v>
      </c>
      <c r="AQ25" s="175"/>
      <c r="AR25" s="173"/>
      <c r="AS25" s="173"/>
      <c r="AT25" s="175"/>
      <c r="AU25" s="175"/>
      <c r="AV25" s="126" t="s">
        <v>10002</v>
      </c>
      <c r="AW25" s="126" t="s">
        <v>10003</v>
      </c>
      <c r="AX25" s="839"/>
      <c r="AY25" s="173"/>
      <c r="AZ25" s="171"/>
      <c r="BA25" s="148"/>
      <c r="BB25" s="148"/>
      <c r="BC25" s="175"/>
      <c r="BD25" s="174"/>
      <c r="BE25" s="174"/>
      <c r="BF25" s="174"/>
      <c r="BG25" s="174"/>
      <c r="BH25" s="176"/>
      <c r="BI25" s="176"/>
      <c r="BJ25" s="177"/>
      <c r="BK25" s="173"/>
      <c r="BL25" s="146"/>
      <c r="BM25" s="838"/>
      <c r="BN25" s="175"/>
      <c r="BO25" s="174"/>
      <c r="BP25" s="174"/>
      <c r="BQ25" s="174"/>
      <c r="BR25" s="179"/>
      <c r="BS25" s="174"/>
      <c r="BT25" s="173"/>
      <c r="BU25" s="146"/>
      <c r="BV25" s="826"/>
      <c r="BW25" s="826"/>
      <c r="BX25" s="826"/>
      <c r="BY25" s="826"/>
      <c r="BZ25" s="826"/>
      <c r="CA25" s="826"/>
      <c r="CB25" s="826"/>
      <c r="CC25" s="826"/>
      <c r="CD25" s="826"/>
      <c r="CE25" s="826"/>
      <c r="CF25" s="826"/>
      <c r="CG25" s="826"/>
      <c r="CH25" s="826"/>
      <c r="CI25" s="826"/>
      <c r="CJ25" s="826"/>
      <c r="CK25" s="826"/>
      <c r="CL25" s="826"/>
      <c r="CM25" s="826"/>
      <c r="CN25" s="826"/>
      <c r="CO25" s="826"/>
      <c r="CP25" s="826"/>
      <c r="CQ25" s="826"/>
      <c r="CR25" s="826"/>
      <c r="CS25" s="826"/>
      <c r="CT25" s="826"/>
      <c r="CU25" s="826"/>
      <c r="CV25" s="826"/>
      <c r="CW25" s="826"/>
      <c r="CX25" s="826"/>
      <c r="CY25" s="826"/>
      <c r="CZ25" s="826"/>
      <c r="DA25" s="826"/>
      <c r="DB25" s="826"/>
      <c r="DC25" s="826"/>
      <c r="DD25" s="826"/>
      <c r="DE25" s="826"/>
      <c r="DF25" s="826"/>
      <c r="DG25" s="826"/>
      <c r="DH25" s="826"/>
      <c r="DI25" s="826"/>
      <c r="DJ25" s="826"/>
      <c r="DK25" s="826"/>
      <c r="DL25" s="826"/>
      <c r="DM25" s="826"/>
      <c r="DN25" s="826"/>
      <c r="DO25" s="826"/>
      <c r="DP25" s="826"/>
      <c r="DQ25" s="826"/>
      <c r="DR25" s="826"/>
      <c r="DS25" s="826"/>
      <c r="DT25" s="826"/>
      <c r="DU25" s="826"/>
      <c r="DV25" s="826"/>
      <c r="DW25" s="826"/>
      <c r="DX25" s="826"/>
      <c r="DY25" s="826"/>
      <c r="DZ25" s="826"/>
      <c r="EA25" s="826"/>
      <c r="EB25" s="826"/>
      <c r="EC25" s="826"/>
      <c r="ED25" s="826"/>
      <c r="EE25" s="826"/>
      <c r="EF25" s="826"/>
      <c r="EG25" s="826"/>
      <c r="EH25" s="826"/>
      <c r="EI25" s="826"/>
      <c r="EJ25" s="826"/>
      <c r="EK25" s="826"/>
      <c r="EL25" s="826"/>
      <c r="EM25" s="826"/>
      <c r="EN25" s="826"/>
      <c r="EO25" s="826"/>
      <c r="EP25" s="826"/>
      <c r="EQ25" s="826"/>
      <c r="ER25" s="826"/>
      <c r="ES25" s="826"/>
      <c r="ET25" s="826"/>
      <c r="EU25" s="826"/>
      <c r="EV25" s="826"/>
      <c r="EW25" s="826"/>
      <c r="EX25" s="826"/>
      <c r="EY25" s="826"/>
      <c r="EZ25" s="826"/>
      <c r="FA25" s="826"/>
      <c r="FB25" s="826"/>
      <c r="FC25" s="826"/>
      <c r="FD25" s="826"/>
      <c r="FE25" s="826"/>
      <c r="FF25" s="826"/>
      <c r="FG25" s="826"/>
      <c r="FH25" s="826"/>
      <c r="FI25" s="826"/>
      <c r="FJ25" s="826"/>
      <c r="FK25" s="826"/>
      <c r="FL25" s="826"/>
      <c r="FM25" s="826"/>
      <c r="FN25" s="826"/>
      <c r="FO25" s="826"/>
      <c r="FP25" s="826"/>
      <c r="FQ25" s="826"/>
      <c r="FR25" s="826"/>
      <c r="FS25" s="826"/>
      <c r="FT25" s="826"/>
      <c r="FU25" s="826"/>
      <c r="FV25" s="826"/>
      <c r="FW25" s="826"/>
      <c r="FX25" s="826"/>
      <c r="FY25" s="826"/>
      <c r="FZ25" s="826"/>
      <c r="GA25" s="826"/>
      <c r="GB25" s="826"/>
      <c r="GC25" s="826"/>
      <c r="GD25" s="826"/>
      <c r="GE25" s="826"/>
      <c r="GF25" s="826"/>
      <c r="GG25" s="826"/>
      <c r="GH25" s="826"/>
      <c r="GI25" s="826"/>
      <c r="GJ25" s="826"/>
      <c r="GK25" s="826"/>
      <c r="GL25" s="826"/>
      <c r="GM25" s="826"/>
      <c r="GN25" s="826"/>
      <c r="GO25" s="826"/>
      <c r="GP25" s="826"/>
      <c r="GQ25" s="826"/>
      <c r="GR25" s="826"/>
      <c r="GS25" s="826"/>
      <c r="GT25" s="826"/>
      <c r="GU25" s="826"/>
      <c r="GV25" s="826"/>
      <c r="GW25" s="826"/>
      <c r="GX25" s="826"/>
      <c r="GY25" s="826"/>
      <c r="GZ25" s="826"/>
      <c r="HA25" s="826"/>
      <c r="HB25" s="826"/>
      <c r="HC25" s="826"/>
      <c r="HD25" s="826"/>
      <c r="HE25" s="826"/>
      <c r="HF25" s="826"/>
      <c r="HG25" s="826"/>
      <c r="HH25" s="826"/>
      <c r="HI25" s="826"/>
    </row>
    <row r="26" spans="1:217" s="827" customFormat="1" ht="56.25" customHeight="1">
      <c r="A26" s="96">
        <v>15</v>
      </c>
      <c r="B26" s="840" t="s">
        <v>10004</v>
      </c>
      <c r="C26" s="142">
        <v>1088243421</v>
      </c>
      <c r="D26" s="424"/>
      <c r="E26" s="143"/>
      <c r="F26" s="146"/>
      <c r="G26" s="145"/>
      <c r="H26" s="148"/>
      <c r="I26" s="175"/>
      <c r="J26" s="173"/>
      <c r="K26" s="146"/>
      <c r="L26" s="174"/>
      <c r="M26" s="175"/>
      <c r="N26" s="175"/>
      <c r="O26" s="173"/>
      <c r="P26" s="146"/>
      <c r="Q26" s="174"/>
      <c r="R26" s="175"/>
      <c r="S26" s="175"/>
      <c r="T26" s="173"/>
      <c r="U26" s="146"/>
      <c r="V26" s="174"/>
      <c r="W26" s="175"/>
      <c r="X26" s="175"/>
      <c r="Y26" s="173"/>
      <c r="Z26" s="146"/>
      <c r="AA26" s="174"/>
      <c r="AB26" s="175"/>
      <c r="AC26" s="175"/>
      <c r="AD26" s="173"/>
      <c r="AE26" s="146"/>
      <c r="AF26" s="174"/>
      <c r="AG26" s="175"/>
      <c r="AH26" s="175"/>
      <c r="AI26" s="175"/>
      <c r="AJ26" s="146"/>
      <c r="AK26" s="174"/>
      <c r="AL26" s="175"/>
      <c r="AM26" s="175"/>
      <c r="AN26" s="195"/>
      <c r="AO26" s="195"/>
      <c r="AP26" s="22" t="s">
        <v>10005</v>
      </c>
      <c r="AQ26" s="175"/>
      <c r="AR26" s="173"/>
      <c r="AS26" s="173"/>
      <c r="AT26" s="175"/>
      <c r="AU26" s="175"/>
      <c r="AV26" s="126" t="s">
        <v>10006</v>
      </c>
      <c r="AW26" s="126" t="s">
        <v>10007</v>
      </c>
      <c r="AX26" s="839"/>
      <c r="AY26" s="173"/>
      <c r="AZ26" s="171"/>
      <c r="BA26" s="148"/>
      <c r="BB26" s="148"/>
      <c r="BC26" s="175"/>
      <c r="BD26" s="174"/>
      <c r="BE26" s="174"/>
      <c r="BF26" s="174"/>
      <c r="BG26" s="174"/>
      <c r="BH26" s="176"/>
      <c r="BI26" s="176"/>
      <c r="BJ26" s="177"/>
      <c r="BK26" s="173"/>
      <c r="BL26" s="146"/>
      <c r="BM26" s="838"/>
      <c r="BN26" s="175"/>
      <c r="BO26" s="174"/>
      <c r="BP26" s="174"/>
      <c r="BQ26" s="174"/>
      <c r="BR26" s="179"/>
      <c r="BS26" s="174"/>
      <c r="BT26" s="173"/>
      <c r="BU26" s="146"/>
      <c r="BV26" s="826"/>
      <c r="BW26" s="826"/>
      <c r="BX26" s="826"/>
      <c r="BY26" s="826"/>
      <c r="BZ26" s="826"/>
      <c r="CA26" s="826"/>
      <c r="CB26" s="826"/>
      <c r="CC26" s="826"/>
      <c r="CD26" s="826"/>
      <c r="CE26" s="826"/>
      <c r="CF26" s="826"/>
      <c r="CG26" s="826"/>
      <c r="CH26" s="826"/>
      <c r="CI26" s="826"/>
      <c r="CJ26" s="826"/>
      <c r="CK26" s="826"/>
      <c r="CL26" s="826"/>
      <c r="CM26" s="826"/>
      <c r="CN26" s="826"/>
      <c r="CO26" s="826"/>
      <c r="CP26" s="826"/>
      <c r="CQ26" s="826"/>
      <c r="CR26" s="826"/>
      <c r="CS26" s="826"/>
      <c r="CT26" s="826"/>
      <c r="CU26" s="826"/>
      <c r="CV26" s="826"/>
      <c r="CW26" s="826"/>
      <c r="CX26" s="826"/>
      <c r="CY26" s="826"/>
      <c r="CZ26" s="826"/>
      <c r="DA26" s="826"/>
      <c r="DB26" s="826"/>
      <c r="DC26" s="826"/>
      <c r="DD26" s="826"/>
      <c r="DE26" s="826"/>
      <c r="DF26" s="826"/>
      <c r="DG26" s="826"/>
      <c r="DH26" s="826"/>
      <c r="DI26" s="826"/>
      <c r="DJ26" s="826"/>
      <c r="DK26" s="826"/>
      <c r="DL26" s="826"/>
      <c r="DM26" s="826"/>
      <c r="DN26" s="826"/>
      <c r="DO26" s="826"/>
      <c r="DP26" s="826"/>
      <c r="DQ26" s="826"/>
      <c r="DR26" s="826"/>
      <c r="DS26" s="826"/>
      <c r="DT26" s="826"/>
      <c r="DU26" s="826"/>
      <c r="DV26" s="826"/>
      <c r="DW26" s="826"/>
      <c r="DX26" s="826"/>
      <c r="DY26" s="826"/>
      <c r="DZ26" s="826"/>
      <c r="EA26" s="826"/>
      <c r="EB26" s="826"/>
      <c r="EC26" s="826"/>
      <c r="ED26" s="826"/>
      <c r="EE26" s="826"/>
      <c r="EF26" s="826"/>
      <c r="EG26" s="826"/>
      <c r="EH26" s="826"/>
      <c r="EI26" s="826"/>
      <c r="EJ26" s="826"/>
      <c r="EK26" s="826"/>
      <c r="EL26" s="826"/>
      <c r="EM26" s="826"/>
      <c r="EN26" s="826"/>
      <c r="EO26" s="826"/>
      <c r="EP26" s="826"/>
      <c r="EQ26" s="826"/>
      <c r="ER26" s="826"/>
      <c r="ES26" s="826"/>
      <c r="ET26" s="826"/>
      <c r="EU26" s="826"/>
      <c r="EV26" s="826"/>
      <c r="EW26" s="826"/>
      <c r="EX26" s="826"/>
      <c r="EY26" s="826"/>
      <c r="EZ26" s="826"/>
      <c r="FA26" s="826"/>
      <c r="FB26" s="826"/>
      <c r="FC26" s="826"/>
      <c r="FD26" s="826"/>
      <c r="FE26" s="826"/>
      <c r="FF26" s="826"/>
      <c r="FG26" s="826"/>
      <c r="FH26" s="826"/>
      <c r="FI26" s="826"/>
      <c r="FJ26" s="826"/>
      <c r="FK26" s="826"/>
      <c r="FL26" s="826"/>
      <c r="FM26" s="826"/>
      <c r="FN26" s="826"/>
      <c r="FO26" s="826"/>
      <c r="FP26" s="826"/>
      <c r="FQ26" s="826"/>
      <c r="FR26" s="826"/>
      <c r="FS26" s="826"/>
      <c r="FT26" s="826"/>
      <c r="FU26" s="826"/>
      <c r="FV26" s="826"/>
      <c r="FW26" s="826"/>
      <c r="FX26" s="826"/>
      <c r="FY26" s="826"/>
      <c r="FZ26" s="826"/>
      <c r="GA26" s="826"/>
      <c r="GB26" s="826"/>
      <c r="GC26" s="826"/>
      <c r="GD26" s="826"/>
      <c r="GE26" s="826"/>
      <c r="GF26" s="826"/>
      <c r="GG26" s="826"/>
      <c r="GH26" s="826"/>
      <c r="GI26" s="826"/>
      <c r="GJ26" s="826"/>
      <c r="GK26" s="826"/>
      <c r="GL26" s="826"/>
      <c r="GM26" s="826"/>
      <c r="GN26" s="826"/>
      <c r="GO26" s="826"/>
      <c r="GP26" s="826"/>
      <c r="GQ26" s="826"/>
      <c r="GR26" s="826"/>
      <c r="GS26" s="826"/>
      <c r="GT26" s="826"/>
      <c r="GU26" s="826"/>
      <c r="GV26" s="826"/>
      <c r="GW26" s="826"/>
      <c r="GX26" s="826"/>
      <c r="GY26" s="826"/>
      <c r="GZ26" s="826"/>
      <c r="HA26" s="826"/>
      <c r="HB26" s="826"/>
      <c r="HC26" s="826"/>
      <c r="HD26" s="826"/>
      <c r="HE26" s="826"/>
      <c r="HF26" s="826"/>
      <c r="HG26" s="826"/>
      <c r="HH26" s="826"/>
      <c r="HI26" s="826"/>
    </row>
    <row r="27" spans="1:217" s="827" customFormat="1" ht="56.25" customHeight="1">
      <c r="A27" s="96">
        <v>16</v>
      </c>
      <c r="B27" s="840" t="s">
        <v>10008</v>
      </c>
      <c r="C27" s="142">
        <v>10897991</v>
      </c>
      <c r="D27" s="424"/>
      <c r="E27" s="143"/>
      <c r="F27" s="146"/>
      <c r="G27" s="145"/>
      <c r="H27" s="148"/>
      <c r="I27" s="175"/>
      <c r="J27" s="173"/>
      <c r="K27" s="146"/>
      <c r="L27" s="174"/>
      <c r="M27" s="175"/>
      <c r="N27" s="175"/>
      <c r="O27" s="173"/>
      <c r="P27" s="146"/>
      <c r="Q27" s="174"/>
      <c r="R27" s="175"/>
      <c r="S27" s="175"/>
      <c r="T27" s="173"/>
      <c r="U27" s="146"/>
      <c r="V27" s="174"/>
      <c r="W27" s="175"/>
      <c r="X27" s="175"/>
      <c r="Y27" s="173"/>
      <c r="Z27" s="146"/>
      <c r="AA27" s="174"/>
      <c r="AB27" s="175"/>
      <c r="AC27" s="175"/>
      <c r="AD27" s="173"/>
      <c r="AE27" s="146"/>
      <c r="AF27" s="174"/>
      <c r="AG27" s="175"/>
      <c r="AH27" s="175"/>
      <c r="AI27" s="175"/>
      <c r="AJ27" s="146"/>
      <c r="AK27" s="174"/>
      <c r="AL27" s="175"/>
      <c r="AM27" s="175"/>
      <c r="AN27" s="195"/>
      <c r="AO27" s="195"/>
      <c r="AP27" s="22" t="s">
        <v>10009</v>
      </c>
      <c r="AQ27" s="175"/>
      <c r="AR27" s="173"/>
      <c r="AS27" s="173"/>
      <c r="AT27" s="175"/>
      <c r="AU27" s="175"/>
      <c r="AV27" s="126" t="s">
        <v>10010</v>
      </c>
      <c r="AW27" s="126" t="s">
        <v>10011</v>
      </c>
      <c r="AX27" s="839"/>
      <c r="AY27" s="173"/>
      <c r="AZ27" s="171"/>
      <c r="BA27" s="148"/>
      <c r="BB27" s="148"/>
      <c r="BC27" s="175"/>
      <c r="BD27" s="174"/>
      <c r="BE27" s="174"/>
      <c r="BF27" s="174"/>
      <c r="BG27" s="174"/>
      <c r="BH27" s="176"/>
      <c r="BI27" s="176"/>
      <c r="BJ27" s="177"/>
      <c r="BK27" s="173"/>
      <c r="BL27" s="146"/>
      <c r="BM27" s="838"/>
      <c r="BN27" s="175"/>
      <c r="BO27" s="174"/>
      <c r="BP27" s="174"/>
      <c r="BQ27" s="174"/>
      <c r="BR27" s="179"/>
      <c r="BS27" s="174"/>
      <c r="BT27" s="173"/>
      <c r="BU27" s="146"/>
      <c r="BV27" s="826"/>
      <c r="BW27" s="826"/>
      <c r="BX27" s="826"/>
      <c r="BY27" s="826"/>
      <c r="BZ27" s="826"/>
      <c r="CA27" s="826"/>
      <c r="CB27" s="826"/>
      <c r="CC27" s="826"/>
      <c r="CD27" s="826"/>
      <c r="CE27" s="826"/>
      <c r="CF27" s="826"/>
      <c r="CG27" s="826"/>
      <c r="CH27" s="826"/>
      <c r="CI27" s="826"/>
      <c r="CJ27" s="826"/>
      <c r="CK27" s="826"/>
      <c r="CL27" s="826"/>
      <c r="CM27" s="826"/>
      <c r="CN27" s="826"/>
      <c r="CO27" s="826"/>
      <c r="CP27" s="826"/>
      <c r="CQ27" s="826"/>
      <c r="CR27" s="826"/>
      <c r="CS27" s="826"/>
      <c r="CT27" s="826"/>
      <c r="CU27" s="826"/>
      <c r="CV27" s="826"/>
      <c r="CW27" s="826"/>
      <c r="CX27" s="826"/>
      <c r="CY27" s="826"/>
      <c r="CZ27" s="826"/>
      <c r="DA27" s="826"/>
      <c r="DB27" s="826"/>
      <c r="DC27" s="826"/>
      <c r="DD27" s="826"/>
      <c r="DE27" s="826"/>
      <c r="DF27" s="826"/>
      <c r="DG27" s="826"/>
      <c r="DH27" s="826"/>
      <c r="DI27" s="826"/>
      <c r="DJ27" s="826"/>
      <c r="DK27" s="826"/>
      <c r="DL27" s="826"/>
      <c r="DM27" s="826"/>
      <c r="DN27" s="826"/>
      <c r="DO27" s="826"/>
      <c r="DP27" s="826"/>
      <c r="DQ27" s="826"/>
      <c r="DR27" s="826"/>
      <c r="DS27" s="826"/>
      <c r="DT27" s="826"/>
      <c r="DU27" s="826"/>
      <c r="DV27" s="826"/>
      <c r="DW27" s="826"/>
      <c r="DX27" s="826"/>
      <c r="DY27" s="826"/>
      <c r="DZ27" s="826"/>
      <c r="EA27" s="826"/>
      <c r="EB27" s="826"/>
      <c r="EC27" s="826"/>
      <c r="ED27" s="826"/>
      <c r="EE27" s="826"/>
      <c r="EF27" s="826"/>
      <c r="EG27" s="826"/>
      <c r="EH27" s="826"/>
      <c r="EI27" s="826"/>
      <c r="EJ27" s="826"/>
      <c r="EK27" s="826"/>
      <c r="EL27" s="826"/>
      <c r="EM27" s="826"/>
      <c r="EN27" s="826"/>
      <c r="EO27" s="826"/>
      <c r="EP27" s="826"/>
      <c r="EQ27" s="826"/>
      <c r="ER27" s="826"/>
      <c r="ES27" s="826"/>
      <c r="ET27" s="826"/>
      <c r="EU27" s="826"/>
      <c r="EV27" s="826"/>
      <c r="EW27" s="826"/>
      <c r="EX27" s="826"/>
      <c r="EY27" s="826"/>
      <c r="EZ27" s="826"/>
      <c r="FA27" s="826"/>
      <c r="FB27" s="826"/>
      <c r="FC27" s="826"/>
      <c r="FD27" s="826"/>
      <c r="FE27" s="826"/>
      <c r="FF27" s="826"/>
      <c r="FG27" s="826"/>
      <c r="FH27" s="826"/>
      <c r="FI27" s="826"/>
      <c r="FJ27" s="826"/>
      <c r="FK27" s="826"/>
      <c r="FL27" s="826"/>
      <c r="FM27" s="826"/>
      <c r="FN27" s="826"/>
      <c r="FO27" s="826"/>
      <c r="FP27" s="826"/>
      <c r="FQ27" s="826"/>
      <c r="FR27" s="826"/>
      <c r="FS27" s="826"/>
      <c r="FT27" s="826"/>
      <c r="FU27" s="826"/>
      <c r="FV27" s="826"/>
      <c r="FW27" s="826"/>
      <c r="FX27" s="826"/>
      <c r="FY27" s="826"/>
      <c r="FZ27" s="826"/>
      <c r="GA27" s="826"/>
      <c r="GB27" s="826"/>
      <c r="GC27" s="826"/>
      <c r="GD27" s="826"/>
      <c r="GE27" s="826"/>
      <c r="GF27" s="826"/>
      <c r="GG27" s="826"/>
      <c r="GH27" s="826"/>
      <c r="GI27" s="826"/>
      <c r="GJ27" s="826"/>
      <c r="GK27" s="826"/>
      <c r="GL27" s="826"/>
      <c r="GM27" s="826"/>
      <c r="GN27" s="826"/>
      <c r="GO27" s="826"/>
      <c r="GP27" s="826"/>
      <c r="GQ27" s="826"/>
      <c r="GR27" s="826"/>
      <c r="GS27" s="826"/>
      <c r="GT27" s="826"/>
      <c r="GU27" s="826"/>
      <c r="GV27" s="826"/>
      <c r="GW27" s="826"/>
      <c r="GX27" s="826"/>
      <c r="GY27" s="826"/>
      <c r="GZ27" s="826"/>
      <c r="HA27" s="826"/>
      <c r="HB27" s="826"/>
      <c r="HC27" s="826"/>
      <c r="HD27" s="826"/>
      <c r="HE27" s="826"/>
      <c r="HF27" s="826"/>
      <c r="HG27" s="826"/>
      <c r="HH27" s="826"/>
      <c r="HI27" s="826"/>
    </row>
    <row r="28" spans="1:217" s="827" customFormat="1" ht="56.25" customHeight="1">
      <c r="A28" s="96">
        <v>17</v>
      </c>
      <c r="B28" s="840" t="s">
        <v>10012</v>
      </c>
      <c r="C28" s="142">
        <v>78695162</v>
      </c>
      <c r="D28" s="424" t="s">
        <v>906</v>
      </c>
      <c r="E28" s="143"/>
      <c r="F28" s="146"/>
      <c r="G28" s="145"/>
      <c r="H28" s="148"/>
      <c r="I28" s="175"/>
      <c r="J28" s="173"/>
      <c r="K28" s="146"/>
      <c r="L28" s="174"/>
      <c r="M28" s="175"/>
      <c r="N28" s="175"/>
      <c r="O28" s="173"/>
      <c r="P28" s="146"/>
      <c r="Q28" s="174"/>
      <c r="R28" s="175"/>
      <c r="S28" s="175"/>
      <c r="T28" s="173"/>
      <c r="U28" s="146"/>
      <c r="V28" s="174"/>
      <c r="W28" s="175"/>
      <c r="X28" s="175"/>
      <c r="Y28" s="173"/>
      <c r="Z28" s="146"/>
      <c r="AA28" s="174"/>
      <c r="AB28" s="175"/>
      <c r="AC28" s="175"/>
      <c r="AD28" s="173"/>
      <c r="AE28" s="146"/>
      <c r="AF28" s="174"/>
      <c r="AG28" s="175"/>
      <c r="AH28" s="175"/>
      <c r="AI28" s="175"/>
      <c r="AJ28" s="146"/>
      <c r="AK28" s="174"/>
      <c r="AL28" s="175"/>
      <c r="AM28" s="175"/>
      <c r="AN28" s="195"/>
      <c r="AO28" s="195"/>
      <c r="AP28" s="22" t="s">
        <v>10013</v>
      </c>
      <c r="AQ28" s="175"/>
      <c r="AR28" s="173"/>
      <c r="AS28" s="173"/>
      <c r="AT28" s="175"/>
      <c r="AU28" s="175"/>
      <c r="AV28" s="126" t="s">
        <v>10014</v>
      </c>
      <c r="AW28" s="126" t="s">
        <v>10015</v>
      </c>
      <c r="AX28" s="839"/>
      <c r="AY28" s="173"/>
      <c r="AZ28" s="171"/>
      <c r="BA28" s="148"/>
      <c r="BB28" s="148"/>
      <c r="BC28" s="175"/>
      <c r="BD28" s="174"/>
      <c r="BE28" s="174"/>
      <c r="BF28" s="174"/>
      <c r="BG28" s="174"/>
      <c r="BH28" s="176"/>
      <c r="BI28" s="176"/>
      <c r="BJ28" s="177"/>
      <c r="BK28" s="173"/>
      <c r="BL28" s="146"/>
      <c r="BM28" s="838"/>
      <c r="BN28" s="175"/>
      <c r="BO28" s="174"/>
      <c r="BP28" s="174"/>
      <c r="BQ28" s="174"/>
      <c r="BR28" s="179"/>
      <c r="BS28" s="174"/>
      <c r="BT28" s="173"/>
      <c r="BU28" s="146"/>
      <c r="BV28" s="826"/>
      <c r="BW28" s="826"/>
      <c r="BX28" s="826"/>
      <c r="BY28" s="826"/>
      <c r="BZ28" s="826"/>
      <c r="CA28" s="826"/>
      <c r="CB28" s="826"/>
      <c r="CC28" s="826"/>
      <c r="CD28" s="826"/>
      <c r="CE28" s="826"/>
      <c r="CF28" s="826"/>
      <c r="CG28" s="826"/>
      <c r="CH28" s="826"/>
      <c r="CI28" s="826"/>
      <c r="CJ28" s="826"/>
      <c r="CK28" s="826"/>
      <c r="CL28" s="826"/>
      <c r="CM28" s="826"/>
      <c r="CN28" s="826"/>
      <c r="CO28" s="826"/>
      <c r="CP28" s="826"/>
      <c r="CQ28" s="826"/>
      <c r="CR28" s="826"/>
      <c r="CS28" s="826"/>
      <c r="CT28" s="826"/>
      <c r="CU28" s="826"/>
      <c r="CV28" s="826"/>
      <c r="CW28" s="826"/>
      <c r="CX28" s="826"/>
      <c r="CY28" s="826"/>
      <c r="CZ28" s="826"/>
      <c r="DA28" s="826"/>
      <c r="DB28" s="826"/>
      <c r="DC28" s="826"/>
      <c r="DD28" s="826"/>
      <c r="DE28" s="826"/>
      <c r="DF28" s="826"/>
      <c r="DG28" s="826"/>
      <c r="DH28" s="826"/>
      <c r="DI28" s="826"/>
      <c r="DJ28" s="826"/>
      <c r="DK28" s="826"/>
      <c r="DL28" s="826"/>
      <c r="DM28" s="826"/>
      <c r="DN28" s="826"/>
      <c r="DO28" s="826"/>
      <c r="DP28" s="826"/>
      <c r="DQ28" s="826"/>
      <c r="DR28" s="826"/>
      <c r="DS28" s="826"/>
      <c r="DT28" s="826"/>
      <c r="DU28" s="826"/>
      <c r="DV28" s="826"/>
      <c r="DW28" s="826"/>
      <c r="DX28" s="826"/>
      <c r="DY28" s="826"/>
      <c r="DZ28" s="826"/>
      <c r="EA28" s="826"/>
      <c r="EB28" s="826"/>
      <c r="EC28" s="826"/>
      <c r="ED28" s="826"/>
      <c r="EE28" s="826"/>
      <c r="EF28" s="826"/>
      <c r="EG28" s="826"/>
      <c r="EH28" s="826"/>
      <c r="EI28" s="826"/>
      <c r="EJ28" s="826"/>
      <c r="EK28" s="826"/>
      <c r="EL28" s="826"/>
      <c r="EM28" s="826"/>
      <c r="EN28" s="826"/>
      <c r="EO28" s="826"/>
      <c r="EP28" s="826"/>
      <c r="EQ28" s="826"/>
      <c r="ER28" s="826"/>
      <c r="ES28" s="826"/>
      <c r="ET28" s="826"/>
      <c r="EU28" s="826"/>
      <c r="EV28" s="826"/>
      <c r="EW28" s="826"/>
      <c r="EX28" s="826"/>
      <c r="EY28" s="826"/>
      <c r="EZ28" s="826"/>
      <c r="FA28" s="826"/>
      <c r="FB28" s="826"/>
      <c r="FC28" s="826"/>
      <c r="FD28" s="826"/>
      <c r="FE28" s="826"/>
      <c r="FF28" s="826"/>
      <c r="FG28" s="826"/>
      <c r="FH28" s="826"/>
      <c r="FI28" s="826"/>
      <c r="FJ28" s="826"/>
      <c r="FK28" s="826"/>
      <c r="FL28" s="826"/>
      <c r="FM28" s="826"/>
      <c r="FN28" s="826"/>
      <c r="FO28" s="826"/>
      <c r="FP28" s="826"/>
      <c r="FQ28" s="826"/>
      <c r="FR28" s="826"/>
      <c r="FS28" s="826"/>
      <c r="FT28" s="826"/>
      <c r="FU28" s="826"/>
      <c r="FV28" s="826"/>
      <c r="FW28" s="826"/>
      <c r="FX28" s="826"/>
      <c r="FY28" s="826"/>
      <c r="FZ28" s="826"/>
      <c r="GA28" s="826"/>
      <c r="GB28" s="826"/>
      <c r="GC28" s="826"/>
      <c r="GD28" s="826"/>
      <c r="GE28" s="826"/>
      <c r="GF28" s="826"/>
      <c r="GG28" s="826"/>
      <c r="GH28" s="826"/>
      <c r="GI28" s="826"/>
      <c r="GJ28" s="826"/>
      <c r="GK28" s="826"/>
      <c r="GL28" s="826"/>
      <c r="GM28" s="826"/>
      <c r="GN28" s="826"/>
      <c r="GO28" s="826"/>
      <c r="GP28" s="826"/>
      <c r="GQ28" s="826"/>
      <c r="GR28" s="826"/>
      <c r="GS28" s="826"/>
      <c r="GT28" s="826"/>
      <c r="GU28" s="826"/>
      <c r="GV28" s="826"/>
      <c r="GW28" s="826"/>
      <c r="GX28" s="826"/>
      <c r="GY28" s="826"/>
      <c r="GZ28" s="826"/>
      <c r="HA28" s="826"/>
      <c r="HB28" s="826"/>
      <c r="HC28" s="826"/>
      <c r="HD28" s="826"/>
      <c r="HE28" s="826"/>
      <c r="HF28" s="826"/>
      <c r="HG28" s="826"/>
      <c r="HH28" s="826"/>
      <c r="HI28" s="826"/>
    </row>
    <row r="29" spans="1:217" s="827" customFormat="1" ht="56.25" customHeight="1">
      <c r="A29" s="96">
        <v>20</v>
      </c>
      <c r="B29" s="840" t="s">
        <v>9522</v>
      </c>
      <c r="C29" s="142">
        <v>17221141</v>
      </c>
      <c r="D29" s="424" t="s">
        <v>10016</v>
      </c>
      <c r="E29" s="143"/>
      <c r="F29" s="146"/>
      <c r="G29" s="145"/>
      <c r="H29" s="148"/>
      <c r="I29" s="175"/>
      <c r="J29" s="173"/>
      <c r="K29" s="146"/>
      <c r="L29" s="174"/>
      <c r="M29" s="175"/>
      <c r="N29" s="175"/>
      <c r="O29" s="173"/>
      <c r="P29" s="146"/>
      <c r="Q29" s="174"/>
      <c r="R29" s="175"/>
      <c r="S29" s="175"/>
      <c r="T29" s="173"/>
      <c r="U29" s="146"/>
      <c r="V29" s="174"/>
      <c r="W29" s="175"/>
      <c r="X29" s="175"/>
      <c r="Y29" s="173"/>
      <c r="Z29" s="146"/>
      <c r="AA29" s="174"/>
      <c r="AB29" s="175"/>
      <c r="AC29" s="175"/>
      <c r="AD29" s="173"/>
      <c r="AE29" s="146"/>
      <c r="AF29" s="174"/>
      <c r="AG29" s="175"/>
      <c r="AH29" s="175"/>
      <c r="AI29" s="175"/>
      <c r="AJ29" s="146"/>
      <c r="AK29" s="174"/>
      <c r="AL29" s="175"/>
      <c r="AM29" s="175"/>
      <c r="AN29" s="195"/>
      <c r="AO29" s="195"/>
      <c r="AP29" s="22" t="s">
        <v>10017</v>
      </c>
      <c r="AQ29" s="175"/>
      <c r="AR29" s="173"/>
      <c r="AS29" s="173"/>
      <c r="AT29" s="175"/>
      <c r="AU29" s="175"/>
      <c r="AV29" s="126" t="s">
        <v>10018</v>
      </c>
      <c r="AW29" s="126" t="s">
        <v>10019</v>
      </c>
      <c r="AX29" s="839"/>
      <c r="AY29" s="173"/>
      <c r="AZ29" s="171"/>
      <c r="BA29" s="148"/>
      <c r="BB29" s="148"/>
      <c r="BC29" s="175"/>
      <c r="BD29" s="174"/>
      <c r="BE29" s="174"/>
      <c r="BF29" s="174"/>
      <c r="BG29" s="174"/>
      <c r="BH29" s="176"/>
      <c r="BI29" s="176"/>
      <c r="BJ29" s="177"/>
      <c r="BK29" s="173"/>
      <c r="BL29" s="146"/>
      <c r="BM29" s="838"/>
      <c r="BN29" s="175"/>
      <c r="BO29" s="174"/>
      <c r="BP29" s="174"/>
      <c r="BQ29" s="174"/>
      <c r="BR29" s="179"/>
      <c r="BS29" s="174"/>
      <c r="BT29" s="173"/>
      <c r="BU29" s="146"/>
      <c r="BV29" s="826"/>
      <c r="BW29" s="826"/>
      <c r="BX29" s="826"/>
      <c r="BY29" s="826"/>
      <c r="BZ29" s="826"/>
      <c r="CA29" s="826"/>
      <c r="CB29" s="826"/>
      <c r="CC29" s="826"/>
      <c r="CD29" s="826"/>
      <c r="CE29" s="826"/>
      <c r="CF29" s="826"/>
      <c r="CG29" s="826"/>
      <c r="CH29" s="826"/>
      <c r="CI29" s="826"/>
      <c r="CJ29" s="826"/>
      <c r="CK29" s="826"/>
      <c r="CL29" s="826"/>
      <c r="CM29" s="826"/>
      <c r="CN29" s="826"/>
      <c r="CO29" s="826"/>
      <c r="CP29" s="826"/>
      <c r="CQ29" s="826"/>
      <c r="CR29" s="826"/>
      <c r="CS29" s="826"/>
      <c r="CT29" s="826"/>
      <c r="CU29" s="826"/>
      <c r="CV29" s="826"/>
      <c r="CW29" s="826"/>
      <c r="CX29" s="826"/>
      <c r="CY29" s="826"/>
      <c r="CZ29" s="826"/>
      <c r="DA29" s="826"/>
      <c r="DB29" s="826"/>
      <c r="DC29" s="826"/>
      <c r="DD29" s="826"/>
      <c r="DE29" s="826"/>
      <c r="DF29" s="826"/>
      <c r="DG29" s="826"/>
      <c r="DH29" s="826"/>
      <c r="DI29" s="826"/>
      <c r="DJ29" s="826"/>
      <c r="DK29" s="826"/>
      <c r="DL29" s="826"/>
      <c r="DM29" s="826"/>
      <c r="DN29" s="826"/>
      <c r="DO29" s="826"/>
      <c r="DP29" s="826"/>
      <c r="DQ29" s="826"/>
      <c r="DR29" s="826"/>
      <c r="DS29" s="826"/>
      <c r="DT29" s="826"/>
      <c r="DU29" s="826"/>
      <c r="DV29" s="826"/>
      <c r="DW29" s="826"/>
      <c r="DX29" s="826"/>
      <c r="DY29" s="826"/>
      <c r="DZ29" s="826"/>
      <c r="EA29" s="826"/>
      <c r="EB29" s="826"/>
      <c r="EC29" s="826"/>
      <c r="ED29" s="826"/>
      <c r="EE29" s="826"/>
      <c r="EF29" s="826"/>
      <c r="EG29" s="826"/>
      <c r="EH29" s="826"/>
      <c r="EI29" s="826"/>
      <c r="EJ29" s="826"/>
      <c r="EK29" s="826"/>
      <c r="EL29" s="826"/>
      <c r="EM29" s="826"/>
      <c r="EN29" s="826"/>
      <c r="EO29" s="826"/>
      <c r="EP29" s="826"/>
      <c r="EQ29" s="826"/>
      <c r="ER29" s="826"/>
      <c r="ES29" s="826"/>
      <c r="ET29" s="826"/>
      <c r="EU29" s="826"/>
      <c r="EV29" s="826"/>
      <c r="EW29" s="826"/>
      <c r="EX29" s="826"/>
      <c r="EY29" s="826"/>
      <c r="EZ29" s="826"/>
      <c r="FA29" s="826"/>
      <c r="FB29" s="826"/>
      <c r="FC29" s="826"/>
      <c r="FD29" s="826"/>
      <c r="FE29" s="826"/>
      <c r="FF29" s="826"/>
      <c r="FG29" s="826"/>
      <c r="FH29" s="826"/>
      <c r="FI29" s="826"/>
      <c r="FJ29" s="826"/>
      <c r="FK29" s="826"/>
      <c r="FL29" s="826"/>
      <c r="FM29" s="826"/>
      <c r="FN29" s="826"/>
      <c r="FO29" s="826"/>
      <c r="FP29" s="826"/>
      <c r="FQ29" s="826"/>
      <c r="FR29" s="826"/>
      <c r="FS29" s="826"/>
      <c r="FT29" s="826"/>
      <c r="FU29" s="826"/>
      <c r="FV29" s="826"/>
      <c r="FW29" s="826"/>
      <c r="FX29" s="826"/>
      <c r="FY29" s="826"/>
      <c r="FZ29" s="826"/>
      <c r="GA29" s="826"/>
      <c r="GB29" s="826"/>
      <c r="GC29" s="826"/>
      <c r="GD29" s="826"/>
      <c r="GE29" s="826"/>
      <c r="GF29" s="826"/>
      <c r="GG29" s="826"/>
      <c r="GH29" s="826"/>
      <c r="GI29" s="826"/>
      <c r="GJ29" s="826"/>
      <c r="GK29" s="826"/>
      <c r="GL29" s="826"/>
      <c r="GM29" s="826"/>
      <c r="GN29" s="826"/>
      <c r="GO29" s="826"/>
      <c r="GP29" s="826"/>
      <c r="GQ29" s="826"/>
      <c r="GR29" s="826"/>
      <c r="GS29" s="826"/>
      <c r="GT29" s="826"/>
      <c r="GU29" s="826"/>
      <c r="GV29" s="826"/>
      <c r="GW29" s="826"/>
      <c r="GX29" s="826"/>
      <c r="GY29" s="826"/>
      <c r="GZ29" s="826"/>
      <c r="HA29" s="826"/>
      <c r="HB29" s="826"/>
      <c r="HC29" s="826"/>
      <c r="HD29" s="826"/>
      <c r="HE29" s="826"/>
      <c r="HF29" s="826"/>
      <c r="HG29" s="826"/>
      <c r="HH29" s="826"/>
      <c r="HI29" s="826"/>
    </row>
    <row r="30" spans="1:217" s="827" customFormat="1" ht="56.25" customHeight="1">
      <c r="A30" s="96">
        <v>21</v>
      </c>
      <c r="B30" s="840" t="s">
        <v>5878</v>
      </c>
      <c r="C30" s="142">
        <v>98499232</v>
      </c>
      <c r="D30" s="424" t="s">
        <v>906</v>
      </c>
      <c r="E30" s="143"/>
      <c r="F30" s="146"/>
      <c r="G30" s="145"/>
      <c r="H30" s="148"/>
      <c r="I30" s="175"/>
      <c r="J30" s="173"/>
      <c r="K30" s="146"/>
      <c r="L30" s="174"/>
      <c r="M30" s="175"/>
      <c r="N30" s="175"/>
      <c r="O30" s="173"/>
      <c r="P30" s="146"/>
      <c r="Q30" s="174"/>
      <c r="R30" s="175"/>
      <c r="S30" s="175"/>
      <c r="T30" s="173"/>
      <c r="U30" s="146"/>
      <c r="V30" s="174"/>
      <c r="W30" s="175"/>
      <c r="X30" s="175"/>
      <c r="Y30" s="173"/>
      <c r="Z30" s="146"/>
      <c r="AA30" s="174"/>
      <c r="AB30" s="175"/>
      <c r="AC30" s="175"/>
      <c r="AD30" s="173"/>
      <c r="AE30" s="146"/>
      <c r="AF30" s="174"/>
      <c r="AG30" s="175"/>
      <c r="AH30" s="175"/>
      <c r="AI30" s="175"/>
      <c r="AJ30" s="146"/>
      <c r="AK30" s="174"/>
      <c r="AL30" s="175"/>
      <c r="AM30" s="175"/>
      <c r="AN30" s="195"/>
      <c r="AO30" s="195"/>
      <c r="AP30" s="22" t="s">
        <v>10020</v>
      </c>
      <c r="AQ30" s="175"/>
      <c r="AR30" s="173"/>
      <c r="AS30" s="173"/>
      <c r="AT30" s="175"/>
      <c r="AU30" s="175"/>
      <c r="AV30" s="126" t="s">
        <v>10021</v>
      </c>
      <c r="AW30" s="126" t="s">
        <v>10022</v>
      </c>
      <c r="AX30" s="839"/>
      <c r="AY30" s="173"/>
      <c r="AZ30" s="171"/>
      <c r="BA30" s="148"/>
      <c r="BB30" s="148"/>
      <c r="BC30" s="175"/>
      <c r="BD30" s="174"/>
      <c r="BE30" s="174"/>
      <c r="BF30" s="174"/>
      <c r="BG30" s="174"/>
      <c r="BH30" s="176"/>
      <c r="BI30" s="176"/>
      <c r="BJ30" s="177"/>
      <c r="BK30" s="173"/>
      <c r="BL30" s="146"/>
      <c r="BM30" s="838"/>
      <c r="BN30" s="175"/>
      <c r="BO30" s="174"/>
      <c r="BP30" s="174"/>
      <c r="BQ30" s="174"/>
      <c r="BR30" s="179"/>
      <c r="BS30" s="174"/>
      <c r="BT30" s="173"/>
      <c r="BU30" s="146"/>
      <c r="BV30" s="826"/>
      <c r="BW30" s="826"/>
      <c r="BX30" s="826"/>
      <c r="BY30" s="826"/>
      <c r="BZ30" s="826"/>
      <c r="CA30" s="826"/>
      <c r="CB30" s="826"/>
      <c r="CC30" s="826"/>
      <c r="CD30" s="826"/>
      <c r="CE30" s="826"/>
      <c r="CF30" s="826"/>
      <c r="CG30" s="826"/>
      <c r="CH30" s="826"/>
      <c r="CI30" s="826"/>
      <c r="CJ30" s="826"/>
      <c r="CK30" s="826"/>
      <c r="CL30" s="826"/>
      <c r="CM30" s="826"/>
      <c r="CN30" s="826"/>
      <c r="CO30" s="826"/>
      <c r="CP30" s="826"/>
      <c r="CQ30" s="826"/>
      <c r="CR30" s="826"/>
      <c r="CS30" s="826"/>
      <c r="CT30" s="826"/>
      <c r="CU30" s="826"/>
      <c r="CV30" s="826"/>
      <c r="CW30" s="826"/>
      <c r="CX30" s="826"/>
      <c r="CY30" s="826"/>
      <c r="CZ30" s="826"/>
      <c r="DA30" s="826"/>
      <c r="DB30" s="826"/>
      <c r="DC30" s="826"/>
      <c r="DD30" s="826"/>
      <c r="DE30" s="826"/>
      <c r="DF30" s="826"/>
      <c r="DG30" s="826"/>
      <c r="DH30" s="826"/>
      <c r="DI30" s="826"/>
      <c r="DJ30" s="826"/>
      <c r="DK30" s="826"/>
      <c r="DL30" s="826"/>
      <c r="DM30" s="826"/>
      <c r="DN30" s="826"/>
      <c r="DO30" s="826"/>
      <c r="DP30" s="826"/>
      <c r="DQ30" s="826"/>
      <c r="DR30" s="826"/>
      <c r="DS30" s="826"/>
      <c r="DT30" s="826"/>
      <c r="DU30" s="826"/>
      <c r="DV30" s="826"/>
      <c r="DW30" s="826"/>
      <c r="DX30" s="826"/>
      <c r="DY30" s="826"/>
      <c r="DZ30" s="826"/>
      <c r="EA30" s="826"/>
      <c r="EB30" s="826"/>
      <c r="EC30" s="826"/>
      <c r="ED30" s="826"/>
      <c r="EE30" s="826"/>
      <c r="EF30" s="826"/>
      <c r="EG30" s="826"/>
      <c r="EH30" s="826"/>
      <c r="EI30" s="826"/>
      <c r="EJ30" s="826"/>
      <c r="EK30" s="826"/>
      <c r="EL30" s="826"/>
      <c r="EM30" s="826"/>
      <c r="EN30" s="826"/>
      <c r="EO30" s="826"/>
      <c r="EP30" s="826"/>
      <c r="EQ30" s="826"/>
      <c r="ER30" s="826"/>
      <c r="ES30" s="826"/>
      <c r="ET30" s="826"/>
      <c r="EU30" s="826"/>
      <c r="EV30" s="826"/>
      <c r="EW30" s="826"/>
      <c r="EX30" s="826"/>
      <c r="EY30" s="826"/>
      <c r="EZ30" s="826"/>
      <c r="FA30" s="826"/>
      <c r="FB30" s="826"/>
      <c r="FC30" s="826"/>
      <c r="FD30" s="826"/>
      <c r="FE30" s="826"/>
      <c r="FF30" s="826"/>
      <c r="FG30" s="826"/>
      <c r="FH30" s="826"/>
      <c r="FI30" s="826"/>
      <c r="FJ30" s="826"/>
      <c r="FK30" s="826"/>
      <c r="FL30" s="826"/>
      <c r="FM30" s="826"/>
      <c r="FN30" s="826"/>
      <c r="FO30" s="826"/>
      <c r="FP30" s="826"/>
      <c r="FQ30" s="826"/>
      <c r="FR30" s="826"/>
      <c r="FS30" s="826"/>
      <c r="FT30" s="826"/>
      <c r="FU30" s="826"/>
      <c r="FV30" s="826"/>
      <c r="FW30" s="826"/>
      <c r="FX30" s="826"/>
      <c r="FY30" s="826"/>
      <c r="FZ30" s="826"/>
      <c r="GA30" s="826"/>
      <c r="GB30" s="826"/>
      <c r="GC30" s="826"/>
      <c r="GD30" s="826"/>
      <c r="GE30" s="826"/>
      <c r="GF30" s="826"/>
      <c r="GG30" s="826"/>
      <c r="GH30" s="826"/>
      <c r="GI30" s="826"/>
      <c r="GJ30" s="826"/>
      <c r="GK30" s="826"/>
      <c r="GL30" s="826"/>
      <c r="GM30" s="826"/>
      <c r="GN30" s="826"/>
      <c r="GO30" s="826"/>
      <c r="GP30" s="826"/>
      <c r="GQ30" s="826"/>
      <c r="GR30" s="826"/>
      <c r="GS30" s="826"/>
      <c r="GT30" s="826"/>
      <c r="GU30" s="826"/>
      <c r="GV30" s="826"/>
      <c r="GW30" s="826"/>
      <c r="GX30" s="826"/>
      <c r="GY30" s="826"/>
      <c r="GZ30" s="826"/>
      <c r="HA30" s="826"/>
      <c r="HB30" s="826"/>
      <c r="HC30" s="826"/>
      <c r="HD30" s="826"/>
      <c r="HE30" s="826"/>
      <c r="HF30" s="826"/>
      <c r="HG30" s="826"/>
      <c r="HH30" s="826"/>
      <c r="HI30" s="826"/>
    </row>
    <row r="31" spans="1:217" s="827" customFormat="1" ht="56.25" customHeight="1">
      <c r="A31" s="96">
        <v>22</v>
      </c>
      <c r="B31" s="840" t="s">
        <v>8940</v>
      </c>
      <c r="C31" s="142">
        <v>80172624</v>
      </c>
      <c r="D31" s="424" t="s">
        <v>10023</v>
      </c>
      <c r="E31" s="143"/>
      <c r="F31" s="146"/>
      <c r="G31" s="145"/>
      <c r="H31" s="148"/>
      <c r="I31" s="175"/>
      <c r="J31" s="173"/>
      <c r="K31" s="146"/>
      <c r="L31" s="174"/>
      <c r="M31" s="175"/>
      <c r="N31" s="175"/>
      <c r="O31" s="173"/>
      <c r="P31" s="146"/>
      <c r="Q31" s="174"/>
      <c r="R31" s="175"/>
      <c r="S31" s="175"/>
      <c r="T31" s="173"/>
      <c r="U31" s="146"/>
      <c r="V31" s="174"/>
      <c r="W31" s="175"/>
      <c r="X31" s="175"/>
      <c r="Y31" s="173"/>
      <c r="Z31" s="146"/>
      <c r="AA31" s="174"/>
      <c r="AB31" s="175"/>
      <c r="AC31" s="175"/>
      <c r="AD31" s="173"/>
      <c r="AE31" s="146"/>
      <c r="AF31" s="174"/>
      <c r="AG31" s="175"/>
      <c r="AH31" s="175"/>
      <c r="AI31" s="175"/>
      <c r="AJ31" s="146"/>
      <c r="AK31" s="174"/>
      <c r="AL31" s="175"/>
      <c r="AM31" s="175"/>
      <c r="AN31" s="195"/>
      <c r="AO31" s="195"/>
      <c r="AP31" s="22" t="s">
        <v>10024</v>
      </c>
      <c r="AQ31" s="175"/>
      <c r="AR31" s="173"/>
      <c r="AS31" s="173"/>
      <c r="AT31" s="175"/>
      <c r="AU31" s="175"/>
      <c r="AV31" s="126" t="s">
        <v>10025</v>
      </c>
      <c r="AW31" s="126" t="s">
        <v>10026</v>
      </c>
      <c r="AX31" s="839"/>
      <c r="AY31" s="173"/>
      <c r="AZ31" s="171"/>
      <c r="BA31" s="148"/>
      <c r="BB31" s="148"/>
      <c r="BC31" s="175"/>
      <c r="BD31" s="174"/>
      <c r="BE31" s="174"/>
      <c r="BF31" s="174"/>
      <c r="BG31" s="174"/>
      <c r="BH31" s="176"/>
      <c r="BI31" s="176"/>
      <c r="BJ31" s="177"/>
      <c r="BK31" s="173"/>
      <c r="BL31" s="146"/>
      <c r="BM31" s="838"/>
      <c r="BN31" s="175"/>
      <c r="BO31" s="174"/>
      <c r="BP31" s="174"/>
      <c r="BQ31" s="174"/>
      <c r="BR31" s="179"/>
      <c r="BS31" s="174"/>
      <c r="BT31" s="173"/>
      <c r="BU31" s="146"/>
      <c r="BV31" s="826"/>
      <c r="BW31" s="826"/>
      <c r="BX31" s="826"/>
      <c r="BY31" s="826"/>
      <c r="BZ31" s="826"/>
      <c r="CA31" s="826"/>
      <c r="CB31" s="826"/>
      <c r="CC31" s="826"/>
      <c r="CD31" s="826"/>
      <c r="CE31" s="826"/>
      <c r="CF31" s="826"/>
      <c r="CG31" s="826"/>
      <c r="CH31" s="826"/>
      <c r="CI31" s="826"/>
      <c r="CJ31" s="826"/>
      <c r="CK31" s="826"/>
      <c r="CL31" s="826"/>
      <c r="CM31" s="826"/>
      <c r="CN31" s="826"/>
      <c r="CO31" s="826"/>
      <c r="CP31" s="826"/>
      <c r="CQ31" s="826"/>
      <c r="CR31" s="826"/>
      <c r="CS31" s="826"/>
      <c r="CT31" s="826"/>
      <c r="CU31" s="826"/>
      <c r="CV31" s="826"/>
      <c r="CW31" s="826"/>
      <c r="CX31" s="826"/>
      <c r="CY31" s="826"/>
      <c r="CZ31" s="826"/>
      <c r="DA31" s="826"/>
      <c r="DB31" s="826"/>
      <c r="DC31" s="826"/>
      <c r="DD31" s="826"/>
      <c r="DE31" s="826"/>
      <c r="DF31" s="826"/>
      <c r="DG31" s="826"/>
      <c r="DH31" s="826"/>
      <c r="DI31" s="826"/>
      <c r="DJ31" s="826"/>
      <c r="DK31" s="826"/>
      <c r="DL31" s="826"/>
      <c r="DM31" s="826"/>
      <c r="DN31" s="826"/>
      <c r="DO31" s="826"/>
      <c r="DP31" s="826"/>
      <c r="DQ31" s="826"/>
      <c r="DR31" s="826"/>
      <c r="DS31" s="826"/>
      <c r="DT31" s="826"/>
      <c r="DU31" s="826"/>
      <c r="DV31" s="826"/>
      <c r="DW31" s="826"/>
      <c r="DX31" s="826"/>
      <c r="DY31" s="826"/>
      <c r="DZ31" s="826"/>
      <c r="EA31" s="826"/>
      <c r="EB31" s="826"/>
      <c r="EC31" s="826"/>
      <c r="ED31" s="826"/>
      <c r="EE31" s="826"/>
      <c r="EF31" s="826"/>
      <c r="EG31" s="826"/>
      <c r="EH31" s="826"/>
      <c r="EI31" s="826"/>
      <c r="EJ31" s="826"/>
      <c r="EK31" s="826"/>
      <c r="EL31" s="826"/>
      <c r="EM31" s="826"/>
      <c r="EN31" s="826"/>
      <c r="EO31" s="826"/>
      <c r="EP31" s="826"/>
      <c r="EQ31" s="826"/>
      <c r="ER31" s="826"/>
      <c r="ES31" s="826"/>
      <c r="ET31" s="826"/>
      <c r="EU31" s="826"/>
      <c r="EV31" s="826"/>
      <c r="EW31" s="826"/>
      <c r="EX31" s="826"/>
      <c r="EY31" s="826"/>
      <c r="EZ31" s="826"/>
      <c r="FA31" s="826"/>
      <c r="FB31" s="826"/>
      <c r="FC31" s="826"/>
      <c r="FD31" s="826"/>
      <c r="FE31" s="826"/>
      <c r="FF31" s="826"/>
      <c r="FG31" s="826"/>
      <c r="FH31" s="826"/>
      <c r="FI31" s="826"/>
      <c r="FJ31" s="826"/>
      <c r="FK31" s="826"/>
      <c r="FL31" s="826"/>
      <c r="FM31" s="826"/>
      <c r="FN31" s="826"/>
      <c r="FO31" s="826"/>
      <c r="FP31" s="826"/>
      <c r="FQ31" s="826"/>
      <c r="FR31" s="826"/>
      <c r="FS31" s="826"/>
      <c r="FT31" s="826"/>
      <c r="FU31" s="826"/>
      <c r="FV31" s="826"/>
      <c r="FW31" s="826"/>
      <c r="FX31" s="826"/>
      <c r="FY31" s="826"/>
      <c r="FZ31" s="826"/>
      <c r="GA31" s="826"/>
      <c r="GB31" s="826"/>
      <c r="GC31" s="826"/>
      <c r="GD31" s="826"/>
      <c r="GE31" s="826"/>
      <c r="GF31" s="826"/>
      <c r="GG31" s="826"/>
      <c r="GH31" s="826"/>
      <c r="GI31" s="826"/>
      <c r="GJ31" s="826"/>
      <c r="GK31" s="826"/>
      <c r="GL31" s="826"/>
      <c r="GM31" s="826"/>
      <c r="GN31" s="826"/>
      <c r="GO31" s="826"/>
      <c r="GP31" s="826"/>
      <c r="GQ31" s="826"/>
      <c r="GR31" s="826"/>
      <c r="GS31" s="826"/>
      <c r="GT31" s="826"/>
      <c r="GU31" s="826"/>
      <c r="GV31" s="826"/>
      <c r="GW31" s="826"/>
      <c r="GX31" s="826"/>
      <c r="GY31" s="826"/>
      <c r="GZ31" s="826"/>
      <c r="HA31" s="826"/>
      <c r="HB31" s="826"/>
      <c r="HC31" s="826"/>
      <c r="HD31" s="826"/>
      <c r="HE31" s="826"/>
      <c r="HF31" s="826"/>
      <c r="HG31" s="826"/>
      <c r="HH31" s="826"/>
      <c r="HI31" s="826"/>
    </row>
    <row r="32" spans="1:217" s="827" customFormat="1" ht="56.25" customHeight="1">
      <c r="A32" s="96">
        <v>24</v>
      </c>
      <c r="B32" s="840" t="s">
        <v>10027</v>
      </c>
      <c r="C32" s="142">
        <v>79420272</v>
      </c>
      <c r="D32" s="22" t="s">
        <v>8310</v>
      </c>
      <c r="E32" s="143"/>
      <c r="F32" s="146"/>
      <c r="G32" s="145"/>
      <c r="H32" s="148"/>
      <c r="I32" s="175"/>
      <c r="J32" s="173"/>
      <c r="K32" s="146"/>
      <c r="L32" s="174"/>
      <c r="M32" s="175"/>
      <c r="N32" s="175"/>
      <c r="O32" s="173"/>
      <c r="P32" s="146"/>
      <c r="Q32" s="174"/>
      <c r="R32" s="175"/>
      <c r="S32" s="175"/>
      <c r="T32" s="173"/>
      <c r="U32" s="146"/>
      <c r="V32" s="174"/>
      <c r="W32" s="175"/>
      <c r="X32" s="175"/>
      <c r="Y32" s="173"/>
      <c r="Z32" s="146"/>
      <c r="AA32" s="174"/>
      <c r="AB32" s="175"/>
      <c r="AC32" s="175"/>
      <c r="AD32" s="173"/>
      <c r="AE32" s="146"/>
      <c r="AF32" s="174"/>
      <c r="AG32" s="175"/>
      <c r="AH32" s="175"/>
      <c r="AI32" s="175"/>
      <c r="AJ32" s="146"/>
      <c r="AK32" s="174"/>
      <c r="AL32" s="175"/>
      <c r="AM32" s="175"/>
      <c r="AN32" s="195"/>
      <c r="AO32" s="195"/>
      <c r="AP32" s="22" t="s">
        <v>10028</v>
      </c>
      <c r="AQ32" s="175"/>
      <c r="AR32" s="173"/>
      <c r="AS32" s="173"/>
      <c r="AT32" s="175"/>
      <c r="AU32" s="175"/>
      <c r="AV32" s="126" t="s">
        <v>4750</v>
      </c>
      <c r="AW32" s="126"/>
      <c r="AX32" s="839"/>
      <c r="AY32" s="173"/>
      <c r="AZ32" s="171"/>
      <c r="BA32" s="148"/>
      <c r="BB32" s="148"/>
      <c r="BC32" s="175"/>
      <c r="BD32" s="174"/>
      <c r="BE32" s="174"/>
      <c r="BF32" s="174"/>
      <c r="BG32" s="174"/>
      <c r="BH32" s="176"/>
      <c r="BI32" s="176"/>
      <c r="BJ32" s="177"/>
      <c r="BK32" s="173"/>
      <c r="BL32" s="146"/>
      <c r="BM32" s="838"/>
      <c r="BN32" s="175"/>
      <c r="BO32" s="174"/>
      <c r="BP32" s="174"/>
      <c r="BQ32" s="174"/>
      <c r="BR32" s="179"/>
      <c r="BS32" s="174"/>
      <c r="BT32" s="173"/>
      <c r="BU32" s="146"/>
      <c r="BV32" s="826"/>
      <c r="BW32" s="826"/>
      <c r="BX32" s="826"/>
      <c r="BY32" s="826"/>
      <c r="BZ32" s="826"/>
      <c r="CA32" s="826"/>
      <c r="CB32" s="826"/>
      <c r="CC32" s="826"/>
      <c r="CD32" s="826"/>
      <c r="CE32" s="826"/>
      <c r="CF32" s="826"/>
      <c r="CG32" s="826"/>
      <c r="CH32" s="826"/>
      <c r="CI32" s="826"/>
      <c r="CJ32" s="826"/>
      <c r="CK32" s="826"/>
      <c r="CL32" s="826"/>
      <c r="CM32" s="826"/>
      <c r="CN32" s="826"/>
      <c r="CO32" s="826"/>
      <c r="CP32" s="826"/>
      <c r="CQ32" s="826"/>
      <c r="CR32" s="826"/>
      <c r="CS32" s="826"/>
      <c r="CT32" s="826"/>
      <c r="CU32" s="826"/>
      <c r="CV32" s="826"/>
      <c r="CW32" s="826"/>
      <c r="CX32" s="826"/>
      <c r="CY32" s="826"/>
      <c r="CZ32" s="826"/>
      <c r="DA32" s="826"/>
      <c r="DB32" s="826"/>
      <c r="DC32" s="826"/>
      <c r="DD32" s="826"/>
      <c r="DE32" s="826"/>
      <c r="DF32" s="826"/>
      <c r="DG32" s="826"/>
      <c r="DH32" s="826"/>
      <c r="DI32" s="826"/>
      <c r="DJ32" s="826"/>
      <c r="DK32" s="826"/>
      <c r="DL32" s="826"/>
      <c r="DM32" s="826"/>
      <c r="DN32" s="826"/>
      <c r="DO32" s="826"/>
      <c r="DP32" s="826"/>
      <c r="DQ32" s="826"/>
      <c r="DR32" s="826"/>
      <c r="DS32" s="826"/>
      <c r="DT32" s="826"/>
      <c r="DU32" s="826"/>
      <c r="DV32" s="826"/>
      <c r="DW32" s="826"/>
      <c r="DX32" s="826"/>
      <c r="DY32" s="826"/>
      <c r="DZ32" s="826"/>
      <c r="EA32" s="826"/>
      <c r="EB32" s="826"/>
      <c r="EC32" s="826"/>
      <c r="ED32" s="826"/>
      <c r="EE32" s="826"/>
      <c r="EF32" s="826"/>
      <c r="EG32" s="826"/>
      <c r="EH32" s="826"/>
      <c r="EI32" s="826"/>
      <c r="EJ32" s="826"/>
      <c r="EK32" s="826"/>
      <c r="EL32" s="826"/>
      <c r="EM32" s="826"/>
      <c r="EN32" s="826"/>
      <c r="EO32" s="826"/>
      <c r="EP32" s="826"/>
      <c r="EQ32" s="826"/>
      <c r="ER32" s="826"/>
      <c r="ES32" s="826"/>
      <c r="ET32" s="826"/>
      <c r="EU32" s="826"/>
      <c r="EV32" s="826"/>
      <c r="EW32" s="826"/>
      <c r="EX32" s="826"/>
      <c r="EY32" s="826"/>
      <c r="EZ32" s="826"/>
      <c r="FA32" s="826"/>
      <c r="FB32" s="826"/>
      <c r="FC32" s="826"/>
      <c r="FD32" s="826"/>
      <c r="FE32" s="826"/>
      <c r="FF32" s="826"/>
      <c r="FG32" s="826"/>
      <c r="FH32" s="826"/>
      <c r="FI32" s="826"/>
      <c r="FJ32" s="826"/>
      <c r="FK32" s="826"/>
      <c r="FL32" s="826"/>
      <c r="FM32" s="826"/>
      <c r="FN32" s="826"/>
      <c r="FO32" s="826"/>
      <c r="FP32" s="826"/>
      <c r="FQ32" s="826"/>
      <c r="FR32" s="826"/>
      <c r="FS32" s="826"/>
      <c r="FT32" s="826"/>
      <c r="FU32" s="826"/>
      <c r="FV32" s="826"/>
      <c r="FW32" s="826"/>
      <c r="FX32" s="826"/>
      <c r="FY32" s="826"/>
      <c r="FZ32" s="826"/>
      <c r="GA32" s="826"/>
      <c r="GB32" s="826"/>
      <c r="GC32" s="826"/>
      <c r="GD32" s="826"/>
      <c r="GE32" s="826"/>
      <c r="GF32" s="826"/>
      <c r="GG32" s="826"/>
      <c r="GH32" s="826"/>
      <c r="GI32" s="826"/>
      <c r="GJ32" s="826"/>
      <c r="GK32" s="826"/>
      <c r="GL32" s="826"/>
      <c r="GM32" s="826"/>
      <c r="GN32" s="826"/>
      <c r="GO32" s="826"/>
      <c r="GP32" s="826"/>
      <c r="GQ32" s="826"/>
      <c r="GR32" s="826"/>
      <c r="GS32" s="826"/>
      <c r="GT32" s="826"/>
      <c r="GU32" s="826"/>
      <c r="GV32" s="826"/>
      <c r="GW32" s="826"/>
      <c r="GX32" s="826"/>
      <c r="GY32" s="826"/>
      <c r="GZ32" s="826"/>
      <c r="HA32" s="826"/>
      <c r="HB32" s="826"/>
      <c r="HC32" s="826"/>
      <c r="HD32" s="826"/>
      <c r="HE32" s="826"/>
      <c r="HF32" s="826"/>
      <c r="HG32" s="826"/>
      <c r="HH32" s="826"/>
      <c r="HI32" s="826"/>
    </row>
    <row r="33" spans="1:217" s="827" customFormat="1" ht="56.25" customHeight="1">
      <c r="A33" s="96">
        <v>25</v>
      </c>
      <c r="B33" s="840" t="s">
        <v>10029</v>
      </c>
      <c r="C33" s="142">
        <v>79584543</v>
      </c>
      <c r="D33" s="22" t="s">
        <v>2173</v>
      </c>
      <c r="E33" s="143"/>
      <c r="F33" s="146"/>
      <c r="G33" s="145"/>
      <c r="H33" s="148"/>
      <c r="I33" s="175"/>
      <c r="J33" s="173"/>
      <c r="K33" s="146"/>
      <c r="L33" s="174"/>
      <c r="M33" s="175"/>
      <c r="N33" s="175"/>
      <c r="O33" s="173"/>
      <c r="P33" s="146"/>
      <c r="Q33" s="174"/>
      <c r="R33" s="175"/>
      <c r="S33" s="175"/>
      <c r="T33" s="173"/>
      <c r="U33" s="146"/>
      <c r="V33" s="174"/>
      <c r="W33" s="175"/>
      <c r="X33" s="175"/>
      <c r="Y33" s="173"/>
      <c r="Z33" s="146"/>
      <c r="AA33" s="174"/>
      <c r="AB33" s="175"/>
      <c r="AC33" s="175"/>
      <c r="AD33" s="173"/>
      <c r="AE33" s="146"/>
      <c r="AF33" s="174"/>
      <c r="AG33" s="175"/>
      <c r="AH33" s="175"/>
      <c r="AI33" s="175"/>
      <c r="AJ33" s="146"/>
      <c r="AK33" s="174"/>
      <c r="AL33" s="175"/>
      <c r="AM33" s="175"/>
      <c r="AN33" s="195"/>
      <c r="AO33" s="195"/>
      <c r="AP33" s="22" t="s">
        <v>10030</v>
      </c>
      <c r="AQ33" s="175"/>
      <c r="AR33" s="173"/>
      <c r="AS33" s="173"/>
      <c r="AT33" s="175"/>
      <c r="AU33" s="175"/>
      <c r="AV33" s="126" t="s">
        <v>10031</v>
      </c>
      <c r="AW33" s="126" t="s">
        <v>10032</v>
      </c>
      <c r="AX33" s="839"/>
      <c r="AY33" s="173"/>
      <c r="AZ33" s="171"/>
      <c r="BA33" s="148"/>
      <c r="BB33" s="148"/>
      <c r="BC33" s="175"/>
      <c r="BD33" s="174"/>
      <c r="BE33" s="174"/>
      <c r="BF33" s="174"/>
      <c r="BG33" s="174"/>
      <c r="BH33" s="176"/>
      <c r="BI33" s="176"/>
      <c r="BJ33" s="177"/>
      <c r="BK33" s="173"/>
      <c r="BL33" s="146"/>
      <c r="BM33" s="838"/>
      <c r="BN33" s="175"/>
      <c r="BO33" s="174"/>
      <c r="BP33" s="174"/>
      <c r="BQ33" s="174"/>
      <c r="BR33" s="179"/>
      <c r="BS33" s="174"/>
      <c r="BT33" s="173"/>
      <c r="BU33" s="146"/>
      <c r="BV33" s="826"/>
      <c r="BW33" s="826"/>
      <c r="BX33" s="826"/>
      <c r="BY33" s="826"/>
      <c r="BZ33" s="826"/>
      <c r="CA33" s="826"/>
      <c r="CB33" s="826"/>
      <c r="CC33" s="826"/>
      <c r="CD33" s="826"/>
      <c r="CE33" s="826"/>
      <c r="CF33" s="826"/>
      <c r="CG33" s="826"/>
      <c r="CH33" s="826"/>
      <c r="CI33" s="826"/>
      <c r="CJ33" s="826"/>
      <c r="CK33" s="826"/>
      <c r="CL33" s="826"/>
      <c r="CM33" s="826"/>
      <c r="CN33" s="826"/>
      <c r="CO33" s="826"/>
      <c r="CP33" s="826"/>
      <c r="CQ33" s="826"/>
      <c r="CR33" s="826"/>
      <c r="CS33" s="826"/>
      <c r="CT33" s="826"/>
      <c r="CU33" s="826"/>
      <c r="CV33" s="826"/>
      <c r="CW33" s="826"/>
      <c r="CX33" s="826"/>
      <c r="CY33" s="826"/>
      <c r="CZ33" s="826"/>
      <c r="DA33" s="826"/>
      <c r="DB33" s="826"/>
      <c r="DC33" s="826"/>
      <c r="DD33" s="826"/>
      <c r="DE33" s="826"/>
      <c r="DF33" s="826"/>
      <c r="DG33" s="826"/>
      <c r="DH33" s="826"/>
      <c r="DI33" s="826"/>
      <c r="DJ33" s="826"/>
      <c r="DK33" s="826"/>
      <c r="DL33" s="826"/>
      <c r="DM33" s="826"/>
      <c r="DN33" s="826"/>
      <c r="DO33" s="826"/>
      <c r="DP33" s="826"/>
      <c r="DQ33" s="826"/>
      <c r="DR33" s="826"/>
      <c r="DS33" s="826"/>
      <c r="DT33" s="826"/>
      <c r="DU33" s="826"/>
      <c r="DV33" s="826"/>
      <c r="DW33" s="826"/>
      <c r="DX33" s="826"/>
      <c r="DY33" s="826"/>
      <c r="DZ33" s="826"/>
      <c r="EA33" s="826"/>
      <c r="EB33" s="826"/>
      <c r="EC33" s="826"/>
      <c r="ED33" s="826"/>
      <c r="EE33" s="826"/>
      <c r="EF33" s="826"/>
      <c r="EG33" s="826"/>
      <c r="EH33" s="826"/>
      <c r="EI33" s="826"/>
      <c r="EJ33" s="826"/>
      <c r="EK33" s="826"/>
      <c r="EL33" s="826"/>
      <c r="EM33" s="826"/>
      <c r="EN33" s="826"/>
      <c r="EO33" s="826"/>
      <c r="EP33" s="826"/>
      <c r="EQ33" s="826"/>
      <c r="ER33" s="826"/>
      <c r="ES33" s="826"/>
      <c r="ET33" s="826"/>
      <c r="EU33" s="826"/>
      <c r="EV33" s="826"/>
      <c r="EW33" s="826"/>
      <c r="EX33" s="826"/>
      <c r="EY33" s="826"/>
      <c r="EZ33" s="826"/>
      <c r="FA33" s="826"/>
      <c r="FB33" s="826"/>
      <c r="FC33" s="826"/>
      <c r="FD33" s="826"/>
      <c r="FE33" s="826"/>
      <c r="FF33" s="826"/>
      <c r="FG33" s="826"/>
      <c r="FH33" s="826"/>
      <c r="FI33" s="826"/>
      <c r="FJ33" s="826"/>
      <c r="FK33" s="826"/>
      <c r="FL33" s="826"/>
      <c r="FM33" s="826"/>
      <c r="FN33" s="826"/>
      <c r="FO33" s="826"/>
      <c r="FP33" s="826"/>
      <c r="FQ33" s="826"/>
      <c r="FR33" s="826"/>
      <c r="FS33" s="826"/>
      <c r="FT33" s="826"/>
      <c r="FU33" s="826"/>
      <c r="FV33" s="826"/>
      <c r="FW33" s="826"/>
      <c r="FX33" s="826"/>
      <c r="FY33" s="826"/>
      <c r="FZ33" s="826"/>
      <c r="GA33" s="826"/>
      <c r="GB33" s="826"/>
      <c r="GC33" s="826"/>
      <c r="GD33" s="826"/>
      <c r="GE33" s="826"/>
      <c r="GF33" s="826"/>
      <c r="GG33" s="826"/>
      <c r="GH33" s="826"/>
      <c r="GI33" s="826"/>
      <c r="GJ33" s="826"/>
      <c r="GK33" s="826"/>
      <c r="GL33" s="826"/>
      <c r="GM33" s="826"/>
      <c r="GN33" s="826"/>
      <c r="GO33" s="826"/>
      <c r="GP33" s="826"/>
      <c r="GQ33" s="826"/>
      <c r="GR33" s="826"/>
      <c r="GS33" s="826"/>
      <c r="GT33" s="826"/>
      <c r="GU33" s="826"/>
      <c r="GV33" s="826"/>
      <c r="GW33" s="826"/>
      <c r="GX33" s="826"/>
      <c r="GY33" s="826"/>
      <c r="GZ33" s="826"/>
      <c r="HA33" s="826"/>
      <c r="HB33" s="826"/>
      <c r="HC33" s="826"/>
      <c r="HD33" s="826"/>
      <c r="HE33" s="826"/>
      <c r="HF33" s="826"/>
      <c r="HG33" s="826"/>
      <c r="HH33" s="826"/>
      <c r="HI33" s="826"/>
    </row>
    <row r="34" spans="1:217" s="827" customFormat="1" ht="56.25" customHeight="1">
      <c r="A34" s="96">
        <v>30</v>
      </c>
      <c r="B34" s="840" t="s">
        <v>10033</v>
      </c>
      <c r="C34" s="142">
        <v>18602462</v>
      </c>
      <c r="D34" s="22" t="s">
        <v>333</v>
      </c>
      <c r="E34" s="143"/>
      <c r="F34" s="146"/>
      <c r="G34" s="145"/>
      <c r="H34" s="148"/>
      <c r="I34" s="175"/>
      <c r="J34" s="173"/>
      <c r="K34" s="146"/>
      <c r="L34" s="174"/>
      <c r="M34" s="175"/>
      <c r="N34" s="175"/>
      <c r="O34" s="173"/>
      <c r="P34" s="146"/>
      <c r="Q34" s="174"/>
      <c r="R34" s="175"/>
      <c r="S34" s="175"/>
      <c r="T34" s="173"/>
      <c r="U34" s="146"/>
      <c r="V34" s="174"/>
      <c r="W34" s="175"/>
      <c r="X34" s="175"/>
      <c r="Y34" s="173"/>
      <c r="Z34" s="146"/>
      <c r="AA34" s="174"/>
      <c r="AB34" s="175"/>
      <c r="AC34" s="175"/>
      <c r="AD34" s="173"/>
      <c r="AE34" s="146"/>
      <c r="AF34" s="174"/>
      <c r="AG34" s="175"/>
      <c r="AH34" s="175"/>
      <c r="AI34" s="175"/>
      <c r="AJ34" s="146"/>
      <c r="AK34" s="174"/>
      <c r="AL34" s="175"/>
      <c r="AM34" s="175"/>
      <c r="AN34" s="195"/>
      <c r="AO34" s="195"/>
      <c r="AP34" s="22" t="s">
        <v>10034</v>
      </c>
      <c r="AQ34" s="175"/>
      <c r="AR34" s="173"/>
      <c r="AS34" s="173"/>
      <c r="AT34" s="175"/>
      <c r="AU34" s="175"/>
      <c r="AV34" s="126" t="s">
        <v>10035</v>
      </c>
      <c r="AW34" s="126" t="s">
        <v>10036</v>
      </c>
      <c r="AX34" s="839"/>
      <c r="AY34" s="173"/>
      <c r="AZ34" s="171"/>
      <c r="BA34" s="148"/>
      <c r="BB34" s="148"/>
      <c r="BC34" s="175"/>
      <c r="BD34" s="174"/>
      <c r="BE34" s="174"/>
      <c r="BF34" s="174"/>
      <c r="BG34" s="174"/>
      <c r="BH34" s="176"/>
      <c r="BI34" s="176"/>
      <c r="BJ34" s="177"/>
      <c r="BK34" s="173"/>
      <c r="BL34" s="146"/>
      <c r="BM34" s="838"/>
      <c r="BN34" s="175"/>
      <c r="BO34" s="174"/>
      <c r="BP34" s="174"/>
      <c r="BQ34" s="174"/>
      <c r="BR34" s="179"/>
      <c r="BS34" s="174"/>
      <c r="BT34" s="173"/>
      <c r="BU34" s="146"/>
      <c r="BV34" s="826"/>
      <c r="BW34" s="826"/>
      <c r="BX34" s="826"/>
      <c r="BY34" s="826"/>
      <c r="BZ34" s="826"/>
      <c r="CA34" s="826"/>
      <c r="CB34" s="826"/>
      <c r="CC34" s="826"/>
      <c r="CD34" s="826"/>
      <c r="CE34" s="826"/>
      <c r="CF34" s="826"/>
      <c r="CG34" s="826"/>
      <c r="CH34" s="826"/>
      <c r="CI34" s="826"/>
      <c r="CJ34" s="826"/>
      <c r="CK34" s="826"/>
      <c r="CL34" s="826"/>
      <c r="CM34" s="826"/>
      <c r="CN34" s="826"/>
      <c r="CO34" s="826"/>
      <c r="CP34" s="826"/>
      <c r="CQ34" s="826"/>
      <c r="CR34" s="826"/>
      <c r="CS34" s="826"/>
      <c r="CT34" s="826"/>
      <c r="CU34" s="826"/>
      <c r="CV34" s="826"/>
      <c r="CW34" s="826"/>
      <c r="CX34" s="826"/>
      <c r="CY34" s="826"/>
      <c r="CZ34" s="826"/>
      <c r="DA34" s="826"/>
      <c r="DB34" s="826"/>
      <c r="DC34" s="826"/>
      <c r="DD34" s="826"/>
      <c r="DE34" s="826"/>
      <c r="DF34" s="826"/>
      <c r="DG34" s="826"/>
      <c r="DH34" s="826"/>
      <c r="DI34" s="826"/>
      <c r="DJ34" s="826"/>
      <c r="DK34" s="826"/>
      <c r="DL34" s="826"/>
      <c r="DM34" s="826"/>
      <c r="DN34" s="826"/>
      <c r="DO34" s="826"/>
      <c r="DP34" s="826"/>
      <c r="DQ34" s="826"/>
      <c r="DR34" s="826"/>
      <c r="DS34" s="826"/>
      <c r="DT34" s="826"/>
      <c r="DU34" s="826"/>
      <c r="DV34" s="826"/>
      <c r="DW34" s="826"/>
      <c r="DX34" s="826"/>
      <c r="DY34" s="826"/>
      <c r="DZ34" s="826"/>
      <c r="EA34" s="826"/>
      <c r="EB34" s="826"/>
      <c r="EC34" s="826"/>
      <c r="ED34" s="826"/>
      <c r="EE34" s="826"/>
      <c r="EF34" s="826"/>
      <c r="EG34" s="826"/>
      <c r="EH34" s="826"/>
      <c r="EI34" s="826"/>
      <c r="EJ34" s="826"/>
      <c r="EK34" s="826"/>
      <c r="EL34" s="826"/>
      <c r="EM34" s="826"/>
      <c r="EN34" s="826"/>
      <c r="EO34" s="826"/>
      <c r="EP34" s="826"/>
      <c r="EQ34" s="826"/>
      <c r="ER34" s="826"/>
      <c r="ES34" s="826"/>
      <c r="ET34" s="826"/>
      <c r="EU34" s="826"/>
      <c r="EV34" s="826"/>
      <c r="EW34" s="826"/>
      <c r="EX34" s="826"/>
      <c r="EY34" s="826"/>
      <c r="EZ34" s="826"/>
      <c r="FA34" s="826"/>
      <c r="FB34" s="826"/>
      <c r="FC34" s="826"/>
      <c r="FD34" s="826"/>
      <c r="FE34" s="826"/>
      <c r="FF34" s="826"/>
      <c r="FG34" s="826"/>
      <c r="FH34" s="826"/>
      <c r="FI34" s="826"/>
      <c r="FJ34" s="826"/>
      <c r="FK34" s="826"/>
      <c r="FL34" s="826"/>
      <c r="FM34" s="826"/>
      <c r="FN34" s="826"/>
      <c r="FO34" s="826"/>
      <c r="FP34" s="826"/>
      <c r="FQ34" s="826"/>
      <c r="FR34" s="826"/>
      <c r="FS34" s="826"/>
      <c r="FT34" s="826"/>
      <c r="FU34" s="826"/>
      <c r="FV34" s="826"/>
      <c r="FW34" s="826"/>
      <c r="FX34" s="826"/>
      <c r="FY34" s="826"/>
      <c r="FZ34" s="826"/>
      <c r="GA34" s="826"/>
      <c r="GB34" s="826"/>
      <c r="GC34" s="826"/>
      <c r="GD34" s="826"/>
      <c r="GE34" s="826"/>
      <c r="GF34" s="826"/>
      <c r="GG34" s="826"/>
      <c r="GH34" s="826"/>
      <c r="GI34" s="826"/>
      <c r="GJ34" s="826"/>
      <c r="GK34" s="826"/>
      <c r="GL34" s="826"/>
      <c r="GM34" s="826"/>
      <c r="GN34" s="826"/>
      <c r="GO34" s="826"/>
      <c r="GP34" s="826"/>
      <c r="GQ34" s="826"/>
      <c r="GR34" s="826"/>
      <c r="GS34" s="826"/>
      <c r="GT34" s="826"/>
      <c r="GU34" s="826"/>
      <c r="GV34" s="826"/>
      <c r="GW34" s="826"/>
      <c r="GX34" s="826"/>
      <c r="GY34" s="826"/>
      <c r="GZ34" s="826"/>
      <c r="HA34" s="826"/>
      <c r="HB34" s="826"/>
      <c r="HC34" s="826"/>
      <c r="HD34" s="826"/>
      <c r="HE34" s="826"/>
      <c r="HF34" s="826"/>
      <c r="HG34" s="826"/>
      <c r="HH34" s="826"/>
      <c r="HI34" s="826"/>
    </row>
    <row r="35" spans="1:217" s="842" customFormat="1" ht="83.25" customHeight="1">
      <c r="A35" s="96">
        <v>33</v>
      </c>
      <c r="B35" s="841" t="s">
        <v>10037</v>
      </c>
      <c r="C35" s="419">
        <v>76325481</v>
      </c>
      <c r="D35" s="22" t="s">
        <v>2446</v>
      </c>
      <c r="E35" s="423">
        <v>42509</v>
      </c>
      <c r="F35" s="23">
        <v>42509</v>
      </c>
      <c r="G35" s="22" t="s">
        <v>10038</v>
      </c>
      <c r="H35" s="126" t="s">
        <v>171</v>
      </c>
      <c r="I35" s="126" t="s">
        <v>2411</v>
      </c>
      <c r="J35" s="426">
        <v>42550</v>
      </c>
      <c r="K35" s="23">
        <v>42550</v>
      </c>
      <c r="L35" s="22" t="s">
        <v>10039</v>
      </c>
      <c r="M35" s="195" t="s">
        <v>171</v>
      </c>
      <c r="N35" s="195" t="s">
        <v>777</v>
      </c>
      <c r="O35" s="426"/>
      <c r="P35" s="23"/>
      <c r="Q35" s="194"/>
      <c r="R35" s="195"/>
      <c r="S35" s="195"/>
      <c r="T35" s="426"/>
      <c r="U35" s="23"/>
      <c r="V35" s="194"/>
      <c r="W35" s="195"/>
      <c r="X35" s="195"/>
      <c r="Y35" s="426"/>
      <c r="Z35" s="23"/>
      <c r="AA35" s="194"/>
      <c r="AB35" s="195"/>
      <c r="AC35" s="195"/>
      <c r="AD35" s="426"/>
      <c r="AE35" s="23"/>
      <c r="AF35" s="194"/>
      <c r="AG35" s="195"/>
      <c r="AH35" s="195"/>
      <c r="AI35" s="195"/>
      <c r="AJ35" s="23"/>
      <c r="AK35" s="194"/>
      <c r="AL35" s="195"/>
      <c r="AM35" s="195"/>
      <c r="AN35" s="195"/>
      <c r="AO35" s="195"/>
      <c r="AP35" s="22" t="s">
        <v>10040</v>
      </c>
      <c r="AQ35" s="195"/>
      <c r="AR35" s="426"/>
      <c r="AS35" s="426"/>
      <c r="AT35" s="195"/>
      <c r="AU35" s="195"/>
      <c r="AV35" s="126" t="s">
        <v>10041</v>
      </c>
      <c r="AW35" s="126" t="s">
        <v>10042</v>
      </c>
      <c r="AX35" s="839"/>
      <c r="AY35" s="426"/>
      <c r="AZ35" s="171"/>
      <c r="BA35" s="126"/>
      <c r="BB35" s="126"/>
      <c r="BC35" s="195"/>
      <c r="BD35" s="194"/>
      <c r="BE35" s="194"/>
      <c r="BF35" s="194"/>
      <c r="BG35" s="194"/>
      <c r="BH35" s="159"/>
      <c r="BI35" s="159"/>
      <c r="BJ35" s="196"/>
      <c r="BK35" s="426"/>
      <c r="BL35" s="23"/>
      <c r="BM35" s="201"/>
      <c r="BN35" s="195"/>
      <c r="BO35" s="194"/>
      <c r="BP35" s="194"/>
      <c r="BQ35" s="194"/>
      <c r="BR35" s="198"/>
      <c r="BS35" s="194"/>
      <c r="BT35" s="426"/>
      <c r="BU35" s="23"/>
      <c r="BV35" s="826"/>
      <c r="BW35" s="826"/>
      <c r="BX35" s="826"/>
      <c r="BY35" s="826"/>
      <c r="BZ35" s="826"/>
      <c r="CA35" s="826"/>
      <c r="CB35" s="826"/>
      <c r="CC35" s="826"/>
      <c r="CD35" s="826"/>
      <c r="CE35" s="826"/>
      <c r="CF35" s="826"/>
      <c r="CG35" s="826"/>
      <c r="CH35" s="826"/>
      <c r="CI35" s="826"/>
      <c r="CJ35" s="826"/>
      <c r="CK35" s="826"/>
      <c r="CL35" s="826"/>
      <c r="CM35" s="826"/>
      <c r="CN35" s="826"/>
      <c r="CO35" s="826"/>
      <c r="CP35" s="826"/>
      <c r="CQ35" s="826"/>
      <c r="CR35" s="826"/>
      <c r="CS35" s="826"/>
      <c r="CT35" s="826"/>
      <c r="CU35" s="826"/>
      <c r="CV35" s="826"/>
      <c r="CW35" s="826"/>
      <c r="CX35" s="826"/>
      <c r="CY35" s="826"/>
      <c r="CZ35" s="826"/>
      <c r="DA35" s="826"/>
      <c r="DB35" s="826"/>
      <c r="DC35" s="826"/>
      <c r="DD35" s="826"/>
      <c r="DE35" s="826"/>
      <c r="DF35" s="826"/>
      <c r="DG35" s="826"/>
      <c r="DH35" s="826"/>
      <c r="DI35" s="826"/>
      <c r="DJ35" s="826"/>
      <c r="DK35" s="826"/>
      <c r="DL35" s="826"/>
      <c r="DM35" s="826"/>
      <c r="DN35" s="826"/>
      <c r="DO35" s="826"/>
      <c r="DP35" s="826"/>
      <c r="DQ35" s="826"/>
      <c r="DR35" s="826"/>
      <c r="DS35" s="826"/>
      <c r="DT35" s="826"/>
      <c r="DU35" s="826"/>
      <c r="DV35" s="826"/>
      <c r="DW35" s="826"/>
      <c r="DX35" s="826"/>
      <c r="DY35" s="826"/>
      <c r="DZ35" s="826"/>
      <c r="EA35" s="826"/>
      <c r="EB35" s="826"/>
      <c r="EC35" s="826"/>
      <c r="ED35" s="826"/>
      <c r="EE35" s="826"/>
      <c r="EF35" s="826"/>
      <c r="EG35" s="826"/>
      <c r="EH35" s="826"/>
      <c r="EI35" s="826"/>
      <c r="EJ35" s="826"/>
      <c r="EK35" s="826"/>
      <c r="EL35" s="826"/>
      <c r="EM35" s="826"/>
      <c r="EN35" s="826"/>
      <c r="EO35" s="826"/>
      <c r="EP35" s="826"/>
      <c r="EQ35" s="826"/>
      <c r="ER35" s="826"/>
      <c r="ES35" s="826"/>
      <c r="ET35" s="826"/>
      <c r="EU35" s="826"/>
      <c r="EV35" s="826"/>
      <c r="EW35" s="826"/>
      <c r="EX35" s="826"/>
      <c r="EY35" s="826"/>
      <c r="EZ35" s="826"/>
      <c r="FA35" s="826"/>
      <c r="FB35" s="826"/>
      <c r="FC35" s="826"/>
      <c r="FD35" s="826"/>
      <c r="FE35" s="826"/>
      <c r="FF35" s="826"/>
      <c r="FG35" s="826"/>
      <c r="FH35" s="826"/>
      <c r="FI35" s="826"/>
      <c r="FJ35" s="826"/>
      <c r="FK35" s="826"/>
      <c r="FL35" s="826"/>
      <c r="FM35" s="826"/>
      <c r="FN35" s="826"/>
      <c r="FO35" s="826"/>
      <c r="FP35" s="826"/>
      <c r="FQ35" s="826"/>
      <c r="FR35" s="826"/>
      <c r="FS35" s="826"/>
      <c r="FT35" s="826"/>
      <c r="FU35" s="826"/>
      <c r="FV35" s="826"/>
      <c r="FW35" s="826"/>
      <c r="FX35" s="826"/>
      <c r="FY35" s="826"/>
      <c r="FZ35" s="826"/>
      <c r="GA35" s="826"/>
      <c r="GB35" s="826"/>
      <c r="GC35" s="826"/>
      <c r="GD35" s="826"/>
      <c r="GE35" s="826"/>
      <c r="GF35" s="826"/>
      <c r="GG35" s="826"/>
      <c r="GH35" s="826"/>
      <c r="GI35" s="826"/>
      <c r="GJ35" s="826"/>
      <c r="GK35" s="826"/>
      <c r="GL35" s="826"/>
      <c r="GM35" s="826"/>
      <c r="GN35" s="826"/>
      <c r="GO35" s="826"/>
      <c r="GP35" s="826"/>
      <c r="GQ35" s="826"/>
      <c r="GR35" s="826"/>
      <c r="GS35" s="826"/>
      <c r="GT35" s="826"/>
      <c r="GU35" s="826"/>
      <c r="GV35" s="826"/>
      <c r="GW35" s="826"/>
      <c r="GX35" s="826"/>
      <c r="GY35" s="826"/>
      <c r="GZ35" s="826"/>
      <c r="HA35" s="826"/>
      <c r="HB35" s="826"/>
      <c r="HC35" s="826"/>
      <c r="HD35" s="826"/>
      <c r="HE35" s="826"/>
      <c r="HF35" s="826"/>
      <c r="HG35" s="826"/>
      <c r="HH35" s="826"/>
      <c r="HI35" s="826"/>
    </row>
    <row r="36" spans="1:217" s="827" customFormat="1" ht="56.25" customHeight="1">
      <c r="A36" s="96">
        <v>35</v>
      </c>
      <c r="B36" s="840" t="s">
        <v>10043</v>
      </c>
      <c r="C36" s="142">
        <v>80027854</v>
      </c>
      <c r="D36" s="424"/>
      <c r="E36" s="143"/>
      <c r="F36" s="146"/>
      <c r="G36" s="145"/>
      <c r="H36" s="148"/>
      <c r="I36" s="148"/>
      <c r="J36" s="173"/>
      <c r="K36" s="146"/>
      <c r="L36" s="174"/>
      <c r="M36" s="175"/>
      <c r="N36" s="175"/>
      <c r="O36" s="173"/>
      <c r="P36" s="146"/>
      <c r="Q36" s="174"/>
      <c r="R36" s="175"/>
      <c r="S36" s="175"/>
      <c r="T36" s="173"/>
      <c r="U36" s="146"/>
      <c r="V36" s="174"/>
      <c r="W36" s="175"/>
      <c r="X36" s="175"/>
      <c r="Y36" s="173"/>
      <c r="Z36" s="146"/>
      <c r="AA36" s="174"/>
      <c r="AB36" s="175"/>
      <c r="AC36" s="175"/>
      <c r="AD36" s="173"/>
      <c r="AE36" s="146"/>
      <c r="AF36" s="174"/>
      <c r="AG36" s="175"/>
      <c r="AH36" s="175"/>
      <c r="AI36" s="175"/>
      <c r="AJ36" s="146"/>
      <c r="AK36" s="174"/>
      <c r="AL36" s="175"/>
      <c r="AM36" s="175"/>
      <c r="AN36" s="195"/>
      <c r="AO36" s="195"/>
      <c r="AP36" s="22" t="s">
        <v>10044</v>
      </c>
      <c r="AQ36" s="175"/>
      <c r="AR36" s="173"/>
      <c r="AS36" s="173"/>
      <c r="AT36" s="175"/>
      <c r="AU36" s="175"/>
      <c r="AV36" s="126" t="s">
        <v>10045</v>
      </c>
      <c r="AW36" s="126" t="s">
        <v>10046</v>
      </c>
      <c r="AX36" s="839"/>
      <c r="AY36" s="173"/>
      <c r="AZ36" s="171"/>
      <c r="BA36" s="148"/>
      <c r="BB36" s="148"/>
      <c r="BC36" s="175"/>
      <c r="BD36" s="174"/>
      <c r="BE36" s="174"/>
      <c r="BF36" s="174"/>
      <c r="BG36" s="174"/>
      <c r="BH36" s="176"/>
      <c r="BI36" s="176"/>
      <c r="BJ36" s="177"/>
      <c r="BK36" s="173"/>
      <c r="BL36" s="146"/>
      <c r="BM36" s="838"/>
      <c r="BN36" s="175"/>
      <c r="BO36" s="174"/>
      <c r="BP36" s="174"/>
      <c r="BQ36" s="174"/>
      <c r="BR36" s="179"/>
      <c r="BS36" s="174"/>
      <c r="BT36" s="173"/>
      <c r="BU36" s="146"/>
      <c r="BV36" s="826"/>
      <c r="BW36" s="826"/>
      <c r="BX36" s="826"/>
      <c r="BY36" s="826"/>
      <c r="BZ36" s="826"/>
      <c r="CA36" s="826"/>
      <c r="CB36" s="826"/>
      <c r="CC36" s="826"/>
      <c r="CD36" s="826"/>
      <c r="CE36" s="826"/>
      <c r="CF36" s="826"/>
      <c r="CG36" s="826"/>
      <c r="CH36" s="826"/>
      <c r="CI36" s="826"/>
      <c r="CJ36" s="826"/>
      <c r="CK36" s="826"/>
      <c r="CL36" s="826"/>
      <c r="CM36" s="826"/>
      <c r="CN36" s="826"/>
      <c r="CO36" s="826"/>
      <c r="CP36" s="826"/>
      <c r="CQ36" s="826"/>
      <c r="CR36" s="826"/>
      <c r="CS36" s="826"/>
      <c r="CT36" s="826"/>
      <c r="CU36" s="826"/>
      <c r="CV36" s="826"/>
      <c r="CW36" s="826"/>
      <c r="CX36" s="826"/>
      <c r="CY36" s="826"/>
      <c r="CZ36" s="826"/>
      <c r="DA36" s="826"/>
      <c r="DB36" s="826"/>
      <c r="DC36" s="826"/>
      <c r="DD36" s="826"/>
      <c r="DE36" s="826"/>
      <c r="DF36" s="826"/>
      <c r="DG36" s="826"/>
      <c r="DH36" s="826"/>
      <c r="DI36" s="826"/>
      <c r="DJ36" s="826"/>
      <c r="DK36" s="826"/>
      <c r="DL36" s="826"/>
      <c r="DM36" s="826"/>
      <c r="DN36" s="826"/>
      <c r="DO36" s="826"/>
      <c r="DP36" s="826"/>
      <c r="DQ36" s="826"/>
      <c r="DR36" s="826"/>
      <c r="DS36" s="826"/>
      <c r="DT36" s="826"/>
      <c r="DU36" s="826"/>
      <c r="DV36" s="826"/>
      <c r="DW36" s="826"/>
      <c r="DX36" s="826"/>
      <c r="DY36" s="826"/>
      <c r="DZ36" s="826"/>
      <c r="EA36" s="826"/>
      <c r="EB36" s="826"/>
      <c r="EC36" s="826"/>
      <c r="ED36" s="826"/>
      <c r="EE36" s="826"/>
      <c r="EF36" s="826"/>
      <c r="EG36" s="826"/>
      <c r="EH36" s="826"/>
      <c r="EI36" s="826"/>
      <c r="EJ36" s="826"/>
      <c r="EK36" s="826"/>
      <c r="EL36" s="826"/>
      <c r="EM36" s="826"/>
      <c r="EN36" s="826"/>
      <c r="EO36" s="826"/>
      <c r="EP36" s="826"/>
      <c r="EQ36" s="826"/>
      <c r="ER36" s="826"/>
      <c r="ES36" s="826"/>
      <c r="ET36" s="826"/>
      <c r="EU36" s="826"/>
      <c r="EV36" s="826"/>
      <c r="EW36" s="826"/>
      <c r="EX36" s="826"/>
      <c r="EY36" s="826"/>
      <c r="EZ36" s="826"/>
      <c r="FA36" s="826"/>
      <c r="FB36" s="826"/>
      <c r="FC36" s="826"/>
      <c r="FD36" s="826"/>
      <c r="FE36" s="826"/>
      <c r="FF36" s="826"/>
      <c r="FG36" s="826"/>
      <c r="FH36" s="826"/>
      <c r="FI36" s="826"/>
      <c r="FJ36" s="826"/>
      <c r="FK36" s="826"/>
      <c r="FL36" s="826"/>
      <c r="FM36" s="826"/>
      <c r="FN36" s="826"/>
      <c r="FO36" s="826"/>
      <c r="FP36" s="826"/>
      <c r="FQ36" s="826"/>
      <c r="FR36" s="826"/>
      <c r="FS36" s="826"/>
      <c r="FT36" s="826"/>
      <c r="FU36" s="826"/>
      <c r="FV36" s="826"/>
      <c r="FW36" s="826"/>
      <c r="FX36" s="826"/>
      <c r="FY36" s="826"/>
      <c r="FZ36" s="826"/>
      <c r="GA36" s="826"/>
      <c r="GB36" s="826"/>
      <c r="GC36" s="826"/>
      <c r="GD36" s="826"/>
      <c r="GE36" s="826"/>
      <c r="GF36" s="826"/>
      <c r="GG36" s="826"/>
      <c r="GH36" s="826"/>
      <c r="GI36" s="826"/>
      <c r="GJ36" s="826"/>
      <c r="GK36" s="826"/>
      <c r="GL36" s="826"/>
      <c r="GM36" s="826"/>
      <c r="GN36" s="826"/>
      <c r="GO36" s="826"/>
      <c r="GP36" s="826"/>
      <c r="GQ36" s="826"/>
      <c r="GR36" s="826"/>
      <c r="GS36" s="826"/>
      <c r="GT36" s="826"/>
      <c r="GU36" s="826"/>
      <c r="GV36" s="826"/>
      <c r="GW36" s="826"/>
      <c r="GX36" s="826"/>
      <c r="GY36" s="826"/>
      <c r="GZ36" s="826"/>
      <c r="HA36" s="826"/>
      <c r="HB36" s="826"/>
      <c r="HC36" s="826"/>
      <c r="HD36" s="826"/>
      <c r="HE36" s="826"/>
      <c r="HF36" s="826"/>
      <c r="HG36" s="826"/>
      <c r="HH36" s="826"/>
      <c r="HI36" s="826"/>
    </row>
    <row r="37" spans="1:217" s="827" customFormat="1" ht="56.25" customHeight="1">
      <c r="A37" s="96">
        <v>38</v>
      </c>
      <c r="B37" s="840" t="s">
        <v>10047</v>
      </c>
      <c r="C37" s="142">
        <v>79772133</v>
      </c>
      <c r="D37" s="424" t="s">
        <v>10048</v>
      </c>
      <c r="E37" s="143"/>
      <c r="F37" s="146"/>
      <c r="G37" s="145"/>
      <c r="H37" s="148"/>
      <c r="I37" s="175"/>
      <c r="J37" s="173"/>
      <c r="K37" s="146"/>
      <c r="L37" s="174"/>
      <c r="M37" s="175"/>
      <c r="N37" s="175"/>
      <c r="O37" s="173"/>
      <c r="P37" s="146"/>
      <c r="Q37" s="174"/>
      <c r="R37" s="175"/>
      <c r="S37" s="175"/>
      <c r="T37" s="173"/>
      <c r="U37" s="146"/>
      <c r="V37" s="174"/>
      <c r="W37" s="175"/>
      <c r="X37" s="175"/>
      <c r="Y37" s="173"/>
      <c r="Z37" s="146"/>
      <c r="AA37" s="174"/>
      <c r="AB37" s="175"/>
      <c r="AC37" s="175"/>
      <c r="AD37" s="173"/>
      <c r="AE37" s="146"/>
      <c r="AF37" s="174"/>
      <c r="AG37" s="175"/>
      <c r="AH37" s="175"/>
      <c r="AI37" s="175"/>
      <c r="AJ37" s="146"/>
      <c r="AK37" s="174"/>
      <c r="AL37" s="175"/>
      <c r="AM37" s="175"/>
      <c r="AN37" s="195"/>
      <c r="AO37" s="195"/>
      <c r="AP37" s="22" t="s">
        <v>10049</v>
      </c>
      <c r="AQ37" s="175"/>
      <c r="AR37" s="173"/>
      <c r="AS37" s="173"/>
      <c r="AT37" s="175"/>
      <c r="AU37" s="175"/>
      <c r="AV37" s="126" t="s">
        <v>10050</v>
      </c>
      <c r="AW37" s="126"/>
      <c r="AX37" s="839"/>
      <c r="AY37" s="173"/>
      <c r="AZ37" s="171"/>
      <c r="BA37" s="148"/>
      <c r="BB37" s="148"/>
      <c r="BC37" s="175"/>
      <c r="BD37" s="174"/>
      <c r="BE37" s="174"/>
      <c r="BF37" s="174"/>
      <c r="BG37" s="174"/>
      <c r="BH37" s="176"/>
      <c r="BI37" s="176"/>
      <c r="BJ37" s="177"/>
      <c r="BK37" s="173"/>
      <c r="BL37" s="146"/>
      <c r="BM37" s="838"/>
      <c r="BN37" s="175"/>
      <c r="BO37" s="174"/>
      <c r="BP37" s="174"/>
      <c r="BQ37" s="174"/>
      <c r="BR37" s="179"/>
      <c r="BS37" s="174"/>
      <c r="BT37" s="173"/>
      <c r="BU37" s="146"/>
      <c r="BV37" s="826"/>
      <c r="BW37" s="826"/>
      <c r="BX37" s="826"/>
      <c r="BY37" s="826"/>
      <c r="BZ37" s="826"/>
      <c r="CA37" s="826"/>
      <c r="CB37" s="826"/>
      <c r="CC37" s="826"/>
      <c r="CD37" s="826"/>
      <c r="CE37" s="826"/>
      <c r="CF37" s="826"/>
      <c r="CG37" s="826"/>
      <c r="CH37" s="826"/>
      <c r="CI37" s="826"/>
      <c r="CJ37" s="826"/>
      <c r="CK37" s="826"/>
      <c r="CL37" s="826"/>
      <c r="CM37" s="826"/>
      <c r="CN37" s="826"/>
      <c r="CO37" s="826"/>
      <c r="CP37" s="826"/>
      <c r="CQ37" s="826"/>
      <c r="CR37" s="826"/>
      <c r="CS37" s="826"/>
      <c r="CT37" s="826"/>
      <c r="CU37" s="826"/>
      <c r="CV37" s="826"/>
      <c r="CW37" s="826"/>
      <c r="CX37" s="826"/>
      <c r="CY37" s="826"/>
      <c r="CZ37" s="826"/>
      <c r="DA37" s="826"/>
      <c r="DB37" s="826"/>
      <c r="DC37" s="826"/>
      <c r="DD37" s="826"/>
      <c r="DE37" s="826"/>
      <c r="DF37" s="826"/>
      <c r="DG37" s="826"/>
      <c r="DH37" s="826"/>
      <c r="DI37" s="826"/>
      <c r="DJ37" s="826"/>
      <c r="DK37" s="826"/>
      <c r="DL37" s="826"/>
      <c r="DM37" s="826"/>
      <c r="DN37" s="826"/>
      <c r="DO37" s="826"/>
      <c r="DP37" s="826"/>
      <c r="DQ37" s="826"/>
      <c r="DR37" s="826"/>
      <c r="DS37" s="826"/>
      <c r="DT37" s="826"/>
      <c r="DU37" s="826"/>
      <c r="DV37" s="826"/>
      <c r="DW37" s="826"/>
      <c r="DX37" s="826"/>
      <c r="DY37" s="826"/>
      <c r="DZ37" s="826"/>
      <c r="EA37" s="826"/>
      <c r="EB37" s="826"/>
      <c r="EC37" s="826"/>
      <c r="ED37" s="826"/>
      <c r="EE37" s="826"/>
      <c r="EF37" s="826"/>
      <c r="EG37" s="826"/>
      <c r="EH37" s="826"/>
      <c r="EI37" s="826"/>
      <c r="EJ37" s="826"/>
      <c r="EK37" s="826"/>
      <c r="EL37" s="826"/>
      <c r="EM37" s="826"/>
      <c r="EN37" s="826"/>
      <c r="EO37" s="826"/>
      <c r="EP37" s="826"/>
      <c r="EQ37" s="826"/>
      <c r="ER37" s="826"/>
      <c r="ES37" s="826"/>
      <c r="ET37" s="826"/>
      <c r="EU37" s="826"/>
      <c r="EV37" s="826"/>
      <c r="EW37" s="826"/>
      <c r="EX37" s="826"/>
      <c r="EY37" s="826"/>
      <c r="EZ37" s="826"/>
      <c r="FA37" s="826"/>
      <c r="FB37" s="826"/>
      <c r="FC37" s="826"/>
      <c r="FD37" s="826"/>
      <c r="FE37" s="826"/>
      <c r="FF37" s="826"/>
      <c r="FG37" s="826"/>
      <c r="FH37" s="826"/>
      <c r="FI37" s="826"/>
      <c r="FJ37" s="826"/>
      <c r="FK37" s="826"/>
      <c r="FL37" s="826"/>
      <c r="FM37" s="826"/>
      <c r="FN37" s="826"/>
      <c r="FO37" s="826"/>
      <c r="FP37" s="826"/>
      <c r="FQ37" s="826"/>
      <c r="FR37" s="826"/>
      <c r="FS37" s="826"/>
      <c r="FT37" s="826"/>
      <c r="FU37" s="826"/>
      <c r="FV37" s="826"/>
      <c r="FW37" s="826"/>
      <c r="FX37" s="826"/>
      <c r="FY37" s="826"/>
      <c r="FZ37" s="826"/>
      <c r="GA37" s="826"/>
      <c r="GB37" s="826"/>
      <c r="GC37" s="826"/>
      <c r="GD37" s="826"/>
      <c r="GE37" s="826"/>
      <c r="GF37" s="826"/>
      <c r="GG37" s="826"/>
      <c r="GH37" s="826"/>
      <c r="GI37" s="826"/>
      <c r="GJ37" s="826"/>
      <c r="GK37" s="826"/>
      <c r="GL37" s="826"/>
      <c r="GM37" s="826"/>
      <c r="GN37" s="826"/>
      <c r="GO37" s="826"/>
      <c r="GP37" s="826"/>
      <c r="GQ37" s="826"/>
      <c r="GR37" s="826"/>
      <c r="GS37" s="826"/>
      <c r="GT37" s="826"/>
      <c r="GU37" s="826"/>
      <c r="GV37" s="826"/>
      <c r="GW37" s="826"/>
      <c r="GX37" s="826"/>
      <c r="GY37" s="826"/>
      <c r="GZ37" s="826"/>
      <c r="HA37" s="826"/>
      <c r="HB37" s="826"/>
      <c r="HC37" s="826"/>
      <c r="HD37" s="826"/>
      <c r="HE37" s="826"/>
      <c r="HF37" s="826"/>
      <c r="HG37" s="826"/>
      <c r="HH37" s="826"/>
      <c r="HI37" s="826"/>
    </row>
    <row r="38" spans="1:217" s="827" customFormat="1" ht="56.25" customHeight="1">
      <c r="A38" s="96">
        <v>39</v>
      </c>
      <c r="B38" s="840" t="s">
        <v>7583</v>
      </c>
      <c r="C38" s="142">
        <v>9735165</v>
      </c>
      <c r="D38" s="424" t="s">
        <v>2446</v>
      </c>
      <c r="E38" s="143"/>
      <c r="F38" s="146"/>
      <c r="G38" s="145"/>
      <c r="H38" s="148"/>
      <c r="I38" s="175"/>
      <c r="J38" s="173"/>
      <c r="K38" s="146"/>
      <c r="L38" s="174"/>
      <c r="M38" s="175"/>
      <c r="N38" s="175"/>
      <c r="O38" s="173"/>
      <c r="P38" s="146"/>
      <c r="Q38" s="174"/>
      <c r="R38" s="175"/>
      <c r="S38" s="175"/>
      <c r="T38" s="173"/>
      <c r="U38" s="146"/>
      <c r="V38" s="174"/>
      <c r="W38" s="175"/>
      <c r="X38" s="175"/>
      <c r="Y38" s="173"/>
      <c r="Z38" s="146"/>
      <c r="AA38" s="174"/>
      <c r="AB38" s="175"/>
      <c r="AC38" s="175"/>
      <c r="AD38" s="173"/>
      <c r="AE38" s="146"/>
      <c r="AF38" s="174"/>
      <c r="AG38" s="175"/>
      <c r="AH38" s="175"/>
      <c r="AI38" s="175"/>
      <c r="AJ38" s="146"/>
      <c r="AK38" s="174"/>
      <c r="AL38" s="175"/>
      <c r="AM38" s="175"/>
      <c r="AN38" s="195"/>
      <c r="AO38" s="195"/>
      <c r="AP38" s="22" t="s">
        <v>10051</v>
      </c>
      <c r="AQ38" s="175"/>
      <c r="AR38" s="173"/>
      <c r="AS38" s="173"/>
      <c r="AT38" s="175"/>
      <c r="AU38" s="175"/>
      <c r="AV38" s="126" t="s">
        <v>10041</v>
      </c>
      <c r="AW38" s="126" t="s">
        <v>10052</v>
      </c>
      <c r="AX38" s="839"/>
      <c r="AY38" s="173"/>
      <c r="AZ38" s="171"/>
      <c r="BA38" s="148"/>
      <c r="BB38" s="148"/>
      <c r="BC38" s="175"/>
      <c r="BD38" s="174"/>
      <c r="BE38" s="174"/>
      <c r="BF38" s="174"/>
      <c r="BG38" s="174"/>
      <c r="BH38" s="176"/>
      <c r="BI38" s="176"/>
      <c r="BJ38" s="177"/>
      <c r="BK38" s="173"/>
      <c r="BL38" s="146"/>
      <c r="BM38" s="838"/>
      <c r="BN38" s="175"/>
      <c r="BO38" s="174"/>
      <c r="BP38" s="174"/>
      <c r="BQ38" s="174"/>
      <c r="BR38" s="179"/>
      <c r="BS38" s="174"/>
      <c r="BT38" s="173"/>
      <c r="BU38" s="146"/>
      <c r="BV38" s="826"/>
      <c r="BW38" s="826"/>
      <c r="BX38" s="826"/>
      <c r="BY38" s="826"/>
      <c r="BZ38" s="826"/>
      <c r="CA38" s="826"/>
      <c r="CB38" s="826"/>
      <c r="CC38" s="826"/>
      <c r="CD38" s="826"/>
      <c r="CE38" s="826"/>
      <c r="CF38" s="826"/>
      <c r="CG38" s="826"/>
      <c r="CH38" s="826"/>
      <c r="CI38" s="826"/>
      <c r="CJ38" s="826"/>
      <c r="CK38" s="826"/>
      <c r="CL38" s="826"/>
      <c r="CM38" s="826"/>
      <c r="CN38" s="826"/>
      <c r="CO38" s="826"/>
      <c r="CP38" s="826"/>
      <c r="CQ38" s="826"/>
      <c r="CR38" s="826"/>
      <c r="CS38" s="826"/>
      <c r="CT38" s="826"/>
      <c r="CU38" s="826"/>
      <c r="CV38" s="826"/>
      <c r="CW38" s="826"/>
      <c r="CX38" s="826"/>
      <c r="CY38" s="826"/>
      <c r="CZ38" s="826"/>
      <c r="DA38" s="826"/>
      <c r="DB38" s="826"/>
      <c r="DC38" s="826"/>
      <c r="DD38" s="826"/>
      <c r="DE38" s="826"/>
      <c r="DF38" s="826"/>
      <c r="DG38" s="826"/>
      <c r="DH38" s="826"/>
      <c r="DI38" s="826"/>
      <c r="DJ38" s="826"/>
      <c r="DK38" s="826"/>
      <c r="DL38" s="826"/>
      <c r="DM38" s="826"/>
      <c r="DN38" s="826"/>
      <c r="DO38" s="826"/>
      <c r="DP38" s="826"/>
      <c r="DQ38" s="826"/>
      <c r="DR38" s="826"/>
      <c r="DS38" s="826"/>
      <c r="DT38" s="826"/>
      <c r="DU38" s="826"/>
      <c r="DV38" s="826"/>
      <c r="DW38" s="826"/>
      <c r="DX38" s="826"/>
      <c r="DY38" s="826"/>
      <c r="DZ38" s="826"/>
      <c r="EA38" s="826"/>
      <c r="EB38" s="826"/>
      <c r="EC38" s="826"/>
      <c r="ED38" s="826"/>
      <c r="EE38" s="826"/>
      <c r="EF38" s="826"/>
      <c r="EG38" s="826"/>
      <c r="EH38" s="826"/>
      <c r="EI38" s="826"/>
      <c r="EJ38" s="826"/>
      <c r="EK38" s="826"/>
      <c r="EL38" s="826"/>
      <c r="EM38" s="826"/>
      <c r="EN38" s="826"/>
      <c r="EO38" s="826"/>
      <c r="EP38" s="826"/>
      <c r="EQ38" s="826"/>
      <c r="ER38" s="826"/>
      <c r="ES38" s="826"/>
      <c r="ET38" s="826"/>
      <c r="EU38" s="826"/>
      <c r="EV38" s="826"/>
      <c r="EW38" s="826"/>
      <c r="EX38" s="826"/>
      <c r="EY38" s="826"/>
      <c r="EZ38" s="826"/>
      <c r="FA38" s="826"/>
      <c r="FB38" s="826"/>
      <c r="FC38" s="826"/>
      <c r="FD38" s="826"/>
      <c r="FE38" s="826"/>
      <c r="FF38" s="826"/>
      <c r="FG38" s="826"/>
      <c r="FH38" s="826"/>
      <c r="FI38" s="826"/>
      <c r="FJ38" s="826"/>
      <c r="FK38" s="826"/>
      <c r="FL38" s="826"/>
      <c r="FM38" s="826"/>
      <c r="FN38" s="826"/>
      <c r="FO38" s="826"/>
      <c r="FP38" s="826"/>
      <c r="FQ38" s="826"/>
      <c r="FR38" s="826"/>
      <c r="FS38" s="826"/>
      <c r="FT38" s="826"/>
      <c r="FU38" s="826"/>
      <c r="FV38" s="826"/>
      <c r="FW38" s="826"/>
      <c r="FX38" s="826"/>
      <c r="FY38" s="826"/>
      <c r="FZ38" s="826"/>
      <c r="GA38" s="826"/>
      <c r="GB38" s="826"/>
      <c r="GC38" s="826"/>
      <c r="GD38" s="826"/>
      <c r="GE38" s="826"/>
      <c r="GF38" s="826"/>
      <c r="GG38" s="826"/>
      <c r="GH38" s="826"/>
      <c r="GI38" s="826"/>
      <c r="GJ38" s="826"/>
      <c r="GK38" s="826"/>
      <c r="GL38" s="826"/>
      <c r="GM38" s="826"/>
      <c r="GN38" s="826"/>
      <c r="GO38" s="826"/>
      <c r="GP38" s="826"/>
      <c r="GQ38" s="826"/>
      <c r="GR38" s="826"/>
      <c r="GS38" s="826"/>
      <c r="GT38" s="826"/>
      <c r="GU38" s="826"/>
      <c r="GV38" s="826"/>
      <c r="GW38" s="826"/>
      <c r="GX38" s="826"/>
      <c r="GY38" s="826"/>
      <c r="GZ38" s="826"/>
      <c r="HA38" s="826"/>
      <c r="HB38" s="826"/>
      <c r="HC38" s="826"/>
      <c r="HD38" s="826"/>
      <c r="HE38" s="826"/>
      <c r="HF38" s="826"/>
      <c r="HG38" s="826"/>
      <c r="HH38" s="826"/>
      <c r="HI38" s="826"/>
    </row>
    <row r="39" spans="1:217" s="827" customFormat="1" ht="56.25" customHeight="1">
      <c r="A39" s="96">
        <v>40</v>
      </c>
      <c r="B39" s="840" t="s">
        <v>10053</v>
      </c>
      <c r="C39" s="142">
        <v>10000009</v>
      </c>
      <c r="D39" s="424" t="s">
        <v>906</v>
      </c>
      <c r="E39" s="143"/>
      <c r="F39" s="146"/>
      <c r="G39" s="145"/>
      <c r="H39" s="148"/>
      <c r="I39" s="175"/>
      <c r="J39" s="173"/>
      <c r="K39" s="146"/>
      <c r="L39" s="174"/>
      <c r="M39" s="175"/>
      <c r="N39" s="175"/>
      <c r="O39" s="173"/>
      <c r="P39" s="146"/>
      <c r="Q39" s="174"/>
      <c r="R39" s="175"/>
      <c r="S39" s="175"/>
      <c r="T39" s="173"/>
      <c r="U39" s="146"/>
      <c r="V39" s="174"/>
      <c r="W39" s="175"/>
      <c r="X39" s="175"/>
      <c r="Y39" s="173"/>
      <c r="Z39" s="146"/>
      <c r="AA39" s="174"/>
      <c r="AB39" s="175"/>
      <c r="AC39" s="175"/>
      <c r="AD39" s="173"/>
      <c r="AE39" s="146"/>
      <c r="AF39" s="174"/>
      <c r="AG39" s="175"/>
      <c r="AH39" s="175"/>
      <c r="AI39" s="175"/>
      <c r="AJ39" s="146"/>
      <c r="AK39" s="174"/>
      <c r="AL39" s="175"/>
      <c r="AM39" s="175"/>
      <c r="AN39" s="195"/>
      <c r="AO39" s="195"/>
      <c r="AP39" s="22" t="s">
        <v>10054</v>
      </c>
      <c r="AQ39" s="175"/>
      <c r="AR39" s="173"/>
      <c r="AS39" s="173"/>
      <c r="AT39" s="175"/>
      <c r="AU39" s="175"/>
      <c r="AV39" s="126" t="s">
        <v>9999</v>
      </c>
      <c r="AW39" s="126" t="s">
        <v>9991</v>
      </c>
      <c r="AX39" s="839"/>
      <c r="AY39" s="173"/>
      <c r="AZ39" s="171"/>
      <c r="BA39" s="148"/>
      <c r="BB39" s="148"/>
      <c r="BC39" s="175"/>
      <c r="BD39" s="174"/>
      <c r="BE39" s="174"/>
      <c r="BF39" s="174"/>
      <c r="BG39" s="174"/>
      <c r="BH39" s="176"/>
      <c r="BI39" s="176"/>
      <c r="BJ39" s="177"/>
      <c r="BK39" s="173"/>
      <c r="BL39" s="146"/>
      <c r="BM39" s="838"/>
      <c r="BN39" s="175"/>
      <c r="BO39" s="174"/>
      <c r="BP39" s="174"/>
      <c r="BQ39" s="174"/>
      <c r="BR39" s="179"/>
      <c r="BS39" s="174"/>
      <c r="BT39" s="173"/>
      <c r="BU39" s="146"/>
      <c r="BV39" s="826"/>
      <c r="BW39" s="826"/>
      <c r="BX39" s="826"/>
      <c r="BY39" s="826"/>
      <c r="BZ39" s="826"/>
      <c r="CA39" s="826"/>
      <c r="CB39" s="826"/>
      <c r="CC39" s="826"/>
      <c r="CD39" s="826"/>
      <c r="CE39" s="826"/>
      <c r="CF39" s="826"/>
      <c r="CG39" s="826"/>
      <c r="CH39" s="826"/>
      <c r="CI39" s="826"/>
      <c r="CJ39" s="826"/>
      <c r="CK39" s="826"/>
      <c r="CL39" s="826"/>
      <c r="CM39" s="826"/>
      <c r="CN39" s="826"/>
      <c r="CO39" s="826"/>
      <c r="CP39" s="826"/>
      <c r="CQ39" s="826"/>
      <c r="CR39" s="826"/>
      <c r="CS39" s="826"/>
      <c r="CT39" s="826"/>
      <c r="CU39" s="826"/>
      <c r="CV39" s="826"/>
      <c r="CW39" s="826"/>
      <c r="CX39" s="826"/>
      <c r="CY39" s="826"/>
      <c r="CZ39" s="826"/>
      <c r="DA39" s="826"/>
      <c r="DB39" s="826"/>
      <c r="DC39" s="826"/>
      <c r="DD39" s="826"/>
      <c r="DE39" s="826"/>
      <c r="DF39" s="826"/>
      <c r="DG39" s="826"/>
      <c r="DH39" s="826"/>
      <c r="DI39" s="826"/>
      <c r="DJ39" s="826"/>
      <c r="DK39" s="826"/>
      <c r="DL39" s="826"/>
      <c r="DM39" s="826"/>
      <c r="DN39" s="826"/>
      <c r="DO39" s="826"/>
      <c r="DP39" s="826"/>
      <c r="DQ39" s="826"/>
      <c r="DR39" s="826"/>
      <c r="DS39" s="826"/>
      <c r="DT39" s="826"/>
      <c r="DU39" s="826"/>
      <c r="DV39" s="826"/>
      <c r="DW39" s="826"/>
      <c r="DX39" s="826"/>
      <c r="DY39" s="826"/>
      <c r="DZ39" s="826"/>
      <c r="EA39" s="826"/>
      <c r="EB39" s="826"/>
      <c r="EC39" s="826"/>
      <c r="ED39" s="826"/>
      <c r="EE39" s="826"/>
      <c r="EF39" s="826"/>
      <c r="EG39" s="826"/>
      <c r="EH39" s="826"/>
      <c r="EI39" s="826"/>
      <c r="EJ39" s="826"/>
      <c r="EK39" s="826"/>
      <c r="EL39" s="826"/>
      <c r="EM39" s="826"/>
      <c r="EN39" s="826"/>
      <c r="EO39" s="826"/>
      <c r="EP39" s="826"/>
      <c r="EQ39" s="826"/>
      <c r="ER39" s="826"/>
      <c r="ES39" s="826"/>
      <c r="ET39" s="826"/>
      <c r="EU39" s="826"/>
      <c r="EV39" s="826"/>
      <c r="EW39" s="826"/>
      <c r="EX39" s="826"/>
      <c r="EY39" s="826"/>
      <c r="EZ39" s="826"/>
      <c r="FA39" s="826"/>
      <c r="FB39" s="826"/>
      <c r="FC39" s="826"/>
      <c r="FD39" s="826"/>
      <c r="FE39" s="826"/>
      <c r="FF39" s="826"/>
      <c r="FG39" s="826"/>
      <c r="FH39" s="826"/>
      <c r="FI39" s="826"/>
      <c r="FJ39" s="826"/>
      <c r="FK39" s="826"/>
      <c r="FL39" s="826"/>
      <c r="FM39" s="826"/>
      <c r="FN39" s="826"/>
      <c r="FO39" s="826"/>
      <c r="FP39" s="826"/>
      <c r="FQ39" s="826"/>
      <c r="FR39" s="826"/>
      <c r="FS39" s="826"/>
      <c r="FT39" s="826"/>
      <c r="FU39" s="826"/>
      <c r="FV39" s="826"/>
      <c r="FW39" s="826"/>
      <c r="FX39" s="826"/>
      <c r="FY39" s="826"/>
      <c r="FZ39" s="826"/>
      <c r="GA39" s="826"/>
      <c r="GB39" s="826"/>
      <c r="GC39" s="826"/>
      <c r="GD39" s="826"/>
      <c r="GE39" s="826"/>
      <c r="GF39" s="826"/>
      <c r="GG39" s="826"/>
      <c r="GH39" s="826"/>
      <c r="GI39" s="826"/>
      <c r="GJ39" s="826"/>
      <c r="GK39" s="826"/>
      <c r="GL39" s="826"/>
      <c r="GM39" s="826"/>
      <c r="GN39" s="826"/>
      <c r="GO39" s="826"/>
      <c r="GP39" s="826"/>
      <c r="GQ39" s="826"/>
      <c r="GR39" s="826"/>
      <c r="GS39" s="826"/>
      <c r="GT39" s="826"/>
      <c r="GU39" s="826"/>
      <c r="GV39" s="826"/>
      <c r="GW39" s="826"/>
      <c r="GX39" s="826"/>
      <c r="GY39" s="826"/>
      <c r="GZ39" s="826"/>
      <c r="HA39" s="826"/>
      <c r="HB39" s="826"/>
      <c r="HC39" s="826"/>
      <c r="HD39" s="826"/>
      <c r="HE39" s="826"/>
      <c r="HF39" s="826"/>
      <c r="HG39" s="826"/>
      <c r="HH39" s="826"/>
      <c r="HI39" s="826"/>
    </row>
    <row r="40" spans="1:217" s="827" customFormat="1" ht="56.25" customHeight="1">
      <c r="A40" s="96">
        <v>41</v>
      </c>
      <c r="B40" s="840" t="s">
        <v>10055</v>
      </c>
      <c r="C40" s="142">
        <v>13376986</v>
      </c>
      <c r="D40" s="424" t="s">
        <v>382</v>
      </c>
      <c r="E40" s="143"/>
      <c r="F40" s="146"/>
      <c r="G40" s="145"/>
      <c r="H40" s="148"/>
      <c r="I40" s="175"/>
      <c r="J40" s="173"/>
      <c r="K40" s="146"/>
      <c r="L40" s="174"/>
      <c r="M40" s="175"/>
      <c r="N40" s="175"/>
      <c r="O40" s="173"/>
      <c r="P40" s="146"/>
      <c r="Q40" s="174"/>
      <c r="R40" s="175"/>
      <c r="S40" s="175"/>
      <c r="T40" s="173"/>
      <c r="U40" s="146"/>
      <c r="V40" s="174"/>
      <c r="W40" s="175"/>
      <c r="X40" s="175"/>
      <c r="Y40" s="173"/>
      <c r="Z40" s="146"/>
      <c r="AA40" s="174"/>
      <c r="AB40" s="175"/>
      <c r="AC40" s="175"/>
      <c r="AD40" s="173"/>
      <c r="AE40" s="146"/>
      <c r="AF40" s="174"/>
      <c r="AG40" s="175"/>
      <c r="AH40" s="175"/>
      <c r="AI40" s="175"/>
      <c r="AJ40" s="146"/>
      <c r="AK40" s="174"/>
      <c r="AL40" s="175"/>
      <c r="AM40" s="175"/>
      <c r="AN40" s="195"/>
      <c r="AO40" s="195"/>
      <c r="AP40" s="22" t="s">
        <v>10056</v>
      </c>
      <c r="AQ40" s="175"/>
      <c r="AR40" s="173"/>
      <c r="AS40" s="173"/>
      <c r="AT40" s="175"/>
      <c r="AU40" s="175"/>
      <c r="AV40" s="126" t="s">
        <v>10057</v>
      </c>
      <c r="AW40" s="126" t="s">
        <v>10058</v>
      </c>
      <c r="AX40" s="839"/>
      <c r="AY40" s="173"/>
      <c r="AZ40" s="171"/>
      <c r="BA40" s="148"/>
      <c r="BB40" s="148"/>
      <c r="BC40" s="175"/>
      <c r="BD40" s="174"/>
      <c r="BE40" s="174"/>
      <c r="BF40" s="174"/>
      <c r="BG40" s="174"/>
      <c r="BH40" s="176"/>
      <c r="BI40" s="176"/>
      <c r="BJ40" s="177"/>
      <c r="BK40" s="173"/>
      <c r="BL40" s="146"/>
      <c r="BM40" s="838"/>
      <c r="BN40" s="175"/>
      <c r="BO40" s="174"/>
      <c r="BP40" s="174"/>
      <c r="BQ40" s="174"/>
      <c r="BR40" s="179"/>
      <c r="BS40" s="174"/>
      <c r="BT40" s="173"/>
      <c r="BU40" s="146"/>
      <c r="BV40" s="826"/>
      <c r="BW40" s="826"/>
      <c r="BX40" s="826"/>
      <c r="BY40" s="826"/>
      <c r="BZ40" s="826"/>
      <c r="CA40" s="826"/>
      <c r="CB40" s="826"/>
      <c r="CC40" s="826"/>
      <c r="CD40" s="826"/>
      <c r="CE40" s="826"/>
      <c r="CF40" s="826"/>
      <c r="CG40" s="826"/>
      <c r="CH40" s="826"/>
      <c r="CI40" s="826"/>
      <c r="CJ40" s="826"/>
      <c r="CK40" s="826"/>
      <c r="CL40" s="826"/>
      <c r="CM40" s="826"/>
      <c r="CN40" s="826"/>
      <c r="CO40" s="826"/>
      <c r="CP40" s="826"/>
      <c r="CQ40" s="826"/>
      <c r="CR40" s="826"/>
      <c r="CS40" s="826"/>
      <c r="CT40" s="826"/>
      <c r="CU40" s="826"/>
      <c r="CV40" s="826"/>
      <c r="CW40" s="826"/>
      <c r="CX40" s="826"/>
      <c r="CY40" s="826"/>
      <c r="CZ40" s="826"/>
      <c r="DA40" s="826"/>
      <c r="DB40" s="826"/>
      <c r="DC40" s="826"/>
      <c r="DD40" s="826"/>
      <c r="DE40" s="826"/>
      <c r="DF40" s="826"/>
      <c r="DG40" s="826"/>
      <c r="DH40" s="826"/>
      <c r="DI40" s="826"/>
      <c r="DJ40" s="826"/>
      <c r="DK40" s="826"/>
      <c r="DL40" s="826"/>
      <c r="DM40" s="826"/>
      <c r="DN40" s="826"/>
      <c r="DO40" s="826"/>
      <c r="DP40" s="826"/>
      <c r="DQ40" s="826"/>
      <c r="DR40" s="826"/>
      <c r="DS40" s="826"/>
      <c r="DT40" s="826"/>
      <c r="DU40" s="826"/>
      <c r="DV40" s="826"/>
      <c r="DW40" s="826"/>
      <c r="DX40" s="826"/>
      <c r="DY40" s="826"/>
      <c r="DZ40" s="826"/>
      <c r="EA40" s="826"/>
      <c r="EB40" s="826"/>
      <c r="EC40" s="826"/>
      <c r="ED40" s="826"/>
      <c r="EE40" s="826"/>
      <c r="EF40" s="826"/>
      <c r="EG40" s="826"/>
      <c r="EH40" s="826"/>
      <c r="EI40" s="826"/>
      <c r="EJ40" s="826"/>
      <c r="EK40" s="826"/>
      <c r="EL40" s="826"/>
      <c r="EM40" s="826"/>
      <c r="EN40" s="826"/>
      <c r="EO40" s="826"/>
      <c r="EP40" s="826"/>
      <c r="EQ40" s="826"/>
      <c r="ER40" s="826"/>
      <c r="ES40" s="826"/>
      <c r="ET40" s="826"/>
      <c r="EU40" s="826"/>
      <c r="EV40" s="826"/>
      <c r="EW40" s="826"/>
      <c r="EX40" s="826"/>
      <c r="EY40" s="826"/>
      <c r="EZ40" s="826"/>
      <c r="FA40" s="826"/>
      <c r="FB40" s="826"/>
      <c r="FC40" s="826"/>
      <c r="FD40" s="826"/>
      <c r="FE40" s="826"/>
      <c r="FF40" s="826"/>
      <c r="FG40" s="826"/>
      <c r="FH40" s="826"/>
      <c r="FI40" s="826"/>
      <c r="FJ40" s="826"/>
      <c r="FK40" s="826"/>
      <c r="FL40" s="826"/>
      <c r="FM40" s="826"/>
      <c r="FN40" s="826"/>
      <c r="FO40" s="826"/>
      <c r="FP40" s="826"/>
      <c r="FQ40" s="826"/>
      <c r="FR40" s="826"/>
      <c r="FS40" s="826"/>
      <c r="FT40" s="826"/>
      <c r="FU40" s="826"/>
      <c r="FV40" s="826"/>
      <c r="FW40" s="826"/>
      <c r="FX40" s="826"/>
      <c r="FY40" s="826"/>
      <c r="FZ40" s="826"/>
      <c r="GA40" s="826"/>
      <c r="GB40" s="826"/>
      <c r="GC40" s="826"/>
      <c r="GD40" s="826"/>
      <c r="GE40" s="826"/>
      <c r="GF40" s="826"/>
      <c r="GG40" s="826"/>
      <c r="GH40" s="826"/>
      <c r="GI40" s="826"/>
      <c r="GJ40" s="826"/>
      <c r="GK40" s="826"/>
      <c r="GL40" s="826"/>
      <c r="GM40" s="826"/>
      <c r="GN40" s="826"/>
      <c r="GO40" s="826"/>
      <c r="GP40" s="826"/>
      <c r="GQ40" s="826"/>
      <c r="GR40" s="826"/>
      <c r="GS40" s="826"/>
      <c r="GT40" s="826"/>
      <c r="GU40" s="826"/>
      <c r="GV40" s="826"/>
      <c r="GW40" s="826"/>
      <c r="GX40" s="826"/>
      <c r="GY40" s="826"/>
      <c r="GZ40" s="826"/>
      <c r="HA40" s="826"/>
      <c r="HB40" s="826"/>
      <c r="HC40" s="826"/>
      <c r="HD40" s="826"/>
      <c r="HE40" s="826"/>
      <c r="HF40" s="826"/>
      <c r="HG40" s="826"/>
      <c r="HH40" s="826"/>
      <c r="HI40" s="826"/>
    </row>
    <row r="41" spans="1:217" s="827" customFormat="1" ht="56.25" customHeight="1">
      <c r="A41" s="96">
        <v>43</v>
      </c>
      <c r="B41" s="840" t="s">
        <v>8417</v>
      </c>
      <c r="C41" s="142">
        <v>93402642</v>
      </c>
      <c r="D41" s="424" t="s">
        <v>8638</v>
      </c>
      <c r="E41" s="143"/>
      <c r="F41" s="146"/>
      <c r="G41" s="145"/>
      <c r="H41" s="148"/>
      <c r="I41" s="175"/>
      <c r="J41" s="173"/>
      <c r="K41" s="146"/>
      <c r="L41" s="174"/>
      <c r="M41" s="175"/>
      <c r="N41" s="175"/>
      <c r="O41" s="173"/>
      <c r="P41" s="146"/>
      <c r="Q41" s="174"/>
      <c r="R41" s="175"/>
      <c r="S41" s="175"/>
      <c r="T41" s="173"/>
      <c r="U41" s="146"/>
      <c r="V41" s="174"/>
      <c r="W41" s="175"/>
      <c r="X41" s="175"/>
      <c r="Y41" s="173"/>
      <c r="Z41" s="146"/>
      <c r="AA41" s="174"/>
      <c r="AB41" s="175"/>
      <c r="AC41" s="175"/>
      <c r="AD41" s="173"/>
      <c r="AE41" s="146"/>
      <c r="AF41" s="174"/>
      <c r="AG41" s="175"/>
      <c r="AH41" s="175"/>
      <c r="AI41" s="175"/>
      <c r="AJ41" s="146"/>
      <c r="AK41" s="174"/>
      <c r="AL41" s="175"/>
      <c r="AM41" s="175"/>
      <c r="AN41" s="195"/>
      <c r="AO41" s="195"/>
      <c r="AP41" s="22" t="s">
        <v>10059</v>
      </c>
      <c r="AQ41" s="175"/>
      <c r="AR41" s="173"/>
      <c r="AS41" s="173"/>
      <c r="AT41" s="175"/>
      <c r="AU41" s="175"/>
      <c r="AV41" s="126" t="s">
        <v>10060</v>
      </c>
      <c r="AW41" s="126" t="s">
        <v>10061</v>
      </c>
      <c r="AX41" s="839"/>
      <c r="AY41" s="173"/>
      <c r="AZ41" s="171"/>
      <c r="BA41" s="148"/>
      <c r="BB41" s="148"/>
      <c r="BC41" s="175"/>
      <c r="BD41" s="174"/>
      <c r="BE41" s="174"/>
      <c r="BF41" s="174"/>
      <c r="BG41" s="174"/>
      <c r="BH41" s="176"/>
      <c r="BI41" s="176"/>
      <c r="BJ41" s="177"/>
      <c r="BK41" s="173"/>
      <c r="BL41" s="146"/>
      <c r="BM41" s="838"/>
      <c r="BN41" s="175"/>
      <c r="BO41" s="174"/>
      <c r="BP41" s="174"/>
      <c r="BQ41" s="174"/>
      <c r="BR41" s="179"/>
      <c r="BS41" s="174"/>
      <c r="BT41" s="173"/>
      <c r="BU41" s="146"/>
      <c r="BV41" s="826"/>
      <c r="BW41" s="826"/>
      <c r="BX41" s="826"/>
      <c r="BY41" s="826"/>
      <c r="BZ41" s="826"/>
      <c r="CA41" s="826"/>
      <c r="CB41" s="826"/>
      <c r="CC41" s="826"/>
      <c r="CD41" s="826"/>
      <c r="CE41" s="826"/>
      <c r="CF41" s="826"/>
      <c r="CG41" s="826"/>
      <c r="CH41" s="826"/>
      <c r="CI41" s="826"/>
      <c r="CJ41" s="826"/>
      <c r="CK41" s="826"/>
      <c r="CL41" s="826"/>
      <c r="CM41" s="826"/>
      <c r="CN41" s="826"/>
      <c r="CO41" s="826"/>
      <c r="CP41" s="826"/>
      <c r="CQ41" s="826"/>
      <c r="CR41" s="826"/>
      <c r="CS41" s="826"/>
      <c r="CT41" s="826"/>
      <c r="CU41" s="826"/>
      <c r="CV41" s="826"/>
      <c r="CW41" s="826"/>
      <c r="CX41" s="826"/>
      <c r="CY41" s="826"/>
      <c r="CZ41" s="826"/>
      <c r="DA41" s="826"/>
      <c r="DB41" s="826"/>
      <c r="DC41" s="826"/>
      <c r="DD41" s="826"/>
      <c r="DE41" s="826"/>
      <c r="DF41" s="826"/>
      <c r="DG41" s="826"/>
      <c r="DH41" s="826"/>
      <c r="DI41" s="826"/>
      <c r="DJ41" s="826"/>
      <c r="DK41" s="826"/>
      <c r="DL41" s="826"/>
      <c r="DM41" s="826"/>
      <c r="DN41" s="826"/>
      <c r="DO41" s="826"/>
      <c r="DP41" s="826"/>
      <c r="DQ41" s="826"/>
      <c r="DR41" s="826"/>
      <c r="DS41" s="826"/>
      <c r="DT41" s="826"/>
      <c r="DU41" s="826"/>
      <c r="DV41" s="826"/>
      <c r="DW41" s="826"/>
      <c r="DX41" s="826"/>
      <c r="DY41" s="826"/>
      <c r="DZ41" s="826"/>
      <c r="EA41" s="826"/>
      <c r="EB41" s="826"/>
      <c r="EC41" s="826"/>
      <c r="ED41" s="826"/>
      <c r="EE41" s="826"/>
      <c r="EF41" s="826"/>
      <c r="EG41" s="826"/>
      <c r="EH41" s="826"/>
      <c r="EI41" s="826"/>
      <c r="EJ41" s="826"/>
      <c r="EK41" s="826"/>
      <c r="EL41" s="826"/>
      <c r="EM41" s="826"/>
      <c r="EN41" s="826"/>
      <c r="EO41" s="826"/>
      <c r="EP41" s="826"/>
      <c r="EQ41" s="826"/>
      <c r="ER41" s="826"/>
      <c r="ES41" s="826"/>
      <c r="ET41" s="826"/>
      <c r="EU41" s="826"/>
      <c r="EV41" s="826"/>
      <c r="EW41" s="826"/>
      <c r="EX41" s="826"/>
      <c r="EY41" s="826"/>
      <c r="EZ41" s="826"/>
      <c r="FA41" s="826"/>
      <c r="FB41" s="826"/>
      <c r="FC41" s="826"/>
      <c r="FD41" s="826"/>
      <c r="FE41" s="826"/>
      <c r="FF41" s="826"/>
      <c r="FG41" s="826"/>
      <c r="FH41" s="826"/>
      <c r="FI41" s="826"/>
      <c r="FJ41" s="826"/>
      <c r="FK41" s="826"/>
      <c r="FL41" s="826"/>
      <c r="FM41" s="826"/>
      <c r="FN41" s="826"/>
      <c r="FO41" s="826"/>
      <c r="FP41" s="826"/>
      <c r="FQ41" s="826"/>
      <c r="FR41" s="826"/>
      <c r="FS41" s="826"/>
      <c r="FT41" s="826"/>
      <c r="FU41" s="826"/>
      <c r="FV41" s="826"/>
      <c r="FW41" s="826"/>
      <c r="FX41" s="826"/>
      <c r="FY41" s="826"/>
      <c r="FZ41" s="826"/>
      <c r="GA41" s="826"/>
      <c r="GB41" s="826"/>
      <c r="GC41" s="826"/>
      <c r="GD41" s="826"/>
      <c r="GE41" s="826"/>
      <c r="GF41" s="826"/>
      <c r="GG41" s="826"/>
      <c r="GH41" s="826"/>
      <c r="GI41" s="826"/>
      <c r="GJ41" s="826"/>
      <c r="GK41" s="826"/>
      <c r="GL41" s="826"/>
      <c r="GM41" s="826"/>
      <c r="GN41" s="826"/>
      <c r="GO41" s="826"/>
      <c r="GP41" s="826"/>
      <c r="GQ41" s="826"/>
      <c r="GR41" s="826"/>
      <c r="GS41" s="826"/>
      <c r="GT41" s="826"/>
      <c r="GU41" s="826"/>
      <c r="GV41" s="826"/>
      <c r="GW41" s="826"/>
      <c r="GX41" s="826"/>
      <c r="GY41" s="826"/>
      <c r="GZ41" s="826"/>
      <c r="HA41" s="826"/>
      <c r="HB41" s="826"/>
      <c r="HC41" s="826"/>
      <c r="HD41" s="826"/>
      <c r="HE41" s="826"/>
      <c r="HF41" s="826"/>
      <c r="HG41" s="826"/>
      <c r="HH41" s="826"/>
      <c r="HI41" s="826"/>
    </row>
    <row r="42" spans="1:217" s="827" customFormat="1" ht="56.25" customHeight="1">
      <c r="A42" s="96">
        <v>44</v>
      </c>
      <c r="B42" s="840" t="s">
        <v>7498</v>
      </c>
      <c r="C42" s="142">
        <v>79443065</v>
      </c>
      <c r="D42" s="424"/>
      <c r="E42" s="143"/>
      <c r="F42" s="146"/>
      <c r="G42" s="145"/>
      <c r="H42" s="148"/>
      <c r="I42" s="175"/>
      <c r="J42" s="173"/>
      <c r="K42" s="146"/>
      <c r="L42" s="174"/>
      <c r="M42" s="175"/>
      <c r="N42" s="175"/>
      <c r="O42" s="173"/>
      <c r="P42" s="146"/>
      <c r="Q42" s="174"/>
      <c r="R42" s="175"/>
      <c r="S42" s="175"/>
      <c r="T42" s="173"/>
      <c r="U42" s="146"/>
      <c r="V42" s="174"/>
      <c r="W42" s="175"/>
      <c r="X42" s="175"/>
      <c r="Y42" s="173"/>
      <c r="Z42" s="146"/>
      <c r="AA42" s="174"/>
      <c r="AB42" s="175"/>
      <c r="AC42" s="175"/>
      <c r="AD42" s="173"/>
      <c r="AE42" s="146"/>
      <c r="AF42" s="174"/>
      <c r="AG42" s="175"/>
      <c r="AH42" s="175"/>
      <c r="AI42" s="175"/>
      <c r="AJ42" s="146"/>
      <c r="AK42" s="174"/>
      <c r="AL42" s="175"/>
      <c r="AM42" s="175"/>
      <c r="AN42" s="195"/>
      <c r="AO42" s="195"/>
      <c r="AP42" s="22" t="s">
        <v>10062</v>
      </c>
      <c r="AQ42" s="175"/>
      <c r="AR42" s="173"/>
      <c r="AS42" s="173"/>
      <c r="AT42" s="175"/>
      <c r="AU42" s="175"/>
      <c r="AV42" s="126" t="s">
        <v>10063</v>
      </c>
      <c r="AW42" s="126" t="s">
        <v>10064</v>
      </c>
      <c r="AX42" s="839"/>
      <c r="AY42" s="173"/>
      <c r="AZ42" s="171"/>
      <c r="BA42" s="148"/>
      <c r="BB42" s="148"/>
      <c r="BC42" s="175"/>
      <c r="BD42" s="174"/>
      <c r="BE42" s="174"/>
      <c r="BF42" s="174"/>
      <c r="BG42" s="174"/>
      <c r="BH42" s="176"/>
      <c r="BI42" s="176"/>
      <c r="BJ42" s="177"/>
      <c r="BK42" s="173"/>
      <c r="BL42" s="146"/>
      <c r="BM42" s="838"/>
      <c r="BN42" s="175"/>
      <c r="BO42" s="174"/>
      <c r="BP42" s="174"/>
      <c r="BQ42" s="174"/>
      <c r="BR42" s="179"/>
      <c r="BS42" s="174"/>
      <c r="BT42" s="173"/>
      <c r="BU42" s="146"/>
      <c r="BV42" s="826"/>
      <c r="BW42" s="826"/>
      <c r="BX42" s="826"/>
      <c r="BY42" s="826"/>
      <c r="BZ42" s="826"/>
      <c r="CA42" s="826"/>
      <c r="CB42" s="826"/>
      <c r="CC42" s="826"/>
      <c r="CD42" s="826"/>
      <c r="CE42" s="826"/>
      <c r="CF42" s="826"/>
      <c r="CG42" s="826"/>
      <c r="CH42" s="826"/>
      <c r="CI42" s="826"/>
      <c r="CJ42" s="826"/>
      <c r="CK42" s="826"/>
      <c r="CL42" s="826"/>
      <c r="CM42" s="826"/>
      <c r="CN42" s="826"/>
      <c r="CO42" s="826"/>
      <c r="CP42" s="826"/>
      <c r="CQ42" s="826"/>
      <c r="CR42" s="826"/>
      <c r="CS42" s="826"/>
      <c r="CT42" s="826"/>
      <c r="CU42" s="826"/>
      <c r="CV42" s="826"/>
      <c r="CW42" s="826"/>
      <c r="CX42" s="826"/>
      <c r="CY42" s="826"/>
      <c r="CZ42" s="826"/>
      <c r="DA42" s="826"/>
      <c r="DB42" s="826"/>
      <c r="DC42" s="826"/>
      <c r="DD42" s="826"/>
      <c r="DE42" s="826"/>
      <c r="DF42" s="826"/>
      <c r="DG42" s="826"/>
      <c r="DH42" s="826"/>
      <c r="DI42" s="826"/>
      <c r="DJ42" s="826"/>
      <c r="DK42" s="826"/>
      <c r="DL42" s="826"/>
      <c r="DM42" s="826"/>
      <c r="DN42" s="826"/>
      <c r="DO42" s="826"/>
      <c r="DP42" s="826"/>
      <c r="DQ42" s="826"/>
      <c r="DR42" s="826"/>
      <c r="DS42" s="826"/>
      <c r="DT42" s="826"/>
      <c r="DU42" s="826"/>
      <c r="DV42" s="826"/>
      <c r="DW42" s="826"/>
      <c r="DX42" s="826"/>
      <c r="DY42" s="826"/>
      <c r="DZ42" s="826"/>
      <c r="EA42" s="826"/>
      <c r="EB42" s="826"/>
      <c r="EC42" s="826"/>
      <c r="ED42" s="826"/>
      <c r="EE42" s="826"/>
      <c r="EF42" s="826"/>
      <c r="EG42" s="826"/>
      <c r="EH42" s="826"/>
      <c r="EI42" s="826"/>
      <c r="EJ42" s="826"/>
      <c r="EK42" s="826"/>
      <c r="EL42" s="826"/>
      <c r="EM42" s="826"/>
      <c r="EN42" s="826"/>
      <c r="EO42" s="826"/>
      <c r="EP42" s="826"/>
      <c r="EQ42" s="826"/>
      <c r="ER42" s="826"/>
      <c r="ES42" s="826"/>
      <c r="ET42" s="826"/>
      <c r="EU42" s="826"/>
      <c r="EV42" s="826"/>
      <c r="EW42" s="826"/>
      <c r="EX42" s="826"/>
      <c r="EY42" s="826"/>
      <c r="EZ42" s="826"/>
      <c r="FA42" s="826"/>
      <c r="FB42" s="826"/>
      <c r="FC42" s="826"/>
      <c r="FD42" s="826"/>
      <c r="FE42" s="826"/>
      <c r="FF42" s="826"/>
      <c r="FG42" s="826"/>
      <c r="FH42" s="826"/>
      <c r="FI42" s="826"/>
      <c r="FJ42" s="826"/>
      <c r="FK42" s="826"/>
      <c r="FL42" s="826"/>
      <c r="FM42" s="826"/>
      <c r="FN42" s="826"/>
      <c r="FO42" s="826"/>
      <c r="FP42" s="826"/>
      <c r="FQ42" s="826"/>
      <c r="FR42" s="826"/>
      <c r="FS42" s="826"/>
      <c r="FT42" s="826"/>
      <c r="FU42" s="826"/>
      <c r="FV42" s="826"/>
      <c r="FW42" s="826"/>
      <c r="FX42" s="826"/>
      <c r="FY42" s="826"/>
      <c r="FZ42" s="826"/>
      <c r="GA42" s="826"/>
      <c r="GB42" s="826"/>
      <c r="GC42" s="826"/>
      <c r="GD42" s="826"/>
      <c r="GE42" s="826"/>
      <c r="GF42" s="826"/>
      <c r="GG42" s="826"/>
      <c r="GH42" s="826"/>
      <c r="GI42" s="826"/>
      <c r="GJ42" s="826"/>
      <c r="GK42" s="826"/>
      <c r="GL42" s="826"/>
      <c r="GM42" s="826"/>
      <c r="GN42" s="826"/>
      <c r="GO42" s="826"/>
      <c r="GP42" s="826"/>
      <c r="GQ42" s="826"/>
      <c r="GR42" s="826"/>
      <c r="GS42" s="826"/>
      <c r="GT42" s="826"/>
      <c r="GU42" s="826"/>
      <c r="GV42" s="826"/>
      <c r="GW42" s="826"/>
      <c r="GX42" s="826"/>
      <c r="GY42" s="826"/>
      <c r="GZ42" s="826"/>
      <c r="HA42" s="826"/>
      <c r="HB42" s="826"/>
      <c r="HC42" s="826"/>
      <c r="HD42" s="826"/>
      <c r="HE42" s="826"/>
      <c r="HF42" s="826"/>
      <c r="HG42" s="826"/>
      <c r="HH42" s="826"/>
      <c r="HI42" s="826"/>
    </row>
    <row r="43" spans="1:217" s="827" customFormat="1" ht="56.25" customHeight="1">
      <c r="A43" s="96">
        <v>45</v>
      </c>
      <c r="B43" s="840" t="s">
        <v>6672</v>
      </c>
      <c r="C43" s="142">
        <v>8434123</v>
      </c>
      <c r="D43" s="424" t="s">
        <v>1226</v>
      </c>
      <c r="E43" s="143"/>
      <c r="F43" s="146"/>
      <c r="G43" s="145"/>
      <c r="H43" s="148"/>
      <c r="I43" s="175"/>
      <c r="J43" s="173"/>
      <c r="K43" s="146"/>
      <c r="L43" s="174"/>
      <c r="M43" s="175"/>
      <c r="N43" s="175"/>
      <c r="O43" s="173"/>
      <c r="P43" s="146"/>
      <c r="Q43" s="174"/>
      <c r="R43" s="175"/>
      <c r="S43" s="175"/>
      <c r="T43" s="173"/>
      <c r="U43" s="146"/>
      <c r="V43" s="174"/>
      <c r="W43" s="175"/>
      <c r="X43" s="175"/>
      <c r="Y43" s="173"/>
      <c r="Z43" s="146"/>
      <c r="AA43" s="174"/>
      <c r="AB43" s="175"/>
      <c r="AC43" s="175"/>
      <c r="AD43" s="173"/>
      <c r="AE43" s="146"/>
      <c r="AF43" s="174"/>
      <c r="AG43" s="175"/>
      <c r="AH43" s="175"/>
      <c r="AI43" s="175"/>
      <c r="AJ43" s="146"/>
      <c r="AK43" s="174"/>
      <c r="AL43" s="175"/>
      <c r="AM43" s="175"/>
      <c r="AN43" s="195"/>
      <c r="AO43" s="195"/>
      <c r="AP43" s="22" t="s">
        <v>10062</v>
      </c>
      <c r="AQ43" s="175"/>
      <c r="AR43" s="173"/>
      <c r="AS43" s="173"/>
      <c r="AT43" s="175"/>
      <c r="AU43" s="175"/>
      <c r="AV43" s="126" t="s">
        <v>9999</v>
      </c>
      <c r="AW43" s="126" t="s">
        <v>10065</v>
      </c>
      <c r="AX43" s="839"/>
      <c r="AY43" s="173"/>
      <c r="AZ43" s="171"/>
      <c r="BA43" s="148"/>
      <c r="BB43" s="148"/>
      <c r="BC43" s="175"/>
      <c r="BD43" s="174"/>
      <c r="BE43" s="174"/>
      <c r="BF43" s="174"/>
      <c r="BG43" s="174"/>
      <c r="BH43" s="176"/>
      <c r="BI43" s="176"/>
      <c r="BJ43" s="177"/>
      <c r="BK43" s="173"/>
      <c r="BL43" s="146"/>
      <c r="BM43" s="838"/>
      <c r="BN43" s="175"/>
      <c r="BO43" s="174"/>
      <c r="BP43" s="174"/>
      <c r="BQ43" s="174"/>
      <c r="BR43" s="179"/>
      <c r="BS43" s="174"/>
      <c r="BT43" s="173"/>
      <c r="BU43" s="146"/>
      <c r="BV43" s="826"/>
      <c r="BW43" s="826"/>
      <c r="BX43" s="826"/>
      <c r="BY43" s="826"/>
      <c r="BZ43" s="826"/>
      <c r="CA43" s="826"/>
      <c r="CB43" s="826"/>
      <c r="CC43" s="826"/>
      <c r="CD43" s="826"/>
      <c r="CE43" s="826"/>
      <c r="CF43" s="826"/>
      <c r="CG43" s="826"/>
      <c r="CH43" s="826"/>
      <c r="CI43" s="826"/>
      <c r="CJ43" s="826"/>
      <c r="CK43" s="826"/>
      <c r="CL43" s="826"/>
      <c r="CM43" s="826"/>
      <c r="CN43" s="826"/>
      <c r="CO43" s="826"/>
      <c r="CP43" s="826"/>
      <c r="CQ43" s="826"/>
      <c r="CR43" s="826"/>
      <c r="CS43" s="826"/>
      <c r="CT43" s="826"/>
      <c r="CU43" s="826"/>
      <c r="CV43" s="826"/>
      <c r="CW43" s="826"/>
      <c r="CX43" s="826"/>
      <c r="CY43" s="826"/>
      <c r="CZ43" s="826"/>
      <c r="DA43" s="826"/>
      <c r="DB43" s="826"/>
      <c r="DC43" s="826"/>
      <c r="DD43" s="826"/>
      <c r="DE43" s="826"/>
      <c r="DF43" s="826"/>
      <c r="DG43" s="826"/>
      <c r="DH43" s="826"/>
      <c r="DI43" s="826"/>
      <c r="DJ43" s="826"/>
      <c r="DK43" s="826"/>
      <c r="DL43" s="826"/>
      <c r="DM43" s="826"/>
      <c r="DN43" s="826"/>
      <c r="DO43" s="826"/>
      <c r="DP43" s="826"/>
      <c r="DQ43" s="826"/>
      <c r="DR43" s="826"/>
      <c r="DS43" s="826"/>
      <c r="DT43" s="826"/>
      <c r="DU43" s="826"/>
      <c r="DV43" s="826"/>
      <c r="DW43" s="826"/>
      <c r="DX43" s="826"/>
      <c r="DY43" s="826"/>
      <c r="DZ43" s="826"/>
      <c r="EA43" s="826"/>
      <c r="EB43" s="826"/>
      <c r="EC43" s="826"/>
      <c r="ED43" s="826"/>
      <c r="EE43" s="826"/>
      <c r="EF43" s="826"/>
      <c r="EG43" s="826"/>
      <c r="EH43" s="826"/>
      <c r="EI43" s="826"/>
      <c r="EJ43" s="826"/>
      <c r="EK43" s="826"/>
      <c r="EL43" s="826"/>
      <c r="EM43" s="826"/>
      <c r="EN43" s="826"/>
      <c r="EO43" s="826"/>
      <c r="EP43" s="826"/>
      <c r="EQ43" s="826"/>
      <c r="ER43" s="826"/>
      <c r="ES43" s="826"/>
      <c r="ET43" s="826"/>
      <c r="EU43" s="826"/>
      <c r="EV43" s="826"/>
      <c r="EW43" s="826"/>
      <c r="EX43" s="826"/>
      <c r="EY43" s="826"/>
      <c r="EZ43" s="826"/>
      <c r="FA43" s="826"/>
      <c r="FB43" s="826"/>
      <c r="FC43" s="826"/>
      <c r="FD43" s="826"/>
      <c r="FE43" s="826"/>
      <c r="FF43" s="826"/>
      <c r="FG43" s="826"/>
      <c r="FH43" s="826"/>
      <c r="FI43" s="826"/>
      <c r="FJ43" s="826"/>
      <c r="FK43" s="826"/>
      <c r="FL43" s="826"/>
      <c r="FM43" s="826"/>
      <c r="FN43" s="826"/>
      <c r="FO43" s="826"/>
      <c r="FP43" s="826"/>
      <c r="FQ43" s="826"/>
      <c r="FR43" s="826"/>
      <c r="FS43" s="826"/>
      <c r="FT43" s="826"/>
      <c r="FU43" s="826"/>
      <c r="FV43" s="826"/>
      <c r="FW43" s="826"/>
      <c r="FX43" s="826"/>
      <c r="FY43" s="826"/>
      <c r="FZ43" s="826"/>
      <c r="GA43" s="826"/>
      <c r="GB43" s="826"/>
      <c r="GC43" s="826"/>
      <c r="GD43" s="826"/>
      <c r="GE43" s="826"/>
      <c r="GF43" s="826"/>
      <c r="GG43" s="826"/>
      <c r="GH43" s="826"/>
      <c r="GI43" s="826"/>
      <c r="GJ43" s="826"/>
      <c r="GK43" s="826"/>
      <c r="GL43" s="826"/>
      <c r="GM43" s="826"/>
      <c r="GN43" s="826"/>
      <c r="GO43" s="826"/>
      <c r="GP43" s="826"/>
      <c r="GQ43" s="826"/>
      <c r="GR43" s="826"/>
      <c r="GS43" s="826"/>
      <c r="GT43" s="826"/>
      <c r="GU43" s="826"/>
      <c r="GV43" s="826"/>
      <c r="GW43" s="826"/>
      <c r="GX43" s="826"/>
      <c r="GY43" s="826"/>
      <c r="GZ43" s="826"/>
      <c r="HA43" s="826"/>
      <c r="HB43" s="826"/>
      <c r="HC43" s="826"/>
      <c r="HD43" s="826"/>
      <c r="HE43" s="826"/>
      <c r="HF43" s="826"/>
      <c r="HG43" s="826"/>
      <c r="HH43" s="826"/>
      <c r="HI43" s="826"/>
    </row>
    <row r="44" spans="1:217" s="827" customFormat="1" ht="56.25" customHeight="1">
      <c r="A44" s="96">
        <v>47</v>
      </c>
      <c r="B44" s="840" t="s">
        <v>10066</v>
      </c>
      <c r="C44" s="142">
        <v>71218601</v>
      </c>
      <c r="D44" s="424" t="s">
        <v>333</v>
      </c>
      <c r="E44" s="143"/>
      <c r="F44" s="146"/>
      <c r="G44" s="145"/>
      <c r="H44" s="148"/>
      <c r="I44" s="175"/>
      <c r="J44" s="173"/>
      <c r="K44" s="146"/>
      <c r="L44" s="174"/>
      <c r="M44" s="175"/>
      <c r="N44" s="175"/>
      <c r="O44" s="173"/>
      <c r="P44" s="146"/>
      <c r="Q44" s="174"/>
      <c r="R44" s="175"/>
      <c r="S44" s="175"/>
      <c r="T44" s="173"/>
      <c r="U44" s="146"/>
      <c r="V44" s="174"/>
      <c r="W44" s="175"/>
      <c r="X44" s="175"/>
      <c r="Y44" s="173"/>
      <c r="Z44" s="146"/>
      <c r="AA44" s="174"/>
      <c r="AB44" s="175"/>
      <c r="AC44" s="175"/>
      <c r="AD44" s="173"/>
      <c r="AE44" s="146"/>
      <c r="AF44" s="174"/>
      <c r="AG44" s="175"/>
      <c r="AH44" s="175"/>
      <c r="AI44" s="175"/>
      <c r="AJ44" s="146"/>
      <c r="AK44" s="174"/>
      <c r="AL44" s="175"/>
      <c r="AM44" s="175"/>
      <c r="AN44" s="195"/>
      <c r="AO44" s="195"/>
      <c r="AP44" s="22" t="s">
        <v>10067</v>
      </c>
      <c r="AQ44" s="175"/>
      <c r="AR44" s="173"/>
      <c r="AS44" s="173"/>
      <c r="AT44" s="175"/>
      <c r="AU44" s="175"/>
      <c r="AV44" s="126" t="s">
        <v>409</v>
      </c>
      <c r="AW44" s="126" t="s">
        <v>10068</v>
      </c>
      <c r="AX44" s="839"/>
      <c r="AY44" s="173"/>
      <c r="AZ44" s="171"/>
      <c r="BA44" s="148"/>
      <c r="BB44" s="148"/>
      <c r="BC44" s="175"/>
      <c r="BD44" s="174"/>
      <c r="BE44" s="174"/>
      <c r="BF44" s="174"/>
      <c r="BG44" s="174"/>
      <c r="BH44" s="176"/>
      <c r="BI44" s="176"/>
      <c r="BJ44" s="177"/>
      <c r="BK44" s="173"/>
      <c r="BL44" s="146"/>
      <c r="BM44" s="838"/>
      <c r="BN44" s="175"/>
      <c r="BO44" s="174"/>
      <c r="BP44" s="174"/>
      <c r="BQ44" s="174"/>
      <c r="BR44" s="179"/>
      <c r="BS44" s="174"/>
      <c r="BT44" s="173"/>
      <c r="BU44" s="146"/>
      <c r="BV44" s="826"/>
      <c r="BW44" s="826"/>
      <c r="BX44" s="826"/>
      <c r="BY44" s="826"/>
      <c r="BZ44" s="826"/>
      <c r="CA44" s="826"/>
      <c r="CB44" s="826"/>
      <c r="CC44" s="826"/>
      <c r="CD44" s="826"/>
      <c r="CE44" s="826"/>
      <c r="CF44" s="826"/>
      <c r="CG44" s="826"/>
      <c r="CH44" s="826"/>
      <c r="CI44" s="826"/>
      <c r="CJ44" s="826"/>
      <c r="CK44" s="826"/>
      <c r="CL44" s="826"/>
      <c r="CM44" s="826"/>
      <c r="CN44" s="826"/>
      <c r="CO44" s="826"/>
      <c r="CP44" s="826"/>
      <c r="CQ44" s="826"/>
      <c r="CR44" s="826"/>
      <c r="CS44" s="826"/>
      <c r="CT44" s="826"/>
      <c r="CU44" s="826"/>
      <c r="CV44" s="826"/>
      <c r="CW44" s="826"/>
      <c r="CX44" s="826"/>
      <c r="CY44" s="826"/>
      <c r="CZ44" s="826"/>
      <c r="DA44" s="826"/>
      <c r="DB44" s="826"/>
      <c r="DC44" s="826"/>
      <c r="DD44" s="826"/>
      <c r="DE44" s="826"/>
      <c r="DF44" s="826"/>
      <c r="DG44" s="826"/>
      <c r="DH44" s="826"/>
      <c r="DI44" s="826"/>
      <c r="DJ44" s="826"/>
      <c r="DK44" s="826"/>
      <c r="DL44" s="826"/>
      <c r="DM44" s="826"/>
      <c r="DN44" s="826"/>
      <c r="DO44" s="826"/>
      <c r="DP44" s="826"/>
      <c r="DQ44" s="826"/>
      <c r="DR44" s="826"/>
      <c r="DS44" s="826"/>
      <c r="DT44" s="826"/>
      <c r="DU44" s="826"/>
      <c r="DV44" s="826"/>
      <c r="DW44" s="826"/>
      <c r="DX44" s="826"/>
      <c r="DY44" s="826"/>
      <c r="DZ44" s="826"/>
      <c r="EA44" s="826"/>
      <c r="EB44" s="826"/>
      <c r="EC44" s="826"/>
      <c r="ED44" s="826"/>
      <c r="EE44" s="826"/>
      <c r="EF44" s="826"/>
      <c r="EG44" s="826"/>
      <c r="EH44" s="826"/>
      <c r="EI44" s="826"/>
      <c r="EJ44" s="826"/>
      <c r="EK44" s="826"/>
      <c r="EL44" s="826"/>
      <c r="EM44" s="826"/>
      <c r="EN44" s="826"/>
      <c r="EO44" s="826"/>
      <c r="EP44" s="826"/>
      <c r="EQ44" s="826"/>
      <c r="ER44" s="826"/>
      <c r="ES44" s="826"/>
      <c r="ET44" s="826"/>
      <c r="EU44" s="826"/>
      <c r="EV44" s="826"/>
      <c r="EW44" s="826"/>
      <c r="EX44" s="826"/>
      <c r="EY44" s="826"/>
      <c r="EZ44" s="826"/>
      <c r="FA44" s="826"/>
      <c r="FB44" s="826"/>
      <c r="FC44" s="826"/>
      <c r="FD44" s="826"/>
      <c r="FE44" s="826"/>
      <c r="FF44" s="826"/>
      <c r="FG44" s="826"/>
      <c r="FH44" s="826"/>
      <c r="FI44" s="826"/>
      <c r="FJ44" s="826"/>
      <c r="FK44" s="826"/>
      <c r="FL44" s="826"/>
      <c r="FM44" s="826"/>
      <c r="FN44" s="826"/>
      <c r="FO44" s="826"/>
      <c r="FP44" s="826"/>
      <c r="FQ44" s="826"/>
      <c r="FR44" s="826"/>
      <c r="FS44" s="826"/>
      <c r="FT44" s="826"/>
      <c r="FU44" s="826"/>
      <c r="FV44" s="826"/>
      <c r="FW44" s="826"/>
      <c r="FX44" s="826"/>
      <c r="FY44" s="826"/>
      <c r="FZ44" s="826"/>
      <c r="GA44" s="826"/>
      <c r="GB44" s="826"/>
      <c r="GC44" s="826"/>
      <c r="GD44" s="826"/>
      <c r="GE44" s="826"/>
      <c r="GF44" s="826"/>
      <c r="GG44" s="826"/>
      <c r="GH44" s="826"/>
      <c r="GI44" s="826"/>
      <c r="GJ44" s="826"/>
      <c r="GK44" s="826"/>
      <c r="GL44" s="826"/>
      <c r="GM44" s="826"/>
      <c r="GN44" s="826"/>
      <c r="GO44" s="826"/>
      <c r="GP44" s="826"/>
      <c r="GQ44" s="826"/>
      <c r="GR44" s="826"/>
      <c r="GS44" s="826"/>
      <c r="GT44" s="826"/>
      <c r="GU44" s="826"/>
      <c r="GV44" s="826"/>
      <c r="GW44" s="826"/>
      <c r="GX44" s="826"/>
      <c r="GY44" s="826"/>
      <c r="GZ44" s="826"/>
      <c r="HA44" s="826"/>
      <c r="HB44" s="826"/>
      <c r="HC44" s="826"/>
      <c r="HD44" s="826"/>
      <c r="HE44" s="826"/>
      <c r="HF44" s="826"/>
      <c r="HG44" s="826"/>
      <c r="HH44" s="826"/>
      <c r="HI44" s="826"/>
    </row>
    <row r="45" spans="1:217" s="827" customFormat="1" ht="56.25" customHeight="1">
      <c r="A45" s="96">
        <v>48</v>
      </c>
      <c r="B45" s="840" t="s">
        <v>10069</v>
      </c>
      <c r="C45" s="142">
        <v>71756162</v>
      </c>
      <c r="D45" s="424" t="s">
        <v>906</v>
      </c>
      <c r="E45" s="143"/>
      <c r="F45" s="146"/>
      <c r="G45" s="145"/>
      <c r="H45" s="148"/>
      <c r="I45" s="175"/>
      <c r="J45" s="173"/>
      <c r="K45" s="146"/>
      <c r="L45" s="174"/>
      <c r="M45" s="175"/>
      <c r="N45" s="175"/>
      <c r="O45" s="173"/>
      <c r="P45" s="146"/>
      <c r="Q45" s="174"/>
      <c r="R45" s="175"/>
      <c r="S45" s="175"/>
      <c r="T45" s="173"/>
      <c r="U45" s="146"/>
      <c r="V45" s="174"/>
      <c r="W45" s="175"/>
      <c r="X45" s="175"/>
      <c r="Y45" s="173"/>
      <c r="Z45" s="146"/>
      <c r="AA45" s="174"/>
      <c r="AB45" s="175"/>
      <c r="AC45" s="175"/>
      <c r="AD45" s="173"/>
      <c r="AE45" s="146"/>
      <c r="AF45" s="174"/>
      <c r="AG45" s="175"/>
      <c r="AH45" s="175"/>
      <c r="AI45" s="175"/>
      <c r="AJ45" s="146"/>
      <c r="AK45" s="174"/>
      <c r="AL45" s="175"/>
      <c r="AM45" s="175"/>
      <c r="AN45" s="195"/>
      <c r="AO45" s="195"/>
      <c r="AP45" s="22" t="s">
        <v>10070</v>
      </c>
      <c r="AQ45" s="175"/>
      <c r="AR45" s="173"/>
      <c r="AS45" s="173"/>
      <c r="AT45" s="175"/>
      <c r="AU45" s="175"/>
      <c r="AV45" s="126" t="s">
        <v>9999</v>
      </c>
      <c r="AW45" s="126" t="s">
        <v>10071</v>
      </c>
      <c r="AX45" s="839"/>
      <c r="AY45" s="173"/>
      <c r="AZ45" s="171"/>
      <c r="BA45" s="148"/>
      <c r="BB45" s="148"/>
      <c r="BC45" s="175"/>
      <c r="BD45" s="174"/>
      <c r="BE45" s="174"/>
      <c r="BF45" s="174"/>
      <c r="BG45" s="174"/>
      <c r="BH45" s="176"/>
      <c r="BI45" s="176"/>
      <c r="BJ45" s="177"/>
      <c r="BK45" s="173"/>
      <c r="BL45" s="146"/>
      <c r="BM45" s="838"/>
      <c r="BN45" s="175"/>
      <c r="BO45" s="174"/>
      <c r="BP45" s="174"/>
      <c r="BQ45" s="174"/>
      <c r="BR45" s="179"/>
      <c r="BS45" s="174"/>
      <c r="BT45" s="173"/>
      <c r="BU45" s="146"/>
      <c r="BV45" s="826"/>
      <c r="BW45" s="826"/>
      <c r="BX45" s="826"/>
      <c r="BY45" s="826"/>
      <c r="BZ45" s="826"/>
      <c r="CA45" s="826"/>
      <c r="CB45" s="826"/>
      <c r="CC45" s="826"/>
      <c r="CD45" s="826"/>
      <c r="CE45" s="826"/>
      <c r="CF45" s="826"/>
      <c r="CG45" s="826"/>
      <c r="CH45" s="826"/>
      <c r="CI45" s="826"/>
      <c r="CJ45" s="826"/>
      <c r="CK45" s="826"/>
      <c r="CL45" s="826"/>
      <c r="CM45" s="826"/>
      <c r="CN45" s="826"/>
      <c r="CO45" s="826"/>
      <c r="CP45" s="826"/>
      <c r="CQ45" s="826"/>
      <c r="CR45" s="826"/>
      <c r="CS45" s="826"/>
      <c r="CT45" s="826"/>
      <c r="CU45" s="826"/>
      <c r="CV45" s="826"/>
      <c r="CW45" s="826"/>
      <c r="CX45" s="826"/>
      <c r="CY45" s="826"/>
      <c r="CZ45" s="826"/>
      <c r="DA45" s="826"/>
      <c r="DB45" s="826"/>
      <c r="DC45" s="826"/>
      <c r="DD45" s="826"/>
      <c r="DE45" s="826"/>
      <c r="DF45" s="826"/>
      <c r="DG45" s="826"/>
      <c r="DH45" s="826"/>
      <c r="DI45" s="826"/>
      <c r="DJ45" s="826"/>
      <c r="DK45" s="826"/>
      <c r="DL45" s="826"/>
      <c r="DM45" s="826"/>
      <c r="DN45" s="826"/>
      <c r="DO45" s="826"/>
      <c r="DP45" s="826"/>
      <c r="DQ45" s="826"/>
      <c r="DR45" s="826"/>
      <c r="DS45" s="826"/>
      <c r="DT45" s="826"/>
      <c r="DU45" s="826"/>
      <c r="DV45" s="826"/>
      <c r="DW45" s="826"/>
      <c r="DX45" s="826"/>
      <c r="DY45" s="826"/>
      <c r="DZ45" s="826"/>
      <c r="EA45" s="826"/>
      <c r="EB45" s="826"/>
      <c r="EC45" s="826"/>
      <c r="ED45" s="826"/>
      <c r="EE45" s="826"/>
      <c r="EF45" s="826"/>
      <c r="EG45" s="826"/>
      <c r="EH45" s="826"/>
      <c r="EI45" s="826"/>
      <c r="EJ45" s="826"/>
      <c r="EK45" s="826"/>
      <c r="EL45" s="826"/>
      <c r="EM45" s="826"/>
      <c r="EN45" s="826"/>
      <c r="EO45" s="826"/>
      <c r="EP45" s="826"/>
      <c r="EQ45" s="826"/>
      <c r="ER45" s="826"/>
      <c r="ES45" s="826"/>
      <c r="ET45" s="826"/>
      <c r="EU45" s="826"/>
      <c r="EV45" s="826"/>
      <c r="EW45" s="826"/>
      <c r="EX45" s="826"/>
      <c r="EY45" s="826"/>
      <c r="EZ45" s="826"/>
      <c r="FA45" s="826"/>
      <c r="FB45" s="826"/>
      <c r="FC45" s="826"/>
      <c r="FD45" s="826"/>
      <c r="FE45" s="826"/>
      <c r="FF45" s="826"/>
      <c r="FG45" s="826"/>
      <c r="FH45" s="826"/>
      <c r="FI45" s="826"/>
      <c r="FJ45" s="826"/>
      <c r="FK45" s="826"/>
      <c r="FL45" s="826"/>
      <c r="FM45" s="826"/>
      <c r="FN45" s="826"/>
      <c r="FO45" s="826"/>
      <c r="FP45" s="826"/>
      <c r="FQ45" s="826"/>
      <c r="FR45" s="826"/>
      <c r="FS45" s="826"/>
      <c r="FT45" s="826"/>
      <c r="FU45" s="826"/>
      <c r="FV45" s="826"/>
      <c r="FW45" s="826"/>
      <c r="FX45" s="826"/>
      <c r="FY45" s="826"/>
      <c r="FZ45" s="826"/>
      <c r="GA45" s="826"/>
      <c r="GB45" s="826"/>
      <c r="GC45" s="826"/>
      <c r="GD45" s="826"/>
      <c r="GE45" s="826"/>
      <c r="GF45" s="826"/>
      <c r="GG45" s="826"/>
      <c r="GH45" s="826"/>
      <c r="GI45" s="826"/>
      <c r="GJ45" s="826"/>
      <c r="GK45" s="826"/>
      <c r="GL45" s="826"/>
      <c r="GM45" s="826"/>
      <c r="GN45" s="826"/>
      <c r="GO45" s="826"/>
      <c r="GP45" s="826"/>
      <c r="GQ45" s="826"/>
      <c r="GR45" s="826"/>
      <c r="GS45" s="826"/>
      <c r="GT45" s="826"/>
      <c r="GU45" s="826"/>
      <c r="GV45" s="826"/>
      <c r="GW45" s="826"/>
      <c r="GX45" s="826"/>
      <c r="GY45" s="826"/>
      <c r="GZ45" s="826"/>
      <c r="HA45" s="826"/>
      <c r="HB45" s="826"/>
      <c r="HC45" s="826"/>
      <c r="HD45" s="826"/>
      <c r="HE45" s="826"/>
      <c r="HF45" s="826"/>
      <c r="HG45" s="826"/>
      <c r="HH45" s="826"/>
      <c r="HI45" s="826"/>
    </row>
    <row r="46" spans="1:217" s="827" customFormat="1" ht="56.25" customHeight="1">
      <c r="A46" s="96">
        <v>48</v>
      </c>
      <c r="B46" s="840" t="s">
        <v>10069</v>
      </c>
      <c r="C46" s="142">
        <v>71756162</v>
      </c>
      <c r="D46" s="424" t="s">
        <v>906</v>
      </c>
      <c r="E46" s="143"/>
      <c r="F46" s="146"/>
      <c r="G46" s="145"/>
      <c r="H46" s="148"/>
      <c r="I46" s="175"/>
      <c r="J46" s="173"/>
      <c r="K46" s="146"/>
      <c r="L46" s="174"/>
      <c r="M46" s="175"/>
      <c r="N46" s="175"/>
      <c r="O46" s="173"/>
      <c r="P46" s="146"/>
      <c r="Q46" s="174"/>
      <c r="R46" s="175"/>
      <c r="S46" s="175"/>
      <c r="T46" s="173"/>
      <c r="U46" s="146"/>
      <c r="V46" s="174"/>
      <c r="W46" s="175"/>
      <c r="X46" s="175"/>
      <c r="Y46" s="173"/>
      <c r="Z46" s="146"/>
      <c r="AA46" s="174"/>
      <c r="AB46" s="175"/>
      <c r="AC46" s="175"/>
      <c r="AD46" s="173"/>
      <c r="AE46" s="146"/>
      <c r="AF46" s="174"/>
      <c r="AG46" s="175"/>
      <c r="AH46" s="175"/>
      <c r="AI46" s="175"/>
      <c r="AJ46" s="146"/>
      <c r="AK46" s="174"/>
      <c r="AL46" s="175"/>
      <c r="AM46" s="175"/>
      <c r="AN46" s="195"/>
      <c r="AO46" s="195"/>
      <c r="AP46" s="22">
        <v>5.00133330012016E+21</v>
      </c>
      <c r="AQ46" s="175"/>
      <c r="AR46" s="173"/>
      <c r="AS46" s="173"/>
      <c r="AT46" s="175"/>
      <c r="AU46" s="175"/>
      <c r="AV46" s="126" t="s">
        <v>10072</v>
      </c>
      <c r="AW46" s="126"/>
      <c r="AX46" s="839"/>
      <c r="AY46" s="173"/>
      <c r="AZ46" s="171"/>
      <c r="BA46" s="148"/>
      <c r="BB46" s="148"/>
      <c r="BC46" s="175"/>
      <c r="BD46" s="174"/>
      <c r="BE46" s="174"/>
      <c r="BF46" s="174"/>
      <c r="BG46" s="174"/>
      <c r="BH46" s="176"/>
      <c r="BI46" s="176"/>
      <c r="BJ46" s="177"/>
      <c r="BK46" s="173"/>
      <c r="BL46" s="146"/>
      <c r="BM46" s="838"/>
      <c r="BN46" s="175"/>
      <c r="BO46" s="174"/>
      <c r="BP46" s="174"/>
      <c r="BQ46" s="174"/>
      <c r="BR46" s="179"/>
      <c r="BS46" s="174"/>
      <c r="BT46" s="173"/>
      <c r="BU46" s="146"/>
      <c r="BV46" s="826"/>
      <c r="BW46" s="826"/>
      <c r="BX46" s="826"/>
      <c r="BY46" s="826"/>
      <c r="BZ46" s="826"/>
      <c r="CA46" s="826"/>
      <c r="CB46" s="826"/>
      <c r="CC46" s="826"/>
      <c r="CD46" s="826"/>
      <c r="CE46" s="826"/>
      <c r="CF46" s="826"/>
      <c r="CG46" s="826"/>
      <c r="CH46" s="826"/>
      <c r="CI46" s="826"/>
      <c r="CJ46" s="826"/>
      <c r="CK46" s="826"/>
      <c r="CL46" s="826"/>
      <c r="CM46" s="826"/>
      <c r="CN46" s="826"/>
      <c r="CO46" s="826"/>
      <c r="CP46" s="826"/>
      <c r="CQ46" s="826"/>
      <c r="CR46" s="826"/>
      <c r="CS46" s="826"/>
      <c r="CT46" s="826"/>
      <c r="CU46" s="826"/>
      <c r="CV46" s="826"/>
      <c r="CW46" s="826"/>
      <c r="CX46" s="826"/>
      <c r="CY46" s="826"/>
      <c r="CZ46" s="826"/>
      <c r="DA46" s="826"/>
      <c r="DB46" s="826"/>
      <c r="DC46" s="826"/>
      <c r="DD46" s="826"/>
      <c r="DE46" s="826"/>
      <c r="DF46" s="826"/>
      <c r="DG46" s="826"/>
      <c r="DH46" s="826"/>
      <c r="DI46" s="826"/>
      <c r="DJ46" s="826"/>
      <c r="DK46" s="826"/>
      <c r="DL46" s="826"/>
      <c r="DM46" s="826"/>
      <c r="DN46" s="826"/>
      <c r="DO46" s="826"/>
      <c r="DP46" s="826"/>
      <c r="DQ46" s="826"/>
      <c r="DR46" s="826"/>
      <c r="DS46" s="826"/>
      <c r="DT46" s="826"/>
      <c r="DU46" s="826"/>
      <c r="DV46" s="826"/>
      <c r="DW46" s="826"/>
      <c r="DX46" s="826"/>
      <c r="DY46" s="826"/>
      <c r="DZ46" s="826"/>
      <c r="EA46" s="826"/>
      <c r="EB46" s="826"/>
      <c r="EC46" s="826"/>
      <c r="ED46" s="826"/>
      <c r="EE46" s="826"/>
      <c r="EF46" s="826"/>
      <c r="EG46" s="826"/>
      <c r="EH46" s="826"/>
      <c r="EI46" s="826"/>
      <c r="EJ46" s="826"/>
      <c r="EK46" s="826"/>
      <c r="EL46" s="826"/>
      <c r="EM46" s="826"/>
      <c r="EN46" s="826"/>
      <c r="EO46" s="826"/>
      <c r="EP46" s="826"/>
      <c r="EQ46" s="826"/>
      <c r="ER46" s="826"/>
      <c r="ES46" s="826"/>
      <c r="ET46" s="826"/>
      <c r="EU46" s="826"/>
      <c r="EV46" s="826"/>
      <c r="EW46" s="826"/>
      <c r="EX46" s="826"/>
      <c r="EY46" s="826"/>
      <c r="EZ46" s="826"/>
      <c r="FA46" s="826"/>
      <c r="FB46" s="826"/>
      <c r="FC46" s="826"/>
      <c r="FD46" s="826"/>
      <c r="FE46" s="826"/>
      <c r="FF46" s="826"/>
      <c r="FG46" s="826"/>
      <c r="FH46" s="826"/>
      <c r="FI46" s="826"/>
      <c r="FJ46" s="826"/>
      <c r="FK46" s="826"/>
      <c r="FL46" s="826"/>
      <c r="FM46" s="826"/>
      <c r="FN46" s="826"/>
      <c r="FO46" s="826"/>
      <c r="FP46" s="826"/>
      <c r="FQ46" s="826"/>
      <c r="FR46" s="826"/>
      <c r="FS46" s="826"/>
      <c r="FT46" s="826"/>
      <c r="FU46" s="826"/>
      <c r="FV46" s="826"/>
      <c r="FW46" s="826"/>
      <c r="FX46" s="826"/>
      <c r="FY46" s="826"/>
      <c r="FZ46" s="826"/>
      <c r="GA46" s="826"/>
      <c r="GB46" s="826"/>
      <c r="GC46" s="826"/>
      <c r="GD46" s="826"/>
      <c r="GE46" s="826"/>
      <c r="GF46" s="826"/>
      <c r="GG46" s="826"/>
      <c r="GH46" s="826"/>
      <c r="GI46" s="826"/>
      <c r="GJ46" s="826"/>
      <c r="GK46" s="826"/>
      <c r="GL46" s="826"/>
      <c r="GM46" s="826"/>
      <c r="GN46" s="826"/>
      <c r="GO46" s="826"/>
      <c r="GP46" s="826"/>
      <c r="GQ46" s="826"/>
      <c r="GR46" s="826"/>
      <c r="GS46" s="826"/>
      <c r="GT46" s="826"/>
      <c r="GU46" s="826"/>
      <c r="GV46" s="826"/>
      <c r="GW46" s="826"/>
      <c r="GX46" s="826"/>
      <c r="GY46" s="826"/>
      <c r="GZ46" s="826"/>
      <c r="HA46" s="826"/>
      <c r="HB46" s="826"/>
      <c r="HC46" s="826"/>
      <c r="HD46" s="826"/>
      <c r="HE46" s="826"/>
      <c r="HF46" s="826"/>
      <c r="HG46" s="826"/>
      <c r="HH46" s="826"/>
      <c r="HI46" s="826"/>
    </row>
    <row r="47" spans="1:217" s="827" customFormat="1" ht="56.25" customHeight="1">
      <c r="A47" s="96">
        <v>49</v>
      </c>
      <c r="B47" s="840" t="s">
        <v>10073</v>
      </c>
      <c r="C47" s="142">
        <v>98582981</v>
      </c>
      <c r="D47" s="424" t="s">
        <v>906</v>
      </c>
      <c r="E47" s="143"/>
      <c r="F47" s="146"/>
      <c r="G47" s="145"/>
      <c r="H47" s="148"/>
      <c r="I47" s="175"/>
      <c r="J47" s="173"/>
      <c r="K47" s="146"/>
      <c r="L47" s="174"/>
      <c r="M47" s="175"/>
      <c r="N47" s="175"/>
      <c r="O47" s="173"/>
      <c r="P47" s="146"/>
      <c r="Q47" s="174"/>
      <c r="R47" s="175"/>
      <c r="S47" s="175"/>
      <c r="T47" s="173"/>
      <c r="U47" s="146"/>
      <c r="V47" s="174"/>
      <c r="W47" s="175"/>
      <c r="X47" s="175"/>
      <c r="Y47" s="173"/>
      <c r="Z47" s="146"/>
      <c r="AA47" s="174"/>
      <c r="AB47" s="175"/>
      <c r="AC47" s="175"/>
      <c r="AD47" s="173"/>
      <c r="AE47" s="146"/>
      <c r="AF47" s="174"/>
      <c r="AG47" s="175"/>
      <c r="AH47" s="175"/>
      <c r="AI47" s="175"/>
      <c r="AJ47" s="146"/>
      <c r="AK47" s="174"/>
      <c r="AL47" s="175"/>
      <c r="AM47" s="175"/>
      <c r="AN47" s="195"/>
      <c r="AO47" s="195"/>
      <c r="AP47" s="22" t="s">
        <v>10074</v>
      </c>
      <c r="AQ47" s="175"/>
      <c r="AR47" s="173"/>
      <c r="AS47" s="173"/>
      <c r="AT47" s="175"/>
      <c r="AU47" s="175"/>
      <c r="AV47" s="126" t="s">
        <v>10031</v>
      </c>
      <c r="AW47" s="126" t="s">
        <v>10019</v>
      </c>
      <c r="AX47" s="839"/>
      <c r="AY47" s="173"/>
      <c r="AZ47" s="171"/>
      <c r="BA47" s="148"/>
      <c r="BB47" s="148"/>
      <c r="BC47" s="175"/>
      <c r="BD47" s="174"/>
      <c r="BE47" s="174"/>
      <c r="BF47" s="174"/>
      <c r="BG47" s="174"/>
      <c r="BH47" s="176"/>
      <c r="BI47" s="176"/>
      <c r="BJ47" s="177"/>
      <c r="BK47" s="173"/>
      <c r="BL47" s="146"/>
      <c r="BM47" s="838"/>
      <c r="BN47" s="175"/>
      <c r="BO47" s="174"/>
      <c r="BP47" s="174"/>
      <c r="BQ47" s="174"/>
      <c r="BR47" s="179"/>
      <c r="BS47" s="174"/>
      <c r="BT47" s="173"/>
      <c r="BU47" s="146"/>
      <c r="BV47" s="826"/>
      <c r="BW47" s="826"/>
      <c r="BX47" s="826"/>
      <c r="BY47" s="826"/>
      <c r="BZ47" s="826"/>
      <c r="CA47" s="826"/>
      <c r="CB47" s="826"/>
      <c r="CC47" s="826"/>
      <c r="CD47" s="826"/>
      <c r="CE47" s="826"/>
      <c r="CF47" s="826"/>
      <c r="CG47" s="826"/>
      <c r="CH47" s="826"/>
      <c r="CI47" s="826"/>
      <c r="CJ47" s="826"/>
      <c r="CK47" s="826"/>
      <c r="CL47" s="826"/>
      <c r="CM47" s="826"/>
      <c r="CN47" s="826"/>
      <c r="CO47" s="826"/>
      <c r="CP47" s="826"/>
      <c r="CQ47" s="826"/>
      <c r="CR47" s="826"/>
      <c r="CS47" s="826"/>
      <c r="CT47" s="826"/>
      <c r="CU47" s="826"/>
      <c r="CV47" s="826"/>
      <c r="CW47" s="826"/>
      <c r="CX47" s="826"/>
      <c r="CY47" s="826"/>
      <c r="CZ47" s="826"/>
      <c r="DA47" s="826"/>
      <c r="DB47" s="826"/>
      <c r="DC47" s="826"/>
      <c r="DD47" s="826"/>
      <c r="DE47" s="826"/>
      <c r="DF47" s="826"/>
      <c r="DG47" s="826"/>
      <c r="DH47" s="826"/>
      <c r="DI47" s="826"/>
      <c r="DJ47" s="826"/>
      <c r="DK47" s="826"/>
      <c r="DL47" s="826"/>
      <c r="DM47" s="826"/>
      <c r="DN47" s="826"/>
      <c r="DO47" s="826"/>
      <c r="DP47" s="826"/>
      <c r="DQ47" s="826"/>
      <c r="DR47" s="826"/>
      <c r="DS47" s="826"/>
      <c r="DT47" s="826"/>
      <c r="DU47" s="826"/>
      <c r="DV47" s="826"/>
      <c r="DW47" s="826"/>
      <c r="DX47" s="826"/>
      <c r="DY47" s="826"/>
      <c r="DZ47" s="826"/>
      <c r="EA47" s="826"/>
      <c r="EB47" s="826"/>
      <c r="EC47" s="826"/>
      <c r="ED47" s="826"/>
      <c r="EE47" s="826"/>
      <c r="EF47" s="826"/>
      <c r="EG47" s="826"/>
      <c r="EH47" s="826"/>
      <c r="EI47" s="826"/>
      <c r="EJ47" s="826"/>
      <c r="EK47" s="826"/>
      <c r="EL47" s="826"/>
      <c r="EM47" s="826"/>
      <c r="EN47" s="826"/>
      <c r="EO47" s="826"/>
      <c r="EP47" s="826"/>
      <c r="EQ47" s="826"/>
      <c r="ER47" s="826"/>
      <c r="ES47" s="826"/>
      <c r="ET47" s="826"/>
      <c r="EU47" s="826"/>
      <c r="EV47" s="826"/>
      <c r="EW47" s="826"/>
      <c r="EX47" s="826"/>
      <c r="EY47" s="826"/>
      <c r="EZ47" s="826"/>
      <c r="FA47" s="826"/>
      <c r="FB47" s="826"/>
      <c r="FC47" s="826"/>
      <c r="FD47" s="826"/>
      <c r="FE47" s="826"/>
      <c r="FF47" s="826"/>
      <c r="FG47" s="826"/>
      <c r="FH47" s="826"/>
      <c r="FI47" s="826"/>
      <c r="FJ47" s="826"/>
      <c r="FK47" s="826"/>
      <c r="FL47" s="826"/>
      <c r="FM47" s="826"/>
      <c r="FN47" s="826"/>
      <c r="FO47" s="826"/>
      <c r="FP47" s="826"/>
      <c r="FQ47" s="826"/>
      <c r="FR47" s="826"/>
      <c r="FS47" s="826"/>
      <c r="FT47" s="826"/>
      <c r="FU47" s="826"/>
      <c r="FV47" s="826"/>
      <c r="FW47" s="826"/>
      <c r="FX47" s="826"/>
      <c r="FY47" s="826"/>
      <c r="FZ47" s="826"/>
      <c r="GA47" s="826"/>
      <c r="GB47" s="826"/>
      <c r="GC47" s="826"/>
      <c r="GD47" s="826"/>
      <c r="GE47" s="826"/>
      <c r="GF47" s="826"/>
      <c r="GG47" s="826"/>
      <c r="GH47" s="826"/>
      <c r="GI47" s="826"/>
      <c r="GJ47" s="826"/>
      <c r="GK47" s="826"/>
      <c r="GL47" s="826"/>
      <c r="GM47" s="826"/>
      <c r="GN47" s="826"/>
      <c r="GO47" s="826"/>
      <c r="GP47" s="826"/>
      <c r="GQ47" s="826"/>
      <c r="GR47" s="826"/>
      <c r="GS47" s="826"/>
      <c r="GT47" s="826"/>
      <c r="GU47" s="826"/>
      <c r="GV47" s="826"/>
      <c r="GW47" s="826"/>
      <c r="GX47" s="826"/>
      <c r="GY47" s="826"/>
      <c r="GZ47" s="826"/>
      <c r="HA47" s="826"/>
      <c r="HB47" s="826"/>
      <c r="HC47" s="826"/>
      <c r="HD47" s="826"/>
      <c r="HE47" s="826"/>
      <c r="HF47" s="826"/>
      <c r="HG47" s="826"/>
      <c r="HH47" s="826"/>
      <c r="HI47" s="826"/>
    </row>
    <row r="48" spans="1:217" s="827" customFormat="1" ht="56.25" customHeight="1">
      <c r="A48" s="96">
        <v>50</v>
      </c>
      <c r="B48" s="840" t="s">
        <v>10075</v>
      </c>
      <c r="C48" s="142">
        <v>71374330</v>
      </c>
      <c r="D48" s="424" t="s">
        <v>1226</v>
      </c>
      <c r="E48" s="143"/>
      <c r="F48" s="146"/>
      <c r="G48" s="145"/>
      <c r="H48" s="148"/>
      <c r="I48" s="175"/>
      <c r="J48" s="173"/>
      <c r="K48" s="146"/>
      <c r="L48" s="174"/>
      <c r="M48" s="175"/>
      <c r="N48" s="175"/>
      <c r="O48" s="173"/>
      <c r="P48" s="146"/>
      <c r="Q48" s="174"/>
      <c r="R48" s="175"/>
      <c r="S48" s="175"/>
      <c r="T48" s="173"/>
      <c r="U48" s="146"/>
      <c r="V48" s="174"/>
      <c r="W48" s="175"/>
      <c r="X48" s="175"/>
      <c r="Y48" s="173"/>
      <c r="Z48" s="146"/>
      <c r="AA48" s="174"/>
      <c r="AB48" s="175"/>
      <c r="AC48" s="175"/>
      <c r="AD48" s="173"/>
      <c r="AE48" s="146"/>
      <c r="AF48" s="174"/>
      <c r="AG48" s="175"/>
      <c r="AH48" s="175"/>
      <c r="AI48" s="175"/>
      <c r="AJ48" s="146"/>
      <c r="AK48" s="174"/>
      <c r="AL48" s="175"/>
      <c r="AM48" s="175"/>
      <c r="AN48" s="195"/>
      <c r="AO48" s="195"/>
      <c r="AP48" s="22" t="s">
        <v>10076</v>
      </c>
      <c r="AQ48" s="175"/>
      <c r="AR48" s="173"/>
      <c r="AS48" s="173"/>
      <c r="AT48" s="175"/>
      <c r="AU48" s="175"/>
      <c r="AV48" s="126" t="s">
        <v>10077</v>
      </c>
      <c r="AW48" s="126" t="s">
        <v>10078</v>
      </c>
      <c r="AX48" s="839"/>
      <c r="AY48" s="173"/>
      <c r="AZ48" s="171"/>
      <c r="BA48" s="148"/>
      <c r="BB48" s="148"/>
      <c r="BC48" s="175"/>
      <c r="BD48" s="174"/>
      <c r="BE48" s="174"/>
      <c r="BF48" s="174"/>
      <c r="BG48" s="174"/>
      <c r="BH48" s="176"/>
      <c r="BI48" s="176"/>
      <c r="BJ48" s="177"/>
      <c r="BK48" s="173"/>
      <c r="BL48" s="146"/>
      <c r="BM48" s="838"/>
      <c r="BN48" s="175"/>
      <c r="BO48" s="174"/>
      <c r="BP48" s="174"/>
      <c r="BQ48" s="174"/>
      <c r="BR48" s="179"/>
      <c r="BS48" s="174"/>
      <c r="BT48" s="173"/>
      <c r="BU48" s="146"/>
      <c r="BV48" s="826"/>
      <c r="BW48" s="826"/>
      <c r="BX48" s="826"/>
      <c r="BY48" s="826"/>
      <c r="BZ48" s="826"/>
      <c r="CA48" s="826"/>
      <c r="CB48" s="826"/>
      <c r="CC48" s="826"/>
      <c r="CD48" s="826"/>
      <c r="CE48" s="826"/>
      <c r="CF48" s="826"/>
      <c r="CG48" s="826"/>
      <c r="CH48" s="826"/>
      <c r="CI48" s="826"/>
      <c r="CJ48" s="826"/>
      <c r="CK48" s="826"/>
      <c r="CL48" s="826"/>
      <c r="CM48" s="826"/>
      <c r="CN48" s="826"/>
      <c r="CO48" s="826"/>
      <c r="CP48" s="826"/>
      <c r="CQ48" s="826"/>
      <c r="CR48" s="826"/>
      <c r="CS48" s="826"/>
      <c r="CT48" s="826"/>
      <c r="CU48" s="826"/>
      <c r="CV48" s="826"/>
      <c r="CW48" s="826"/>
      <c r="CX48" s="826"/>
      <c r="CY48" s="826"/>
      <c r="CZ48" s="826"/>
      <c r="DA48" s="826"/>
      <c r="DB48" s="826"/>
      <c r="DC48" s="826"/>
      <c r="DD48" s="826"/>
      <c r="DE48" s="826"/>
      <c r="DF48" s="826"/>
      <c r="DG48" s="826"/>
      <c r="DH48" s="826"/>
      <c r="DI48" s="826"/>
      <c r="DJ48" s="826"/>
      <c r="DK48" s="826"/>
      <c r="DL48" s="826"/>
      <c r="DM48" s="826"/>
      <c r="DN48" s="826"/>
      <c r="DO48" s="826"/>
      <c r="DP48" s="826"/>
      <c r="DQ48" s="826"/>
      <c r="DR48" s="826"/>
      <c r="DS48" s="826"/>
      <c r="DT48" s="826"/>
      <c r="DU48" s="826"/>
      <c r="DV48" s="826"/>
      <c r="DW48" s="826"/>
      <c r="DX48" s="826"/>
      <c r="DY48" s="826"/>
      <c r="DZ48" s="826"/>
      <c r="EA48" s="826"/>
      <c r="EB48" s="826"/>
      <c r="EC48" s="826"/>
      <c r="ED48" s="826"/>
      <c r="EE48" s="826"/>
      <c r="EF48" s="826"/>
      <c r="EG48" s="826"/>
      <c r="EH48" s="826"/>
      <c r="EI48" s="826"/>
      <c r="EJ48" s="826"/>
      <c r="EK48" s="826"/>
      <c r="EL48" s="826"/>
      <c r="EM48" s="826"/>
      <c r="EN48" s="826"/>
      <c r="EO48" s="826"/>
      <c r="EP48" s="826"/>
      <c r="EQ48" s="826"/>
      <c r="ER48" s="826"/>
      <c r="ES48" s="826"/>
      <c r="ET48" s="826"/>
      <c r="EU48" s="826"/>
      <c r="EV48" s="826"/>
      <c r="EW48" s="826"/>
      <c r="EX48" s="826"/>
      <c r="EY48" s="826"/>
      <c r="EZ48" s="826"/>
      <c r="FA48" s="826"/>
      <c r="FB48" s="826"/>
      <c r="FC48" s="826"/>
      <c r="FD48" s="826"/>
      <c r="FE48" s="826"/>
      <c r="FF48" s="826"/>
      <c r="FG48" s="826"/>
      <c r="FH48" s="826"/>
      <c r="FI48" s="826"/>
      <c r="FJ48" s="826"/>
      <c r="FK48" s="826"/>
      <c r="FL48" s="826"/>
      <c r="FM48" s="826"/>
      <c r="FN48" s="826"/>
      <c r="FO48" s="826"/>
      <c r="FP48" s="826"/>
      <c r="FQ48" s="826"/>
      <c r="FR48" s="826"/>
      <c r="FS48" s="826"/>
      <c r="FT48" s="826"/>
      <c r="FU48" s="826"/>
      <c r="FV48" s="826"/>
      <c r="FW48" s="826"/>
      <c r="FX48" s="826"/>
      <c r="FY48" s="826"/>
      <c r="FZ48" s="826"/>
      <c r="GA48" s="826"/>
      <c r="GB48" s="826"/>
      <c r="GC48" s="826"/>
      <c r="GD48" s="826"/>
      <c r="GE48" s="826"/>
      <c r="GF48" s="826"/>
      <c r="GG48" s="826"/>
      <c r="GH48" s="826"/>
      <c r="GI48" s="826"/>
      <c r="GJ48" s="826"/>
      <c r="GK48" s="826"/>
      <c r="GL48" s="826"/>
      <c r="GM48" s="826"/>
      <c r="GN48" s="826"/>
      <c r="GO48" s="826"/>
      <c r="GP48" s="826"/>
      <c r="GQ48" s="826"/>
      <c r="GR48" s="826"/>
      <c r="GS48" s="826"/>
      <c r="GT48" s="826"/>
      <c r="GU48" s="826"/>
      <c r="GV48" s="826"/>
      <c r="GW48" s="826"/>
      <c r="GX48" s="826"/>
      <c r="GY48" s="826"/>
      <c r="GZ48" s="826"/>
      <c r="HA48" s="826"/>
      <c r="HB48" s="826"/>
      <c r="HC48" s="826"/>
      <c r="HD48" s="826"/>
      <c r="HE48" s="826"/>
      <c r="HF48" s="826"/>
      <c r="HG48" s="826"/>
      <c r="HH48" s="826"/>
      <c r="HI48" s="826"/>
    </row>
    <row r="49" spans="1:217" s="827" customFormat="1" ht="56.25" customHeight="1">
      <c r="A49" s="96">
        <v>53</v>
      </c>
      <c r="B49" s="840" t="s">
        <v>10079</v>
      </c>
      <c r="C49" s="142">
        <v>86007567</v>
      </c>
      <c r="D49" s="424" t="s">
        <v>6470</v>
      </c>
      <c r="E49" s="143"/>
      <c r="F49" s="146"/>
      <c r="G49" s="145"/>
      <c r="H49" s="148"/>
      <c r="I49" s="175"/>
      <c r="J49" s="173"/>
      <c r="K49" s="146"/>
      <c r="L49" s="174"/>
      <c r="M49" s="175"/>
      <c r="N49" s="175"/>
      <c r="O49" s="173"/>
      <c r="P49" s="146"/>
      <c r="Q49" s="174"/>
      <c r="R49" s="175"/>
      <c r="S49" s="175"/>
      <c r="T49" s="173"/>
      <c r="U49" s="146"/>
      <c r="V49" s="174"/>
      <c r="W49" s="175"/>
      <c r="X49" s="175"/>
      <c r="Y49" s="173"/>
      <c r="Z49" s="146"/>
      <c r="AA49" s="174"/>
      <c r="AB49" s="175"/>
      <c r="AC49" s="175"/>
      <c r="AD49" s="173"/>
      <c r="AE49" s="146"/>
      <c r="AF49" s="174"/>
      <c r="AG49" s="175"/>
      <c r="AH49" s="175"/>
      <c r="AI49" s="175"/>
      <c r="AJ49" s="146"/>
      <c r="AK49" s="174"/>
      <c r="AL49" s="175"/>
      <c r="AM49" s="175"/>
      <c r="AN49" s="195"/>
      <c r="AO49" s="195"/>
      <c r="AP49" s="22" t="s">
        <v>10080</v>
      </c>
      <c r="AQ49" s="175"/>
      <c r="AR49" s="173"/>
      <c r="AS49" s="173"/>
      <c r="AT49" s="175"/>
      <c r="AU49" s="175"/>
      <c r="AV49" s="126" t="s">
        <v>10081</v>
      </c>
      <c r="AW49" s="126"/>
      <c r="AX49" s="839"/>
      <c r="AY49" s="173"/>
      <c r="AZ49" s="171"/>
      <c r="BA49" s="148"/>
      <c r="BB49" s="148"/>
      <c r="BC49" s="175"/>
      <c r="BD49" s="174"/>
      <c r="BE49" s="174"/>
      <c r="BF49" s="174"/>
      <c r="BG49" s="174"/>
      <c r="BH49" s="176"/>
      <c r="BI49" s="176"/>
      <c r="BJ49" s="177"/>
      <c r="BK49" s="173"/>
      <c r="BL49" s="146"/>
      <c r="BM49" s="838"/>
      <c r="BN49" s="175"/>
      <c r="BO49" s="174"/>
      <c r="BP49" s="174"/>
      <c r="BQ49" s="174"/>
      <c r="BR49" s="179"/>
      <c r="BS49" s="174"/>
      <c r="BT49" s="173"/>
      <c r="BU49" s="146"/>
      <c r="BV49" s="826"/>
      <c r="BW49" s="826"/>
      <c r="BX49" s="826"/>
      <c r="BY49" s="826"/>
      <c r="BZ49" s="826"/>
      <c r="CA49" s="826"/>
      <c r="CB49" s="826"/>
      <c r="CC49" s="826"/>
      <c r="CD49" s="826"/>
      <c r="CE49" s="826"/>
      <c r="CF49" s="826"/>
      <c r="CG49" s="826"/>
      <c r="CH49" s="826"/>
      <c r="CI49" s="826"/>
      <c r="CJ49" s="826"/>
      <c r="CK49" s="826"/>
      <c r="CL49" s="826"/>
      <c r="CM49" s="826"/>
      <c r="CN49" s="826"/>
      <c r="CO49" s="826"/>
      <c r="CP49" s="826"/>
      <c r="CQ49" s="826"/>
      <c r="CR49" s="826"/>
      <c r="CS49" s="826"/>
      <c r="CT49" s="826"/>
      <c r="CU49" s="826"/>
      <c r="CV49" s="826"/>
      <c r="CW49" s="826"/>
      <c r="CX49" s="826"/>
      <c r="CY49" s="826"/>
      <c r="CZ49" s="826"/>
      <c r="DA49" s="826"/>
      <c r="DB49" s="826"/>
      <c r="DC49" s="826"/>
      <c r="DD49" s="826"/>
      <c r="DE49" s="826"/>
      <c r="DF49" s="826"/>
      <c r="DG49" s="826"/>
      <c r="DH49" s="826"/>
      <c r="DI49" s="826"/>
      <c r="DJ49" s="826"/>
      <c r="DK49" s="826"/>
      <c r="DL49" s="826"/>
      <c r="DM49" s="826"/>
      <c r="DN49" s="826"/>
      <c r="DO49" s="826"/>
      <c r="DP49" s="826"/>
      <c r="DQ49" s="826"/>
      <c r="DR49" s="826"/>
      <c r="DS49" s="826"/>
      <c r="DT49" s="826"/>
      <c r="DU49" s="826"/>
      <c r="DV49" s="826"/>
      <c r="DW49" s="826"/>
      <c r="DX49" s="826"/>
      <c r="DY49" s="826"/>
      <c r="DZ49" s="826"/>
      <c r="EA49" s="826"/>
      <c r="EB49" s="826"/>
      <c r="EC49" s="826"/>
      <c r="ED49" s="826"/>
      <c r="EE49" s="826"/>
      <c r="EF49" s="826"/>
      <c r="EG49" s="826"/>
      <c r="EH49" s="826"/>
      <c r="EI49" s="826"/>
      <c r="EJ49" s="826"/>
      <c r="EK49" s="826"/>
      <c r="EL49" s="826"/>
      <c r="EM49" s="826"/>
      <c r="EN49" s="826"/>
      <c r="EO49" s="826"/>
      <c r="EP49" s="826"/>
      <c r="EQ49" s="826"/>
      <c r="ER49" s="826"/>
      <c r="ES49" s="826"/>
      <c r="ET49" s="826"/>
      <c r="EU49" s="826"/>
      <c r="EV49" s="826"/>
      <c r="EW49" s="826"/>
      <c r="EX49" s="826"/>
      <c r="EY49" s="826"/>
      <c r="EZ49" s="826"/>
      <c r="FA49" s="826"/>
      <c r="FB49" s="826"/>
      <c r="FC49" s="826"/>
      <c r="FD49" s="826"/>
      <c r="FE49" s="826"/>
      <c r="FF49" s="826"/>
      <c r="FG49" s="826"/>
      <c r="FH49" s="826"/>
      <c r="FI49" s="826"/>
      <c r="FJ49" s="826"/>
      <c r="FK49" s="826"/>
      <c r="FL49" s="826"/>
      <c r="FM49" s="826"/>
      <c r="FN49" s="826"/>
      <c r="FO49" s="826"/>
      <c r="FP49" s="826"/>
      <c r="FQ49" s="826"/>
      <c r="FR49" s="826"/>
      <c r="FS49" s="826"/>
      <c r="FT49" s="826"/>
      <c r="FU49" s="826"/>
      <c r="FV49" s="826"/>
      <c r="FW49" s="826"/>
      <c r="FX49" s="826"/>
      <c r="FY49" s="826"/>
      <c r="FZ49" s="826"/>
      <c r="GA49" s="826"/>
      <c r="GB49" s="826"/>
      <c r="GC49" s="826"/>
      <c r="GD49" s="826"/>
      <c r="GE49" s="826"/>
      <c r="GF49" s="826"/>
      <c r="GG49" s="826"/>
      <c r="GH49" s="826"/>
      <c r="GI49" s="826"/>
      <c r="GJ49" s="826"/>
      <c r="GK49" s="826"/>
      <c r="GL49" s="826"/>
      <c r="GM49" s="826"/>
      <c r="GN49" s="826"/>
      <c r="GO49" s="826"/>
      <c r="GP49" s="826"/>
      <c r="GQ49" s="826"/>
      <c r="GR49" s="826"/>
      <c r="GS49" s="826"/>
      <c r="GT49" s="826"/>
      <c r="GU49" s="826"/>
      <c r="GV49" s="826"/>
      <c r="GW49" s="826"/>
      <c r="GX49" s="826"/>
      <c r="GY49" s="826"/>
      <c r="GZ49" s="826"/>
      <c r="HA49" s="826"/>
      <c r="HB49" s="826"/>
      <c r="HC49" s="826"/>
      <c r="HD49" s="826"/>
      <c r="HE49" s="826"/>
      <c r="HF49" s="826"/>
      <c r="HG49" s="826"/>
      <c r="HH49" s="826"/>
      <c r="HI49" s="826"/>
    </row>
    <row r="50" spans="1:217" s="827" customFormat="1" ht="56.25" customHeight="1">
      <c r="A50" s="96">
        <v>54</v>
      </c>
      <c r="B50" s="840" t="s">
        <v>10082</v>
      </c>
      <c r="C50" s="142">
        <v>13821698</v>
      </c>
      <c r="D50" s="424" t="s">
        <v>10083</v>
      </c>
      <c r="E50" s="143"/>
      <c r="F50" s="146"/>
      <c r="G50" s="145"/>
      <c r="H50" s="148"/>
      <c r="I50" s="175"/>
      <c r="J50" s="173"/>
      <c r="K50" s="146"/>
      <c r="L50" s="174"/>
      <c r="M50" s="175"/>
      <c r="N50" s="175"/>
      <c r="O50" s="173"/>
      <c r="P50" s="146"/>
      <c r="Q50" s="174"/>
      <c r="R50" s="175"/>
      <c r="S50" s="175"/>
      <c r="T50" s="173"/>
      <c r="U50" s="146"/>
      <c r="V50" s="174"/>
      <c r="W50" s="175"/>
      <c r="X50" s="175"/>
      <c r="Y50" s="173"/>
      <c r="Z50" s="146"/>
      <c r="AA50" s="174"/>
      <c r="AB50" s="175"/>
      <c r="AC50" s="175"/>
      <c r="AD50" s="173"/>
      <c r="AE50" s="146"/>
      <c r="AF50" s="174"/>
      <c r="AG50" s="175"/>
      <c r="AH50" s="175"/>
      <c r="AI50" s="175"/>
      <c r="AJ50" s="146"/>
      <c r="AK50" s="174"/>
      <c r="AL50" s="175"/>
      <c r="AM50" s="175"/>
      <c r="AN50" s="195"/>
      <c r="AO50" s="195"/>
      <c r="AP50" s="22" t="s">
        <v>10084</v>
      </c>
      <c r="AQ50" s="175"/>
      <c r="AR50" s="173"/>
      <c r="AS50" s="173"/>
      <c r="AT50" s="175"/>
      <c r="AU50" s="175"/>
      <c r="AV50" s="126" t="s">
        <v>10085</v>
      </c>
      <c r="AW50" s="126" t="s">
        <v>10086</v>
      </c>
      <c r="AX50" s="839"/>
      <c r="AY50" s="173"/>
      <c r="AZ50" s="171"/>
      <c r="BA50" s="148"/>
      <c r="BB50" s="148"/>
      <c r="BC50" s="175"/>
      <c r="BD50" s="174"/>
      <c r="BE50" s="174"/>
      <c r="BF50" s="174"/>
      <c r="BG50" s="174"/>
      <c r="BH50" s="176"/>
      <c r="BI50" s="176"/>
      <c r="BJ50" s="177"/>
      <c r="BK50" s="173"/>
      <c r="BL50" s="146"/>
      <c r="BM50" s="838"/>
      <c r="BN50" s="175"/>
      <c r="BO50" s="174"/>
      <c r="BP50" s="174"/>
      <c r="BQ50" s="174"/>
      <c r="BR50" s="179"/>
      <c r="BS50" s="174"/>
      <c r="BT50" s="173"/>
      <c r="BU50" s="146"/>
      <c r="BV50" s="826"/>
      <c r="BW50" s="826"/>
      <c r="BX50" s="826"/>
      <c r="BY50" s="826"/>
      <c r="BZ50" s="826"/>
      <c r="CA50" s="826"/>
      <c r="CB50" s="826"/>
      <c r="CC50" s="826"/>
      <c r="CD50" s="826"/>
      <c r="CE50" s="826"/>
      <c r="CF50" s="826"/>
      <c r="CG50" s="826"/>
      <c r="CH50" s="826"/>
      <c r="CI50" s="826"/>
      <c r="CJ50" s="826"/>
      <c r="CK50" s="826"/>
      <c r="CL50" s="826"/>
      <c r="CM50" s="826"/>
      <c r="CN50" s="826"/>
      <c r="CO50" s="826"/>
      <c r="CP50" s="826"/>
      <c r="CQ50" s="826"/>
      <c r="CR50" s="826"/>
      <c r="CS50" s="826"/>
      <c r="CT50" s="826"/>
      <c r="CU50" s="826"/>
      <c r="CV50" s="826"/>
      <c r="CW50" s="826"/>
      <c r="CX50" s="826"/>
      <c r="CY50" s="826"/>
      <c r="CZ50" s="826"/>
      <c r="DA50" s="826"/>
      <c r="DB50" s="826"/>
      <c r="DC50" s="826"/>
      <c r="DD50" s="826"/>
      <c r="DE50" s="826"/>
      <c r="DF50" s="826"/>
      <c r="DG50" s="826"/>
      <c r="DH50" s="826"/>
      <c r="DI50" s="826"/>
      <c r="DJ50" s="826"/>
      <c r="DK50" s="826"/>
      <c r="DL50" s="826"/>
      <c r="DM50" s="826"/>
      <c r="DN50" s="826"/>
      <c r="DO50" s="826"/>
      <c r="DP50" s="826"/>
      <c r="DQ50" s="826"/>
      <c r="DR50" s="826"/>
      <c r="DS50" s="826"/>
      <c r="DT50" s="826"/>
      <c r="DU50" s="826"/>
      <c r="DV50" s="826"/>
      <c r="DW50" s="826"/>
      <c r="DX50" s="826"/>
      <c r="DY50" s="826"/>
      <c r="DZ50" s="826"/>
      <c r="EA50" s="826"/>
      <c r="EB50" s="826"/>
      <c r="EC50" s="826"/>
      <c r="ED50" s="826"/>
      <c r="EE50" s="826"/>
      <c r="EF50" s="826"/>
      <c r="EG50" s="826"/>
      <c r="EH50" s="826"/>
      <c r="EI50" s="826"/>
      <c r="EJ50" s="826"/>
      <c r="EK50" s="826"/>
      <c r="EL50" s="826"/>
      <c r="EM50" s="826"/>
      <c r="EN50" s="826"/>
      <c r="EO50" s="826"/>
      <c r="EP50" s="826"/>
      <c r="EQ50" s="826"/>
      <c r="ER50" s="826"/>
      <c r="ES50" s="826"/>
      <c r="ET50" s="826"/>
      <c r="EU50" s="826"/>
      <c r="EV50" s="826"/>
      <c r="EW50" s="826"/>
      <c r="EX50" s="826"/>
      <c r="EY50" s="826"/>
      <c r="EZ50" s="826"/>
      <c r="FA50" s="826"/>
      <c r="FB50" s="826"/>
      <c r="FC50" s="826"/>
      <c r="FD50" s="826"/>
      <c r="FE50" s="826"/>
      <c r="FF50" s="826"/>
      <c r="FG50" s="826"/>
      <c r="FH50" s="826"/>
      <c r="FI50" s="826"/>
      <c r="FJ50" s="826"/>
      <c r="FK50" s="826"/>
      <c r="FL50" s="826"/>
      <c r="FM50" s="826"/>
      <c r="FN50" s="826"/>
      <c r="FO50" s="826"/>
      <c r="FP50" s="826"/>
      <c r="FQ50" s="826"/>
      <c r="FR50" s="826"/>
      <c r="FS50" s="826"/>
      <c r="FT50" s="826"/>
      <c r="FU50" s="826"/>
      <c r="FV50" s="826"/>
      <c r="FW50" s="826"/>
      <c r="FX50" s="826"/>
      <c r="FY50" s="826"/>
      <c r="FZ50" s="826"/>
      <c r="GA50" s="826"/>
      <c r="GB50" s="826"/>
      <c r="GC50" s="826"/>
      <c r="GD50" s="826"/>
      <c r="GE50" s="826"/>
      <c r="GF50" s="826"/>
      <c r="GG50" s="826"/>
      <c r="GH50" s="826"/>
      <c r="GI50" s="826"/>
      <c r="GJ50" s="826"/>
      <c r="GK50" s="826"/>
      <c r="GL50" s="826"/>
      <c r="GM50" s="826"/>
      <c r="GN50" s="826"/>
      <c r="GO50" s="826"/>
      <c r="GP50" s="826"/>
      <c r="GQ50" s="826"/>
      <c r="GR50" s="826"/>
      <c r="GS50" s="826"/>
      <c r="GT50" s="826"/>
      <c r="GU50" s="826"/>
      <c r="GV50" s="826"/>
      <c r="GW50" s="826"/>
      <c r="GX50" s="826"/>
      <c r="GY50" s="826"/>
      <c r="GZ50" s="826"/>
      <c r="HA50" s="826"/>
      <c r="HB50" s="826"/>
      <c r="HC50" s="826"/>
      <c r="HD50" s="826"/>
      <c r="HE50" s="826"/>
      <c r="HF50" s="826"/>
      <c r="HG50" s="826"/>
      <c r="HH50" s="826"/>
      <c r="HI50" s="826"/>
    </row>
    <row r="51" spans="1:217" s="827" customFormat="1" ht="56.25" customHeight="1">
      <c r="A51" s="96">
        <v>55</v>
      </c>
      <c r="B51" s="840" t="s">
        <v>10087</v>
      </c>
      <c r="C51" s="142">
        <v>14575917</v>
      </c>
      <c r="D51" s="424" t="s">
        <v>10088</v>
      </c>
      <c r="E51" s="143"/>
      <c r="F51" s="146"/>
      <c r="G51" s="145"/>
      <c r="H51" s="148"/>
      <c r="I51" s="175"/>
      <c r="J51" s="173"/>
      <c r="K51" s="146"/>
      <c r="L51" s="174"/>
      <c r="M51" s="175"/>
      <c r="N51" s="175"/>
      <c r="O51" s="173"/>
      <c r="P51" s="146"/>
      <c r="Q51" s="174"/>
      <c r="R51" s="175"/>
      <c r="S51" s="175"/>
      <c r="T51" s="173"/>
      <c r="U51" s="146"/>
      <c r="V51" s="174"/>
      <c r="W51" s="175"/>
      <c r="X51" s="175"/>
      <c r="Y51" s="173"/>
      <c r="Z51" s="146"/>
      <c r="AA51" s="174"/>
      <c r="AB51" s="175"/>
      <c r="AC51" s="175"/>
      <c r="AD51" s="173"/>
      <c r="AE51" s="146"/>
      <c r="AF51" s="174"/>
      <c r="AG51" s="175"/>
      <c r="AH51" s="175"/>
      <c r="AI51" s="175"/>
      <c r="AJ51" s="146"/>
      <c r="AK51" s="174"/>
      <c r="AL51" s="175"/>
      <c r="AM51" s="175"/>
      <c r="AN51" s="195"/>
      <c r="AO51" s="195"/>
      <c r="AP51" s="22" t="s">
        <v>10089</v>
      </c>
      <c r="AQ51" s="175"/>
      <c r="AR51" s="173"/>
      <c r="AS51" s="173"/>
      <c r="AT51" s="175"/>
      <c r="AU51" s="175"/>
      <c r="AV51" s="126" t="s">
        <v>10090</v>
      </c>
      <c r="AW51" s="126" t="s">
        <v>10091</v>
      </c>
      <c r="AX51" s="839"/>
      <c r="AY51" s="173"/>
      <c r="AZ51" s="171"/>
      <c r="BA51" s="148"/>
      <c r="BB51" s="148"/>
      <c r="BC51" s="175"/>
      <c r="BD51" s="174"/>
      <c r="BE51" s="174"/>
      <c r="BF51" s="174"/>
      <c r="BG51" s="174"/>
      <c r="BH51" s="176"/>
      <c r="BI51" s="176"/>
      <c r="BJ51" s="177"/>
      <c r="BK51" s="173"/>
      <c r="BL51" s="146"/>
      <c r="BM51" s="838"/>
      <c r="BN51" s="175"/>
      <c r="BO51" s="174"/>
      <c r="BP51" s="174"/>
      <c r="BQ51" s="174"/>
      <c r="BR51" s="179"/>
      <c r="BS51" s="174"/>
      <c r="BT51" s="173"/>
      <c r="BU51" s="146"/>
      <c r="BV51" s="826"/>
      <c r="BW51" s="826"/>
      <c r="BX51" s="826"/>
      <c r="BY51" s="826"/>
      <c r="BZ51" s="826"/>
      <c r="CA51" s="826"/>
      <c r="CB51" s="826"/>
      <c r="CC51" s="826"/>
      <c r="CD51" s="826"/>
      <c r="CE51" s="826"/>
      <c r="CF51" s="826"/>
      <c r="CG51" s="826"/>
      <c r="CH51" s="826"/>
      <c r="CI51" s="826"/>
      <c r="CJ51" s="826"/>
      <c r="CK51" s="826"/>
      <c r="CL51" s="826"/>
      <c r="CM51" s="826"/>
      <c r="CN51" s="826"/>
      <c r="CO51" s="826"/>
      <c r="CP51" s="826"/>
      <c r="CQ51" s="826"/>
      <c r="CR51" s="826"/>
      <c r="CS51" s="826"/>
      <c r="CT51" s="826"/>
      <c r="CU51" s="826"/>
      <c r="CV51" s="826"/>
      <c r="CW51" s="826"/>
      <c r="CX51" s="826"/>
      <c r="CY51" s="826"/>
      <c r="CZ51" s="826"/>
      <c r="DA51" s="826"/>
      <c r="DB51" s="826"/>
      <c r="DC51" s="826"/>
      <c r="DD51" s="826"/>
      <c r="DE51" s="826"/>
      <c r="DF51" s="826"/>
      <c r="DG51" s="826"/>
      <c r="DH51" s="826"/>
      <c r="DI51" s="826"/>
      <c r="DJ51" s="826"/>
      <c r="DK51" s="826"/>
      <c r="DL51" s="826"/>
      <c r="DM51" s="826"/>
      <c r="DN51" s="826"/>
      <c r="DO51" s="826"/>
      <c r="DP51" s="826"/>
      <c r="DQ51" s="826"/>
      <c r="DR51" s="826"/>
      <c r="DS51" s="826"/>
      <c r="DT51" s="826"/>
      <c r="DU51" s="826"/>
      <c r="DV51" s="826"/>
      <c r="DW51" s="826"/>
      <c r="DX51" s="826"/>
      <c r="DY51" s="826"/>
      <c r="DZ51" s="826"/>
      <c r="EA51" s="826"/>
      <c r="EB51" s="826"/>
      <c r="EC51" s="826"/>
      <c r="ED51" s="826"/>
      <c r="EE51" s="826"/>
      <c r="EF51" s="826"/>
      <c r="EG51" s="826"/>
      <c r="EH51" s="826"/>
      <c r="EI51" s="826"/>
      <c r="EJ51" s="826"/>
      <c r="EK51" s="826"/>
      <c r="EL51" s="826"/>
      <c r="EM51" s="826"/>
      <c r="EN51" s="826"/>
      <c r="EO51" s="826"/>
      <c r="EP51" s="826"/>
      <c r="EQ51" s="826"/>
      <c r="ER51" s="826"/>
      <c r="ES51" s="826"/>
      <c r="ET51" s="826"/>
      <c r="EU51" s="826"/>
      <c r="EV51" s="826"/>
      <c r="EW51" s="826"/>
      <c r="EX51" s="826"/>
      <c r="EY51" s="826"/>
      <c r="EZ51" s="826"/>
      <c r="FA51" s="826"/>
      <c r="FB51" s="826"/>
      <c r="FC51" s="826"/>
      <c r="FD51" s="826"/>
      <c r="FE51" s="826"/>
      <c r="FF51" s="826"/>
      <c r="FG51" s="826"/>
      <c r="FH51" s="826"/>
      <c r="FI51" s="826"/>
      <c r="FJ51" s="826"/>
      <c r="FK51" s="826"/>
      <c r="FL51" s="826"/>
      <c r="FM51" s="826"/>
      <c r="FN51" s="826"/>
      <c r="FO51" s="826"/>
      <c r="FP51" s="826"/>
      <c r="FQ51" s="826"/>
      <c r="FR51" s="826"/>
      <c r="FS51" s="826"/>
      <c r="FT51" s="826"/>
      <c r="FU51" s="826"/>
      <c r="FV51" s="826"/>
      <c r="FW51" s="826"/>
      <c r="FX51" s="826"/>
      <c r="FY51" s="826"/>
      <c r="FZ51" s="826"/>
      <c r="GA51" s="826"/>
      <c r="GB51" s="826"/>
      <c r="GC51" s="826"/>
      <c r="GD51" s="826"/>
      <c r="GE51" s="826"/>
      <c r="GF51" s="826"/>
      <c r="GG51" s="826"/>
      <c r="GH51" s="826"/>
      <c r="GI51" s="826"/>
      <c r="GJ51" s="826"/>
      <c r="GK51" s="826"/>
      <c r="GL51" s="826"/>
      <c r="GM51" s="826"/>
      <c r="GN51" s="826"/>
      <c r="GO51" s="826"/>
      <c r="GP51" s="826"/>
      <c r="GQ51" s="826"/>
      <c r="GR51" s="826"/>
      <c r="GS51" s="826"/>
      <c r="GT51" s="826"/>
      <c r="GU51" s="826"/>
      <c r="GV51" s="826"/>
      <c r="GW51" s="826"/>
      <c r="GX51" s="826"/>
      <c r="GY51" s="826"/>
      <c r="GZ51" s="826"/>
      <c r="HA51" s="826"/>
      <c r="HB51" s="826"/>
      <c r="HC51" s="826"/>
      <c r="HD51" s="826"/>
      <c r="HE51" s="826"/>
      <c r="HF51" s="826"/>
      <c r="HG51" s="826"/>
      <c r="HH51" s="826"/>
      <c r="HI51" s="826"/>
    </row>
    <row r="52" spans="1:217" s="827" customFormat="1" ht="56.25" customHeight="1">
      <c r="A52" s="96">
        <v>57</v>
      </c>
      <c r="B52" s="840" t="s">
        <v>8289</v>
      </c>
      <c r="C52" s="142">
        <v>79987569</v>
      </c>
      <c r="D52" s="424" t="s">
        <v>10023</v>
      </c>
      <c r="E52" s="143"/>
      <c r="F52" s="146"/>
      <c r="G52" s="145"/>
      <c r="H52" s="148"/>
      <c r="I52" s="175"/>
      <c r="J52" s="173"/>
      <c r="K52" s="146"/>
      <c r="L52" s="174"/>
      <c r="M52" s="175"/>
      <c r="N52" s="175"/>
      <c r="O52" s="173"/>
      <c r="P52" s="146"/>
      <c r="Q52" s="174"/>
      <c r="R52" s="175"/>
      <c r="S52" s="175"/>
      <c r="T52" s="173"/>
      <c r="U52" s="146"/>
      <c r="V52" s="174"/>
      <c r="W52" s="175"/>
      <c r="X52" s="175"/>
      <c r="Y52" s="173"/>
      <c r="Z52" s="146"/>
      <c r="AA52" s="174"/>
      <c r="AB52" s="175"/>
      <c r="AC52" s="175"/>
      <c r="AD52" s="173"/>
      <c r="AE52" s="146"/>
      <c r="AF52" s="174"/>
      <c r="AG52" s="175"/>
      <c r="AH52" s="175"/>
      <c r="AI52" s="175"/>
      <c r="AJ52" s="146"/>
      <c r="AK52" s="174"/>
      <c r="AL52" s="175"/>
      <c r="AM52" s="175"/>
      <c r="AN52" s="195"/>
      <c r="AO52" s="195"/>
      <c r="AP52" s="22" t="s">
        <v>10092</v>
      </c>
      <c r="AQ52" s="175"/>
      <c r="AR52" s="173"/>
      <c r="AS52" s="173"/>
      <c r="AT52" s="175"/>
      <c r="AU52" s="175"/>
      <c r="AV52" s="126" t="s">
        <v>10093</v>
      </c>
      <c r="AW52" s="126" t="s">
        <v>10094</v>
      </c>
      <c r="AX52" s="839"/>
      <c r="AY52" s="173"/>
      <c r="AZ52" s="171"/>
      <c r="BA52" s="148"/>
      <c r="BB52" s="148"/>
      <c r="BC52" s="175"/>
      <c r="BD52" s="174"/>
      <c r="BE52" s="174"/>
      <c r="BF52" s="174"/>
      <c r="BG52" s="174"/>
      <c r="BH52" s="176"/>
      <c r="BI52" s="176"/>
      <c r="BJ52" s="177"/>
      <c r="BK52" s="173"/>
      <c r="BL52" s="146"/>
      <c r="BM52" s="838"/>
      <c r="BN52" s="175"/>
      <c r="BO52" s="174"/>
      <c r="BP52" s="174"/>
      <c r="BQ52" s="174"/>
      <c r="BR52" s="179"/>
      <c r="BS52" s="174"/>
      <c r="BT52" s="173"/>
      <c r="BU52" s="146"/>
      <c r="BV52" s="826"/>
      <c r="BW52" s="826"/>
      <c r="BX52" s="826"/>
      <c r="BY52" s="826"/>
      <c r="BZ52" s="826"/>
      <c r="CA52" s="826"/>
      <c r="CB52" s="826"/>
      <c r="CC52" s="826"/>
      <c r="CD52" s="826"/>
      <c r="CE52" s="826"/>
      <c r="CF52" s="826"/>
      <c r="CG52" s="826"/>
      <c r="CH52" s="826"/>
      <c r="CI52" s="826"/>
      <c r="CJ52" s="826"/>
      <c r="CK52" s="826"/>
      <c r="CL52" s="826"/>
      <c r="CM52" s="826"/>
      <c r="CN52" s="826"/>
      <c r="CO52" s="826"/>
      <c r="CP52" s="826"/>
      <c r="CQ52" s="826"/>
      <c r="CR52" s="826"/>
      <c r="CS52" s="826"/>
      <c r="CT52" s="826"/>
      <c r="CU52" s="826"/>
      <c r="CV52" s="826"/>
      <c r="CW52" s="826"/>
      <c r="CX52" s="826"/>
      <c r="CY52" s="826"/>
      <c r="CZ52" s="826"/>
      <c r="DA52" s="826"/>
      <c r="DB52" s="826"/>
      <c r="DC52" s="826"/>
      <c r="DD52" s="826"/>
      <c r="DE52" s="826"/>
      <c r="DF52" s="826"/>
      <c r="DG52" s="826"/>
      <c r="DH52" s="826"/>
      <c r="DI52" s="826"/>
      <c r="DJ52" s="826"/>
      <c r="DK52" s="826"/>
      <c r="DL52" s="826"/>
      <c r="DM52" s="826"/>
      <c r="DN52" s="826"/>
      <c r="DO52" s="826"/>
      <c r="DP52" s="826"/>
      <c r="DQ52" s="826"/>
      <c r="DR52" s="826"/>
      <c r="DS52" s="826"/>
      <c r="DT52" s="826"/>
      <c r="DU52" s="826"/>
      <c r="DV52" s="826"/>
      <c r="DW52" s="826"/>
      <c r="DX52" s="826"/>
      <c r="DY52" s="826"/>
      <c r="DZ52" s="826"/>
      <c r="EA52" s="826"/>
      <c r="EB52" s="826"/>
      <c r="EC52" s="826"/>
      <c r="ED52" s="826"/>
      <c r="EE52" s="826"/>
      <c r="EF52" s="826"/>
      <c r="EG52" s="826"/>
      <c r="EH52" s="826"/>
      <c r="EI52" s="826"/>
      <c r="EJ52" s="826"/>
      <c r="EK52" s="826"/>
      <c r="EL52" s="826"/>
      <c r="EM52" s="826"/>
      <c r="EN52" s="826"/>
      <c r="EO52" s="826"/>
      <c r="EP52" s="826"/>
      <c r="EQ52" s="826"/>
      <c r="ER52" s="826"/>
      <c r="ES52" s="826"/>
      <c r="ET52" s="826"/>
      <c r="EU52" s="826"/>
      <c r="EV52" s="826"/>
      <c r="EW52" s="826"/>
      <c r="EX52" s="826"/>
      <c r="EY52" s="826"/>
      <c r="EZ52" s="826"/>
      <c r="FA52" s="826"/>
      <c r="FB52" s="826"/>
      <c r="FC52" s="826"/>
      <c r="FD52" s="826"/>
      <c r="FE52" s="826"/>
      <c r="FF52" s="826"/>
      <c r="FG52" s="826"/>
      <c r="FH52" s="826"/>
      <c r="FI52" s="826"/>
      <c r="FJ52" s="826"/>
      <c r="FK52" s="826"/>
      <c r="FL52" s="826"/>
      <c r="FM52" s="826"/>
      <c r="FN52" s="826"/>
      <c r="FO52" s="826"/>
      <c r="FP52" s="826"/>
      <c r="FQ52" s="826"/>
      <c r="FR52" s="826"/>
      <c r="FS52" s="826"/>
      <c r="FT52" s="826"/>
      <c r="FU52" s="826"/>
      <c r="FV52" s="826"/>
      <c r="FW52" s="826"/>
      <c r="FX52" s="826"/>
      <c r="FY52" s="826"/>
      <c r="FZ52" s="826"/>
      <c r="GA52" s="826"/>
      <c r="GB52" s="826"/>
      <c r="GC52" s="826"/>
      <c r="GD52" s="826"/>
      <c r="GE52" s="826"/>
      <c r="GF52" s="826"/>
      <c r="GG52" s="826"/>
      <c r="GH52" s="826"/>
      <c r="GI52" s="826"/>
      <c r="GJ52" s="826"/>
      <c r="GK52" s="826"/>
      <c r="GL52" s="826"/>
      <c r="GM52" s="826"/>
      <c r="GN52" s="826"/>
      <c r="GO52" s="826"/>
      <c r="GP52" s="826"/>
      <c r="GQ52" s="826"/>
      <c r="GR52" s="826"/>
      <c r="GS52" s="826"/>
      <c r="GT52" s="826"/>
      <c r="GU52" s="826"/>
      <c r="GV52" s="826"/>
      <c r="GW52" s="826"/>
      <c r="GX52" s="826"/>
      <c r="GY52" s="826"/>
      <c r="GZ52" s="826"/>
      <c r="HA52" s="826"/>
      <c r="HB52" s="826"/>
      <c r="HC52" s="826"/>
      <c r="HD52" s="826"/>
      <c r="HE52" s="826"/>
      <c r="HF52" s="826"/>
      <c r="HG52" s="826"/>
      <c r="HH52" s="826"/>
      <c r="HI52" s="826"/>
    </row>
    <row r="53" spans="1:217" s="827" customFormat="1" ht="56.25" customHeight="1">
      <c r="A53" s="96">
        <v>58</v>
      </c>
      <c r="B53" s="840" t="s">
        <v>10095</v>
      </c>
      <c r="C53" s="142">
        <v>78250116</v>
      </c>
      <c r="D53" s="424" t="s">
        <v>906</v>
      </c>
      <c r="E53" s="143"/>
      <c r="F53" s="146"/>
      <c r="G53" s="145"/>
      <c r="H53" s="148"/>
      <c r="I53" s="175"/>
      <c r="J53" s="173"/>
      <c r="K53" s="146"/>
      <c r="L53" s="174"/>
      <c r="M53" s="175"/>
      <c r="N53" s="175"/>
      <c r="O53" s="173"/>
      <c r="P53" s="146"/>
      <c r="Q53" s="174"/>
      <c r="R53" s="175"/>
      <c r="S53" s="175"/>
      <c r="T53" s="173"/>
      <c r="U53" s="146"/>
      <c r="V53" s="174"/>
      <c r="W53" s="175"/>
      <c r="X53" s="175"/>
      <c r="Y53" s="173"/>
      <c r="Z53" s="146"/>
      <c r="AA53" s="174"/>
      <c r="AB53" s="175"/>
      <c r="AC53" s="175"/>
      <c r="AD53" s="173"/>
      <c r="AE53" s="146"/>
      <c r="AF53" s="174"/>
      <c r="AG53" s="175"/>
      <c r="AH53" s="175"/>
      <c r="AI53" s="175"/>
      <c r="AJ53" s="146"/>
      <c r="AK53" s="174"/>
      <c r="AL53" s="175"/>
      <c r="AM53" s="175"/>
      <c r="AN53" s="195"/>
      <c r="AO53" s="195"/>
      <c r="AP53" s="22" t="s">
        <v>10096</v>
      </c>
      <c r="AQ53" s="175"/>
      <c r="AR53" s="173"/>
      <c r="AS53" s="173"/>
      <c r="AT53" s="175"/>
      <c r="AU53" s="175"/>
      <c r="AV53" s="126" t="s">
        <v>10097</v>
      </c>
      <c r="AW53" s="126" t="s">
        <v>10098</v>
      </c>
      <c r="AX53" s="839"/>
      <c r="AY53" s="173"/>
      <c r="AZ53" s="171"/>
      <c r="BA53" s="148"/>
      <c r="BB53" s="148"/>
      <c r="BC53" s="175"/>
      <c r="BD53" s="174"/>
      <c r="BE53" s="174"/>
      <c r="BF53" s="174"/>
      <c r="BG53" s="174"/>
      <c r="BH53" s="176"/>
      <c r="BI53" s="176"/>
      <c r="BJ53" s="177"/>
      <c r="BK53" s="173"/>
      <c r="BL53" s="146"/>
      <c r="BM53" s="838"/>
      <c r="BN53" s="175"/>
      <c r="BO53" s="174"/>
      <c r="BP53" s="174"/>
      <c r="BQ53" s="174"/>
      <c r="BR53" s="179"/>
      <c r="BS53" s="174"/>
      <c r="BT53" s="173"/>
      <c r="BU53" s="146"/>
      <c r="BV53" s="826"/>
      <c r="BW53" s="826"/>
      <c r="BX53" s="826"/>
      <c r="BY53" s="826"/>
      <c r="BZ53" s="826"/>
      <c r="CA53" s="826"/>
      <c r="CB53" s="826"/>
      <c r="CC53" s="826"/>
      <c r="CD53" s="826"/>
      <c r="CE53" s="826"/>
      <c r="CF53" s="826"/>
      <c r="CG53" s="826"/>
      <c r="CH53" s="826"/>
      <c r="CI53" s="826"/>
      <c r="CJ53" s="826"/>
      <c r="CK53" s="826"/>
      <c r="CL53" s="826"/>
      <c r="CM53" s="826"/>
      <c r="CN53" s="826"/>
      <c r="CO53" s="826"/>
      <c r="CP53" s="826"/>
      <c r="CQ53" s="826"/>
      <c r="CR53" s="826"/>
      <c r="CS53" s="826"/>
      <c r="CT53" s="826"/>
      <c r="CU53" s="826"/>
      <c r="CV53" s="826"/>
      <c r="CW53" s="826"/>
      <c r="CX53" s="826"/>
      <c r="CY53" s="826"/>
      <c r="CZ53" s="826"/>
      <c r="DA53" s="826"/>
      <c r="DB53" s="826"/>
      <c r="DC53" s="826"/>
      <c r="DD53" s="826"/>
      <c r="DE53" s="826"/>
      <c r="DF53" s="826"/>
      <c r="DG53" s="826"/>
      <c r="DH53" s="826"/>
      <c r="DI53" s="826"/>
      <c r="DJ53" s="826"/>
      <c r="DK53" s="826"/>
      <c r="DL53" s="826"/>
      <c r="DM53" s="826"/>
      <c r="DN53" s="826"/>
      <c r="DO53" s="826"/>
      <c r="DP53" s="826"/>
      <c r="DQ53" s="826"/>
      <c r="DR53" s="826"/>
      <c r="DS53" s="826"/>
      <c r="DT53" s="826"/>
      <c r="DU53" s="826"/>
      <c r="DV53" s="826"/>
      <c r="DW53" s="826"/>
      <c r="DX53" s="826"/>
      <c r="DY53" s="826"/>
      <c r="DZ53" s="826"/>
      <c r="EA53" s="826"/>
      <c r="EB53" s="826"/>
      <c r="EC53" s="826"/>
      <c r="ED53" s="826"/>
      <c r="EE53" s="826"/>
      <c r="EF53" s="826"/>
      <c r="EG53" s="826"/>
      <c r="EH53" s="826"/>
      <c r="EI53" s="826"/>
      <c r="EJ53" s="826"/>
      <c r="EK53" s="826"/>
      <c r="EL53" s="826"/>
      <c r="EM53" s="826"/>
      <c r="EN53" s="826"/>
      <c r="EO53" s="826"/>
      <c r="EP53" s="826"/>
      <c r="EQ53" s="826"/>
      <c r="ER53" s="826"/>
      <c r="ES53" s="826"/>
      <c r="ET53" s="826"/>
      <c r="EU53" s="826"/>
      <c r="EV53" s="826"/>
      <c r="EW53" s="826"/>
      <c r="EX53" s="826"/>
      <c r="EY53" s="826"/>
      <c r="EZ53" s="826"/>
      <c r="FA53" s="826"/>
      <c r="FB53" s="826"/>
      <c r="FC53" s="826"/>
      <c r="FD53" s="826"/>
      <c r="FE53" s="826"/>
      <c r="FF53" s="826"/>
      <c r="FG53" s="826"/>
      <c r="FH53" s="826"/>
      <c r="FI53" s="826"/>
      <c r="FJ53" s="826"/>
      <c r="FK53" s="826"/>
      <c r="FL53" s="826"/>
      <c r="FM53" s="826"/>
      <c r="FN53" s="826"/>
      <c r="FO53" s="826"/>
      <c r="FP53" s="826"/>
      <c r="FQ53" s="826"/>
      <c r="FR53" s="826"/>
      <c r="FS53" s="826"/>
      <c r="FT53" s="826"/>
      <c r="FU53" s="826"/>
      <c r="FV53" s="826"/>
      <c r="FW53" s="826"/>
      <c r="FX53" s="826"/>
      <c r="FY53" s="826"/>
      <c r="FZ53" s="826"/>
      <c r="GA53" s="826"/>
      <c r="GB53" s="826"/>
      <c r="GC53" s="826"/>
      <c r="GD53" s="826"/>
      <c r="GE53" s="826"/>
      <c r="GF53" s="826"/>
      <c r="GG53" s="826"/>
      <c r="GH53" s="826"/>
      <c r="GI53" s="826"/>
      <c r="GJ53" s="826"/>
      <c r="GK53" s="826"/>
      <c r="GL53" s="826"/>
      <c r="GM53" s="826"/>
      <c r="GN53" s="826"/>
      <c r="GO53" s="826"/>
      <c r="GP53" s="826"/>
      <c r="GQ53" s="826"/>
      <c r="GR53" s="826"/>
      <c r="GS53" s="826"/>
      <c r="GT53" s="826"/>
      <c r="GU53" s="826"/>
      <c r="GV53" s="826"/>
      <c r="GW53" s="826"/>
      <c r="GX53" s="826"/>
      <c r="GY53" s="826"/>
      <c r="GZ53" s="826"/>
      <c r="HA53" s="826"/>
      <c r="HB53" s="826"/>
      <c r="HC53" s="826"/>
      <c r="HD53" s="826"/>
      <c r="HE53" s="826"/>
      <c r="HF53" s="826"/>
      <c r="HG53" s="826"/>
      <c r="HH53" s="826"/>
      <c r="HI53" s="826"/>
    </row>
    <row r="54" spans="1:217" s="827" customFormat="1" ht="56.25" customHeight="1">
      <c r="A54" s="96">
        <v>58</v>
      </c>
      <c r="B54" s="840" t="s">
        <v>10095</v>
      </c>
      <c r="C54" s="142">
        <v>78250116</v>
      </c>
      <c r="D54" s="424"/>
      <c r="E54" s="143"/>
      <c r="F54" s="146"/>
      <c r="G54" s="145"/>
      <c r="H54" s="148"/>
      <c r="I54" s="175"/>
      <c r="J54" s="173"/>
      <c r="K54" s="146"/>
      <c r="L54" s="174"/>
      <c r="M54" s="175"/>
      <c r="N54" s="175"/>
      <c r="O54" s="173"/>
      <c r="P54" s="146"/>
      <c r="Q54" s="174"/>
      <c r="R54" s="175"/>
      <c r="S54" s="175"/>
      <c r="T54" s="173"/>
      <c r="U54" s="146"/>
      <c r="V54" s="174"/>
      <c r="W54" s="175"/>
      <c r="X54" s="175"/>
      <c r="Y54" s="173"/>
      <c r="Z54" s="146"/>
      <c r="AA54" s="174"/>
      <c r="AB54" s="175"/>
      <c r="AC54" s="175"/>
      <c r="AD54" s="173"/>
      <c r="AE54" s="146"/>
      <c r="AF54" s="174"/>
      <c r="AG54" s="175"/>
      <c r="AH54" s="175"/>
      <c r="AI54" s="175"/>
      <c r="AJ54" s="146"/>
      <c r="AK54" s="174"/>
      <c r="AL54" s="175"/>
      <c r="AM54" s="175"/>
      <c r="AN54" s="195"/>
      <c r="AO54" s="195"/>
      <c r="AP54" s="22" t="s">
        <v>10099</v>
      </c>
      <c r="AQ54" s="175"/>
      <c r="AR54" s="173"/>
      <c r="AS54" s="173"/>
      <c r="AT54" s="175"/>
      <c r="AU54" s="175"/>
      <c r="AV54" s="126" t="s">
        <v>10100</v>
      </c>
      <c r="AW54" s="126" t="s">
        <v>10101</v>
      </c>
      <c r="AX54" s="839"/>
      <c r="AY54" s="173"/>
      <c r="AZ54" s="171"/>
      <c r="BA54" s="148"/>
      <c r="BB54" s="148"/>
      <c r="BC54" s="175"/>
      <c r="BD54" s="174"/>
      <c r="BE54" s="174"/>
      <c r="BF54" s="174"/>
      <c r="BG54" s="174"/>
      <c r="BH54" s="176"/>
      <c r="BI54" s="176"/>
      <c r="BJ54" s="177"/>
      <c r="BK54" s="173"/>
      <c r="BL54" s="146"/>
      <c r="BM54" s="838"/>
      <c r="BN54" s="175"/>
      <c r="BO54" s="174"/>
      <c r="BP54" s="174"/>
      <c r="BQ54" s="174"/>
      <c r="BR54" s="179"/>
      <c r="BS54" s="174"/>
      <c r="BT54" s="173"/>
      <c r="BU54" s="146"/>
      <c r="BV54" s="826"/>
      <c r="BW54" s="826"/>
      <c r="BX54" s="826"/>
      <c r="BY54" s="826"/>
      <c r="BZ54" s="826"/>
      <c r="CA54" s="826"/>
      <c r="CB54" s="826"/>
      <c r="CC54" s="826"/>
      <c r="CD54" s="826"/>
      <c r="CE54" s="826"/>
      <c r="CF54" s="826"/>
      <c r="CG54" s="826"/>
      <c r="CH54" s="826"/>
      <c r="CI54" s="826"/>
      <c r="CJ54" s="826"/>
      <c r="CK54" s="826"/>
      <c r="CL54" s="826"/>
      <c r="CM54" s="826"/>
      <c r="CN54" s="826"/>
      <c r="CO54" s="826"/>
      <c r="CP54" s="826"/>
      <c r="CQ54" s="826"/>
      <c r="CR54" s="826"/>
      <c r="CS54" s="826"/>
      <c r="CT54" s="826"/>
      <c r="CU54" s="826"/>
      <c r="CV54" s="826"/>
      <c r="CW54" s="826"/>
      <c r="CX54" s="826"/>
      <c r="CY54" s="826"/>
      <c r="CZ54" s="826"/>
      <c r="DA54" s="826"/>
      <c r="DB54" s="826"/>
      <c r="DC54" s="826"/>
      <c r="DD54" s="826"/>
      <c r="DE54" s="826"/>
      <c r="DF54" s="826"/>
      <c r="DG54" s="826"/>
      <c r="DH54" s="826"/>
      <c r="DI54" s="826"/>
      <c r="DJ54" s="826"/>
      <c r="DK54" s="826"/>
      <c r="DL54" s="826"/>
      <c r="DM54" s="826"/>
      <c r="DN54" s="826"/>
      <c r="DO54" s="826"/>
      <c r="DP54" s="826"/>
      <c r="DQ54" s="826"/>
      <c r="DR54" s="826"/>
      <c r="DS54" s="826"/>
      <c r="DT54" s="826"/>
      <c r="DU54" s="826"/>
      <c r="DV54" s="826"/>
      <c r="DW54" s="826"/>
      <c r="DX54" s="826"/>
      <c r="DY54" s="826"/>
      <c r="DZ54" s="826"/>
      <c r="EA54" s="826"/>
      <c r="EB54" s="826"/>
      <c r="EC54" s="826"/>
      <c r="ED54" s="826"/>
      <c r="EE54" s="826"/>
      <c r="EF54" s="826"/>
      <c r="EG54" s="826"/>
      <c r="EH54" s="826"/>
      <c r="EI54" s="826"/>
      <c r="EJ54" s="826"/>
      <c r="EK54" s="826"/>
      <c r="EL54" s="826"/>
      <c r="EM54" s="826"/>
      <c r="EN54" s="826"/>
      <c r="EO54" s="826"/>
      <c r="EP54" s="826"/>
      <c r="EQ54" s="826"/>
      <c r="ER54" s="826"/>
      <c r="ES54" s="826"/>
      <c r="ET54" s="826"/>
      <c r="EU54" s="826"/>
      <c r="EV54" s="826"/>
      <c r="EW54" s="826"/>
      <c r="EX54" s="826"/>
      <c r="EY54" s="826"/>
      <c r="EZ54" s="826"/>
      <c r="FA54" s="826"/>
      <c r="FB54" s="826"/>
      <c r="FC54" s="826"/>
      <c r="FD54" s="826"/>
      <c r="FE54" s="826"/>
      <c r="FF54" s="826"/>
      <c r="FG54" s="826"/>
      <c r="FH54" s="826"/>
      <c r="FI54" s="826"/>
      <c r="FJ54" s="826"/>
      <c r="FK54" s="826"/>
      <c r="FL54" s="826"/>
      <c r="FM54" s="826"/>
      <c r="FN54" s="826"/>
      <c r="FO54" s="826"/>
      <c r="FP54" s="826"/>
      <c r="FQ54" s="826"/>
      <c r="FR54" s="826"/>
      <c r="FS54" s="826"/>
      <c r="FT54" s="826"/>
      <c r="FU54" s="826"/>
      <c r="FV54" s="826"/>
      <c r="FW54" s="826"/>
      <c r="FX54" s="826"/>
      <c r="FY54" s="826"/>
      <c r="FZ54" s="826"/>
      <c r="GA54" s="826"/>
      <c r="GB54" s="826"/>
      <c r="GC54" s="826"/>
      <c r="GD54" s="826"/>
      <c r="GE54" s="826"/>
      <c r="GF54" s="826"/>
      <c r="GG54" s="826"/>
      <c r="GH54" s="826"/>
      <c r="GI54" s="826"/>
      <c r="GJ54" s="826"/>
      <c r="GK54" s="826"/>
      <c r="GL54" s="826"/>
      <c r="GM54" s="826"/>
      <c r="GN54" s="826"/>
      <c r="GO54" s="826"/>
      <c r="GP54" s="826"/>
      <c r="GQ54" s="826"/>
      <c r="GR54" s="826"/>
      <c r="GS54" s="826"/>
      <c r="GT54" s="826"/>
      <c r="GU54" s="826"/>
      <c r="GV54" s="826"/>
      <c r="GW54" s="826"/>
      <c r="GX54" s="826"/>
      <c r="GY54" s="826"/>
      <c r="GZ54" s="826"/>
      <c r="HA54" s="826"/>
      <c r="HB54" s="826"/>
      <c r="HC54" s="826"/>
      <c r="HD54" s="826"/>
      <c r="HE54" s="826"/>
      <c r="HF54" s="826"/>
      <c r="HG54" s="826"/>
      <c r="HH54" s="826"/>
      <c r="HI54" s="826"/>
    </row>
    <row r="55" spans="1:217" s="827" customFormat="1" ht="56.25" customHeight="1">
      <c r="A55" s="96">
        <v>59</v>
      </c>
      <c r="B55" s="840" t="s">
        <v>10102</v>
      </c>
      <c r="C55" s="142">
        <v>79630947</v>
      </c>
      <c r="D55" s="424" t="s">
        <v>772</v>
      </c>
      <c r="E55" s="143"/>
      <c r="F55" s="146"/>
      <c r="G55" s="145"/>
      <c r="H55" s="148"/>
      <c r="I55" s="175"/>
      <c r="J55" s="173"/>
      <c r="K55" s="146"/>
      <c r="L55" s="174"/>
      <c r="M55" s="175"/>
      <c r="N55" s="175"/>
      <c r="O55" s="173"/>
      <c r="P55" s="146"/>
      <c r="Q55" s="174"/>
      <c r="R55" s="175"/>
      <c r="S55" s="175"/>
      <c r="T55" s="173"/>
      <c r="U55" s="146"/>
      <c r="V55" s="174"/>
      <c r="W55" s="175"/>
      <c r="X55" s="175"/>
      <c r="Y55" s="173"/>
      <c r="Z55" s="146"/>
      <c r="AA55" s="174"/>
      <c r="AB55" s="175"/>
      <c r="AC55" s="175"/>
      <c r="AD55" s="173"/>
      <c r="AE55" s="146"/>
      <c r="AF55" s="174"/>
      <c r="AG55" s="175"/>
      <c r="AH55" s="175"/>
      <c r="AI55" s="175"/>
      <c r="AJ55" s="146"/>
      <c r="AK55" s="174"/>
      <c r="AL55" s="175"/>
      <c r="AM55" s="175"/>
      <c r="AN55" s="195"/>
      <c r="AO55" s="195"/>
      <c r="AP55" s="22" t="s">
        <v>10103</v>
      </c>
      <c r="AQ55" s="175"/>
      <c r="AR55" s="173"/>
      <c r="AS55" s="173"/>
      <c r="AT55" s="175"/>
      <c r="AU55" s="175"/>
      <c r="AV55" s="126" t="s">
        <v>9990</v>
      </c>
      <c r="AW55" s="126"/>
      <c r="AX55" s="839"/>
      <c r="AY55" s="173"/>
      <c r="AZ55" s="171"/>
      <c r="BA55" s="148"/>
      <c r="BB55" s="148"/>
      <c r="BC55" s="175"/>
      <c r="BD55" s="174"/>
      <c r="BE55" s="174"/>
      <c r="BF55" s="174"/>
      <c r="BG55" s="174"/>
      <c r="BH55" s="176"/>
      <c r="BI55" s="176"/>
      <c r="BJ55" s="177"/>
      <c r="BK55" s="173"/>
      <c r="BL55" s="146"/>
      <c r="BM55" s="838"/>
      <c r="BN55" s="175"/>
      <c r="BO55" s="174"/>
      <c r="BP55" s="174"/>
      <c r="BQ55" s="174"/>
      <c r="BR55" s="179"/>
      <c r="BS55" s="174"/>
      <c r="BT55" s="173"/>
      <c r="BU55" s="146"/>
      <c r="BV55" s="826"/>
      <c r="BW55" s="826"/>
      <c r="BX55" s="826"/>
      <c r="BY55" s="826"/>
      <c r="BZ55" s="826"/>
      <c r="CA55" s="826"/>
      <c r="CB55" s="826"/>
      <c r="CC55" s="826"/>
      <c r="CD55" s="826"/>
      <c r="CE55" s="826"/>
      <c r="CF55" s="826"/>
      <c r="CG55" s="826"/>
      <c r="CH55" s="826"/>
      <c r="CI55" s="826"/>
      <c r="CJ55" s="826"/>
      <c r="CK55" s="826"/>
      <c r="CL55" s="826"/>
      <c r="CM55" s="826"/>
      <c r="CN55" s="826"/>
      <c r="CO55" s="826"/>
      <c r="CP55" s="826"/>
      <c r="CQ55" s="826"/>
      <c r="CR55" s="826"/>
      <c r="CS55" s="826"/>
      <c r="CT55" s="826"/>
      <c r="CU55" s="826"/>
      <c r="CV55" s="826"/>
      <c r="CW55" s="826"/>
      <c r="CX55" s="826"/>
      <c r="CY55" s="826"/>
      <c r="CZ55" s="826"/>
      <c r="DA55" s="826"/>
      <c r="DB55" s="826"/>
      <c r="DC55" s="826"/>
      <c r="DD55" s="826"/>
      <c r="DE55" s="826"/>
      <c r="DF55" s="826"/>
      <c r="DG55" s="826"/>
      <c r="DH55" s="826"/>
      <c r="DI55" s="826"/>
      <c r="DJ55" s="826"/>
      <c r="DK55" s="826"/>
      <c r="DL55" s="826"/>
      <c r="DM55" s="826"/>
      <c r="DN55" s="826"/>
      <c r="DO55" s="826"/>
      <c r="DP55" s="826"/>
      <c r="DQ55" s="826"/>
      <c r="DR55" s="826"/>
      <c r="DS55" s="826"/>
      <c r="DT55" s="826"/>
      <c r="DU55" s="826"/>
      <c r="DV55" s="826"/>
      <c r="DW55" s="826"/>
      <c r="DX55" s="826"/>
      <c r="DY55" s="826"/>
      <c r="DZ55" s="826"/>
      <c r="EA55" s="826"/>
      <c r="EB55" s="826"/>
      <c r="EC55" s="826"/>
      <c r="ED55" s="826"/>
      <c r="EE55" s="826"/>
      <c r="EF55" s="826"/>
      <c r="EG55" s="826"/>
      <c r="EH55" s="826"/>
      <c r="EI55" s="826"/>
      <c r="EJ55" s="826"/>
      <c r="EK55" s="826"/>
      <c r="EL55" s="826"/>
      <c r="EM55" s="826"/>
      <c r="EN55" s="826"/>
      <c r="EO55" s="826"/>
      <c r="EP55" s="826"/>
      <c r="EQ55" s="826"/>
      <c r="ER55" s="826"/>
      <c r="ES55" s="826"/>
      <c r="ET55" s="826"/>
      <c r="EU55" s="826"/>
      <c r="EV55" s="826"/>
      <c r="EW55" s="826"/>
      <c r="EX55" s="826"/>
      <c r="EY55" s="826"/>
      <c r="EZ55" s="826"/>
      <c r="FA55" s="826"/>
      <c r="FB55" s="826"/>
      <c r="FC55" s="826"/>
      <c r="FD55" s="826"/>
      <c r="FE55" s="826"/>
      <c r="FF55" s="826"/>
      <c r="FG55" s="826"/>
      <c r="FH55" s="826"/>
      <c r="FI55" s="826"/>
      <c r="FJ55" s="826"/>
      <c r="FK55" s="826"/>
      <c r="FL55" s="826"/>
      <c r="FM55" s="826"/>
      <c r="FN55" s="826"/>
      <c r="FO55" s="826"/>
      <c r="FP55" s="826"/>
      <c r="FQ55" s="826"/>
      <c r="FR55" s="826"/>
      <c r="FS55" s="826"/>
      <c r="FT55" s="826"/>
      <c r="FU55" s="826"/>
      <c r="FV55" s="826"/>
      <c r="FW55" s="826"/>
      <c r="FX55" s="826"/>
      <c r="FY55" s="826"/>
      <c r="FZ55" s="826"/>
      <c r="GA55" s="826"/>
      <c r="GB55" s="826"/>
      <c r="GC55" s="826"/>
      <c r="GD55" s="826"/>
      <c r="GE55" s="826"/>
      <c r="GF55" s="826"/>
      <c r="GG55" s="826"/>
      <c r="GH55" s="826"/>
      <c r="GI55" s="826"/>
      <c r="GJ55" s="826"/>
      <c r="GK55" s="826"/>
      <c r="GL55" s="826"/>
      <c r="GM55" s="826"/>
      <c r="GN55" s="826"/>
      <c r="GO55" s="826"/>
      <c r="GP55" s="826"/>
      <c r="GQ55" s="826"/>
      <c r="GR55" s="826"/>
      <c r="GS55" s="826"/>
      <c r="GT55" s="826"/>
      <c r="GU55" s="826"/>
      <c r="GV55" s="826"/>
      <c r="GW55" s="826"/>
      <c r="GX55" s="826"/>
      <c r="GY55" s="826"/>
      <c r="GZ55" s="826"/>
      <c r="HA55" s="826"/>
      <c r="HB55" s="826"/>
      <c r="HC55" s="826"/>
      <c r="HD55" s="826"/>
      <c r="HE55" s="826"/>
      <c r="HF55" s="826"/>
      <c r="HG55" s="826"/>
      <c r="HH55" s="826"/>
      <c r="HI55" s="826"/>
    </row>
    <row r="56" spans="1:217" s="827" customFormat="1" ht="56.25" customHeight="1">
      <c r="A56" s="96">
        <v>60</v>
      </c>
      <c r="B56" s="840" t="s">
        <v>10104</v>
      </c>
      <c r="C56" s="142">
        <v>72243013</v>
      </c>
      <c r="D56" s="424" t="s">
        <v>10105</v>
      </c>
      <c r="E56" s="143"/>
      <c r="F56" s="146"/>
      <c r="G56" s="145"/>
      <c r="H56" s="148"/>
      <c r="I56" s="175"/>
      <c r="J56" s="173"/>
      <c r="K56" s="146"/>
      <c r="L56" s="174"/>
      <c r="M56" s="175"/>
      <c r="N56" s="175"/>
      <c r="O56" s="173"/>
      <c r="P56" s="146"/>
      <c r="Q56" s="174"/>
      <c r="R56" s="175"/>
      <c r="S56" s="175"/>
      <c r="T56" s="173"/>
      <c r="U56" s="146"/>
      <c r="V56" s="174"/>
      <c r="W56" s="175"/>
      <c r="X56" s="175"/>
      <c r="Y56" s="173"/>
      <c r="Z56" s="146"/>
      <c r="AA56" s="174"/>
      <c r="AB56" s="175"/>
      <c r="AC56" s="175"/>
      <c r="AD56" s="173"/>
      <c r="AE56" s="146"/>
      <c r="AF56" s="174"/>
      <c r="AG56" s="175"/>
      <c r="AH56" s="175"/>
      <c r="AI56" s="175"/>
      <c r="AJ56" s="146"/>
      <c r="AK56" s="174"/>
      <c r="AL56" s="175"/>
      <c r="AM56" s="175"/>
      <c r="AN56" s="195"/>
      <c r="AO56" s="195"/>
      <c r="AP56" s="22" t="s">
        <v>10106</v>
      </c>
      <c r="AQ56" s="175"/>
      <c r="AR56" s="173"/>
      <c r="AS56" s="173"/>
      <c r="AT56" s="175"/>
      <c r="AU56" s="175"/>
      <c r="AV56" s="126" t="s">
        <v>328</v>
      </c>
      <c r="AW56" s="126"/>
      <c r="AX56" s="839"/>
      <c r="AY56" s="173"/>
      <c r="AZ56" s="171"/>
      <c r="BA56" s="148"/>
      <c r="BB56" s="148"/>
      <c r="BC56" s="175"/>
      <c r="BD56" s="174"/>
      <c r="BE56" s="174"/>
      <c r="BF56" s="174"/>
      <c r="BG56" s="174"/>
      <c r="BH56" s="176"/>
      <c r="BI56" s="176"/>
      <c r="BJ56" s="177"/>
      <c r="BK56" s="173"/>
      <c r="BL56" s="146"/>
      <c r="BM56" s="838"/>
      <c r="BN56" s="175"/>
      <c r="BO56" s="174"/>
      <c r="BP56" s="174"/>
      <c r="BQ56" s="174"/>
      <c r="BR56" s="179"/>
      <c r="BS56" s="174"/>
      <c r="BT56" s="173"/>
      <c r="BU56" s="146"/>
      <c r="BV56" s="826"/>
      <c r="BW56" s="826"/>
      <c r="BX56" s="826"/>
      <c r="BY56" s="826"/>
      <c r="BZ56" s="826"/>
      <c r="CA56" s="826"/>
      <c r="CB56" s="826"/>
      <c r="CC56" s="826"/>
      <c r="CD56" s="826"/>
      <c r="CE56" s="826"/>
      <c r="CF56" s="826"/>
      <c r="CG56" s="826"/>
      <c r="CH56" s="826"/>
      <c r="CI56" s="826"/>
      <c r="CJ56" s="826"/>
      <c r="CK56" s="826"/>
      <c r="CL56" s="826"/>
      <c r="CM56" s="826"/>
      <c r="CN56" s="826"/>
      <c r="CO56" s="826"/>
      <c r="CP56" s="826"/>
      <c r="CQ56" s="826"/>
      <c r="CR56" s="826"/>
      <c r="CS56" s="826"/>
      <c r="CT56" s="826"/>
      <c r="CU56" s="826"/>
      <c r="CV56" s="826"/>
      <c r="CW56" s="826"/>
      <c r="CX56" s="826"/>
      <c r="CY56" s="826"/>
      <c r="CZ56" s="826"/>
      <c r="DA56" s="826"/>
      <c r="DB56" s="826"/>
      <c r="DC56" s="826"/>
      <c r="DD56" s="826"/>
      <c r="DE56" s="826"/>
      <c r="DF56" s="826"/>
      <c r="DG56" s="826"/>
      <c r="DH56" s="826"/>
      <c r="DI56" s="826"/>
      <c r="DJ56" s="826"/>
      <c r="DK56" s="826"/>
      <c r="DL56" s="826"/>
      <c r="DM56" s="826"/>
      <c r="DN56" s="826"/>
      <c r="DO56" s="826"/>
      <c r="DP56" s="826"/>
      <c r="DQ56" s="826"/>
      <c r="DR56" s="826"/>
      <c r="DS56" s="826"/>
      <c r="DT56" s="826"/>
      <c r="DU56" s="826"/>
      <c r="DV56" s="826"/>
      <c r="DW56" s="826"/>
      <c r="DX56" s="826"/>
      <c r="DY56" s="826"/>
      <c r="DZ56" s="826"/>
      <c r="EA56" s="826"/>
      <c r="EB56" s="826"/>
      <c r="EC56" s="826"/>
      <c r="ED56" s="826"/>
      <c r="EE56" s="826"/>
      <c r="EF56" s="826"/>
      <c r="EG56" s="826"/>
      <c r="EH56" s="826"/>
      <c r="EI56" s="826"/>
      <c r="EJ56" s="826"/>
      <c r="EK56" s="826"/>
      <c r="EL56" s="826"/>
      <c r="EM56" s="826"/>
      <c r="EN56" s="826"/>
      <c r="EO56" s="826"/>
      <c r="EP56" s="826"/>
      <c r="EQ56" s="826"/>
      <c r="ER56" s="826"/>
      <c r="ES56" s="826"/>
      <c r="ET56" s="826"/>
      <c r="EU56" s="826"/>
      <c r="EV56" s="826"/>
      <c r="EW56" s="826"/>
      <c r="EX56" s="826"/>
      <c r="EY56" s="826"/>
      <c r="EZ56" s="826"/>
      <c r="FA56" s="826"/>
      <c r="FB56" s="826"/>
      <c r="FC56" s="826"/>
      <c r="FD56" s="826"/>
      <c r="FE56" s="826"/>
      <c r="FF56" s="826"/>
      <c r="FG56" s="826"/>
      <c r="FH56" s="826"/>
      <c r="FI56" s="826"/>
      <c r="FJ56" s="826"/>
      <c r="FK56" s="826"/>
      <c r="FL56" s="826"/>
      <c r="FM56" s="826"/>
      <c r="FN56" s="826"/>
      <c r="FO56" s="826"/>
      <c r="FP56" s="826"/>
      <c r="FQ56" s="826"/>
      <c r="FR56" s="826"/>
      <c r="FS56" s="826"/>
      <c r="FT56" s="826"/>
      <c r="FU56" s="826"/>
      <c r="FV56" s="826"/>
      <c r="FW56" s="826"/>
      <c r="FX56" s="826"/>
      <c r="FY56" s="826"/>
      <c r="FZ56" s="826"/>
      <c r="GA56" s="826"/>
      <c r="GB56" s="826"/>
      <c r="GC56" s="826"/>
      <c r="GD56" s="826"/>
      <c r="GE56" s="826"/>
      <c r="GF56" s="826"/>
      <c r="GG56" s="826"/>
      <c r="GH56" s="826"/>
      <c r="GI56" s="826"/>
      <c r="GJ56" s="826"/>
      <c r="GK56" s="826"/>
      <c r="GL56" s="826"/>
      <c r="GM56" s="826"/>
      <c r="GN56" s="826"/>
      <c r="GO56" s="826"/>
      <c r="GP56" s="826"/>
      <c r="GQ56" s="826"/>
      <c r="GR56" s="826"/>
      <c r="GS56" s="826"/>
      <c r="GT56" s="826"/>
      <c r="GU56" s="826"/>
      <c r="GV56" s="826"/>
      <c r="GW56" s="826"/>
      <c r="GX56" s="826"/>
      <c r="GY56" s="826"/>
      <c r="GZ56" s="826"/>
      <c r="HA56" s="826"/>
      <c r="HB56" s="826"/>
      <c r="HC56" s="826"/>
      <c r="HD56" s="826"/>
      <c r="HE56" s="826"/>
      <c r="HF56" s="826"/>
      <c r="HG56" s="826"/>
      <c r="HH56" s="826"/>
      <c r="HI56" s="826"/>
    </row>
    <row r="57" spans="1:217" s="827" customFormat="1" ht="56.25" customHeight="1">
      <c r="A57" s="96">
        <v>62</v>
      </c>
      <c r="B57" s="840" t="s">
        <v>10107</v>
      </c>
      <c r="C57" s="142">
        <v>10289772</v>
      </c>
      <c r="D57" s="424" t="s">
        <v>677</v>
      </c>
      <c r="E57" s="143"/>
      <c r="F57" s="146"/>
      <c r="G57" s="145"/>
      <c r="H57" s="148"/>
      <c r="I57" s="175"/>
      <c r="J57" s="173"/>
      <c r="K57" s="146"/>
      <c r="L57" s="174"/>
      <c r="M57" s="175"/>
      <c r="N57" s="175"/>
      <c r="O57" s="173"/>
      <c r="P57" s="146"/>
      <c r="Q57" s="174"/>
      <c r="R57" s="175"/>
      <c r="S57" s="175"/>
      <c r="T57" s="173"/>
      <c r="U57" s="146"/>
      <c r="V57" s="174"/>
      <c r="W57" s="175"/>
      <c r="X57" s="175"/>
      <c r="Y57" s="173"/>
      <c r="Z57" s="146"/>
      <c r="AA57" s="174"/>
      <c r="AB57" s="175"/>
      <c r="AC57" s="175"/>
      <c r="AD57" s="173"/>
      <c r="AE57" s="146"/>
      <c r="AF57" s="174"/>
      <c r="AG57" s="175"/>
      <c r="AH57" s="175"/>
      <c r="AI57" s="175"/>
      <c r="AJ57" s="146"/>
      <c r="AK57" s="174"/>
      <c r="AL57" s="175"/>
      <c r="AM57" s="175"/>
      <c r="AN57" s="195"/>
      <c r="AO57" s="195"/>
      <c r="AP57" s="22" t="s">
        <v>10108</v>
      </c>
      <c r="AQ57" s="175"/>
      <c r="AR57" s="173"/>
      <c r="AS57" s="173"/>
      <c r="AT57" s="175"/>
      <c r="AU57" s="175"/>
      <c r="AV57" s="126" t="s">
        <v>10109</v>
      </c>
      <c r="AW57" s="126" t="s">
        <v>10110</v>
      </c>
      <c r="AX57" s="839"/>
      <c r="AY57" s="173"/>
      <c r="AZ57" s="171"/>
      <c r="BA57" s="148"/>
      <c r="BB57" s="148"/>
      <c r="BC57" s="175"/>
      <c r="BD57" s="174"/>
      <c r="BE57" s="174"/>
      <c r="BF57" s="174"/>
      <c r="BG57" s="174"/>
      <c r="BH57" s="176"/>
      <c r="BI57" s="176"/>
      <c r="BJ57" s="177"/>
      <c r="BK57" s="173"/>
      <c r="BL57" s="146"/>
      <c r="BM57" s="838"/>
      <c r="BN57" s="175"/>
      <c r="BO57" s="174"/>
      <c r="BP57" s="174"/>
      <c r="BQ57" s="174"/>
      <c r="BR57" s="179"/>
      <c r="BS57" s="174"/>
      <c r="BT57" s="173"/>
      <c r="BU57" s="146"/>
      <c r="BV57" s="826"/>
      <c r="BW57" s="826"/>
      <c r="BX57" s="826"/>
      <c r="BY57" s="826"/>
      <c r="BZ57" s="826"/>
      <c r="CA57" s="826"/>
      <c r="CB57" s="826"/>
      <c r="CC57" s="826"/>
      <c r="CD57" s="826"/>
      <c r="CE57" s="826"/>
      <c r="CF57" s="826"/>
      <c r="CG57" s="826"/>
      <c r="CH57" s="826"/>
      <c r="CI57" s="826"/>
      <c r="CJ57" s="826"/>
      <c r="CK57" s="826"/>
      <c r="CL57" s="826"/>
      <c r="CM57" s="826"/>
      <c r="CN57" s="826"/>
      <c r="CO57" s="826"/>
      <c r="CP57" s="826"/>
      <c r="CQ57" s="826"/>
      <c r="CR57" s="826"/>
      <c r="CS57" s="826"/>
      <c r="CT57" s="826"/>
      <c r="CU57" s="826"/>
      <c r="CV57" s="826"/>
      <c r="CW57" s="826"/>
      <c r="CX57" s="826"/>
      <c r="CY57" s="826"/>
      <c r="CZ57" s="826"/>
      <c r="DA57" s="826"/>
      <c r="DB57" s="826"/>
      <c r="DC57" s="826"/>
      <c r="DD57" s="826"/>
      <c r="DE57" s="826"/>
      <c r="DF57" s="826"/>
      <c r="DG57" s="826"/>
      <c r="DH57" s="826"/>
      <c r="DI57" s="826"/>
      <c r="DJ57" s="826"/>
      <c r="DK57" s="826"/>
      <c r="DL57" s="826"/>
      <c r="DM57" s="826"/>
      <c r="DN57" s="826"/>
      <c r="DO57" s="826"/>
      <c r="DP57" s="826"/>
      <c r="DQ57" s="826"/>
      <c r="DR57" s="826"/>
      <c r="DS57" s="826"/>
      <c r="DT57" s="826"/>
      <c r="DU57" s="826"/>
      <c r="DV57" s="826"/>
      <c r="DW57" s="826"/>
      <c r="DX57" s="826"/>
      <c r="DY57" s="826"/>
      <c r="DZ57" s="826"/>
      <c r="EA57" s="826"/>
      <c r="EB57" s="826"/>
      <c r="EC57" s="826"/>
      <c r="ED57" s="826"/>
      <c r="EE57" s="826"/>
      <c r="EF57" s="826"/>
      <c r="EG57" s="826"/>
      <c r="EH57" s="826"/>
      <c r="EI57" s="826"/>
      <c r="EJ57" s="826"/>
      <c r="EK57" s="826"/>
      <c r="EL57" s="826"/>
      <c r="EM57" s="826"/>
      <c r="EN57" s="826"/>
      <c r="EO57" s="826"/>
      <c r="EP57" s="826"/>
      <c r="EQ57" s="826"/>
      <c r="ER57" s="826"/>
      <c r="ES57" s="826"/>
      <c r="ET57" s="826"/>
      <c r="EU57" s="826"/>
      <c r="EV57" s="826"/>
      <c r="EW57" s="826"/>
      <c r="EX57" s="826"/>
      <c r="EY57" s="826"/>
      <c r="EZ57" s="826"/>
      <c r="FA57" s="826"/>
      <c r="FB57" s="826"/>
      <c r="FC57" s="826"/>
      <c r="FD57" s="826"/>
      <c r="FE57" s="826"/>
      <c r="FF57" s="826"/>
      <c r="FG57" s="826"/>
      <c r="FH57" s="826"/>
      <c r="FI57" s="826"/>
      <c r="FJ57" s="826"/>
      <c r="FK57" s="826"/>
      <c r="FL57" s="826"/>
      <c r="FM57" s="826"/>
      <c r="FN57" s="826"/>
      <c r="FO57" s="826"/>
      <c r="FP57" s="826"/>
      <c r="FQ57" s="826"/>
      <c r="FR57" s="826"/>
      <c r="FS57" s="826"/>
      <c r="FT57" s="826"/>
      <c r="FU57" s="826"/>
      <c r="FV57" s="826"/>
      <c r="FW57" s="826"/>
      <c r="FX57" s="826"/>
      <c r="FY57" s="826"/>
      <c r="FZ57" s="826"/>
      <c r="GA57" s="826"/>
      <c r="GB57" s="826"/>
      <c r="GC57" s="826"/>
      <c r="GD57" s="826"/>
      <c r="GE57" s="826"/>
      <c r="GF57" s="826"/>
      <c r="GG57" s="826"/>
      <c r="GH57" s="826"/>
      <c r="GI57" s="826"/>
      <c r="GJ57" s="826"/>
      <c r="GK57" s="826"/>
      <c r="GL57" s="826"/>
      <c r="GM57" s="826"/>
      <c r="GN57" s="826"/>
      <c r="GO57" s="826"/>
      <c r="GP57" s="826"/>
      <c r="GQ57" s="826"/>
      <c r="GR57" s="826"/>
      <c r="GS57" s="826"/>
      <c r="GT57" s="826"/>
      <c r="GU57" s="826"/>
      <c r="GV57" s="826"/>
      <c r="GW57" s="826"/>
      <c r="GX57" s="826"/>
      <c r="GY57" s="826"/>
      <c r="GZ57" s="826"/>
      <c r="HA57" s="826"/>
      <c r="HB57" s="826"/>
      <c r="HC57" s="826"/>
      <c r="HD57" s="826"/>
      <c r="HE57" s="826"/>
      <c r="HF57" s="826"/>
      <c r="HG57" s="826"/>
      <c r="HH57" s="826"/>
      <c r="HI57" s="826"/>
    </row>
    <row r="58" spans="1:217" s="827" customFormat="1" ht="56.25" customHeight="1">
      <c r="A58" s="96">
        <v>65</v>
      </c>
      <c r="B58" s="840" t="s">
        <v>8433</v>
      </c>
      <c r="C58" s="142">
        <v>94324347</v>
      </c>
      <c r="D58" s="424" t="s">
        <v>9983</v>
      </c>
      <c r="E58" s="143"/>
      <c r="F58" s="146"/>
      <c r="G58" s="145"/>
      <c r="H58" s="148"/>
      <c r="I58" s="175"/>
      <c r="J58" s="173"/>
      <c r="K58" s="146"/>
      <c r="L58" s="174"/>
      <c r="M58" s="175"/>
      <c r="N58" s="175"/>
      <c r="O58" s="173"/>
      <c r="P58" s="146"/>
      <c r="Q58" s="174"/>
      <c r="R58" s="175"/>
      <c r="S58" s="175"/>
      <c r="T58" s="173"/>
      <c r="U58" s="146"/>
      <c r="V58" s="174"/>
      <c r="W58" s="175"/>
      <c r="X58" s="175"/>
      <c r="Y58" s="173"/>
      <c r="Z58" s="146"/>
      <c r="AA58" s="174"/>
      <c r="AB58" s="175"/>
      <c r="AC58" s="175"/>
      <c r="AD58" s="173"/>
      <c r="AE58" s="146"/>
      <c r="AF58" s="174"/>
      <c r="AG58" s="175"/>
      <c r="AH58" s="175"/>
      <c r="AI58" s="175"/>
      <c r="AJ58" s="146"/>
      <c r="AK58" s="174"/>
      <c r="AL58" s="175"/>
      <c r="AM58" s="175"/>
      <c r="AN58" s="195"/>
      <c r="AO58" s="195"/>
      <c r="AP58" s="22" t="s">
        <v>10111</v>
      </c>
      <c r="AQ58" s="175"/>
      <c r="AR58" s="173"/>
      <c r="AS58" s="173"/>
      <c r="AT58" s="175"/>
      <c r="AU58" s="175"/>
      <c r="AV58" s="126" t="s">
        <v>10090</v>
      </c>
      <c r="AW58" s="126" t="s">
        <v>10112</v>
      </c>
      <c r="AX58" s="839"/>
      <c r="AY58" s="173"/>
      <c r="AZ58" s="171"/>
      <c r="BA58" s="148"/>
      <c r="BB58" s="148"/>
      <c r="BC58" s="175"/>
      <c r="BD58" s="174"/>
      <c r="BE58" s="174"/>
      <c r="BF58" s="174"/>
      <c r="BG58" s="174"/>
      <c r="BH58" s="176"/>
      <c r="BI58" s="176"/>
      <c r="BJ58" s="177"/>
      <c r="BK58" s="173"/>
      <c r="BL58" s="146"/>
      <c r="BM58" s="838"/>
      <c r="BN58" s="175"/>
      <c r="BO58" s="174"/>
      <c r="BP58" s="174"/>
      <c r="BQ58" s="174"/>
      <c r="BR58" s="179"/>
      <c r="BS58" s="174"/>
      <c r="BT58" s="173"/>
      <c r="BU58" s="146"/>
      <c r="BV58" s="826"/>
      <c r="BW58" s="826"/>
      <c r="BX58" s="826"/>
      <c r="BY58" s="826"/>
      <c r="BZ58" s="826"/>
      <c r="CA58" s="826"/>
      <c r="CB58" s="826"/>
      <c r="CC58" s="826"/>
      <c r="CD58" s="826"/>
      <c r="CE58" s="826"/>
      <c r="CF58" s="826"/>
      <c r="CG58" s="826"/>
      <c r="CH58" s="826"/>
      <c r="CI58" s="826"/>
      <c r="CJ58" s="826"/>
      <c r="CK58" s="826"/>
      <c r="CL58" s="826"/>
      <c r="CM58" s="826"/>
      <c r="CN58" s="826"/>
      <c r="CO58" s="826"/>
      <c r="CP58" s="826"/>
      <c r="CQ58" s="826"/>
      <c r="CR58" s="826"/>
      <c r="CS58" s="826"/>
      <c r="CT58" s="826"/>
      <c r="CU58" s="826"/>
      <c r="CV58" s="826"/>
      <c r="CW58" s="826"/>
      <c r="CX58" s="826"/>
      <c r="CY58" s="826"/>
      <c r="CZ58" s="826"/>
      <c r="DA58" s="826"/>
      <c r="DB58" s="826"/>
      <c r="DC58" s="826"/>
      <c r="DD58" s="826"/>
      <c r="DE58" s="826"/>
      <c r="DF58" s="826"/>
      <c r="DG58" s="826"/>
      <c r="DH58" s="826"/>
      <c r="DI58" s="826"/>
      <c r="DJ58" s="826"/>
      <c r="DK58" s="826"/>
      <c r="DL58" s="826"/>
      <c r="DM58" s="826"/>
      <c r="DN58" s="826"/>
      <c r="DO58" s="826"/>
      <c r="DP58" s="826"/>
      <c r="DQ58" s="826"/>
      <c r="DR58" s="826"/>
      <c r="DS58" s="826"/>
      <c r="DT58" s="826"/>
      <c r="DU58" s="826"/>
      <c r="DV58" s="826"/>
      <c r="DW58" s="826"/>
      <c r="DX58" s="826"/>
      <c r="DY58" s="826"/>
      <c r="DZ58" s="826"/>
      <c r="EA58" s="826"/>
      <c r="EB58" s="826"/>
      <c r="EC58" s="826"/>
      <c r="ED58" s="826"/>
      <c r="EE58" s="826"/>
      <c r="EF58" s="826"/>
      <c r="EG58" s="826"/>
      <c r="EH58" s="826"/>
      <c r="EI58" s="826"/>
      <c r="EJ58" s="826"/>
      <c r="EK58" s="826"/>
      <c r="EL58" s="826"/>
      <c r="EM58" s="826"/>
      <c r="EN58" s="826"/>
      <c r="EO58" s="826"/>
      <c r="EP58" s="826"/>
      <c r="EQ58" s="826"/>
      <c r="ER58" s="826"/>
      <c r="ES58" s="826"/>
      <c r="ET58" s="826"/>
      <c r="EU58" s="826"/>
      <c r="EV58" s="826"/>
      <c r="EW58" s="826"/>
      <c r="EX58" s="826"/>
      <c r="EY58" s="826"/>
      <c r="EZ58" s="826"/>
      <c r="FA58" s="826"/>
      <c r="FB58" s="826"/>
      <c r="FC58" s="826"/>
      <c r="FD58" s="826"/>
      <c r="FE58" s="826"/>
      <c r="FF58" s="826"/>
      <c r="FG58" s="826"/>
      <c r="FH58" s="826"/>
      <c r="FI58" s="826"/>
      <c r="FJ58" s="826"/>
      <c r="FK58" s="826"/>
      <c r="FL58" s="826"/>
      <c r="FM58" s="826"/>
      <c r="FN58" s="826"/>
      <c r="FO58" s="826"/>
      <c r="FP58" s="826"/>
      <c r="FQ58" s="826"/>
      <c r="FR58" s="826"/>
      <c r="FS58" s="826"/>
      <c r="FT58" s="826"/>
      <c r="FU58" s="826"/>
      <c r="FV58" s="826"/>
      <c r="FW58" s="826"/>
      <c r="FX58" s="826"/>
      <c r="FY58" s="826"/>
      <c r="FZ58" s="826"/>
      <c r="GA58" s="826"/>
      <c r="GB58" s="826"/>
      <c r="GC58" s="826"/>
      <c r="GD58" s="826"/>
      <c r="GE58" s="826"/>
      <c r="GF58" s="826"/>
      <c r="GG58" s="826"/>
      <c r="GH58" s="826"/>
      <c r="GI58" s="826"/>
      <c r="GJ58" s="826"/>
      <c r="GK58" s="826"/>
      <c r="GL58" s="826"/>
      <c r="GM58" s="826"/>
      <c r="GN58" s="826"/>
      <c r="GO58" s="826"/>
      <c r="GP58" s="826"/>
      <c r="GQ58" s="826"/>
      <c r="GR58" s="826"/>
      <c r="GS58" s="826"/>
      <c r="GT58" s="826"/>
      <c r="GU58" s="826"/>
      <c r="GV58" s="826"/>
      <c r="GW58" s="826"/>
      <c r="GX58" s="826"/>
      <c r="GY58" s="826"/>
      <c r="GZ58" s="826"/>
      <c r="HA58" s="826"/>
      <c r="HB58" s="826"/>
      <c r="HC58" s="826"/>
      <c r="HD58" s="826"/>
      <c r="HE58" s="826"/>
      <c r="HF58" s="826"/>
      <c r="HG58" s="826"/>
      <c r="HH58" s="826"/>
      <c r="HI58" s="826"/>
    </row>
    <row r="59" spans="1:217" s="827" customFormat="1" ht="56.25" customHeight="1">
      <c r="A59" s="96">
        <v>66</v>
      </c>
      <c r="B59" s="840" t="s">
        <v>10113</v>
      </c>
      <c r="C59" s="142">
        <v>43180169</v>
      </c>
      <c r="D59" s="424" t="s">
        <v>906</v>
      </c>
      <c r="E59" s="143"/>
      <c r="F59" s="146"/>
      <c r="G59" s="145"/>
      <c r="H59" s="148"/>
      <c r="I59" s="175"/>
      <c r="J59" s="173"/>
      <c r="K59" s="146"/>
      <c r="L59" s="174"/>
      <c r="M59" s="175"/>
      <c r="N59" s="175"/>
      <c r="O59" s="173"/>
      <c r="P59" s="146"/>
      <c r="Q59" s="174"/>
      <c r="R59" s="175"/>
      <c r="S59" s="175"/>
      <c r="T59" s="173"/>
      <c r="U59" s="146"/>
      <c r="V59" s="174"/>
      <c r="W59" s="175"/>
      <c r="X59" s="175"/>
      <c r="Y59" s="173"/>
      <c r="Z59" s="146"/>
      <c r="AA59" s="174"/>
      <c r="AB59" s="175"/>
      <c r="AC59" s="175"/>
      <c r="AD59" s="173"/>
      <c r="AE59" s="146"/>
      <c r="AF59" s="174"/>
      <c r="AG59" s="175"/>
      <c r="AH59" s="175"/>
      <c r="AI59" s="175"/>
      <c r="AJ59" s="146"/>
      <c r="AK59" s="174"/>
      <c r="AL59" s="175"/>
      <c r="AM59" s="175"/>
      <c r="AN59" s="195"/>
      <c r="AO59" s="195"/>
      <c r="AP59" s="22" t="s">
        <v>10114</v>
      </c>
      <c r="AQ59" s="175"/>
      <c r="AR59" s="173"/>
      <c r="AS59" s="173"/>
      <c r="AT59" s="175"/>
      <c r="AU59" s="175"/>
      <c r="AV59" s="126" t="s">
        <v>9999</v>
      </c>
      <c r="AW59" s="126" t="s">
        <v>10115</v>
      </c>
      <c r="AX59" s="839"/>
      <c r="AY59" s="173"/>
      <c r="AZ59" s="171"/>
      <c r="BA59" s="148"/>
      <c r="BB59" s="148"/>
      <c r="BC59" s="175"/>
      <c r="BD59" s="174"/>
      <c r="BE59" s="174"/>
      <c r="BF59" s="174"/>
      <c r="BG59" s="174"/>
      <c r="BH59" s="176"/>
      <c r="BI59" s="176"/>
      <c r="BJ59" s="177"/>
      <c r="BK59" s="173"/>
      <c r="BL59" s="146"/>
      <c r="BM59" s="838"/>
      <c r="BN59" s="175"/>
      <c r="BO59" s="174"/>
      <c r="BP59" s="174"/>
      <c r="BQ59" s="174"/>
      <c r="BR59" s="179"/>
      <c r="BS59" s="174"/>
      <c r="BT59" s="173"/>
      <c r="BU59" s="146"/>
      <c r="BV59" s="826"/>
      <c r="BW59" s="826"/>
      <c r="BX59" s="826"/>
      <c r="BY59" s="826"/>
      <c r="BZ59" s="826"/>
      <c r="CA59" s="826"/>
      <c r="CB59" s="826"/>
      <c r="CC59" s="826"/>
      <c r="CD59" s="826"/>
      <c r="CE59" s="826"/>
      <c r="CF59" s="826"/>
      <c r="CG59" s="826"/>
      <c r="CH59" s="826"/>
      <c r="CI59" s="826"/>
      <c r="CJ59" s="826"/>
      <c r="CK59" s="826"/>
      <c r="CL59" s="826"/>
      <c r="CM59" s="826"/>
      <c r="CN59" s="826"/>
      <c r="CO59" s="826"/>
      <c r="CP59" s="826"/>
      <c r="CQ59" s="826"/>
      <c r="CR59" s="826"/>
      <c r="CS59" s="826"/>
      <c r="CT59" s="826"/>
      <c r="CU59" s="826"/>
      <c r="CV59" s="826"/>
      <c r="CW59" s="826"/>
      <c r="CX59" s="826"/>
      <c r="CY59" s="826"/>
      <c r="CZ59" s="826"/>
      <c r="DA59" s="826"/>
      <c r="DB59" s="826"/>
      <c r="DC59" s="826"/>
      <c r="DD59" s="826"/>
      <c r="DE59" s="826"/>
      <c r="DF59" s="826"/>
      <c r="DG59" s="826"/>
      <c r="DH59" s="826"/>
      <c r="DI59" s="826"/>
      <c r="DJ59" s="826"/>
      <c r="DK59" s="826"/>
      <c r="DL59" s="826"/>
      <c r="DM59" s="826"/>
      <c r="DN59" s="826"/>
      <c r="DO59" s="826"/>
      <c r="DP59" s="826"/>
      <c r="DQ59" s="826"/>
      <c r="DR59" s="826"/>
      <c r="DS59" s="826"/>
      <c r="DT59" s="826"/>
      <c r="DU59" s="826"/>
      <c r="DV59" s="826"/>
      <c r="DW59" s="826"/>
      <c r="DX59" s="826"/>
      <c r="DY59" s="826"/>
      <c r="DZ59" s="826"/>
      <c r="EA59" s="826"/>
      <c r="EB59" s="826"/>
      <c r="EC59" s="826"/>
      <c r="ED59" s="826"/>
      <c r="EE59" s="826"/>
      <c r="EF59" s="826"/>
      <c r="EG59" s="826"/>
      <c r="EH59" s="826"/>
      <c r="EI59" s="826"/>
      <c r="EJ59" s="826"/>
      <c r="EK59" s="826"/>
      <c r="EL59" s="826"/>
      <c r="EM59" s="826"/>
      <c r="EN59" s="826"/>
      <c r="EO59" s="826"/>
      <c r="EP59" s="826"/>
      <c r="EQ59" s="826"/>
      <c r="ER59" s="826"/>
      <c r="ES59" s="826"/>
      <c r="ET59" s="826"/>
      <c r="EU59" s="826"/>
      <c r="EV59" s="826"/>
      <c r="EW59" s="826"/>
      <c r="EX59" s="826"/>
      <c r="EY59" s="826"/>
      <c r="EZ59" s="826"/>
      <c r="FA59" s="826"/>
      <c r="FB59" s="826"/>
      <c r="FC59" s="826"/>
      <c r="FD59" s="826"/>
      <c r="FE59" s="826"/>
      <c r="FF59" s="826"/>
      <c r="FG59" s="826"/>
      <c r="FH59" s="826"/>
      <c r="FI59" s="826"/>
      <c r="FJ59" s="826"/>
      <c r="FK59" s="826"/>
      <c r="FL59" s="826"/>
      <c r="FM59" s="826"/>
      <c r="FN59" s="826"/>
      <c r="FO59" s="826"/>
      <c r="FP59" s="826"/>
      <c r="FQ59" s="826"/>
      <c r="FR59" s="826"/>
      <c r="FS59" s="826"/>
      <c r="FT59" s="826"/>
      <c r="FU59" s="826"/>
      <c r="FV59" s="826"/>
      <c r="FW59" s="826"/>
      <c r="FX59" s="826"/>
      <c r="FY59" s="826"/>
      <c r="FZ59" s="826"/>
      <c r="GA59" s="826"/>
      <c r="GB59" s="826"/>
      <c r="GC59" s="826"/>
      <c r="GD59" s="826"/>
      <c r="GE59" s="826"/>
      <c r="GF59" s="826"/>
      <c r="GG59" s="826"/>
      <c r="GH59" s="826"/>
      <c r="GI59" s="826"/>
      <c r="GJ59" s="826"/>
      <c r="GK59" s="826"/>
      <c r="GL59" s="826"/>
      <c r="GM59" s="826"/>
      <c r="GN59" s="826"/>
      <c r="GO59" s="826"/>
      <c r="GP59" s="826"/>
      <c r="GQ59" s="826"/>
      <c r="GR59" s="826"/>
      <c r="GS59" s="826"/>
      <c r="GT59" s="826"/>
      <c r="GU59" s="826"/>
      <c r="GV59" s="826"/>
      <c r="GW59" s="826"/>
      <c r="GX59" s="826"/>
      <c r="GY59" s="826"/>
      <c r="GZ59" s="826"/>
      <c r="HA59" s="826"/>
      <c r="HB59" s="826"/>
      <c r="HC59" s="826"/>
      <c r="HD59" s="826"/>
      <c r="HE59" s="826"/>
      <c r="HF59" s="826"/>
      <c r="HG59" s="826"/>
      <c r="HH59" s="826"/>
      <c r="HI59" s="826"/>
    </row>
    <row r="60" spans="1:217" s="827" customFormat="1" ht="56.25" customHeight="1">
      <c r="A60" s="96">
        <v>67</v>
      </c>
      <c r="B60" s="840" t="s">
        <v>9696</v>
      </c>
      <c r="C60" s="142">
        <v>20796916</v>
      </c>
      <c r="D60" s="424" t="s">
        <v>906</v>
      </c>
      <c r="E60" s="143"/>
      <c r="F60" s="146"/>
      <c r="G60" s="145"/>
      <c r="H60" s="148"/>
      <c r="I60" s="175"/>
      <c r="J60" s="173"/>
      <c r="K60" s="146"/>
      <c r="L60" s="174"/>
      <c r="M60" s="175"/>
      <c r="N60" s="175"/>
      <c r="O60" s="173"/>
      <c r="P60" s="146"/>
      <c r="Q60" s="174"/>
      <c r="R60" s="175"/>
      <c r="S60" s="175"/>
      <c r="T60" s="173"/>
      <c r="U60" s="146"/>
      <c r="V60" s="174"/>
      <c r="W60" s="175"/>
      <c r="X60" s="175"/>
      <c r="Y60" s="173"/>
      <c r="Z60" s="146"/>
      <c r="AA60" s="174"/>
      <c r="AB60" s="175"/>
      <c r="AC60" s="175"/>
      <c r="AD60" s="173"/>
      <c r="AE60" s="146"/>
      <c r="AF60" s="174"/>
      <c r="AG60" s="175"/>
      <c r="AH60" s="175"/>
      <c r="AI60" s="175"/>
      <c r="AJ60" s="146"/>
      <c r="AK60" s="174"/>
      <c r="AL60" s="175"/>
      <c r="AM60" s="175"/>
      <c r="AN60" s="195"/>
      <c r="AO60" s="195"/>
      <c r="AP60" s="22" t="s">
        <v>10116</v>
      </c>
      <c r="AQ60" s="175"/>
      <c r="AR60" s="173"/>
      <c r="AS60" s="173"/>
      <c r="AT60" s="175"/>
      <c r="AU60" s="175"/>
      <c r="AV60" s="126" t="s">
        <v>10117</v>
      </c>
      <c r="AW60" s="126" t="s">
        <v>10118</v>
      </c>
      <c r="AX60" s="839"/>
      <c r="AY60" s="173"/>
      <c r="AZ60" s="171"/>
      <c r="BA60" s="148"/>
      <c r="BB60" s="148"/>
      <c r="BC60" s="175"/>
      <c r="BD60" s="174"/>
      <c r="BE60" s="174"/>
      <c r="BF60" s="174"/>
      <c r="BG60" s="174"/>
      <c r="BH60" s="176"/>
      <c r="BI60" s="176"/>
      <c r="BJ60" s="177"/>
      <c r="BK60" s="173"/>
      <c r="BL60" s="146"/>
      <c r="BM60" s="838"/>
      <c r="BN60" s="175"/>
      <c r="BO60" s="174"/>
      <c r="BP60" s="174"/>
      <c r="BQ60" s="174"/>
      <c r="BR60" s="179"/>
      <c r="BS60" s="174"/>
      <c r="BT60" s="173"/>
      <c r="BU60" s="146"/>
      <c r="BV60" s="826"/>
      <c r="BW60" s="826"/>
      <c r="BX60" s="826"/>
      <c r="BY60" s="826"/>
      <c r="BZ60" s="826"/>
      <c r="CA60" s="826"/>
      <c r="CB60" s="826"/>
      <c r="CC60" s="826"/>
      <c r="CD60" s="826"/>
      <c r="CE60" s="826"/>
      <c r="CF60" s="826"/>
      <c r="CG60" s="826"/>
      <c r="CH60" s="826"/>
      <c r="CI60" s="826"/>
      <c r="CJ60" s="826"/>
      <c r="CK60" s="826"/>
      <c r="CL60" s="826"/>
      <c r="CM60" s="826"/>
      <c r="CN60" s="826"/>
      <c r="CO60" s="826"/>
      <c r="CP60" s="826"/>
      <c r="CQ60" s="826"/>
      <c r="CR60" s="826"/>
      <c r="CS60" s="826"/>
      <c r="CT60" s="826"/>
      <c r="CU60" s="826"/>
      <c r="CV60" s="826"/>
      <c r="CW60" s="826"/>
      <c r="CX60" s="826"/>
      <c r="CY60" s="826"/>
      <c r="CZ60" s="826"/>
      <c r="DA60" s="826"/>
      <c r="DB60" s="826"/>
      <c r="DC60" s="826"/>
      <c r="DD60" s="826"/>
      <c r="DE60" s="826"/>
      <c r="DF60" s="826"/>
      <c r="DG60" s="826"/>
      <c r="DH60" s="826"/>
      <c r="DI60" s="826"/>
      <c r="DJ60" s="826"/>
      <c r="DK60" s="826"/>
      <c r="DL60" s="826"/>
      <c r="DM60" s="826"/>
      <c r="DN60" s="826"/>
      <c r="DO60" s="826"/>
      <c r="DP60" s="826"/>
      <c r="DQ60" s="826"/>
      <c r="DR60" s="826"/>
      <c r="DS60" s="826"/>
      <c r="DT60" s="826"/>
      <c r="DU60" s="826"/>
      <c r="DV60" s="826"/>
      <c r="DW60" s="826"/>
      <c r="DX60" s="826"/>
      <c r="DY60" s="826"/>
      <c r="DZ60" s="826"/>
      <c r="EA60" s="826"/>
      <c r="EB60" s="826"/>
      <c r="EC60" s="826"/>
      <c r="ED60" s="826"/>
      <c r="EE60" s="826"/>
      <c r="EF60" s="826"/>
      <c r="EG60" s="826"/>
      <c r="EH60" s="826"/>
      <c r="EI60" s="826"/>
      <c r="EJ60" s="826"/>
      <c r="EK60" s="826"/>
      <c r="EL60" s="826"/>
      <c r="EM60" s="826"/>
      <c r="EN60" s="826"/>
      <c r="EO60" s="826"/>
      <c r="EP60" s="826"/>
      <c r="EQ60" s="826"/>
      <c r="ER60" s="826"/>
      <c r="ES60" s="826"/>
      <c r="ET60" s="826"/>
      <c r="EU60" s="826"/>
      <c r="EV60" s="826"/>
      <c r="EW60" s="826"/>
      <c r="EX60" s="826"/>
      <c r="EY60" s="826"/>
      <c r="EZ60" s="826"/>
      <c r="FA60" s="826"/>
      <c r="FB60" s="826"/>
      <c r="FC60" s="826"/>
      <c r="FD60" s="826"/>
      <c r="FE60" s="826"/>
      <c r="FF60" s="826"/>
      <c r="FG60" s="826"/>
      <c r="FH60" s="826"/>
      <c r="FI60" s="826"/>
      <c r="FJ60" s="826"/>
      <c r="FK60" s="826"/>
      <c r="FL60" s="826"/>
      <c r="FM60" s="826"/>
      <c r="FN60" s="826"/>
      <c r="FO60" s="826"/>
      <c r="FP60" s="826"/>
      <c r="FQ60" s="826"/>
      <c r="FR60" s="826"/>
      <c r="FS60" s="826"/>
      <c r="FT60" s="826"/>
      <c r="FU60" s="826"/>
      <c r="FV60" s="826"/>
      <c r="FW60" s="826"/>
      <c r="FX60" s="826"/>
      <c r="FY60" s="826"/>
      <c r="FZ60" s="826"/>
      <c r="GA60" s="826"/>
      <c r="GB60" s="826"/>
      <c r="GC60" s="826"/>
      <c r="GD60" s="826"/>
      <c r="GE60" s="826"/>
      <c r="GF60" s="826"/>
      <c r="GG60" s="826"/>
      <c r="GH60" s="826"/>
      <c r="GI60" s="826"/>
      <c r="GJ60" s="826"/>
      <c r="GK60" s="826"/>
      <c r="GL60" s="826"/>
      <c r="GM60" s="826"/>
      <c r="GN60" s="826"/>
      <c r="GO60" s="826"/>
      <c r="GP60" s="826"/>
      <c r="GQ60" s="826"/>
      <c r="GR60" s="826"/>
      <c r="GS60" s="826"/>
      <c r="GT60" s="826"/>
      <c r="GU60" s="826"/>
      <c r="GV60" s="826"/>
      <c r="GW60" s="826"/>
      <c r="GX60" s="826"/>
      <c r="GY60" s="826"/>
      <c r="GZ60" s="826"/>
      <c r="HA60" s="826"/>
      <c r="HB60" s="826"/>
      <c r="HC60" s="826"/>
      <c r="HD60" s="826"/>
      <c r="HE60" s="826"/>
      <c r="HF60" s="826"/>
      <c r="HG60" s="826"/>
      <c r="HH60" s="826"/>
      <c r="HI60" s="826"/>
    </row>
    <row r="61" spans="1:217" s="827" customFormat="1" ht="56.25" customHeight="1">
      <c r="A61" s="96">
        <v>68</v>
      </c>
      <c r="B61" s="840" t="s">
        <v>9263</v>
      </c>
      <c r="C61" s="142">
        <v>7705630</v>
      </c>
      <c r="D61" s="424" t="s">
        <v>5980</v>
      </c>
      <c r="E61" s="143"/>
      <c r="F61" s="146"/>
      <c r="G61" s="145"/>
      <c r="H61" s="148"/>
      <c r="I61" s="175"/>
      <c r="J61" s="173"/>
      <c r="K61" s="146"/>
      <c r="L61" s="174"/>
      <c r="M61" s="175"/>
      <c r="N61" s="175"/>
      <c r="O61" s="173"/>
      <c r="P61" s="146"/>
      <c r="Q61" s="174"/>
      <c r="R61" s="175"/>
      <c r="S61" s="175"/>
      <c r="T61" s="173"/>
      <c r="U61" s="146"/>
      <c r="V61" s="174"/>
      <c r="W61" s="175"/>
      <c r="X61" s="175"/>
      <c r="Y61" s="173"/>
      <c r="Z61" s="146"/>
      <c r="AA61" s="174"/>
      <c r="AB61" s="175"/>
      <c r="AC61" s="175"/>
      <c r="AD61" s="173"/>
      <c r="AE61" s="146"/>
      <c r="AF61" s="174"/>
      <c r="AG61" s="175"/>
      <c r="AH61" s="175"/>
      <c r="AI61" s="175"/>
      <c r="AJ61" s="146"/>
      <c r="AK61" s="174"/>
      <c r="AL61" s="175"/>
      <c r="AM61" s="175"/>
      <c r="AN61" s="195"/>
      <c r="AO61" s="195"/>
      <c r="AP61" s="22" t="s">
        <v>10119</v>
      </c>
      <c r="AQ61" s="175"/>
      <c r="AR61" s="173"/>
      <c r="AS61" s="173"/>
      <c r="AT61" s="175"/>
      <c r="AU61" s="175"/>
      <c r="AV61" s="126" t="s">
        <v>10120</v>
      </c>
      <c r="AW61" s="126" t="s">
        <v>10121</v>
      </c>
      <c r="AX61" s="839"/>
      <c r="AY61" s="173"/>
      <c r="AZ61" s="171"/>
      <c r="BA61" s="148"/>
      <c r="BB61" s="148"/>
      <c r="BC61" s="175"/>
      <c r="BD61" s="174"/>
      <c r="BE61" s="174"/>
      <c r="BF61" s="174"/>
      <c r="BG61" s="174"/>
      <c r="BH61" s="176"/>
      <c r="BI61" s="176"/>
      <c r="BJ61" s="177"/>
      <c r="BK61" s="173"/>
      <c r="BL61" s="146"/>
      <c r="BM61" s="838"/>
      <c r="BN61" s="175"/>
      <c r="BO61" s="174"/>
      <c r="BP61" s="174"/>
      <c r="BQ61" s="174"/>
      <c r="BR61" s="179"/>
      <c r="BS61" s="174"/>
      <c r="BT61" s="173"/>
      <c r="BU61" s="146"/>
      <c r="BV61" s="826"/>
      <c r="BW61" s="826"/>
      <c r="BX61" s="826"/>
      <c r="BY61" s="826"/>
      <c r="BZ61" s="826"/>
      <c r="CA61" s="826"/>
      <c r="CB61" s="826"/>
      <c r="CC61" s="826"/>
      <c r="CD61" s="826"/>
      <c r="CE61" s="826"/>
      <c r="CF61" s="826"/>
      <c r="CG61" s="826"/>
      <c r="CH61" s="826"/>
      <c r="CI61" s="826"/>
      <c r="CJ61" s="826"/>
      <c r="CK61" s="826"/>
      <c r="CL61" s="826"/>
      <c r="CM61" s="826"/>
      <c r="CN61" s="826"/>
      <c r="CO61" s="826"/>
      <c r="CP61" s="826"/>
      <c r="CQ61" s="826"/>
      <c r="CR61" s="826"/>
      <c r="CS61" s="826"/>
      <c r="CT61" s="826"/>
      <c r="CU61" s="826"/>
      <c r="CV61" s="826"/>
      <c r="CW61" s="826"/>
      <c r="CX61" s="826"/>
      <c r="CY61" s="826"/>
      <c r="CZ61" s="826"/>
      <c r="DA61" s="826"/>
      <c r="DB61" s="826"/>
      <c r="DC61" s="826"/>
      <c r="DD61" s="826"/>
      <c r="DE61" s="826"/>
      <c r="DF61" s="826"/>
      <c r="DG61" s="826"/>
      <c r="DH61" s="826"/>
      <c r="DI61" s="826"/>
      <c r="DJ61" s="826"/>
      <c r="DK61" s="826"/>
      <c r="DL61" s="826"/>
      <c r="DM61" s="826"/>
      <c r="DN61" s="826"/>
      <c r="DO61" s="826"/>
      <c r="DP61" s="826"/>
      <c r="DQ61" s="826"/>
      <c r="DR61" s="826"/>
      <c r="DS61" s="826"/>
      <c r="DT61" s="826"/>
      <c r="DU61" s="826"/>
      <c r="DV61" s="826"/>
      <c r="DW61" s="826"/>
      <c r="DX61" s="826"/>
      <c r="DY61" s="826"/>
      <c r="DZ61" s="826"/>
      <c r="EA61" s="826"/>
      <c r="EB61" s="826"/>
      <c r="EC61" s="826"/>
      <c r="ED61" s="826"/>
      <c r="EE61" s="826"/>
      <c r="EF61" s="826"/>
      <c r="EG61" s="826"/>
      <c r="EH61" s="826"/>
      <c r="EI61" s="826"/>
      <c r="EJ61" s="826"/>
      <c r="EK61" s="826"/>
      <c r="EL61" s="826"/>
      <c r="EM61" s="826"/>
      <c r="EN61" s="826"/>
      <c r="EO61" s="826"/>
      <c r="EP61" s="826"/>
      <c r="EQ61" s="826"/>
      <c r="ER61" s="826"/>
      <c r="ES61" s="826"/>
      <c r="ET61" s="826"/>
      <c r="EU61" s="826"/>
      <c r="EV61" s="826"/>
      <c r="EW61" s="826"/>
      <c r="EX61" s="826"/>
      <c r="EY61" s="826"/>
      <c r="EZ61" s="826"/>
      <c r="FA61" s="826"/>
      <c r="FB61" s="826"/>
      <c r="FC61" s="826"/>
      <c r="FD61" s="826"/>
      <c r="FE61" s="826"/>
      <c r="FF61" s="826"/>
      <c r="FG61" s="826"/>
      <c r="FH61" s="826"/>
      <c r="FI61" s="826"/>
      <c r="FJ61" s="826"/>
      <c r="FK61" s="826"/>
      <c r="FL61" s="826"/>
      <c r="FM61" s="826"/>
      <c r="FN61" s="826"/>
      <c r="FO61" s="826"/>
      <c r="FP61" s="826"/>
      <c r="FQ61" s="826"/>
      <c r="FR61" s="826"/>
      <c r="FS61" s="826"/>
      <c r="FT61" s="826"/>
      <c r="FU61" s="826"/>
      <c r="FV61" s="826"/>
      <c r="FW61" s="826"/>
      <c r="FX61" s="826"/>
      <c r="FY61" s="826"/>
      <c r="FZ61" s="826"/>
      <c r="GA61" s="826"/>
      <c r="GB61" s="826"/>
      <c r="GC61" s="826"/>
      <c r="GD61" s="826"/>
      <c r="GE61" s="826"/>
      <c r="GF61" s="826"/>
      <c r="GG61" s="826"/>
      <c r="GH61" s="826"/>
      <c r="GI61" s="826"/>
      <c r="GJ61" s="826"/>
      <c r="GK61" s="826"/>
      <c r="GL61" s="826"/>
      <c r="GM61" s="826"/>
      <c r="GN61" s="826"/>
      <c r="GO61" s="826"/>
      <c r="GP61" s="826"/>
      <c r="GQ61" s="826"/>
      <c r="GR61" s="826"/>
      <c r="GS61" s="826"/>
      <c r="GT61" s="826"/>
      <c r="GU61" s="826"/>
      <c r="GV61" s="826"/>
      <c r="GW61" s="826"/>
      <c r="GX61" s="826"/>
      <c r="GY61" s="826"/>
      <c r="GZ61" s="826"/>
      <c r="HA61" s="826"/>
      <c r="HB61" s="826"/>
      <c r="HC61" s="826"/>
      <c r="HD61" s="826"/>
      <c r="HE61" s="826"/>
      <c r="HF61" s="826"/>
      <c r="HG61" s="826"/>
      <c r="HH61" s="826"/>
      <c r="HI61" s="826"/>
    </row>
    <row r="62" spans="1:217" s="827" customFormat="1" ht="56.25" customHeight="1">
      <c r="A62" s="96">
        <v>70</v>
      </c>
      <c r="B62" s="840" t="s">
        <v>10122</v>
      </c>
      <c r="C62" s="142">
        <v>53062736</v>
      </c>
      <c r="D62" s="424" t="s">
        <v>906</v>
      </c>
      <c r="E62" s="143"/>
      <c r="F62" s="146"/>
      <c r="G62" s="145"/>
      <c r="H62" s="148"/>
      <c r="I62" s="175"/>
      <c r="J62" s="173"/>
      <c r="K62" s="146"/>
      <c r="L62" s="174"/>
      <c r="M62" s="175"/>
      <c r="N62" s="175"/>
      <c r="O62" s="173"/>
      <c r="P62" s="146"/>
      <c r="Q62" s="174"/>
      <c r="R62" s="175"/>
      <c r="S62" s="175"/>
      <c r="T62" s="173"/>
      <c r="U62" s="146"/>
      <c r="V62" s="174"/>
      <c r="W62" s="175"/>
      <c r="X62" s="175"/>
      <c r="Y62" s="173"/>
      <c r="Z62" s="146"/>
      <c r="AA62" s="174"/>
      <c r="AB62" s="175"/>
      <c r="AC62" s="175"/>
      <c r="AD62" s="173"/>
      <c r="AE62" s="146"/>
      <c r="AF62" s="174"/>
      <c r="AG62" s="175"/>
      <c r="AH62" s="175"/>
      <c r="AI62" s="175"/>
      <c r="AJ62" s="146"/>
      <c r="AK62" s="174"/>
      <c r="AL62" s="175"/>
      <c r="AM62" s="175"/>
      <c r="AN62" s="195"/>
      <c r="AO62" s="195"/>
      <c r="AP62" s="22" t="s">
        <v>10123</v>
      </c>
      <c r="AQ62" s="175"/>
      <c r="AR62" s="173"/>
      <c r="AS62" s="173"/>
      <c r="AT62" s="175"/>
      <c r="AU62" s="175"/>
      <c r="AV62" s="126" t="s">
        <v>10124</v>
      </c>
      <c r="AW62" s="126" t="s">
        <v>10125</v>
      </c>
      <c r="AX62" s="839"/>
      <c r="AY62" s="173"/>
      <c r="AZ62" s="171"/>
      <c r="BA62" s="148"/>
      <c r="BB62" s="148"/>
      <c r="BC62" s="175"/>
      <c r="BD62" s="174"/>
      <c r="BE62" s="174"/>
      <c r="BF62" s="174"/>
      <c r="BG62" s="174"/>
      <c r="BH62" s="176"/>
      <c r="BI62" s="176"/>
      <c r="BJ62" s="177"/>
      <c r="BK62" s="173"/>
      <c r="BL62" s="146"/>
      <c r="BM62" s="838"/>
      <c r="BN62" s="175"/>
      <c r="BO62" s="174"/>
      <c r="BP62" s="174"/>
      <c r="BQ62" s="174"/>
      <c r="BR62" s="179"/>
      <c r="BS62" s="174"/>
      <c r="BT62" s="173"/>
      <c r="BU62" s="146"/>
      <c r="BV62" s="826"/>
      <c r="BW62" s="826"/>
      <c r="BX62" s="826"/>
      <c r="BY62" s="826"/>
      <c r="BZ62" s="826"/>
      <c r="CA62" s="826"/>
      <c r="CB62" s="826"/>
      <c r="CC62" s="826"/>
      <c r="CD62" s="826"/>
      <c r="CE62" s="826"/>
      <c r="CF62" s="826"/>
      <c r="CG62" s="826"/>
      <c r="CH62" s="826"/>
      <c r="CI62" s="826"/>
      <c r="CJ62" s="826"/>
      <c r="CK62" s="826"/>
      <c r="CL62" s="826"/>
      <c r="CM62" s="826"/>
      <c r="CN62" s="826"/>
      <c r="CO62" s="826"/>
      <c r="CP62" s="826"/>
      <c r="CQ62" s="826"/>
      <c r="CR62" s="826"/>
      <c r="CS62" s="826"/>
      <c r="CT62" s="826"/>
      <c r="CU62" s="826"/>
      <c r="CV62" s="826"/>
      <c r="CW62" s="826"/>
      <c r="CX62" s="826"/>
      <c r="CY62" s="826"/>
      <c r="CZ62" s="826"/>
      <c r="DA62" s="826"/>
      <c r="DB62" s="826"/>
      <c r="DC62" s="826"/>
      <c r="DD62" s="826"/>
      <c r="DE62" s="826"/>
      <c r="DF62" s="826"/>
      <c r="DG62" s="826"/>
      <c r="DH62" s="826"/>
      <c r="DI62" s="826"/>
      <c r="DJ62" s="826"/>
      <c r="DK62" s="826"/>
      <c r="DL62" s="826"/>
      <c r="DM62" s="826"/>
      <c r="DN62" s="826"/>
      <c r="DO62" s="826"/>
      <c r="DP62" s="826"/>
      <c r="DQ62" s="826"/>
      <c r="DR62" s="826"/>
      <c r="DS62" s="826"/>
      <c r="DT62" s="826"/>
      <c r="DU62" s="826"/>
      <c r="DV62" s="826"/>
      <c r="DW62" s="826"/>
      <c r="DX62" s="826"/>
      <c r="DY62" s="826"/>
      <c r="DZ62" s="826"/>
      <c r="EA62" s="826"/>
      <c r="EB62" s="826"/>
      <c r="EC62" s="826"/>
      <c r="ED62" s="826"/>
      <c r="EE62" s="826"/>
      <c r="EF62" s="826"/>
      <c r="EG62" s="826"/>
      <c r="EH62" s="826"/>
      <c r="EI62" s="826"/>
      <c r="EJ62" s="826"/>
      <c r="EK62" s="826"/>
      <c r="EL62" s="826"/>
      <c r="EM62" s="826"/>
      <c r="EN62" s="826"/>
      <c r="EO62" s="826"/>
      <c r="EP62" s="826"/>
      <c r="EQ62" s="826"/>
      <c r="ER62" s="826"/>
      <c r="ES62" s="826"/>
      <c r="ET62" s="826"/>
      <c r="EU62" s="826"/>
      <c r="EV62" s="826"/>
      <c r="EW62" s="826"/>
      <c r="EX62" s="826"/>
      <c r="EY62" s="826"/>
      <c r="EZ62" s="826"/>
      <c r="FA62" s="826"/>
      <c r="FB62" s="826"/>
      <c r="FC62" s="826"/>
      <c r="FD62" s="826"/>
      <c r="FE62" s="826"/>
      <c r="FF62" s="826"/>
      <c r="FG62" s="826"/>
      <c r="FH62" s="826"/>
      <c r="FI62" s="826"/>
      <c r="FJ62" s="826"/>
      <c r="FK62" s="826"/>
      <c r="FL62" s="826"/>
      <c r="FM62" s="826"/>
      <c r="FN62" s="826"/>
      <c r="FO62" s="826"/>
      <c r="FP62" s="826"/>
      <c r="FQ62" s="826"/>
      <c r="FR62" s="826"/>
      <c r="FS62" s="826"/>
      <c r="FT62" s="826"/>
      <c r="FU62" s="826"/>
      <c r="FV62" s="826"/>
      <c r="FW62" s="826"/>
      <c r="FX62" s="826"/>
      <c r="FY62" s="826"/>
      <c r="FZ62" s="826"/>
      <c r="GA62" s="826"/>
      <c r="GB62" s="826"/>
      <c r="GC62" s="826"/>
      <c r="GD62" s="826"/>
      <c r="GE62" s="826"/>
      <c r="GF62" s="826"/>
      <c r="GG62" s="826"/>
      <c r="GH62" s="826"/>
      <c r="GI62" s="826"/>
      <c r="GJ62" s="826"/>
      <c r="GK62" s="826"/>
      <c r="GL62" s="826"/>
      <c r="GM62" s="826"/>
      <c r="GN62" s="826"/>
      <c r="GO62" s="826"/>
      <c r="GP62" s="826"/>
      <c r="GQ62" s="826"/>
      <c r="GR62" s="826"/>
      <c r="GS62" s="826"/>
      <c r="GT62" s="826"/>
      <c r="GU62" s="826"/>
      <c r="GV62" s="826"/>
      <c r="GW62" s="826"/>
      <c r="GX62" s="826"/>
      <c r="GY62" s="826"/>
      <c r="GZ62" s="826"/>
      <c r="HA62" s="826"/>
      <c r="HB62" s="826"/>
      <c r="HC62" s="826"/>
      <c r="HD62" s="826"/>
      <c r="HE62" s="826"/>
      <c r="HF62" s="826"/>
      <c r="HG62" s="826"/>
      <c r="HH62" s="826"/>
      <c r="HI62" s="826"/>
    </row>
    <row r="63" spans="1:217" s="827" customFormat="1" ht="56.25" customHeight="1">
      <c r="A63" s="96">
        <v>71</v>
      </c>
      <c r="B63" s="840" t="s">
        <v>10126</v>
      </c>
      <c r="C63" s="142">
        <v>98312011</v>
      </c>
      <c r="D63" s="424" t="s">
        <v>906</v>
      </c>
      <c r="E63" s="143"/>
      <c r="F63" s="146"/>
      <c r="G63" s="145"/>
      <c r="H63" s="148"/>
      <c r="I63" s="175"/>
      <c r="J63" s="173"/>
      <c r="K63" s="146"/>
      <c r="L63" s="174"/>
      <c r="M63" s="175"/>
      <c r="N63" s="175"/>
      <c r="O63" s="173"/>
      <c r="P63" s="146"/>
      <c r="Q63" s="174"/>
      <c r="R63" s="175"/>
      <c r="S63" s="175"/>
      <c r="T63" s="173"/>
      <c r="U63" s="146"/>
      <c r="V63" s="174"/>
      <c r="W63" s="175"/>
      <c r="X63" s="175"/>
      <c r="Y63" s="173"/>
      <c r="Z63" s="146"/>
      <c r="AA63" s="174"/>
      <c r="AB63" s="175"/>
      <c r="AC63" s="175"/>
      <c r="AD63" s="173"/>
      <c r="AE63" s="146"/>
      <c r="AF63" s="174"/>
      <c r="AG63" s="175"/>
      <c r="AH63" s="175"/>
      <c r="AI63" s="175"/>
      <c r="AJ63" s="146"/>
      <c r="AK63" s="174"/>
      <c r="AL63" s="175"/>
      <c r="AM63" s="175"/>
      <c r="AN63" s="195"/>
      <c r="AO63" s="195"/>
      <c r="AP63" s="22" t="s">
        <v>10127</v>
      </c>
      <c r="AQ63" s="175"/>
      <c r="AR63" s="173"/>
      <c r="AS63" s="173"/>
      <c r="AT63" s="175"/>
      <c r="AU63" s="175"/>
      <c r="AV63" s="126" t="s">
        <v>10010</v>
      </c>
      <c r="AW63" s="126" t="s">
        <v>10128</v>
      </c>
      <c r="AX63" s="839"/>
      <c r="AY63" s="173"/>
      <c r="AZ63" s="171"/>
      <c r="BA63" s="148"/>
      <c r="BB63" s="148"/>
      <c r="BC63" s="175"/>
      <c r="BD63" s="174"/>
      <c r="BE63" s="174"/>
      <c r="BF63" s="174"/>
      <c r="BG63" s="174"/>
      <c r="BH63" s="176"/>
      <c r="BI63" s="176"/>
      <c r="BJ63" s="177"/>
      <c r="BK63" s="173"/>
      <c r="BL63" s="146"/>
      <c r="BM63" s="838"/>
      <c r="BN63" s="175"/>
      <c r="BO63" s="174"/>
      <c r="BP63" s="174"/>
      <c r="BQ63" s="174"/>
      <c r="BR63" s="179"/>
      <c r="BS63" s="174"/>
      <c r="BT63" s="173"/>
      <c r="BU63" s="146"/>
      <c r="BV63" s="826"/>
      <c r="BW63" s="826"/>
      <c r="BX63" s="826"/>
      <c r="BY63" s="826"/>
      <c r="BZ63" s="826"/>
      <c r="CA63" s="826"/>
      <c r="CB63" s="826"/>
      <c r="CC63" s="826"/>
      <c r="CD63" s="826"/>
      <c r="CE63" s="826"/>
      <c r="CF63" s="826"/>
      <c r="CG63" s="826"/>
      <c r="CH63" s="826"/>
      <c r="CI63" s="826"/>
      <c r="CJ63" s="826"/>
      <c r="CK63" s="826"/>
      <c r="CL63" s="826"/>
      <c r="CM63" s="826"/>
      <c r="CN63" s="826"/>
      <c r="CO63" s="826"/>
      <c r="CP63" s="826"/>
      <c r="CQ63" s="826"/>
      <c r="CR63" s="826"/>
      <c r="CS63" s="826"/>
      <c r="CT63" s="826"/>
      <c r="CU63" s="826"/>
      <c r="CV63" s="826"/>
      <c r="CW63" s="826"/>
      <c r="CX63" s="826"/>
      <c r="CY63" s="826"/>
      <c r="CZ63" s="826"/>
      <c r="DA63" s="826"/>
      <c r="DB63" s="826"/>
      <c r="DC63" s="826"/>
      <c r="DD63" s="826"/>
      <c r="DE63" s="826"/>
      <c r="DF63" s="826"/>
      <c r="DG63" s="826"/>
      <c r="DH63" s="826"/>
      <c r="DI63" s="826"/>
      <c r="DJ63" s="826"/>
      <c r="DK63" s="826"/>
      <c r="DL63" s="826"/>
      <c r="DM63" s="826"/>
      <c r="DN63" s="826"/>
      <c r="DO63" s="826"/>
      <c r="DP63" s="826"/>
      <c r="DQ63" s="826"/>
      <c r="DR63" s="826"/>
      <c r="DS63" s="826"/>
      <c r="DT63" s="826"/>
      <c r="DU63" s="826"/>
      <c r="DV63" s="826"/>
      <c r="DW63" s="826"/>
      <c r="DX63" s="826"/>
      <c r="DY63" s="826"/>
      <c r="DZ63" s="826"/>
      <c r="EA63" s="826"/>
      <c r="EB63" s="826"/>
      <c r="EC63" s="826"/>
      <c r="ED63" s="826"/>
      <c r="EE63" s="826"/>
      <c r="EF63" s="826"/>
      <c r="EG63" s="826"/>
      <c r="EH63" s="826"/>
      <c r="EI63" s="826"/>
      <c r="EJ63" s="826"/>
      <c r="EK63" s="826"/>
      <c r="EL63" s="826"/>
      <c r="EM63" s="826"/>
      <c r="EN63" s="826"/>
      <c r="EO63" s="826"/>
      <c r="EP63" s="826"/>
      <c r="EQ63" s="826"/>
      <c r="ER63" s="826"/>
      <c r="ES63" s="826"/>
      <c r="ET63" s="826"/>
      <c r="EU63" s="826"/>
      <c r="EV63" s="826"/>
      <c r="EW63" s="826"/>
      <c r="EX63" s="826"/>
      <c r="EY63" s="826"/>
      <c r="EZ63" s="826"/>
      <c r="FA63" s="826"/>
      <c r="FB63" s="826"/>
      <c r="FC63" s="826"/>
      <c r="FD63" s="826"/>
      <c r="FE63" s="826"/>
      <c r="FF63" s="826"/>
      <c r="FG63" s="826"/>
      <c r="FH63" s="826"/>
      <c r="FI63" s="826"/>
      <c r="FJ63" s="826"/>
      <c r="FK63" s="826"/>
      <c r="FL63" s="826"/>
      <c r="FM63" s="826"/>
      <c r="FN63" s="826"/>
      <c r="FO63" s="826"/>
      <c r="FP63" s="826"/>
      <c r="FQ63" s="826"/>
      <c r="FR63" s="826"/>
      <c r="FS63" s="826"/>
      <c r="FT63" s="826"/>
      <c r="FU63" s="826"/>
      <c r="FV63" s="826"/>
      <c r="FW63" s="826"/>
      <c r="FX63" s="826"/>
      <c r="FY63" s="826"/>
      <c r="FZ63" s="826"/>
      <c r="GA63" s="826"/>
      <c r="GB63" s="826"/>
      <c r="GC63" s="826"/>
      <c r="GD63" s="826"/>
      <c r="GE63" s="826"/>
      <c r="GF63" s="826"/>
      <c r="GG63" s="826"/>
      <c r="GH63" s="826"/>
      <c r="GI63" s="826"/>
      <c r="GJ63" s="826"/>
      <c r="GK63" s="826"/>
      <c r="GL63" s="826"/>
      <c r="GM63" s="826"/>
      <c r="GN63" s="826"/>
      <c r="GO63" s="826"/>
      <c r="GP63" s="826"/>
      <c r="GQ63" s="826"/>
      <c r="GR63" s="826"/>
      <c r="GS63" s="826"/>
      <c r="GT63" s="826"/>
      <c r="GU63" s="826"/>
      <c r="GV63" s="826"/>
      <c r="GW63" s="826"/>
      <c r="GX63" s="826"/>
      <c r="GY63" s="826"/>
      <c r="GZ63" s="826"/>
      <c r="HA63" s="826"/>
      <c r="HB63" s="826"/>
      <c r="HC63" s="826"/>
      <c r="HD63" s="826"/>
      <c r="HE63" s="826"/>
      <c r="HF63" s="826"/>
      <c r="HG63" s="826"/>
      <c r="HH63" s="826"/>
      <c r="HI63" s="826"/>
    </row>
    <row r="64" spans="1:217" s="827" customFormat="1" ht="56.25" customHeight="1">
      <c r="A64" s="96">
        <v>71</v>
      </c>
      <c r="B64" s="840" t="s">
        <v>10126</v>
      </c>
      <c r="C64" s="142">
        <v>98312011</v>
      </c>
      <c r="D64" s="424" t="s">
        <v>906</v>
      </c>
      <c r="E64" s="143"/>
      <c r="F64" s="146"/>
      <c r="G64" s="145"/>
      <c r="H64" s="148"/>
      <c r="I64" s="175"/>
      <c r="J64" s="173"/>
      <c r="K64" s="146"/>
      <c r="L64" s="174"/>
      <c r="M64" s="175"/>
      <c r="N64" s="175"/>
      <c r="O64" s="173"/>
      <c r="P64" s="146"/>
      <c r="Q64" s="174"/>
      <c r="R64" s="175"/>
      <c r="S64" s="175"/>
      <c r="T64" s="173"/>
      <c r="U64" s="146"/>
      <c r="V64" s="174"/>
      <c r="W64" s="175"/>
      <c r="X64" s="175"/>
      <c r="Y64" s="173"/>
      <c r="Z64" s="146"/>
      <c r="AA64" s="174"/>
      <c r="AB64" s="175"/>
      <c r="AC64" s="175"/>
      <c r="AD64" s="173"/>
      <c r="AE64" s="146"/>
      <c r="AF64" s="174"/>
      <c r="AG64" s="175"/>
      <c r="AH64" s="175"/>
      <c r="AI64" s="175"/>
      <c r="AJ64" s="146"/>
      <c r="AK64" s="174"/>
      <c r="AL64" s="175"/>
      <c r="AM64" s="175"/>
      <c r="AN64" s="195"/>
      <c r="AO64" s="195"/>
      <c r="AP64" s="22" t="s">
        <v>10129</v>
      </c>
      <c r="AQ64" s="175"/>
      <c r="AR64" s="173"/>
      <c r="AS64" s="173"/>
      <c r="AT64" s="175"/>
      <c r="AU64" s="175"/>
      <c r="AV64" s="126" t="s">
        <v>10130</v>
      </c>
      <c r="AW64" s="126" t="s">
        <v>10131</v>
      </c>
      <c r="AX64" s="839"/>
      <c r="AY64" s="173"/>
      <c r="AZ64" s="171"/>
      <c r="BA64" s="148"/>
      <c r="BB64" s="148"/>
      <c r="BC64" s="175"/>
      <c r="BD64" s="174"/>
      <c r="BE64" s="174"/>
      <c r="BF64" s="174"/>
      <c r="BG64" s="174"/>
      <c r="BH64" s="176"/>
      <c r="BI64" s="176"/>
      <c r="BJ64" s="177"/>
      <c r="BK64" s="173"/>
      <c r="BL64" s="146"/>
      <c r="BM64" s="838"/>
      <c r="BN64" s="175"/>
      <c r="BO64" s="174"/>
      <c r="BP64" s="174"/>
      <c r="BQ64" s="174"/>
      <c r="BR64" s="179"/>
      <c r="BS64" s="174"/>
      <c r="BT64" s="173"/>
      <c r="BU64" s="146"/>
      <c r="BV64" s="826"/>
      <c r="BW64" s="826"/>
      <c r="BX64" s="826"/>
      <c r="BY64" s="826"/>
      <c r="BZ64" s="826"/>
      <c r="CA64" s="826"/>
      <c r="CB64" s="826"/>
      <c r="CC64" s="826"/>
      <c r="CD64" s="826"/>
      <c r="CE64" s="826"/>
      <c r="CF64" s="826"/>
      <c r="CG64" s="826"/>
      <c r="CH64" s="826"/>
      <c r="CI64" s="826"/>
      <c r="CJ64" s="826"/>
      <c r="CK64" s="826"/>
      <c r="CL64" s="826"/>
      <c r="CM64" s="826"/>
      <c r="CN64" s="826"/>
      <c r="CO64" s="826"/>
      <c r="CP64" s="826"/>
      <c r="CQ64" s="826"/>
      <c r="CR64" s="826"/>
      <c r="CS64" s="826"/>
      <c r="CT64" s="826"/>
      <c r="CU64" s="826"/>
      <c r="CV64" s="826"/>
      <c r="CW64" s="826"/>
      <c r="CX64" s="826"/>
      <c r="CY64" s="826"/>
      <c r="CZ64" s="826"/>
      <c r="DA64" s="826"/>
      <c r="DB64" s="826"/>
      <c r="DC64" s="826"/>
      <c r="DD64" s="826"/>
      <c r="DE64" s="826"/>
      <c r="DF64" s="826"/>
      <c r="DG64" s="826"/>
      <c r="DH64" s="826"/>
      <c r="DI64" s="826"/>
      <c r="DJ64" s="826"/>
      <c r="DK64" s="826"/>
      <c r="DL64" s="826"/>
      <c r="DM64" s="826"/>
      <c r="DN64" s="826"/>
      <c r="DO64" s="826"/>
      <c r="DP64" s="826"/>
      <c r="DQ64" s="826"/>
      <c r="DR64" s="826"/>
      <c r="DS64" s="826"/>
      <c r="DT64" s="826"/>
      <c r="DU64" s="826"/>
      <c r="DV64" s="826"/>
      <c r="DW64" s="826"/>
      <c r="DX64" s="826"/>
      <c r="DY64" s="826"/>
      <c r="DZ64" s="826"/>
      <c r="EA64" s="826"/>
      <c r="EB64" s="826"/>
      <c r="EC64" s="826"/>
      <c r="ED64" s="826"/>
      <c r="EE64" s="826"/>
      <c r="EF64" s="826"/>
      <c r="EG64" s="826"/>
      <c r="EH64" s="826"/>
      <c r="EI64" s="826"/>
      <c r="EJ64" s="826"/>
      <c r="EK64" s="826"/>
      <c r="EL64" s="826"/>
      <c r="EM64" s="826"/>
      <c r="EN64" s="826"/>
      <c r="EO64" s="826"/>
      <c r="EP64" s="826"/>
      <c r="EQ64" s="826"/>
      <c r="ER64" s="826"/>
      <c r="ES64" s="826"/>
      <c r="ET64" s="826"/>
      <c r="EU64" s="826"/>
      <c r="EV64" s="826"/>
      <c r="EW64" s="826"/>
      <c r="EX64" s="826"/>
      <c r="EY64" s="826"/>
      <c r="EZ64" s="826"/>
      <c r="FA64" s="826"/>
      <c r="FB64" s="826"/>
      <c r="FC64" s="826"/>
      <c r="FD64" s="826"/>
      <c r="FE64" s="826"/>
      <c r="FF64" s="826"/>
      <c r="FG64" s="826"/>
      <c r="FH64" s="826"/>
      <c r="FI64" s="826"/>
      <c r="FJ64" s="826"/>
      <c r="FK64" s="826"/>
      <c r="FL64" s="826"/>
      <c r="FM64" s="826"/>
      <c r="FN64" s="826"/>
      <c r="FO64" s="826"/>
      <c r="FP64" s="826"/>
      <c r="FQ64" s="826"/>
      <c r="FR64" s="826"/>
      <c r="FS64" s="826"/>
      <c r="FT64" s="826"/>
      <c r="FU64" s="826"/>
      <c r="FV64" s="826"/>
      <c r="FW64" s="826"/>
      <c r="FX64" s="826"/>
      <c r="FY64" s="826"/>
      <c r="FZ64" s="826"/>
      <c r="GA64" s="826"/>
      <c r="GB64" s="826"/>
      <c r="GC64" s="826"/>
      <c r="GD64" s="826"/>
      <c r="GE64" s="826"/>
      <c r="GF64" s="826"/>
      <c r="GG64" s="826"/>
      <c r="GH64" s="826"/>
      <c r="GI64" s="826"/>
      <c r="GJ64" s="826"/>
      <c r="GK64" s="826"/>
      <c r="GL64" s="826"/>
      <c r="GM64" s="826"/>
      <c r="GN64" s="826"/>
      <c r="GO64" s="826"/>
      <c r="GP64" s="826"/>
      <c r="GQ64" s="826"/>
      <c r="GR64" s="826"/>
      <c r="GS64" s="826"/>
      <c r="GT64" s="826"/>
      <c r="GU64" s="826"/>
      <c r="GV64" s="826"/>
      <c r="GW64" s="826"/>
      <c r="GX64" s="826"/>
      <c r="GY64" s="826"/>
      <c r="GZ64" s="826"/>
      <c r="HA64" s="826"/>
      <c r="HB64" s="826"/>
      <c r="HC64" s="826"/>
      <c r="HD64" s="826"/>
      <c r="HE64" s="826"/>
      <c r="HF64" s="826"/>
      <c r="HG64" s="826"/>
      <c r="HH64" s="826"/>
      <c r="HI64" s="826"/>
    </row>
    <row r="65" spans="1:217" s="827" customFormat="1" ht="56.25" customHeight="1">
      <c r="A65" s="96">
        <v>72</v>
      </c>
      <c r="B65" s="840" t="s">
        <v>9275</v>
      </c>
      <c r="C65" s="142">
        <v>91493525</v>
      </c>
      <c r="D65" s="424" t="s">
        <v>4647</v>
      </c>
      <c r="E65" s="143"/>
      <c r="F65" s="146"/>
      <c r="G65" s="145"/>
      <c r="H65" s="148"/>
      <c r="I65" s="175"/>
      <c r="J65" s="173"/>
      <c r="K65" s="146"/>
      <c r="L65" s="174"/>
      <c r="M65" s="175"/>
      <c r="N65" s="175"/>
      <c r="O65" s="173"/>
      <c r="P65" s="146"/>
      <c r="Q65" s="174"/>
      <c r="R65" s="175"/>
      <c r="S65" s="175"/>
      <c r="T65" s="173"/>
      <c r="U65" s="146"/>
      <c r="V65" s="174"/>
      <c r="W65" s="175"/>
      <c r="X65" s="175"/>
      <c r="Y65" s="173"/>
      <c r="Z65" s="146"/>
      <c r="AA65" s="174"/>
      <c r="AB65" s="175"/>
      <c r="AC65" s="175"/>
      <c r="AD65" s="173"/>
      <c r="AE65" s="146"/>
      <c r="AF65" s="174"/>
      <c r="AG65" s="175"/>
      <c r="AH65" s="175"/>
      <c r="AI65" s="175"/>
      <c r="AJ65" s="146"/>
      <c r="AK65" s="174"/>
      <c r="AL65" s="175"/>
      <c r="AM65" s="175"/>
      <c r="AN65" s="195"/>
      <c r="AO65" s="195"/>
      <c r="AP65" s="22" t="s">
        <v>10132</v>
      </c>
      <c r="AQ65" s="175"/>
      <c r="AR65" s="173"/>
      <c r="AS65" s="173"/>
      <c r="AT65" s="175"/>
      <c r="AU65" s="175"/>
      <c r="AV65" s="126" t="s">
        <v>10133</v>
      </c>
      <c r="AW65" s="126" t="s">
        <v>10134</v>
      </c>
      <c r="AX65" s="839"/>
      <c r="AY65" s="173"/>
      <c r="AZ65" s="171"/>
      <c r="BA65" s="148"/>
      <c r="BB65" s="148"/>
      <c r="BC65" s="175"/>
      <c r="BD65" s="174"/>
      <c r="BE65" s="174"/>
      <c r="BF65" s="174"/>
      <c r="BG65" s="174"/>
      <c r="BH65" s="176"/>
      <c r="BI65" s="176"/>
      <c r="BJ65" s="177"/>
      <c r="BK65" s="173"/>
      <c r="BL65" s="146"/>
      <c r="BM65" s="838"/>
      <c r="BN65" s="175"/>
      <c r="BO65" s="174"/>
      <c r="BP65" s="174"/>
      <c r="BQ65" s="174"/>
      <c r="BR65" s="179"/>
      <c r="BS65" s="174"/>
      <c r="BT65" s="173"/>
      <c r="BU65" s="146"/>
      <c r="BV65" s="826"/>
      <c r="BW65" s="826"/>
      <c r="BX65" s="826"/>
      <c r="BY65" s="826"/>
      <c r="BZ65" s="826"/>
      <c r="CA65" s="826"/>
      <c r="CB65" s="826"/>
      <c r="CC65" s="826"/>
      <c r="CD65" s="826"/>
      <c r="CE65" s="826"/>
      <c r="CF65" s="826"/>
      <c r="CG65" s="826"/>
      <c r="CH65" s="826"/>
      <c r="CI65" s="826"/>
      <c r="CJ65" s="826"/>
      <c r="CK65" s="826"/>
      <c r="CL65" s="826"/>
      <c r="CM65" s="826"/>
      <c r="CN65" s="826"/>
      <c r="CO65" s="826"/>
      <c r="CP65" s="826"/>
      <c r="CQ65" s="826"/>
      <c r="CR65" s="826"/>
      <c r="CS65" s="826"/>
      <c r="CT65" s="826"/>
      <c r="CU65" s="826"/>
      <c r="CV65" s="826"/>
      <c r="CW65" s="826"/>
      <c r="CX65" s="826"/>
      <c r="CY65" s="826"/>
      <c r="CZ65" s="826"/>
      <c r="DA65" s="826"/>
      <c r="DB65" s="826"/>
      <c r="DC65" s="826"/>
      <c r="DD65" s="826"/>
      <c r="DE65" s="826"/>
      <c r="DF65" s="826"/>
      <c r="DG65" s="826"/>
      <c r="DH65" s="826"/>
      <c r="DI65" s="826"/>
      <c r="DJ65" s="826"/>
      <c r="DK65" s="826"/>
      <c r="DL65" s="826"/>
      <c r="DM65" s="826"/>
      <c r="DN65" s="826"/>
      <c r="DO65" s="826"/>
      <c r="DP65" s="826"/>
      <c r="DQ65" s="826"/>
      <c r="DR65" s="826"/>
      <c r="DS65" s="826"/>
      <c r="DT65" s="826"/>
      <c r="DU65" s="826"/>
      <c r="DV65" s="826"/>
      <c r="DW65" s="826"/>
      <c r="DX65" s="826"/>
      <c r="DY65" s="826"/>
      <c r="DZ65" s="826"/>
      <c r="EA65" s="826"/>
      <c r="EB65" s="826"/>
      <c r="EC65" s="826"/>
      <c r="ED65" s="826"/>
      <c r="EE65" s="826"/>
      <c r="EF65" s="826"/>
      <c r="EG65" s="826"/>
      <c r="EH65" s="826"/>
      <c r="EI65" s="826"/>
      <c r="EJ65" s="826"/>
      <c r="EK65" s="826"/>
      <c r="EL65" s="826"/>
      <c r="EM65" s="826"/>
      <c r="EN65" s="826"/>
      <c r="EO65" s="826"/>
      <c r="EP65" s="826"/>
      <c r="EQ65" s="826"/>
      <c r="ER65" s="826"/>
      <c r="ES65" s="826"/>
      <c r="ET65" s="826"/>
      <c r="EU65" s="826"/>
      <c r="EV65" s="826"/>
      <c r="EW65" s="826"/>
      <c r="EX65" s="826"/>
      <c r="EY65" s="826"/>
      <c r="EZ65" s="826"/>
      <c r="FA65" s="826"/>
      <c r="FB65" s="826"/>
      <c r="FC65" s="826"/>
      <c r="FD65" s="826"/>
      <c r="FE65" s="826"/>
      <c r="FF65" s="826"/>
      <c r="FG65" s="826"/>
      <c r="FH65" s="826"/>
      <c r="FI65" s="826"/>
      <c r="FJ65" s="826"/>
      <c r="FK65" s="826"/>
      <c r="FL65" s="826"/>
      <c r="FM65" s="826"/>
      <c r="FN65" s="826"/>
      <c r="FO65" s="826"/>
      <c r="FP65" s="826"/>
      <c r="FQ65" s="826"/>
      <c r="FR65" s="826"/>
      <c r="FS65" s="826"/>
      <c r="FT65" s="826"/>
      <c r="FU65" s="826"/>
      <c r="FV65" s="826"/>
      <c r="FW65" s="826"/>
      <c r="FX65" s="826"/>
      <c r="FY65" s="826"/>
      <c r="FZ65" s="826"/>
      <c r="GA65" s="826"/>
      <c r="GB65" s="826"/>
      <c r="GC65" s="826"/>
      <c r="GD65" s="826"/>
      <c r="GE65" s="826"/>
      <c r="GF65" s="826"/>
      <c r="GG65" s="826"/>
      <c r="GH65" s="826"/>
      <c r="GI65" s="826"/>
      <c r="GJ65" s="826"/>
      <c r="GK65" s="826"/>
      <c r="GL65" s="826"/>
      <c r="GM65" s="826"/>
      <c r="GN65" s="826"/>
      <c r="GO65" s="826"/>
      <c r="GP65" s="826"/>
      <c r="GQ65" s="826"/>
      <c r="GR65" s="826"/>
      <c r="GS65" s="826"/>
      <c r="GT65" s="826"/>
      <c r="GU65" s="826"/>
      <c r="GV65" s="826"/>
      <c r="GW65" s="826"/>
      <c r="GX65" s="826"/>
      <c r="GY65" s="826"/>
      <c r="GZ65" s="826"/>
      <c r="HA65" s="826"/>
      <c r="HB65" s="826"/>
      <c r="HC65" s="826"/>
      <c r="HD65" s="826"/>
      <c r="HE65" s="826"/>
      <c r="HF65" s="826"/>
      <c r="HG65" s="826"/>
      <c r="HH65" s="826"/>
      <c r="HI65" s="826"/>
    </row>
    <row r="66" spans="1:217" s="827" customFormat="1" ht="56.25" customHeight="1">
      <c r="A66" s="96">
        <v>74</v>
      </c>
      <c r="B66" s="840" t="s">
        <v>8619</v>
      </c>
      <c r="C66" s="142">
        <v>88305371</v>
      </c>
      <c r="D66" s="424" t="s">
        <v>6470</v>
      </c>
      <c r="E66" s="143"/>
      <c r="F66" s="146"/>
      <c r="G66" s="145"/>
      <c r="H66" s="148"/>
      <c r="I66" s="175"/>
      <c r="J66" s="173"/>
      <c r="K66" s="146"/>
      <c r="L66" s="174"/>
      <c r="M66" s="175"/>
      <c r="N66" s="175"/>
      <c r="O66" s="173"/>
      <c r="P66" s="146"/>
      <c r="Q66" s="174"/>
      <c r="R66" s="175"/>
      <c r="S66" s="175"/>
      <c r="T66" s="173"/>
      <c r="U66" s="146"/>
      <c r="V66" s="174"/>
      <c r="W66" s="175"/>
      <c r="X66" s="175"/>
      <c r="Y66" s="173"/>
      <c r="Z66" s="146"/>
      <c r="AA66" s="174"/>
      <c r="AB66" s="175"/>
      <c r="AC66" s="175"/>
      <c r="AD66" s="173"/>
      <c r="AE66" s="146"/>
      <c r="AF66" s="174"/>
      <c r="AG66" s="175"/>
      <c r="AH66" s="175"/>
      <c r="AI66" s="175"/>
      <c r="AJ66" s="146"/>
      <c r="AK66" s="174"/>
      <c r="AL66" s="175"/>
      <c r="AM66" s="175"/>
      <c r="AN66" s="195"/>
      <c r="AO66" s="195"/>
      <c r="AP66" s="22" t="s">
        <v>10135</v>
      </c>
      <c r="AQ66" s="175"/>
      <c r="AR66" s="173"/>
      <c r="AS66" s="173"/>
      <c r="AT66" s="175"/>
      <c r="AU66" s="175"/>
      <c r="AV66" s="126" t="s">
        <v>8620</v>
      </c>
      <c r="AW66" s="126" t="s">
        <v>8621</v>
      </c>
      <c r="AX66" s="839"/>
      <c r="AY66" s="173"/>
      <c r="AZ66" s="171"/>
      <c r="BA66" s="148"/>
      <c r="BB66" s="148"/>
      <c r="BC66" s="175"/>
      <c r="BD66" s="174"/>
      <c r="BE66" s="174"/>
      <c r="BF66" s="174"/>
      <c r="BG66" s="174"/>
      <c r="BH66" s="176"/>
      <c r="BI66" s="176"/>
      <c r="BJ66" s="177"/>
      <c r="BK66" s="173"/>
      <c r="BL66" s="146"/>
      <c r="BM66" s="838"/>
      <c r="BN66" s="175"/>
      <c r="BO66" s="174"/>
      <c r="BP66" s="174"/>
      <c r="BQ66" s="174"/>
      <c r="BR66" s="179"/>
      <c r="BS66" s="174"/>
      <c r="BT66" s="173"/>
      <c r="BU66" s="146"/>
      <c r="BV66" s="826"/>
      <c r="BW66" s="826"/>
      <c r="BX66" s="826"/>
      <c r="BY66" s="826"/>
      <c r="BZ66" s="826"/>
      <c r="CA66" s="826"/>
      <c r="CB66" s="826"/>
      <c r="CC66" s="826"/>
      <c r="CD66" s="826"/>
      <c r="CE66" s="826"/>
      <c r="CF66" s="826"/>
      <c r="CG66" s="826"/>
      <c r="CH66" s="826"/>
      <c r="CI66" s="826"/>
      <c r="CJ66" s="826"/>
      <c r="CK66" s="826"/>
      <c r="CL66" s="826"/>
      <c r="CM66" s="826"/>
      <c r="CN66" s="826"/>
      <c r="CO66" s="826"/>
      <c r="CP66" s="826"/>
      <c r="CQ66" s="826"/>
      <c r="CR66" s="826"/>
      <c r="CS66" s="826"/>
      <c r="CT66" s="826"/>
      <c r="CU66" s="826"/>
      <c r="CV66" s="826"/>
      <c r="CW66" s="826"/>
      <c r="CX66" s="826"/>
      <c r="CY66" s="826"/>
      <c r="CZ66" s="826"/>
      <c r="DA66" s="826"/>
      <c r="DB66" s="826"/>
      <c r="DC66" s="826"/>
      <c r="DD66" s="826"/>
      <c r="DE66" s="826"/>
      <c r="DF66" s="826"/>
      <c r="DG66" s="826"/>
      <c r="DH66" s="826"/>
      <c r="DI66" s="826"/>
      <c r="DJ66" s="826"/>
      <c r="DK66" s="826"/>
      <c r="DL66" s="826"/>
      <c r="DM66" s="826"/>
      <c r="DN66" s="826"/>
      <c r="DO66" s="826"/>
      <c r="DP66" s="826"/>
      <c r="DQ66" s="826"/>
      <c r="DR66" s="826"/>
      <c r="DS66" s="826"/>
      <c r="DT66" s="826"/>
      <c r="DU66" s="826"/>
      <c r="DV66" s="826"/>
      <c r="DW66" s="826"/>
      <c r="DX66" s="826"/>
      <c r="DY66" s="826"/>
      <c r="DZ66" s="826"/>
      <c r="EA66" s="826"/>
      <c r="EB66" s="826"/>
      <c r="EC66" s="826"/>
      <c r="ED66" s="826"/>
      <c r="EE66" s="826"/>
      <c r="EF66" s="826"/>
      <c r="EG66" s="826"/>
      <c r="EH66" s="826"/>
      <c r="EI66" s="826"/>
      <c r="EJ66" s="826"/>
      <c r="EK66" s="826"/>
      <c r="EL66" s="826"/>
      <c r="EM66" s="826"/>
      <c r="EN66" s="826"/>
      <c r="EO66" s="826"/>
      <c r="EP66" s="826"/>
      <c r="EQ66" s="826"/>
      <c r="ER66" s="826"/>
      <c r="ES66" s="826"/>
      <c r="ET66" s="826"/>
      <c r="EU66" s="826"/>
      <c r="EV66" s="826"/>
      <c r="EW66" s="826"/>
      <c r="EX66" s="826"/>
      <c r="EY66" s="826"/>
      <c r="EZ66" s="826"/>
      <c r="FA66" s="826"/>
      <c r="FB66" s="826"/>
      <c r="FC66" s="826"/>
      <c r="FD66" s="826"/>
      <c r="FE66" s="826"/>
      <c r="FF66" s="826"/>
      <c r="FG66" s="826"/>
      <c r="FH66" s="826"/>
      <c r="FI66" s="826"/>
      <c r="FJ66" s="826"/>
      <c r="FK66" s="826"/>
      <c r="FL66" s="826"/>
      <c r="FM66" s="826"/>
      <c r="FN66" s="826"/>
      <c r="FO66" s="826"/>
      <c r="FP66" s="826"/>
      <c r="FQ66" s="826"/>
      <c r="FR66" s="826"/>
      <c r="FS66" s="826"/>
      <c r="FT66" s="826"/>
      <c r="FU66" s="826"/>
      <c r="FV66" s="826"/>
      <c r="FW66" s="826"/>
      <c r="FX66" s="826"/>
      <c r="FY66" s="826"/>
      <c r="FZ66" s="826"/>
      <c r="GA66" s="826"/>
      <c r="GB66" s="826"/>
      <c r="GC66" s="826"/>
      <c r="GD66" s="826"/>
      <c r="GE66" s="826"/>
      <c r="GF66" s="826"/>
      <c r="GG66" s="826"/>
      <c r="GH66" s="826"/>
      <c r="GI66" s="826"/>
      <c r="GJ66" s="826"/>
      <c r="GK66" s="826"/>
      <c r="GL66" s="826"/>
      <c r="GM66" s="826"/>
      <c r="GN66" s="826"/>
      <c r="GO66" s="826"/>
      <c r="GP66" s="826"/>
      <c r="GQ66" s="826"/>
      <c r="GR66" s="826"/>
      <c r="GS66" s="826"/>
      <c r="GT66" s="826"/>
      <c r="GU66" s="826"/>
      <c r="GV66" s="826"/>
      <c r="GW66" s="826"/>
      <c r="GX66" s="826"/>
      <c r="GY66" s="826"/>
      <c r="GZ66" s="826"/>
      <c r="HA66" s="826"/>
      <c r="HB66" s="826"/>
      <c r="HC66" s="826"/>
      <c r="HD66" s="826"/>
      <c r="HE66" s="826"/>
      <c r="HF66" s="826"/>
      <c r="HG66" s="826"/>
      <c r="HH66" s="826"/>
      <c r="HI66" s="826"/>
    </row>
    <row r="67" spans="1:217" s="827" customFormat="1" ht="56.25" customHeight="1">
      <c r="A67" s="96">
        <v>75</v>
      </c>
      <c r="B67" s="840" t="s">
        <v>10136</v>
      </c>
      <c r="C67" s="142">
        <v>13990996</v>
      </c>
      <c r="D67" s="424" t="s">
        <v>8638</v>
      </c>
      <c r="E67" s="143"/>
      <c r="F67" s="146"/>
      <c r="G67" s="145"/>
      <c r="H67" s="148"/>
      <c r="I67" s="175"/>
      <c r="J67" s="173"/>
      <c r="K67" s="146"/>
      <c r="L67" s="174"/>
      <c r="M67" s="175"/>
      <c r="N67" s="175"/>
      <c r="O67" s="173"/>
      <c r="P67" s="146"/>
      <c r="Q67" s="174"/>
      <c r="R67" s="175"/>
      <c r="S67" s="175"/>
      <c r="T67" s="173"/>
      <c r="U67" s="146"/>
      <c r="V67" s="174"/>
      <c r="W67" s="175"/>
      <c r="X67" s="175"/>
      <c r="Y67" s="173"/>
      <c r="Z67" s="146"/>
      <c r="AA67" s="174"/>
      <c r="AB67" s="175"/>
      <c r="AC67" s="175"/>
      <c r="AD67" s="173"/>
      <c r="AE67" s="146"/>
      <c r="AF67" s="174"/>
      <c r="AG67" s="175"/>
      <c r="AH67" s="175"/>
      <c r="AI67" s="175"/>
      <c r="AJ67" s="146"/>
      <c r="AK67" s="174"/>
      <c r="AL67" s="175"/>
      <c r="AM67" s="175"/>
      <c r="AN67" s="195"/>
      <c r="AO67" s="195"/>
      <c r="AP67" s="22" t="s">
        <v>10137</v>
      </c>
      <c r="AQ67" s="175"/>
      <c r="AR67" s="173"/>
      <c r="AS67" s="173"/>
      <c r="AT67" s="175"/>
      <c r="AU67" s="175"/>
      <c r="AV67" s="126" t="s">
        <v>10138</v>
      </c>
      <c r="AW67" s="126"/>
      <c r="AX67" s="839"/>
      <c r="AY67" s="173"/>
      <c r="AZ67" s="171"/>
      <c r="BA67" s="148"/>
      <c r="BB67" s="148"/>
      <c r="BC67" s="175"/>
      <c r="BD67" s="174"/>
      <c r="BE67" s="174"/>
      <c r="BF67" s="174"/>
      <c r="BG67" s="174"/>
      <c r="BH67" s="176"/>
      <c r="BI67" s="176"/>
      <c r="BJ67" s="177"/>
      <c r="BK67" s="173"/>
      <c r="BL67" s="146"/>
      <c r="BM67" s="838"/>
      <c r="BN67" s="175"/>
      <c r="BO67" s="174"/>
      <c r="BP67" s="174"/>
      <c r="BQ67" s="174"/>
      <c r="BR67" s="179"/>
      <c r="BS67" s="174"/>
      <c r="BT67" s="173"/>
      <c r="BU67" s="146"/>
      <c r="BV67" s="826"/>
      <c r="BW67" s="826"/>
      <c r="BX67" s="826"/>
      <c r="BY67" s="826"/>
      <c r="BZ67" s="826"/>
      <c r="CA67" s="826"/>
      <c r="CB67" s="826"/>
      <c r="CC67" s="826"/>
      <c r="CD67" s="826"/>
      <c r="CE67" s="826"/>
      <c r="CF67" s="826"/>
      <c r="CG67" s="826"/>
      <c r="CH67" s="826"/>
      <c r="CI67" s="826"/>
      <c r="CJ67" s="826"/>
      <c r="CK67" s="826"/>
      <c r="CL67" s="826"/>
      <c r="CM67" s="826"/>
      <c r="CN67" s="826"/>
      <c r="CO67" s="826"/>
      <c r="CP67" s="826"/>
      <c r="CQ67" s="826"/>
      <c r="CR67" s="826"/>
      <c r="CS67" s="826"/>
      <c r="CT67" s="826"/>
      <c r="CU67" s="826"/>
      <c r="CV67" s="826"/>
      <c r="CW67" s="826"/>
      <c r="CX67" s="826"/>
      <c r="CY67" s="826"/>
      <c r="CZ67" s="826"/>
      <c r="DA67" s="826"/>
      <c r="DB67" s="826"/>
      <c r="DC67" s="826"/>
      <c r="DD67" s="826"/>
      <c r="DE67" s="826"/>
      <c r="DF67" s="826"/>
      <c r="DG67" s="826"/>
      <c r="DH67" s="826"/>
      <c r="DI67" s="826"/>
      <c r="DJ67" s="826"/>
      <c r="DK67" s="826"/>
      <c r="DL67" s="826"/>
      <c r="DM67" s="826"/>
      <c r="DN67" s="826"/>
      <c r="DO67" s="826"/>
      <c r="DP67" s="826"/>
      <c r="DQ67" s="826"/>
      <c r="DR67" s="826"/>
      <c r="DS67" s="826"/>
      <c r="DT67" s="826"/>
      <c r="DU67" s="826"/>
      <c r="DV67" s="826"/>
      <c r="DW67" s="826"/>
      <c r="DX67" s="826"/>
      <c r="DY67" s="826"/>
      <c r="DZ67" s="826"/>
      <c r="EA67" s="826"/>
      <c r="EB67" s="826"/>
      <c r="EC67" s="826"/>
      <c r="ED67" s="826"/>
      <c r="EE67" s="826"/>
      <c r="EF67" s="826"/>
      <c r="EG67" s="826"/>
      <c r="EH67" s="826"/>
      <c r="EI67" s="826"/>
      <c r="EJ67" s="826"/>
      <c r="EK67" s="826"/>
      <c r="EL67" s="826"/>
      <c r="EM67" s="826"/>
      <c r="EN67" s="826"/>
      <c r="EO67" s="826"/>
      <c r="EP67" s="826"/>
      <c r="EQ67" s="826"/>
      <c r="ER67" s="826"/>
      <c r="ES67" s="826"/>
      <c r="ET67" s="826"/>
      <c r="EU67" s="826"/>
      <c r="EV67" s="826"/>
      <c r="EW67" s="826"/>
      <c r="EX67" s="826"/>
      <c r="EY67" s="826"/>
      <c r="EZ67" s="826"/>
      <c r="FA67" s="826"/>
      <c r="FB67" s="826"/>
      <c r="FC67" s="826"/>
      <c r="FD67" s="826"/>
      <c r="FE67" s="826"/>
      <c r="FF67" s="826"/>
      <c r="FG67" s="826"/>
      <c r="FH67" s="826"/>
      <c r="FI67" s="826"/>
      <c r="FJ67" s="826"/>
      <c r="FK67" s="826"/>
      <c r="FL67" s="826"/>
      <c r="FM67" s="826"/>
      <c r="FN67" s="826"/>
      <c r="FO67" s="826"/>
      <c r="FP67" s="826"/>
      <c r="FQ67" s="826"/>
      <c r="FR67" s="826"/>
      <c r="FS67" s="826"/>
      <c r="FT67" s="826"/>
      <c r="FU67" s="826"/>
      <c r="FV67" s="826"/>
      <c r="FW67" s="826"/>
      <c r="FX67" s="826"/>
      <c r="FY67" s="826"/>
      <c r="FZ67" s="826"/>
      <c r="GA67" s="826"/>
      <c r="GB67" s="826"/>
      <c r="GC67" s="826"/>
      <c r="GD67" s="826"/>
      <c r="GE67" s="826"/>
      <c r="GF67" s="826"/>
      <c r="GG67" s="826"/>
      <c r="GH67" s="826"/>
      <c r="GI67" s="826"/>
      <c r="GJ67" s="826"/>
      <c r="GK67" s="826"/>
      <c r="GL67" s="826"/>
      <c r="GM67" s="826"/>
      <c r="GN67" s="826"/>
      <c r="GO67" s="826"/>
      <c r="GP67" s="826"/>
      <c r="GQ67" s="826"/>
      <c r="GR67" s="826"/>
      <c r="GS67" s="826"/>
      <c r="GT67" s="826"/>
      <c r="GU67" s="826"/>
      <c r="GV67" s="826"/>
      <c r="GW67" s="826"/>
      <c r="GX67" s="826"/>
      <c r="GY67" s="826"/>
      <c r="GZ67" s="826"/>
      <c r="HA67" s="826"/>
      <c r="HB67" s="826"/>
      <c r="HC67" s="826"/>
      <c r="HD67" s="826"/>
      <c r="HE67" s="826"/>
      <c r="HF67" s="826"/>
      <c r="HG67" s="826"/>
      <c r="HH67" s="826"/>
      <c r="HI67" s="826"/>
    </row>
    <row r="68" spans="1:217" s="827" customFormat="1" ht="56.25" customHeight="1">
      <c r="A68" s="96">
        <v>76</v>
      </c>
      <c r="B68" s="840" t="s">
        <v>8794</v>
      </c>
      <c r="C68" s="142">
        <v>93408788</v>
      </c>
      <c r="D68" s="424" t="s">
        <v>597</v>
      </c>
      <c r="E68" s="143"/>
      <c r="F68" s="146"/>
      <c r="G68" s="145"/>
      <c r="H68" s="148"/>
      <c r="I68" s="175"/>
      <c r="J68" s="173"/>
      <c r="K68" s="146"/>
      <c r="L68" s="174"/>
      <c r="M68" s="175"/>
      <c r="N68" s="175"/>
      <c r="O68" s="173"/>
      <c r="P68" s="146"/>
      <c r="Q68" s="174"/>
      <c r="R68" s="175"/>
      <c r="S68" s="175"/>
      <c r="T68" s="173"/>
      <c r="U68" s="146"/>
      <c r="V68" s="174"/>
      <c r="W68" s="175"/>
      <c r="X68" s="175"/>
      <c r="Y68" s="173"/>
      <c r="Z68" s="146"/>
      <c r="AA68" s="174"/>
      <c r="AB68" s="175"/>
      <c r="AC68" s="175"/>
      <c r="AD68" s="173"/>
      <c r="AE68" s="146"/>
      <c r="AF68" s="174"/>
      <c r="AG68" s="175"/>
      <c r="AH68" s="175"/>
      <c r="AI68" s="175"/>
      <c r="AJ68" s="146"/>
      <c r="AK68" s="174"/>
      <c r="AL68" s="175"/>
      <c r="AM68" s="175"/>
      <c r="AN68" s="195"/>
      <c r="AO68" s="195"/>
      <c r="AP68" s="22" t="s">
        <v>10139</v>
      </c>
      <c r="AQ68" s="175"/>
      <c r="AR68" s="173"/>
      <c r="AS68" s="173"/>
      <c r="AT68" s="175"/>
      <c r="AU68" s="175"/>
      <c r="AV68" s="126" t="s">
        <v>10140</v>
      </c>
      <c r="AW68" s="423">
        <v>42629</v>
      </c>
      <c r="AX68" s="839"/>
      <c r="AY68" s="173"/>
      <c r="AZ68" s="171"/>
      <c r="BA68" s="148"/>
      <c r="BB68" s="148"/>
      <c r="BC68" s="175"/>
      <c r="BD68" s="174"/>
      <c r="BE68" s="174"/>
      <c r="BF68" s="174"/>
      <c r="BG68" s="174"/>
      <c r="BH68" s="176"/>
      <c r="BI68" s="176"/>
      <c r="BJ68" s="177"/>
      <c r="BK68" s="173"/>
      <c r="BL68" s="146"/>
      <c r="BM68" s="838"/>
      <c r="BN68" s="175"/>
      <c r="BO68" s="174"/>
      <c r="BP68" s="174"/>
      <c r="BQ68" s="174"/>
      <c r="BR68" s="179"/>
      <c r="BS68" s="174"/>
      <c r="BT68" s="173"/>
      <c r="BU68" s="146"/>
      <c r="BV68" s="826"/>
      <c r="BW68" s="826"/>
      <c r="BX68" s="826"/>
      <c r="BY68" s="826"/>
      <c r="BZ68" s="826"/>
      <c r="CA68" s="826"/>
      <c r="CB68" s="826"/>
      <c r="CC68" s="826"/>
      <c r="CD68" s="826"/>
      <c r="CE68" s="826"/>
      <c r="CF68" s="826"/>
      <c r="CG68" s="826"/>
      <c r="CH68" s="826"/>
      <c r="CI68" s="826"/>
      <c r="CJ68" s="826"/>
      <c r="CK68" s="826"/>
      <c r="CL68" s="826"/>
      <c r="CM68" s="826"/>
      <c r="CN68" s="826"/>
      <c r="CO68" s="826"/>
      <c r="CP68" s="826"/>
      <c r="CQ68" s="826"/>
      <c r="CR68" s="826"/>
      <c r="CS68" s="826"/>
      <c r="CT68" s="826"/>
      <c r="CU68" s="826"/>
      <c r="CV68" s="826"/>
      <c r="CW68" s="826"/>
      <c r="CX68" s="826"/>
      <c r="CY68" s="826"/>
      <c r="CZ68" s="826"/>
      <c r="DA68" s="826"/>
      <c r="DB68" s="826"/>
      <c r="DC68" s="826"/>
      <c r="DD68" s="826"/>
      <c r="DE68" s="826"/>
      <c r="DF68" s="826"/>
      <c r="DG68" s="826"/>
      <c r="DH68" s="826"/>
      <c r="DI68" s="826"/>
      <c r="DJ68" s="826"/>
      <c r="DK68" s="826"/>
      <c r="DL68" s="826"/>
      <c r="DM68" s="826"/>
      <c r="DN68" s="826"/>
      <c r="DO68" s="826"/>
      <c r="DP68" s="826"/>
      <c r="DQ68" s="826"/>
      <c r="DR68" s="826"/>
      <c r="DS68" s="826"/>
      <c r="DT68" s="826"/>
      <c r="DU68" s="826"/>
      <c r="DV68" s="826"/>
      <c r="DW68" s="826"/>
      <c r="DX68" s="826"/>
      <c r="DY68" s="826"/>
      <c r="DZ68" s="826"/>
      <c r="EA68" s="826"/>
      <c r="EB68" s="826"/>
      <c r="EC68" s="826"/>
      <c r="ED68" s="826"/>
      <c r="EE68" s="826"/>
      <c r="EF68" s="826"/>
      <c r="EG68" s="826"/>
      <c r="EH68" s="826"/>
      <c r="EI68" s="826"/>
      <c r="EJ68" s="826"/>
      <c r="EK68" s="826"/>
      <c r="EL68" s="826"/>
      <c r="EM68" s="826"/>
      <c r="EN68" s="826"/>
      <c r="EO68" s="826"/>
      <c r="EP68" s="826"/>
      <c r="EQ68" s="826"/>
      <c r="ER68" s="826"/>
      <c r="ES68" s="826"/>
      <c r="ET68" s="826"/>
      <c r="EU68" s="826"/>
      <c r="EV68" s="826"/>
      <c r="EW68" s="826"/>
      <c r="EX68" s="826"/>
      <c r="EY68" s="826"/>
      <c r="EZ68" s="826"/>
      <c r="FA68" s="826"/>
      <c r="FB68" s="826"/>
      <c r="FC68" s="826"/>
      <c r="FD68" s="826"/>
      <c r="FE68" s="826"/>
      <c r="FF68" s="826"/>
      <c r="FG68" s="826"/>
      <c r="FH68" s="826"/>
      <c r="FI68" s="826"/>
      <c r="FJ68" s="826"/>
      <c r="FK68" s="826"/>
      <c r="FL68" s="826"/>
      <c r="FM68" s="826"/>
      <c r="FN68" s="826"/>
      <c r="FO68" s="826"/>
      <c r="FP68" s="826"/>
      <c r="FQ68" s="826"/>
      <c r="FR68" s="826"/>
      <c r="FS68" s="826"/>
      <c r="FT68" s="826"/>
      <c r="FU68" s="826"/>
      <c r="FV68" s="826"/>
      <c r="FW68" s="826"/>
      <c r="FX68" s="826"/>
      <c r="FY68" s="826"/>
      <c r="FZ68" s="826"/>
      <c r="GA68" s="826"/>
      <c r="GB68" s="826"/>
      <c r="GC68" s="826"/>
      <c r="GD68" s="826"/>
      <c r="GE68" s="826"/>
      <c r="GF68" s="826"/>
      <c r="GG68" s="826"/>
      <c r="GH68" s="826"/>
      <c r="GI68" s="826"/>
      <c r="GJ68" s="826"/>
      <c r="GK68" s="826"/>
      <c r="GL68" s="826"/>
      <c r="GM68" s="826"/>
      <c r="GN68" s="826"/>
      <c r="GO68" s="826"/>
      <c r="GP68" s="826"/>
      <c r="GQ68" s="826"/>
      <c r="GR68" s="826"/>
      <c r="GS68" s="826"/>
      <c r="GT68" s="826"/>
      <c r="GU68" s="826"/>
      <c r="GV68" s="826"/>
      <c r="GW68" s="826"/>
      <c r="GX68" s="826"/>
      <c r="GY68" s="826"/>
      <c r="GZ68" s="826"/>
      <c r="HA68" s="826"/>
      <c r="HB68" s="826"/>
      <c r="HC68" s="826"/>
      <c r="HD68" s="826"/>
      <c r="HE68" s="826"/>
      <c r="HF68" s="826"/>
      <c r="HG68" s="826"/>
      <c r="HH68" s="826"/>
      <c r="HI68" s="826"/>
    </row>
    <row r="69" spans="1:217" s="827" customFormat="1" ht="56.25" customHeight="1">
      <c r="A69" s="96">
        <v>77</v>
      </c>
      <c r="B69" s="840" t="s">
        <v>10141</v>
      </c>
      <c r="C69" s="142"/>
      <c r="D69" s="424"/>
      <c r="E69" s="143"/>
      <c r="F69" s="146"/>
      <c r="G69" s="145"/>
      <c r="H69" s="148"/>
      <c r="I69" s="175"/>
      <c r="J69" s="173"/>
      <c r="K69" s="146"/>
      <c r="L69" s="174"/>
      <c r="M69" s="175"/>
      <c r="N69" s="175"/>
      <c r="O69" s="173"/>
      <c r="P69" s="146"/>
      <c r="Q69" s="174"/>
      <c r="R69" s="175"/>
      <c r="S69" s="175"/>
      <c r="T69" s="173"/>
      <c r="U69" s="146"/>
      <c r="V69" s="174"/>
      <c r="W69" s="175"/>
      <c r="X69" s="175"/>
      <c r="Y69" s="173"/>
      <c r="Z69" s="146"/>
      <c r="AA69" s="174"/>
      <c r="AB69" s="175"/>
      <c r="AC69" s="175"/>
      <c r="AD69" s="173"/>
      <c r="AE69" s="146"/>
      <c r="AF69" s="174"/>
      <c r="AG69" s="175"/>
      <c r="AH69" s="175"/>
      <c r="AI69" s="175"/>
      <c r="AJ69" s="146"/>
      <c r="AK69" s="174"/>
      <c r="AL69" s="175"/>
      <c r="AM69" s="175"/>
      <c r="AN69" s="195"/>
      <c r="AO69" s="195"/>
      <c r="AP69" s="22"/>
      <c r="AQ69" s="175"/>
      <c r="AR69" s="173"/>
      <c r="AS69" s="173"/>
      <c r="AT69" s="175"/>
      <c r="AU69" s="175"/>
      <c r="AV69" s="126"/>
      <c r="AW69" s="126"/>
      <c r="AX69" s="839"/>
      <c r="AY69" s="173"/>
      <c r="AZ69" s="171"/>
      <c r="BA69" s="148"/>
      <c r="BB69" s="148"/>
      <c r="BC69" s="175"/>
      <c r="BD69" s="174"/>
      <c r="BE69" s="174"/>
      <c r="BF69" s="174"/>
      <c r="BG69" s="174"/>
      <c r="BH69" s="176"/>
      <c r="BI69" s="176"/>
      <c r="BJ69" s="177"/>
      <c r="BK69" s="173"/>
      <c r="BL69" s="146"/>
      <c r="BM69" s="838"/>
      <c r="BN69" s="175"/>
      <c r="BO69" s="174"/>
      <c r="BP69" s="174"/>
      <c r="BQ69" s="174"/>
      <c r="BR69" s="179"/>
      <c r="BS69" s="174"/>
      <c r="BT69" s="173"/>
      <c r="BU69" s="146"/>
      <c r="BV69" s="826"/>
      <c r="BW69" s="826"/>
      <c r="BX69" s="826"/>
      <c r="BY69" s="826"/>
      <c r="BZ69" s="826"/>
      <c r="CA69" s="826"/>
      <c r="CB69" s="826"/>
      <c r="CC69" s="826"/>
      <c r="CD69" s="826"/>
      <c r="CE69" s="826"/>
      <c r="CF69" s="826"/>
      <c r="CG69" s="826"/>
      <c r="CH69" s="826"/>
      <c r="CI69" s="826"/>
      <c r="CJ69" s="826"/>
      <c r="CK69" s="826"/>
      <c r="CL69" s="826"/>
      <c r="CM69" s="826"/>
      <c r="CN69" s="826"/>
      <c r="CO69" s="826"/>
      <c r="CP69" s="826"/>
      <c r="CQ69" s="826"/>
      <c r="CR69" s="826"/>
      <c r="CS69" s="826"/>
      <c r="CT69" s="826"/>
      <c r="CU69" s="826"/>
      <c r="CV69" s="826"/>
      <c r="CW69" s="826"/>
      <c r="CX69" s="826"/>
      <c r="CY69" s="826"/>
      <c r="CZ69" s="826"/>
      <c r="DA69" s="826"/>
      <c r="DB69" s="826"/>
      <c r="DC69" s="826"/>
      <c r="DD69" s="826"/>
      <c r="DE69" s="826"/>
      <c r="DF69" s="826"/>
      <c r="DG69" s="826"/>
      <c r="DH69" s="826"/>
      <c r="DI69" s="826"/>
      <c r="DJ69" s="826"/>
      <c r="DK69" s="826"/>
      <c r="DL69" s="826"/>
      <c r="DM69" s="826"/>
      <c r="DN69" s="826"/>
      <c r="DO69" s="826"/>
      <c r="DP69" s="826"/>
      <c r="DQ69" s="826"/>
      <c r="DR69" s="826"/>
      <c r="DS69" s="826"/>
      <c r="DT69" s="826"/>
      <c r="DU69" s="826"/>
      <c r="DV69" s="826"/>
      <c r="DW69" s="826"/>
      <c r="DX69" s="826"/>
      <c r="DY69" s="826"/>
      <c r="DZ69" s="826"/>
      <c r="EA69" s="826"/>
      <c r="EB69" s="826"/>
      <c r="EC69" s="826"/>
      <c r="ED69" s="826"/>
      <c r="EE69" s="826"/>
      <c r="EF69" s="826"/>
      <c r="EG69" s="826"/>
      <c r="EH69" s="826"/>
      <c r="EI69" s="826"/>
      <c r="EJ69" s="826"/>
      <c r="EK69" s="826"/>
      <c r="EL69" s="826"/>
      <c r="EM69" s="826"/>
      <c r="EN69" s="826"/>
      <c r="EO69" s="826"/>
      <c r="EP69" s="826"/>
      <c r="EQ69" s="826"/>
      <c r="ER69" s="826"/>
      <c r="ES69" s="826"/>
      <c r="ET69" s="826"/>
      <c r="EU69" s="826"/>
      <c r="EV69" s="826"/>
      <c r="EW69" s="826"/>
      <c r="EX69" s="826"/>
      <c r="EY69" s="826"/>
      <c r="EZ69" s="826"/>
      <c r="FA69" s="826"/>
      <c r="FB69" s="826"/>
      <c r="FC69" s="826"/>
      <c r="FD69" s="826"/>
      <c r="FE69" s="826"/>
      <c r="FF69" s="826"/>
      <c r="FG69" s="826"/>
      <c r="FH69" s="826"/>
      <c r="FI69" s="826"/>
      <c r="FJ69" s="826"/>
      <c r="FK69" s="826"/>
      <c r="FL69" s="826"/>
      <c r="FM69" s="826"/>
      <c r="FN69" s="826"/>
      <c r="FO69" s="826"/>
      <c r="FP69" s="826"/>
      <c r="FQ69" s="826"/>
      <c r="FR69" s="826"/>
      <c r="FS69" s="826"/>
      <c r="FT69" s="826"/>
      <c r="FU69" s="826"/>
      <c r="FV69" s="826"/>
      <c r="FW69" s="826"/>
      <c r="FX69" s="826"/>
      <c r="FY69" s="826"/>
      <c r="FZ69" s="826"/>
      <c r="GA69" s="826"/>
      <c r="GB69" s="826"/>
      <c r="GC69" s="826"/>
      <c r="GD69" s="826"/>
      <c r="GE69" s="826"/>
      <c r="GF69" s="826"/>
      <c r="GG69" s="826"/>
      <c r="GH69" s="826"/>
      <c r="GI69" s="826"/>
      <c r="GJ69" s="826"/>
      <c r="GK69" s="826"/>
      <c r="GL69" s="826"/>
      <c r="GM69" s="826"/>
      <c r="GN69" s="826"/>
      <c r="GO69" s="826"/>
      <c r="GP69" s="826"/>
      <c r="GQ69" s="826"/>
      <c r="GR69" s="826"/>
      <c r="GS69" s="826"/>
      <c r="GT69" s="826"/>
      <c r="GU69" s="826"/>
      <c r="GV69" s="826"/>
      <c r="GW69" s="826"/>
      <c r="GX69" s="826"/>
      <c r="GY69" s="826"/>
      <c r="GZ69" s="826"/>
      <c r="HA69" s="826"/>
      <c r="HB69" s="826"/>
      <c r="HC69" s="826"/>
      <c r="HD69" s="826"/>
      <c r="HE69" s="826"/>
      <c r="HF69" s="826"/>
      <c r="HG69" s="826"/>
      <c r="HH69" s="826"/>
      <c r="HI69" s="826"/>
    </row>
    <row r="70" spans="1:217" s="827" customFormat="1" ht="56.25" customHeight="1">
      <c r="A70" s="96">
        <v>836</v>
      </c>
      <c r="B70" s="843" t="s">
        <v>10142</v>
      </c>
      <c r="C70" s="142">
        <v>39350314</v>
      </c>
      <c r="D70" s="828" t="s">
        <v>10143</v>
      </c>
      <c r="E70" s="143">
        <v>43328</v>
      </c>
      <c r="F70" s="146">
        <v>43328</v>
      </c>
      <c r="G70" s="145" t="s">
        <v>10144</v>
      </c>
      <c r="H70" s="148" t="s">
        <v>171</v>
      </c>
      <c r="I70" s="175" t="s">
        <v>777</v>
      </c>
      <c r="J70" s="173"/>
      <c r="K70" s="146"/>
      <c r="L70" s="174"/>
      <c r="M70" s="175"/>
      <c r="N70" s="175"/>
      <c r="O70" s="173"/>
      <c r="P70" s="146"/>
      <c r="Q70" s="174"/>
      <c r="R70" s="175"/>
      <c r="S70" s="175"/>
      <c r="T70" s="173"/>
      <c r="U70" s="146"/>
      <c r="V70" s="174"/>
      <c r="W70" s="175"/>
      <c r="X70" s="175"/>
      <c r="Y70" s="173"/>
      <c r="Z70" s="146"/>
      <c r="AA70" s="174"/>
      <c r="AB70" s="175"/>
      <c r="AC70" s="175"/>
      <c r="AD70" s="173"/>
      <c r="AE70" s="146"/>
      <c r="AF70" s="174"/>
      <c r="AG70" s="175"/>
      <c r="AH70" s="175"/>
      <c r="AI70" s="175"/>
      <c r="AJ70" s="146"/>
      <c r="AK70" s="174"/>
      <c r="AL70" s="175"/>
      <c r="AM70" s="175"/>
      <c r="AN70" s="195"/>
      <c r="AO70" s="195"/>
      <c r="AP70" s="221" t="s">
        <v>10145</v>
      </c>
      <c r="AQ70" s="175" t="s">
        <v>777</v>
      </c>
      <c r="AR70" s="143" t="s">
        <v>67</v>
      </c>
      <c r="AS70" s="143" t="s">
        <v>67</v>
      </c>
      <c r="AT70" s="148" t="s">
        <v>10146</v>
      </c>
      <c r="AU70" s="175"/>
      <c r="AV70" s="148" t="s">
        <v>10147</v>
      </c>
      <c r="AW70" s="173"/>
      <c r="AX70" s="824"/>
      <c r="AY70" s="173"/>
      <c r="AZ70" s="171"/>
      <c r="BA70" s="148" t="s">
        <v>561</v>
      </c>
      <c r="BB70" s="844"/>
      <c r="BC70" s="148" t="s">
        <v>10148</v>
      </c>
      <c r="BD70" s="174"/>
      <c r="BE70" s="174"/>
      <c r="BF70" s="174"/>
      <c r="BG70" s="174"/>
      <c r="BH70" s="176"/>
      <c r="BI70" s="176"/>
      <c r="BJ70" s="177"/>
      <c r="BK70" s="173"/>
      <c r="BL70" s="146"/>
      <c r="BM70" s="838"/>
      <c r="BN70" s="175"/>
      <c r="BO70" s="174"/>
      <c r="BP70" s="174"/>
      <c r="BQ70" s="174"/>
      <c r="BR70" s="179"/>
      <c r="BS70" s="174"/>
      <c r="BT70" s="173"/>
      <c r="BU70" s="146"/>
      <c r="BV70" s="826"/>
      <c r="BW70" s="826"/>
      <c r="BX70" s="826"/>
      <c r="BY70" s="826"/>
      <c r="BZ70" s="826"/>
      <c r="CA70" s="826"/>
      <c r="CB70" s="826"/>
      <c r="CC70" s="826"/>
      <c r="CD70" s="826"/>
      <c r="CE70" s="826"/>
      <c r="CF70" s="826"/>
      <c r="CG70" s="826"/>
      <c r="CH70" s="826"/>
      <c r="CI70" s="826"/>
      <c r="CJ70" s="826"/>
      <c r="CK70" s="826"/>
      <c r="CL70" s="826"/>
      <c r="CM70" s="826"/>
      <c r="CN70" s="826"/>
      <c r="CO70" s="826"/>
      <c r="CP70" s="826"/>
      <c r="CQ70" s="826"/>
      <c r="CR70" s="826"/>
      <c r="CS70" s="826"/>
      <c r="CT70" s="826"/>
      <c r="CU70" s="826"/>
      <c r="CV70" s="826"/>
      <c r="CW70" s="826"/>
      <c r="CX70" s="826"/>
      <c r="CY70" s="826"/>
      <c r="CZ70" s="826"/>
      <c r="DA70" s="826"/>
      <c r="DB70" s="826"/>
      <c r="DC70" s="826"/>
      <c r="DD70" s="826"/>
      <c r="DE70" s="826"/>
      <c r="DF70" s="826"/>
      <c r="DG70" s="826"/>
      <c r="DH70" s="826"/>
      <c r="DI70" s="826"/>
      <c r="DJ70" s="826"/>
      <c r="DK70" s="826"/>
      <c r="DL70" s="826"/>
      <c r="DM70" s="826"/>
      <c r="DN70" s="826"/>
      <c r="DO70" s="826"/>
      <c r="DP70" s="826"/>
      <c r="DQ70" s="826"/>
      <c r="DR70" s="826"/>
      <c r="DS70" s="826"/>
      <c r="DT70" s="826"/>
      <c r="DU70" s="826"/>
      <c r="DV70" s="826"/>
      <c r="DW70" s="826"/>
      <c r="DX70" s="826"/>
      <c r="DY70" s="826"/>
      <c r="DZ70" s="826"/>
      <c r="EA70" s="826"/>
      <c r="EB70" s="826"/>
      <c r="EC70" s="826"/>
      <c r="ED70" s="826"/>
      <c r="EE70" s="826"/>
      <c r="EF70" s="826"/>
      <c r="EG70" s="826"/>
      <c r="EH70" s="826"/>
      <c r="EI70" s="826"/>
      <c r="EJ70" s="826"/>
      <c r="EK70" s="826"/>
      <c r="EL70" s="826"/>
      <c r="EM70" s="826"/>
      <c r="EN70" s="826"/>
      <c r="EO70" s="826"/>
      <c r="EP70" s="826"/>
      <c r="EQ70" s="826"/>
      <c r="ER70" s="826"/>
      <c r="ES70" s="826"/>
      <c r="ET70" s="826"/>
      <c r="EU70" s="826"/>
      <c r="EV70" s="826"/>
      <c r="EW70" s="826"/>
      <c r="EX70" s="826"/>
      <c r="EY70" s="826"/>
      <c r="EZ70" s="826"/>
      <c r="FA70" s="826"/>
      <c r="FB70" s="826"/>
      <c r="FC70" s="826"/>
      <c r="FD70" s="826"/>
      <c r="FE70" s="826"/>
      <c r="FF70" s="826"/>
      <c r="FG70" s="826"/>
      <c r="FH70" s="826"/>
      <c r="FI70" s="826"/>
      <c r="FJ70" s="826"/>
      <c r="FK70" s="826"/>
      <c r="FL70" s="826"/>
      <c r="FM70" s="826"/>
      <c r="FN70" s="826"/>
      <c r="FO70" s="826"/>
      <c r="FP70" s="826"/>
      <c r="FQ70" s="826"/>
      <c r="FR70" s="826"/>
      <c r="FS70" s="826"/>
      <c r="FT70" s="826"/>
      <c r="FU70" s="826"/>
      <c r="FV70" s="826"/>
      <c r="FW70" s="826"/>
      <c r="FX70" s="826"/>
      <c r="FY70" s="826"/>
      <c r="FZ70" s="826"/>
      <c r="GA70" s="826"/>
      <c r="GB70" s="826"/>
      <c r="GC70" s="826"/>
      <c r="GD70" s="826"/>
      <c r="GE70" s="826"/>
      <c r="GF70" s="826"/>
      <c r="GG70" s="826"/>
      <c r="GH70" s="826"/>
      <c r="GI70" s="826"/>
      <c r="GJ70" s="826"/>
      <c r="GK70" s="826"/>
      <c r="GL70" s="826"/>
      <c r="GM70" s="826"/>
      <c r="GN70" s="826"/>
      <c r="GO70" s="826"/>
      <c r="GP70" s="826"/>
      <c r="GQ70" s="826"/>
      <c r="GR70" s="826"/>
      <c r="GS70" s="826"/>
      <c r="GT70" s="826"/>
      <c r="GU70" s="826"/>
      <c r="GV70" s="826"/>
      <c r="GW70" s="826"/>
      <c r="GX70" s="826"/>
      <c r="GY70" s="826"/>
      <c r="GZ70" s="826"/>
      <c r="HA70" s="826"/>
      <c r="HB70" s="826"/>
      <c r="HC70" s="826"/>
      <c r="HD70" s="826"/>
      <c r="HE70" s="826"/>
      <c r="HF70" s="826"/>
      <c r="HG70" s="826"/>
      <c r="HH70" s="826"/>
      <c r="HI70" s="826"/>
    </row>
    <row r="71" spans="1:217" s="827" customFormat="1" ht="409.5">
      <c r="A71" s="96">
        <v>840</v>
      </c>
      <c r="B71" s="424" t="s">
        <v>10149</v>
      </c>
      <c r="C71" s="142">
        <v>79442339</v>
      </c>
      <c r="D71" s="828" t="s">
        <v>10150</v>
      </c>
      <c r="E71" s="143">
        <v>43312</v>
      </c>
      <c r="F71" s="146">
        <v>43312</v>
      </c>
      <c r="G71" s="145" t="s">
        <v>10151</v>
      </c>
      <c r="H71" s="148" t="s">
        <v>625</v>
      </c>
      <c r="I71" s="148" t="s">
        <v>6540</v>
      </c>
      <c r="J71" s="220"/>
      <c r="K71" s="220"/>
      <c r="L71" s="220"/>
      <c r="M71" s="220"/>
      <c r="N71" s="220"/>
      <c r="O71" s="220"/>
      <c r="P71" s="220"/>
      <c r="Q71" s="220"/>
      <c r="R71" s="220"/>
      <c r="S71" s="220"/>
      <c r="T71" s="220"/>
      <c r="U71" s="220"/>
      <c r="V71" s="220"/>
      <c r="W71" s="220"/>
      <c r="X71" s="220"/>
      <c r="Y71" s="220"/>
      <c r="Z71" s="220"/>
      <c r="AA71" s="220"/>
      <c r="AB71" s="220"/>
      <c r="AC71" s="220"/>
      <c r="AD71" s="220"/>
      <c r="AE71" s="220"/>
      <c r="AF71" s="220"/>
      <c r="AG71" s="220"/>
      <c r="AH71" s="220"/>
      <c r="AI71" s="220"/>
      <c r="AJ71" s="220"/>
      <c r="AK71" s="220"/>
      <c r="AL71" s="220"/>
      <c r="AM71" s="220"/>
      <c r="AN71" s="836"/>
      <c r="AO71" s="836"/>
      <c r="AP71" s="221" t="s">
        <v>10152</v>
      </c>
      <c r="AQ71" s="175" t="s">
        <v>10153</v>
      </c>
      <c r="AR71" s="220"/>
      <c r="AS71" s="220"/>
      <c r="AT71" s="220"/>
      <c r="AU71" s="220"/>
      <c r="AV71" s="148" t="s">
        <v>10154</v>
      </c>
      <c r="AW71" s="173">
        <v>43143</v>
      </c>
      <c r="AX71" s="837"/>
      <c r="AY71" s="220"/>
      <c r="AZ71" s="224"/>
      <c r="BA71" s="220"/>
      <c r="BB71" s="220"/>
      <c r="BC71" s="220"/>
      <c r="BD71" s="220"/>
      <c r="BE71" s="220"/>
      <c r="BF71" s="220"/>
      <c r="BG71" s="220"/>
      <c r="BH71" s="220"/>
      <c r="BI71" s="220"/>
      <c r="BJ71" s="220"/>
      <c r="BK71" s="220"/>
      <c r="BL71" s="220"/>
      <c r="BM71" s="220"/>
      <c r="BN71" s="220"/>
      <c r="BO71" s="220"/>
      <c r="BP71" s="220"/>
      <c r="BQ71" s="220"/>
      <c r="BR71" s="220"/>
      <c r="BS71" s="220"/>
      <c r="BT71" s="220"/>
      <c r="BU71" s="220"/>
      <c r="BV71" s="826"/>
      <c r="BW71" s="826"/>
      <c r="BX71" s="826"/>
      <c r="BY71" s="826"/>
      <c r="BZ71" s="826"/>
      <c r="CA71" s="826"/>
      <c r="CB71" s="826"/>
      <c r="CC71" s="826"/>
      <c r="CD71" s="826"/>
      <c r="CE71" s="826"/>
      <c r="CF71" s="826"/>
      <c r="CG71" s="826"/>
      <c r="CH71" s="826"/>
      <c r="CI71" s="826"/>
      <c r="CJ71" s="826"/>
      <c r="CK71" s="826"/>
      <c r="CL71" s="826"/>
      <c r="CM71" s="826"/>
      <c r="CN71" s="826"/>
      <c r="CO71" s="826"/>
      <c r="CP71" s="826"/>
      <c r="CQ71" s="826"/>
      <c r="CR71" s="826"/>
      <c r="CS71" s="826"/>
      <c r="CT71" s="826"/>
      <c r="CU71" s="826"/>
      <c r="CV71" s="826"/>
      <c r="CW71" s="826"/>
      <c r="CX71" s="826"/>
      <c r="CY71" s="826"/>
      <c r="CZ71" s="826"/>
      <c r="DA71" s="826"/>
      <c r="DB71" s="826"/>
      <c r="DC71" s="826"/>
      <c r="DD71" s="826"/>
      <c r="DE71" s="826"/>
      <c r="DF71" s="826"/>
      <c r="DG71" s="826"/>
      <c r="DH71" s="826"/>
      <c r="DI71" s="826"/>
      <c r="DJ71" s="826"/>
      <c r="DK71" s="826"/>
      <c r="DL71" s="826"/>
      <c r="DM71" s="826"/>
      <c r="DN71" s="826"/>
      <c r="DO71" s="826"/>
      <c r="DP71" s="826"/>
      <c r="DQ71" s="826"/>
      <c r="DR71" s="826"/>
      <c r="DS71" s="826"/>
      <c r="DT71" s="826"/>
      <c r="DU71" s="826"/>
      <c r="DV71" s="826"/>
      <c r="DW71" s="826"/>
      <c r="DX71" s="826"/>
      <c r="DY71" s="826"/>
      <c r="DZ71" s="826"/>
      <c r="EA71" s="826"/>
      <c r="EB71" s="826"/>
      <c r="EC71" s="826"/>
      <c r="ED71" s="826"/>
      <c r="EE71" s="826"/>
      <c r="EF71" s="826"/>
      <c r="EG71" s="826"/>
      <c r="EH71" s="826"/>
      <c r="EI71" s="826"/>
      <c r="EJ71" s="826"/>
      <c r="EK71" s="826"/>
      <c r="EL71" s="826"/>
      <c r="EM71" s="826"/>
      <c r="EN71" s="826"/>
      <c r="EO71" s="826"/>
      <c r="EP71" s="826"/>
      <c r="EQ71" s="826"/>
      <c r="ER71" s="826"/>
      <c r="ES71" s="826"/>
      <c r="ET71" s="826"/>
      <c r="EU71" s="826"/>
      <c r="EV71" s="826"/>
      <c r="EW71" s="826"/>
      <c r="EX71" s="826"/>
      <c r="EY71" s="826"/>
      <c r="EZ71" s="826"/>
      <c r="FA71" s="826"/>
      <c r="FB71" s="826"/>
      <c r="FC71" s="826"/>
      <c r="FD71" s="826"/>
      <c r="FE71" s="826"/>
      <c r="FF71" s="826"/>
      <c r="FG71" s="826"/>
      <c r="FH71" s="826"/>
      <c r="FI71" s="826"/>
      <c r="FJ71" s="826"/>
      <c r="FK71" s="826"/>
      <c r="FL71" s="826"/>
      <c r="FM71" s="826"/>
      <c r="FN71" s="826"/>
      <c r="FO71" s="826"/>
      <c r="FP71" s="826"/>
      <c r="FQ71" s="826"/>
      <c r="FR71" s="826"/>
      <c r="FS71" s="826"/>
      <c r="FT71" s="826"/>
      <c r="FU71" s="826"/>
      <c r="FV71" s="826"/>
      <c r="FW71" s="826"/>
      <c r="FX71" s="826"/>
      <c r="FY71" s="826"/>
      <c r="FZ71" s="826"/>
      <c r="GA71" s="826"/>
      <c r="GB71" s="826"/>
      <c r="GC71" s="826"/>
      <c r="GD71" s="826"/>
      <c r="GE71" s="826"/>
      <c r="GF71" s="826"/>
      <c r="GG71" s="826"/>
      <c r="GH71" s="826"/>
      <c r="GI71" s="826"/>
      <c r="GJ71" s="826"/>
      <c r="GK71" s="826"/>
      <c r="GL71" s="826"/>
      <c r="GM71" s="826"/>
      <c r="GN71" s="826"/>
      <c r="GO71" s="826"/>
      <c r="GP71" s="826"/>
      <c r="GQ71" s="826"/>
      <c r="GR71" s="826"/>
      <c r="GS71" s="826"/>
      <c r="GT71" s="826"/>
      <c r="GU71" s="826"/>
      <c r="GV71" s="826"/>
      <c r="GW71" s="826"/>
      <c r="GX71" s="826"/>
      <c r="GY71" s="826"/>
      <c r="GZ71" s="826"/>
      <c r="HA71" s="826"/>
      <c r="HB71" s="826"/>
      <c r="HC71" s="826"/>
      <c r="HD71" s="826"/>
      <c r="HE71" s="826"/>
      <c r="HF71" s="826"/>
      <c r="HG71" s="826"/>
      <c r="HH71" s="826"/>
      <c r="HI71" s="826"/>
    </row>
    <row r="72" spans="1:217" s="827" customFormat="1" ht="56.25" customHeight="1">
      <c r="A72" s="96">
        <v>78</v>
      </c>
      <c r="B72" s="840" t="s">
        <v>9238</v>
      </c>
      <c r="C72" s="142">
        <v>71318182</v>
      </c>
      <c r="D72" s="828" t="s">
        <v>2173</v>
      </c>
      <c r="E72" s="143"/>
      <c r="F72" s="146"/>
      <c r="G72" s="145"/>
      <c r="H72" s="148"/>
      <c r="I72" s="175"/>
      <c r="J72" s="173"/>
      <c r="K72" s="146"/>
      <c r="L72" s="174"/>
      <c r="M72" s="175"/>
      <c r="N72" s="175"/>
      <c r="O72" s="173"/>
      <c r="P72" s="146"/>
      <c r="Q72" s="174"/>
      <c r="R72" s="175"/>
      <c r="S72" s="175"/>
      <c r="T72" s="173"/>
      <c r="U72" s="146"/>
      <c r="V72" s="174"/>
      <c r="W72" s="175"/>
      <c r="X72" s="175"/>
      <c r="Y72" s="173"/>
      <c r="Z72" s="146"/>
      <c r="AA72" s="174"/>
      <c r="AB72" s="175"/>
      <c r="AC72" s="175"/>
      <c r="AD72" s="173"/>
      <c r="AE72" s="146"/>
      <c r="AF72" s="174"/>
      <c r="AG72" s="175"/>
      <c r="AH72" s="175"/>
      <c r="AI72" s="175"/>
      <c r="AJ72" s="146"/>
      <c r="AK72" s="174"/>
      <c r="AL72" s="175"/>
      <c r="AM72" s="175"/>
      <c r="AN72" s="195"/>
      <c r="AO72" s="195"/>
      <c r="AP72" s="845" t="s">
        <v>10155</v>
      </c>
      <c r="AQ72" s="175"/>
      <c r="AR72" s="173"/>
      <c r="AS72" s="173"/>
      <c r="AT72" s="175"/>
      <c r="AU72" s="175"/>
      <c r="AV72" s="148" t="s">
        <v>10010</v>
      </c>
      <c r="AW72" s="173" t="s">
        <v>10058</v>
      </c>
      <c r="AX72" s="839"/>
      <c r="AY72" s="173"/>
      <c r="AZ72" s="171"/>
      <c r="BA72" s="148"/>
      <c r="BB72" s="148"/>
      <c r="BC72" s="175"/>
      <c r="BD72" s="174"/>
      <c r="BE72" s="174"/>
      <c r="BF72" s="174"/>
      <c r="BG72" s="174"/>
      <c r="BH72" s="176"/>
      <c r="BI72" s="176"/>
      <c r="BJ72" s="177"/>
      <c r="BK72" s="173"/>
      <c r="BL72" s="146"/>
      <c r="BM72" s="838"/>
      <c r="BN72" s="175"/>
      <c r="BO72" s="174"/>
      <c r="BP72" s="174"/>
      <c r="BQ72" s="174"/>
      <c r="BR72" s="179"/>
      <c r="BS72" s="174"/>
      <c r="BT72" s="173"/>
      <c r="BU72" s="146"/>
      <c r="BV72" s="826"/>
      <c r="BW72" s="826"/>
      <c r="BX72" s="826"/>
      <c r="BY72" s="826"/>
      <c r="BZ72" s="826"/>
      <c r="CA72" s="826"/>
      <c r="CB72" s="826"/>
      <c r="CC72" s="826"/>
      <c r="CD72" s="826"/>
      <c r="CE72" s="826"/>
      <c r="CF72" s="826"/>
      <c r="CG72" s="826"/>
      <c r="CH72" s="826"/>
      <c r="CI72" s="826"/>
      <c r="CJ72" s="826"/>
      <c r="CK72" s="826"/>
      <c r="CL72" s="826"/>
      <c r="CM72" s="826"/>
      <c r="CN72" s="826"/>
      <c r="CO72" s="826"/>
      <c r="CP72" s="826"/>
      <c r="CQ72" s="826"/>
      <c r="CR72" s="826"/>
      <c r="CS72" s="826"/>
      <c r="CT72" s="826"/>
      <c r="CU72" s="826"/>
      <c r="CV72" s="826"/>
      <c r="CW72" s="826"/>
      <c r="CX72" s="826"/>
      <c r="CY72" s="826"/>
      <c r="CZ72" s="826"/>
      <c r="DA72" s="826"/>
      <c r="DB72" s="826"/>
      <c r="DC72" s="826"/>
      <c r="DD72" s="826"/>
      <c r="DE72" s="826"/>
      <c r="DF72" s="826"/>
      <c r="DG72" s="826"/>
      <c r="DH72" s="826"/>
      <c r="DI72" s="826"/>
      <c r="DJ72" s="826"/>
      <c r="DK72" s="826"/>
      <c r="DL72" s="826"/>
      <c r="DM72" s="826"/>
      <c r="DN72" s="826"/>
      <c r="DO72" s="826"/>
      <c r="DP72" s="826"/>
      <c r="DQ72" s="826"/>
      <c r="DR72" s="826"/>
      <c r="DS72" s="826"/>
      <c r="DT72" s="826"/>
      <c r="DU72" s="826"/>
      <c r="DV72" s="826"/>
      <c r="DW72" s="826"/>
      <c r="DX72" s="826"/>
      <c r="DY72" s="826"/>
      <c r="DZ72" s="826"/>
      <c r="EA72" s="826"/>
      <c r="EB72" s="826"/>
      <c r="EC72" s="826"/>
      <c r="ED72" s="826"/>
      <c r="EE72" s="826"/>
      <c r="EF72" s="826"/>
      <c r="EG72" s="826"/>
      <c r="EH72" s="826"/>
      <c r="EI72" s="826"/>
      <c r="EJ72" s="826"/>
      <c r="EK72" s="826"/>
      <c r="EL72" s="826"/>
      <c r="EM72" s="826"/>
      <c r="EN72" s="826"/>
      <c r="EO72" s="826"/>
      <c r="EP72" s="826"/>
      <c r="EQ72" s="826"/>
      <c r="ER72" s="826"/>
      <c r="ES72" s="826"/>
      <c r="ET72" s="826"/>
      <c r="EU72" s="826"/>
      <c r="EV72" s="826"/>
      <c r="EW72" s="826"/>
      <c r="EX72" s="826"/>
      <c r="EY72" s="826"/>
      <c r="EZ72" s="826"/>
      <c r="FA72" s="826"/>
      <c r="FB72" s="826"/>
      <c r="FC72" s="826"/>
      <c r="FD72" s="826"/>
      <c r="FE72" s="826"/>
      <c r="FF72" s="826"/>
      <c r="FG72" s="826"/>
      <c r="FH72" s="826"/>
      <c r="FI72" s="826"/>
      <c r="FJ72" s="826"/>
      <c r="FK72" s="826"/>
      <c r="FL72" s="826"/>
      <c r="FM72" s="826"/>
      <c r="FN72" s="826"/>
      <c r="FO72" s="826"/>
      <c r="FP72" s="826"/>
      <c r="FQ72" s="826"/>
      <c r="FR72" s="826"/>
      <c r="FS72" s="826"/>
      <c r="FT72" s="826"/>
      <c r="FU72" s="826"/>
      <c r="FV72" s="826"/>
      <c r="FW72" s="826"/>
      <c r="FX72" s="826"/>
      <c r="FY72" s="826"/>
      <c r="FZ72" s="826"/>
      <c r="GA72" s="826"/>
      <c r="GB72" s="826"/>
      <c r="GC72" s="826"/>
      <c r="GD72" s="826"/>
      <c r="GE72" s="826"/>
      <c r="GF72" s="826"/>
      <c r="GG72" s="826"/>
      <c r="GH72" s="826"/>
      <c r="GI72" s="826"/>
      <c r="GJ72" s="826"/>
      <c r="GK72" s="826"/>
      <c r="GL72" s="826"/>
      <c r="GM72" s="826"/>
      <c r="GN72" s="826"/>
      <c r="GO72" s="826"/>
      <c r="GP72" s="826"/>
      <c r="GQ72" s="826"/>
      <c r="GR72" s="826"/>
      <c r="GS72" s="826"/>
      <c r="GT72" s="826"/>
      <c r="GU72" s="826"/>
      <c r="GV72" s="826"/>
      <c r="GW72" s="826"/>
      <c r="GX72" s="826"/>
      <c r="GY72" s="826"/>
      <c r="GZ72" s="826"/>
      <c r="HA72" s="826"/>
      <c r="HB72" s="826"/>
      <c r="HC72" s="826"/>
      <c r="HD72" s="826"/>
      <c r="HE72" s="826"/>
      <c r="HF72" s="826"/>
      <c r="HG72" s="826"/>
      <c r="HH72" s="826"/>
      <c r="HI72" s="826"/>
    </row>
    <row r="73" spans="1:217" s="827" customFormat="1" ht="56.25" customHeight="1">
      <c r="A73" s="96">
        <v>79</v>
      </c>
      <c r="B73" s="840" t="s">
        <v>8749</v>
      </c>
      <c r="C73" s="142">
        <v>79488702</v>
      </c>
      <c r="D73" s="424"/>
      <c r="E73" s="143"/>
      <c r="F73" s="146"/>
      <c r="G73" s="145"/>
      <c r="H73" s="148"/>
      <c r="I73" s="175"/>
      <c r="J73" s="173"/>
      <c r="K73" s="146"/>
      <c r="L73" s="174"/>
      <c r="M73" s="175"/>
      <c r="N73" s="175"/>
      <c r="O73" s="173"/>
      <c r="P73" s="146"/>
      <c r="Q73" s="174"/>
      <c r="R73" s="175"/>
      <c r="S73" s="175"/>
      <c r="T73" s="173"/>
      <c r="U73" s="146"/>
      <c r="V73" s="174"/>
      <c r="W73" s="175"/>
      <c r="X73" s="175"/>
      <c r="Y73" s="173"/>
      <c r="Z73" s="146"/>
      <c r="AA73" s="174"/>
      <c r="AB73" s="175"/>
      <c r="AC73" s="175"/>
      <c r="AD73" s="173"/>
      <c r="AE73" s="146"/>
      <c r="AF73" s="174"/>
      <c r="AG73" s="175"/>
      <c r="AH73" s="175"/>
      <c r="AI73" s="175"/>
      <c r="AJ73" s="146"/>
      <c r="AK73" s="174"/>
      <c r="AL73" s="175"/>
      <c r="AM73" s="175"/>
      <c r="AN73" s="195"/>
      <c r="AO73" s="195"/>
      <c r="AP73" s="845" t="s">
        <v>10156</v>
      </c>
      <c r="AQ73" s="175"/>
      <c r="AR73" s="173"/>
      <c r="AS73" s="173"/>
      <c r="AT73" s="175"/>
      <c r="AU73" s="175"/>
      <c r="AV73" s="148" t="s">
        <v>10018</v>
      </c>
      <c r="AW73" s="173" t="s">
        <v>10157</v>
      </c>
      <c r="AX73" s="839"/>
      <c r="AY73" s="173"/>
      <c r="AZ73" s="171"/>
      <c r="BA73" s="148"/>
      <c r="BB73" s="148"/>
      <c r="BC73" s="175"/>
      <c r="BD73" s="174"/>
      <c r="BE73" s="174"/>
      <c r="BF73" s="174"/>
      <c r="BG73" s="174"/>
      <c r="BH73" s="176"/>
      <c r="BI73" s="176"/>
      <c r="BJ73" s="177"/>
      <c r="BK73" s="173"/>
      <c r="BL73" s="146"/>
      <c r="BM73" s="838"/>
      <c r="BN73" s="175"/>
      <c r="BO73" s="174"/>
      <c r="BP73" s="174"/>
      <c r="BQ73" s="174"/>
      <c r="BR73" s="179"/>
      <c r="BS73" s="174"/>
      <c r="BT73" s="173"/>
      <c r="BU73" s="146"/>
      <c r="BV73" s="826"/>
      <c r="BW73" s="826"/>
      <c r="BX73" s="826"/>
      <c r="BY73" s="826"/>
      <c r="BZ73" s="826"/>
      <c r="CA73" s="826"/>
      <c r="CB73" s="826"/>
      <c r="CC73" s="826"/>
      <c r="CD73" s="826"/>
      <c r="CE73" s="826"/>
      <c r="CF73" s="826"/>
      <c r="CG73" s="826"/>
      <c r="CH73" s="826"/>
      <c r="CI73" s="826"/>
      <c r="CJ73" s="826"/>
      <c r="CK73" s="826"/>
      <c r="CL73" s="826"/>
      <c r="CM73" s="826"/>
      <c r="CN73" s="826"/>
      <c r="CO73" s="826"/>
      <c r="CP73" s="826"/>
      <c r="CQ73" s="826"/>
      <c r="CR73" s="826"/>
      <c r="CS73" s="826"/>
      <c r="CT73" s="826"/>
      <c r="CU73" s="826"/>
      <c r="CV73" s="826"/>
      <c r="CW73" s="826"/>
      <c r="CX73" s="826"/>
      <c r="CY73" s="826"/>
      <c r="CZ73" s="826"/>
      <c r="DA73" s="826"/>
      <c r="DB73" s="826"/>
      <c r="DC73" s="826"/>
      <c r="DD73" s="826"/>
      <c r="DE73" s="826"/>
      <c r="DF73" s="826"/>
      <c r="DG73" s="826"/>
      <c r="DH73" s="826"/>
      <c r="DI73" s="826"/>
      <c r="DJ73" s="826"/>
      <c r="DK73" s="826"/>
      <c r="DL73" s="826"/>
      <c r="DM73" s="826"/>
      <c r="DN73" s="826"/>
      <c r="DO73" s="826"/>
      <c r="DP73" s="826"/>
      <c r="DQ73" s="826"/>
      <c r="DR73" s="826"/>
      <c r="DS73" s="826"/>
      <c r="DT73" s="826"/>
      <c r="DU73" s="826"/>
      <c r="DV73" s="826"/>
      <c r="DW73" s="826"/>
      <c r="DX73" s="826"/>
      <c r="DY73" s="826"/>
      <c r="DZ73" s="826"/>
      <c r="EA73" s="826"/>
      <c r="EB73" s="826"/>
      <c r="EC73" s="826"/>
      <c r="ED73" s="826"/>
      <c r="EE73" s="826"/>
      <c r="EF73" s="826"/>
      <c r="EG73" s="826"/>
      <c r="EH73" s="826"/>
      <c r="EI73" s="826"/>
      <c r="EJ73" s="826"/>
      <c r="EK73" s="826"/>
      <c r="EL73" s="826"/>
      <c r="EM73" s="826"/>
      <c r="EN73" s="826"/>
      <c r="EO73" s="826"/>
      <c r="EP73" s="826"/>
      <c r="EQ73" s="826"/>
      <c r="ER73" s="826"/>
      <c r="ES73" s="826"/>
      <c r="ET73" s="826"/>
      <c r="EU73" s="826"/>
      <c r="EV73" s="826"/>
      <c r="EW73" s="826"/>
      <c r="EX73" s="826"/>
      <c r="EY73" s="826"/>
      <c r="EZ73" s="826"/>
      <c r="FA73" s="826"/>
      <c r="FB73" s="826"/>
      <c r="FC73" s="826"/>
      <c r="FD73" s="826"/>
      <c r="FE73" s="826"/>
      <c r="FF73" s="826"/>
      <c r="FG73" s="826"/>
      <c r="FH73" s="826"/>
      <c r="FI73" s="826"/>
      <c r="FJ73" s="826"/>
      <c r="FK73" s="826"/>
      <c r="FL73" s="826"/>
      <c r="FM73" s="826"/>
      <c r="FN73" s="826"/>
      <c r="FO73" s="826"/>
      <c r="FP73" s="826"/>
      <c r="FQ73" s="826"/>
      <c r="FR73" s="826"/>
      <c r="FS73" s="826"/>
      <c r="FT73" s="826"/>
      <c r="FU73" s="826"/>
      <c r="FV73" s="826"/>
      <c r="FW73" s="826"/>
      <c r="FX73" s="826"/>
      <c r="FY73" s="826"/>
      <c r="FZ73" s="826"/>
      <c r="GA73" s="826"/>
      <c r="GB73" s="826"/>
      <c r="GC73" s="826"/>
      <c r="GD73" s="826"/>
      <c r="GE73" s="826"/>
      <c r="GF73" s="826"/>
      <c r="GG73" s="826"/>
      <c r="GH73" s="826"/>
      <c r="GI73" s="826"/>
      <c r="GJ73" s="826"/>
      <c r="GK73" s="826"/>
      <c r="GL73" s="826"/>
      <c r="GM73" s="826"/>
      <c r="GN73" s="826"/>
      <c r="GO73" s="826"/>
      <c r="GP73" s="826"/>
      <c r="GQ73" s="826"/>
      <c r="GR73" s="826"/>
      <c r="GS73" s="826"/>
      <c r="GT73" s="826"/>
      <c r="GU73" s="826"/>
      <c r="GV73" s="826"/>
      <c r="GW73" s="826"/>
      <c r="GX73" s="826"/>
      <c r="GY73" s="826"/>
      <c r="GZ73" s="826"/>
      <c r="HA73" s="826"/>
      <c r="HB73" s="826"/>
      <c r="HC73" s="826"/>
      <c r="HD73" s="826"/>
      <c r="HE73" s="826"/>
      <c r="HF73" s="826"/>
      <c r="HG73" s="826"/>
      <c r="HH73" s="826"/>
      <c r="HI73" s="826"/>
    </row>
    <row r="74" spans="1:217" s="827" customFormat="1" ht="56.25" customHeight="1">
      <c r="A74" s="96">
        <v>80</v>
      </c>
      <c r="B74" s="840" t="s">
        <v>10158</v>
      </c>
      <c r="C74" s="142">
        <v>334962</v>
      </c>
      <c r="D74" s="828" t="s">
        <v>10159</v>
      </c>
      <c r="E74" s="143"/>
      <c r="F74" s="146"/>
      <c r="G74" s="145"/>
      <c r="H74" s="148"/>
      <c r="I74" s="175"/>
      <c r="J74" s="173"/>
      <c r="K74" s="146"/>
      <c r="L74" s="174"/>
      <c r="M74" s="175"/>
      <c r="N74" s="175"/>
      <c r="O74" s="173"/>
      <c r="P74" s="146"/>
      <c r="Q74" s="174"/>
      <c r="R74" s="175"/>
      <c r="S74" s="175"/>
      <c r="T74" s="173"/>
      <c r="U74" s="146"/>
      <c r="V74" s="174"/>
      <c r="W74" s="175"/>
      <c r="X74" s="175"/>
      <c r="Y74" s="173"/>
      <c r="Z74" s="146"/>
      <c r="AA74" s="174"/>
      <c r="AB74" s="175"/>
      <c r="AC74" s="175"/>
      <c r="AD74" s="173"/>
      <c r="AE74" s="146"/>
      <c r="AF74" s="174"/>
      <c r="AG74" s="175"/>
      <c r="AH74" s="175"/>
      <c r="AI74" s="175"/>
      <c r="AJ74" s="146"/>
      <c r="AK74" s="174"/>
      <c r="AL74" s="175"/>
      <c r="AM74" s="175"/>
      <c r="AN74" s="195"/>
      <c r="AO74" s="195"/>
      <c r="AP74" s="845" t="s">
        <v>10160</v>
      </c>
      <c r="AQ74" s="175"/>
      <c r="AR74" s="173"/>
      <c r="AS74" s="173"/>
      <c r="AT74" s="175"/>
      <c r="AU74" s="175"/>
      <c r="AV74" s="148" t="s">
        <v>10120</v>
      </c>
      <c r="AW74" s="126"/>
      <c r="AX74" s="839"/>
      <c r="AY74" s="173"/>
      <c r="AZ74" s="171"/>
      <c r="BA74" s="148"/>
      <c r="BB74" s="148"/>
      <c r="BC74" s="175"/>
      <c r="BD74" s="174"/>
      <c r="BE74" s="174"/>
      <c r="BF74" s="174"/>
      <c r="BG74" s="174"/>
      <c r="BH74" s="176"/>
      <c r="BI74" s="176"/>
      <c r="BJ74" s="177"/>
      <c r="BK74" s="173"/>
      <c r="BL74" s="146"/>
      <c r="BM74" s="838"/>
      <c r="BN74" s="175"/>
      <c r="BO74" s="174"/>
      <c r="BP74" s="174"/>
      <c r="BQ74" s="174"/>
      <c r="BR74" s="179"/>
      <c r="BS74" s="174"/>
      <c r="BT74" s="173"/>
      <c r="BU74" s="146"/>
      <c r="BV74" s="826"/>
      <c r="BW74" s="826"/>
      <c r="BX74" s="826"/>
      <c r="BY74" s="826"/>
      <c r="BZ74" s="826"/>
      <c r="CA74" s="826"/>
      <c r="CB74" s="826"/>
      <c r="CC74" s="826"/>
      <c r="CD74" s="826"/>
      <c r="CE74" s="826"/>
      <c r="CF74" s="826"/>
      <c r="CG74" s="826"/>
      <c r="CH74" s="826"/>
      <c r="CI74" s="826"/>
      <c r="CJ74" s="826"/>
      <c r="CK74" s="826"/>
      <c r="CL74" s="826"/>
      <c r="CM74" s="826"/>
      <c r="CN74" s="826"/>
      <c r="CO74" s="826"/>
      <c r="CP74" s="826"/>
      <c r="CQ74" s="826"/>
      <c r="CR74" s="826"/>
      <c r="CS74" s="826"/>
      <c r="CT74" s="826"/>
      <c r="CU74" s="826"/>
      <c r="CV74" s="826"/>
      <c r="CW74" s="826"/>
      <c r="CX74" s="826"/>
      <c r="CY74" s="826"/>
      <c r="CZ74" s="826"/>
      <c r="DA74" s="826"/>
      <c r="DB74" s="826"/>
      <c r="DC74" s="826"/>
      <c r="DD74" s="826"/>
      <c r="DE74" s="826"/>
      <c r="DF74" s="826"/>
      <c r="DG74" s="826"/>
      <c r="DH74" s="826"/>
      <c r="DI74" s="826"/>
      <c r="DJ74" s="826"/>
      <c r="DK74" s="826"/>
      <c r="DL74" s="826"/>
      <c r="DM74" s="826"/>
      <c r="DN74" s="826"/>
      <c r="DO74" s="826"/>
      <c r="DP74" s="826"/>
      <c r="DQ74" s="826"/>
      <c r="DR74" s="826"/>
      <c r="DS74" s="826"/>
      <c r="DT74" s="826"/>
      <c r="DU74" s="826"/>
      <c r="DV74" s="826"/>
      <c r="DW74" s="826"/>
      <c r="DX74" s="826"/>
      <c r="DY74" s="826"/>
      <c r="DZ74" s="826"/>
      <c r="EA74" s="826"/>
      <c r="EB74" s="826"/>
      <c r="EC74" s="826"/>
      <c r="ED74" s="826"/>
      <c r="EE74" s="826"/>
      <c r="EF74" s="826"/>
      <c r="EG74" s="826"/>
      <c r="EH74" s="826"/>
      <c r="EI74" s="826"/>
      <c r="EJ74" s="826"/>
      <c r="EK74" s="826"/>
      <c r="EL74" s="826"/>
      <c r="EM74" s="826"/>
      <c r="EN74" s="826"/>
      <c r="EO74" s="826"/>
      <c r="EP74" s="826"/>
      <c r="EQ74" s="826"/>
      <c r="ER74" s="826"/>
      <c r="ES74" s="826"/>
      <c r="ET74" s="826"/>
      <c r="EU74" s="826"/>
      <c r="EV74" s="826"/>
      <c r="EW74" s="826"/>
      <c r="EX74" s="826"/>
      <c r="EY74" s="826"/>
      <c r="EZ74" s="826"/>
      <c r="FA74" s="826"/>
      <c r="FB74" s="826"/>
      <c r="FC74" s="826"/>
      <c r="FD74" s="826"/>
      <c r="FE74" s="826"/>
      <c r="FF74" s="826"/>
      <c r="FG74" s="826"/>
      <c r="FH74" s="826"/>
      <c r="FI74" s="826"/>
      <c r="FJ74" s="826"/>
      <c r="FK74" s="826"/>
      <c r="FL74" s="826"/>
      <c r="FM74" s="826"/>
      <c r="FN74" s="826"/>
      <c r="FO74" s="826"/>
      <c r="FP74" s="826"/>
      <c r="FQ74" s="826"/>
      <c r="FR74" s="826"/>
      <c r="FS74" s="826"/>
      <c r="FT74" s="826"/>
      <c r="FU74" s="826"/>
      <c r="FV74" s="826"/>
      <c r="FW74" s="826"/>
      <c r="FX74" s="826"/>
      <c r="FY74" s="826"/>
      <c r="FZ74" s="826"/>
      <c r="GA74" s="826"/>
      <c r="GB74" s="826"/>
      <c r="GC74" s="826"/>
      <c r="GD74" s="826"/>
      <c r="GE74" s="826"/>
      <c r="GF74" s="826"/>
      <c r="GG74" s="826"/>
      <c r="GH74" s="826"/>
      <c r="GI74" s="826"/>
      <c r="GJ74" s="826"/>
      <c r="GK74" s="826"/>
      <c r="GL74" s="826"/>
      <c r="GM74" s="826"/>
      <c r="GN74" s="826"/>
      <c r="GO74" s="826"/>
      <c r="GP74" s="826"/>
      <c r="GQ74" s="826"/>
      <c r="GR74" s="826"/>
      <c r="GS74" s="826"/>
      <c r="GT74" s="826"/>
      <c r="GU74" s="826"/>
      <c r="GV74" s="826"/>
      <c r="GW74" s="826"/>
      <c r="GX74" s="826"/>
      <c r="GY74" s="826"/>
      <c r="GZ74" s="826"/>
      <c r="HA74" s="826"/>
      <c r="HB74" s="826"/>
      <c r="HC74" s="826"/>
      <c r="HD74" s="826"/>
      <c r="HE74" s="826"/>
      <c r="HF74" s="826"/>
      <c r="HG74" s="826"/>
      <c r="HH74" s="826"/>
      <c r="HI74" s="826"/>
    </row>
    <row r="75" spans="1:217" s="827" customFormat="1" ht="56.25" customHeight="1">
      <c r="A75" s="96">
        <v>81</v>
      </c>
      <c r="B75" s="840" t="s">
        <v>9270</v>
      </c>
      <c r="C75" s="142">
        <v>79709176</v>
      </c>
      <c r="D75" s="828" t="s">
        <v>1567</v>
      </c>
      <c r="E75" s="143"/>
      <c r="F75" s="146"/>
      <c r="G75" s="145"/>
      <c r="H75" s="148"/>
      <c r="I75" s="175"/>
      <c r="J75" s="173"/>
      <c r="K75" s="146"/>
      <c r="L75" s="174"/>
      <c r="M75" s="175"/>
      <c r="N75" s="175"/>
      <c r="O75" s="173"/>
      <c r="P75" s="146"/>
      <c r="Q75" s="174"/>
      <c r="R75" s="175"/>
      <c r="S75" s="175"/>
      <c r="T75" s="173"/>
      <c r="U75" s="146"/>
      <c r="V75" s="174"/>
      <c r="W75" s="175"/>
      <c r="X75" s="175"/>
      <c r="Y75" s="173"/>
      <c r="Z75" s="146"/>
      <c r="AA75" s="174"/>
      <c r="AB75" s="175"/>
      <c r="AC75" s="175"/>
      <c r="AD75" s="173"/>
      <c r="AE75" s="146"/>
      <c r="AF75" s="174"/>
      <c r="AG75" s="175"/>
      <c r="AH75" s="175"/>
      <c r="AI75" s="175"/>
      <c r="AJ75" s="146"/>
      <c r="AK75" s="174"/>
      <c r="AL75" s="175"/>
      <c r="AM75" s="175"/>
      <c r="AN75" s="195"/>
      <c r="AO75" s="195"/>
      <c r="AP75" s="845" t="s">
        <v>10161</v>
      </c>
      <c r="AQ75" s="175"/>
      <c r="AR75" s="173"/>
      <c r="AS75" s="173"/>
      <c r="AT75" s="175"/>
      <c r="AU75" s="175"/>
      <c r="AV75" s="148" t="s">
        <v>10162</v>
      </c>
      <c r="AW75" s="126"/>
      <c r="AX75" s="839"/>
      <c r="AY75" s="173"/>
      <c r="AZ75" s="171"/>
      <c r="BA75" s="148"/>
      <c r="BB75" s="148"/>
      <c r="BC75" s="175"/>
      <c r="BD75" s="174"/>
      <c r="BE75" s="174"/>
      <c r="BF75" s="174"/>
      <c r="BG75" s="174"/>
      <c r="BH75" s="176"/>
      <c r="BI75" s="176"/>
      <c r="BJ75" s="177"/>
      <c r="BK75" s="173"/>
      <c r="BL75" s="146"/>
      <c r="BM75" s="838"/>
      <c r="BN75" s="175"/>
      <c r="BO75" s="174"/>
      <c r="BP75" s="174"/>
      <c r="BQ75" s="174"/>
      <c r="BR75" s="179"/>
      <c r="BS75" s="174"/>
      <c r="BT75" s="173"/>
      <c r="BU75" s="146"/>
      <c r="BV75" s="826"/>
      <c r="BW75" s="826"/>
      <c r="BX75" s="826"/>
      <c r="BY75" s="826"/>
      <c r="BZ75" s="826"/>
      <c r="CA75" s="826"/>
      <c r="CB75" s="826"/>
      <c r="CC75" s="826"/>
      <c r="CD75" s="826"/>
      <c r="CE75" s="826"/>
      <c r="CF75" s="826"/>
      <c r="CG75" s="826"/>
      <c r="CH75" s="826"/>
      <c r="CI75" s="826"/>
      <c r="CJ75" s="826"/>
      <c r="CK75" s="826"/>
      <c r="CL75" s="826"/>
      <c r="CM75" s="826"/>
      <c r="CN75" s="826"/>
      <c r="CO75" s="826"/>
      <c r="CP75" s="826"/>
      <c r="CQ75" s="826"/>
      <c r="CR75" s="826"/>
      <c r="CS75" s="826"/>
      <c r="CT75" s="826"/>
      <c r="CU75" s="826"/>
      <c r="CV75" s="826"/>
      <c r="CW75" s="826"/>
      <c r="CX75" s="826"/>
      <c r="CY75" s="826"/>
      <c r="CZ75" s="826"/>
      <c r="DA75" s="826"/>
      <c r="DB75" s="826"/>
      <c r="DC75" s="826"/>
      <c r="DD75" s="826"/>
      <c r="DE75" s="826"/>
      <c r="DF75" s="826"/>
      <c r="DG75" s="826"/>
      <c r="DH75" s="826"/>
      <c r="DI75" s="826"/>
      <c r="DJ75" s="826"/>
      <c r="DK75" s="826"/>
      <c r="DL75" s="826"/>
      <c r="DM75" s="826"/>
      <c r="DN75" s="826"/>
      <c r="DO75" s="826"/>
      <c r="DP75" s="826"/>
      <c r="DQ75" s="826"/>
      <c r="DR75" s="826"/>
      <c r="DS75" s="826"/>
      <c r="DT75" s="826"/>
      <c r="DU75" s="826"/>
      <c r="DV75" s="826"/>
      <c r="DW75" s="826"/>
      <c r="DX75" s="826"/>
      <c r="DY75" s="826"/>
      <c r="DZ75" s="826"/>
      <c r="EA75" s="826"/>
      <c r="EB75" s="826"/>
      <c r="EC75" s="826"/>
      <c r="ED75" s="826"/>
      <c r="EE75" s="826"/>
      <c r="EF75" s="826"/>
      <c r="EG75" s="826"/>
      <c r="EH75" s="826"/>
      <c r="EI75" s="826"/>
      <c r="EJ75" s="826"/>
      <c r="EK75" s="826"/>
      <c r="EL75" s="826"/>
      <c r="EM75" s="826"/>
      <c r="EN75" s="826"/>
      <c r="EO75" s="826"/>
      <c r="EP75" s="826"/>
      <c r="EQ75" s="826"/>
      <c r="ER75" s="826"/>
      <c r="ES75" s="826"/>
      <c r="ET75" s="826"/>
      <c r="EU75" s="826"/>
      <c r="EV75" s="826"/>
      <c r="EW75" s="826"/>
      <c r="EX75" s="826"/>
      <c r="EY75" s="826"/>
      <c r="EZ75" s="826"/>
      <c r="FA75" s="826"/>
      <c r="FB75" s="826"/>
      <c r="FC75" s="826"/>
      <c r="FD75" s="826"/>
      <c r="FE75" s="826"/>
      <c r="FF75" s="826"/>
      <c r="FG75" s="826"/>
      <c r="FH75" s="826"/>
      <c r="FI75" s="826"/>
      <c r="FJ75" s="826"/>
      <c r="FK75" s="826"/>
      <c r="FL75" s="826"/>
      <c r="FM75" s="826"/>
      <c r="FN75" s="826"/>
      <c r="FO75" s="826"/>
      <c r="FP75" s="826"/>
      <c r="FQ75" s="826"/>
      <c r="FR75" s="826"/>
      <c r="FS75" s="826"/>
      <c r="FT75" s="826"/>
      <c r="FU75" s="826"/>
      <c r="FV75" s="826"/>
      <c r="FW75" s="826"/>
      <c r="FX75" s="826"/>
      <c r="FY75" s="826"/>
      <c r="FZ75" s="826"/>
      <c r="GA75" s="826"/>
      <c r="GB75" s="826"/>
      <c r="GC75" s="826"/>
      <c r="GD75" s="826"/>
      <c r="GE75" s="826"/>
      <c r="GF75" s="826"/>
      <c r="GG75" s="826"/>
      <c r="GH75" s="826"/>
      <c r="GI75" s="826"/>
      <c r="GJ75" s="826"/>
      <c r="GK75" s="826"/>
      <c r="GL75" s="826"/>
      <c r="GM75" s="826"/>
      <c r="GN75" s="826"/>
      <c r="GO75" s="826"/>
      <c r="GP75" s="826"/>
      <c r="GQ75" s="826"/>
      <c r="GR75" s="826"/>
      <c r="GS75" s="826"/>
      <c r="GT75" s="826"/>
      <c r="GU75" s="826"/>
      <c r="GV75" s="826"/>
      <c r="GW75" s="826"/>
      <c r="GX75" s="826"/>
      <c r="GY75" s="826"/>
      <c r="GZ75" s="826"/>
      <c r="HA75" s="826"/>
      <c r="HB75" s="826"/>
      <c r="HC75" s="826"/>
      <c r="HD75" s="826"/>
      <c r="HE75" s="826"/>
      <c r="HF75" s="826"/>
      <c r="HG75" s="826"/>
      <c r="HH75" s="826"/>
      <c r="HI75" s="826"/>
    </row>
    <row r="76" spans="1:217" s="827" customFormat="1" ht="237.75" customHeight="1">
      <c r="A76" s="96">
        <v>84</v>
      </c>
      <c r="B76" s="840" t="s">
        <v>10163</v>
      </c>
      <c r="C76" s="142" t="s">
        <v>10164</v>
      </c>
      <c r="D76" s="828" t="s">
        <v>10165</v>
      </c>
      <c r="E76" s="143"/>
      <c r="F76" s="146"/>
      <c r="G76" s="145"/>
      <c r="H76" s="148"/>
      <c r="I76" s="175"/>
      <c r="J76" s="173"/>
      <c r="K76" s="146"/>
      <c r="L76" s="174"/>
      <c r="M76" s="175"/>
      <c r="N76" s="175"/>
      <c r="O76" s="173"/>
      <c r="P76" s="146"/>
      <c r="Q76" s="174"/>
      <c r="R76" s="175"/>
      <c r="S76" s="175"/>
      <c r="T76" s="173"/>
      <c r="U76" s="146"/>
      <c r="V76" s="174"/>
      <c r="W76" s="175"/>
      <c r="X76" s="175"/>
      <c r="Y76" s="173"/>
      <c r="Z76" s="146"/>
      <c r="AA76" s="174"/>
      <c r="AB76" s="175"/>
      <c r="AC76" s="175"/>
      <c r="AD76" s="173"/>
      <c r="AE76" s="146"/>
      <c r="AF76" s="174"/>
      <c r="AG76" s="175"/>
      <c r="AH76" s="175"/>
      <c r="AI76" s="175"/>
      <c r="AJ76" s="146"/>
      <c r="AK76" s="174"/>
      <c r="AL76" s="175"/>
      <c r="AM76" s="175"/>
      <c r="AN76" s="195"/>
      <c r="AO76" s="195"/>
      <c r="AP76" s="845" t="s">
        <v>10166</v>
      </c>
      <c r="AQ76" s="175"/>
      <c r="AR76" s="173"/>
      <c r="AS76" s="173"/>
      <c r="AT76" s="175"/>
      <c r="AU76" s="175"/>
      <c r="AV76" s="148" t="s">
        <v>10167</v>
      </c>
      <c r="AW76" s="126"/>
      <c r="AX76" s="839"/>
      <c r="AY76" s="173"/>
      <c r="AZ76" s="171"/>
      <c r="BA76" s="148"/>
      <c r="BB76" s="148"/>
      <c r="BC76" s="175"/>
      <c r="BD76" s="174"/>
      <c r="BE76" s="174"/>
      <c r="BF76" s="174"/>
      <c r="BG76" s="174"/>
      <c r="BH76" s="176"/>
      <c r="BI76" s="176"/>
      <c r="BJ76" s="177"/>
      <c r="BK76" s="173"/>
      <c r="BL76" s="146"/>
      <c r="BM76" s="838"/>
      <c r="BN76" s="175"/>
      <c r="BO76" s="174"/>
      <c r="BP76" s="174"/>
      <c r="BQ76" s="174"/>
      <c r="BR76" s="179"/>
      <c r="BS76" s="174"/>
      <c r="BT76" s="173"/>
      <c r="BU76" s="146"/>
      <c r="BV76" s="826"/>
      <c r="BW76" s="826"/>
      <c r="BX76" s="826"/>
      <c r="BY76" s="826"/>
      <c r="BZ76" s="826"/>
      <c r="CA76" s="826"/>
      <c r="CB76" s="826"/>
      <c r="CC76" s="826"/>
      <c r="CD76" s="826"/>
      <c r="CE76" s="826"/>
      <c r="CF76" s="826"/>
      <c r="CG76" s="826"/>
      <c r="CH76" s="826"/>
      <c r="CI76" s="826"/>
      <c r="CJ76" s="826"/>
      <c r="CK76" s="826"/>
      <c r="CL76" s="826"/>
      <c r="CM76" s="826"/>
      <c r="CN76" s="826"/>
      <c r="CO76" s="826"/>
      <c r="CP76" s="826"/>
      <c r="CQ76" s="826"/>
      <c r="CR76" s="826"/>
      <c r="CS76" s="826"/>
      <c r="CT76" s="826"/>
      <c r="CU76" s="826"/>
      <c r="CV76" s="826"/>
      <c r="CW76" s="826"/>
      <c r="CX76" s="826"/>
      <c r="CY76" s="826"/>
      <c r="CZ76" s="826"/>
      <c r="DA76" s="826"/>
      <c r="DB76" s="826"/>
      <c r="DC76" s="826"/>
      <c r="DD76" s="826"/>
      <c r="DE76" s="826"/>
      <c r="DF76" s="826"/>
      <c r="DG76" s="826"/>
      <c r="DH76" s="826"/>
      <c r="DI76" s="826"/>
      <c r="DJ76" s="826"/>
      <c r="DK76" s="826"/>
      <c r="DL76" s="826"/>
      <c r="DM76" s="826"/>
      <c r="DN76" s="826"/>
      <c r="DO76" s="826"/>
      <c r="DP76" s="826"/>
      <c r="DQ76" s="826"/>
      <c r="DR76" s="826"/>
      <c r="DS76" s="826"/>
      <c r="DT76" s="826"/>
      <c r="DU76" s="826"/>
      <c r="DV76" s="826"/>
      <c r="DW76" s="826"/>
      <c r="DX76" s="826"/>
      <c r="DY76" s="826"/>
      <c r="DZ76" s="826"/>
      <c r="EA76" s="826"/>
      <c r="EB76" s="826"/>
      <c r="EC76" s="826"/>
      <c r="ED76" s="826"/>
      <c r="EE76" s="826"/>
      <c r="EF76" s="826"/>
      <c r="EG76" s="826"/>
      <c r="EH76" s="826"/>
      <c r="EI76" s="826"/>
      <c r="EJ76" s="826"/>
      <c r="EK76" s="826"/>
      <c r="EL76" s="826"/>
      <c r="EM76" s="826"/>
      <c r="EN76" s="826"/>
      <c r="EO76" s="826"/>
      <c r="EP76" s="826"/>
      <c r="EQ76" s="826"/>
      <c r="ER76" s="826"/>
      <c r="ES76" s="826"/>
      <c r="ET76" s="826"/>
      <c r="EU76" s="826"/>
      <c r="EV76" s="826"/>
      <c r="EW76" s="826"/>
      <c r="EX76" s="826"/>
      <c r="EY76" s="826"/>
      <c r="EZ76" s="826"/>
      <c r="FA76" s="826"/>
      <c r="FB76" s="826"/>
      <c r="FC76" s="826"/>
      <c r="FD76" s="826"/>
      <c r="FE76" s="826"/>
      <c r="FF76" s="826"/>
      <c r="FG76" s="826"/>
      <c r="FH76" s="826"/>
      <c r="FI76" s="826"/>
      <c r="FJ76" s="826"/>
      <c r="FK76" s="826"/>
      <c r="FL76" s="826"/>
      <c r="FM76" s="826"/>
      <c r="FN76" s="826"/>
      <c r="FO76" s="826"/>
      <c r="FP76" s="826"/>
      <c r="FQ76" s="826"/>
      <c r="FR76" s="826"/>
      <c r="FS76" s="826"/>
      <c r="FT76" s="826"/>
      <c r="FU76" s="826"/>
      <c r="FV76" s="826"/>
      <c r="FW76" s="826"/>
      <c r="FX76" s="826"/>
      <c r="FY76" s="826"/>
      <c r="FZ76" s="826"/>
      <c r="GA76" s="826"/>
      <c r="GB76" s="826"/>
      <c r="GC76" s="826"/>
      <c r="GD76" s="826"/>
      <c r="GE76" s="826"/>
      <c r="GF76" s="826"/>
      <c r="GG76" s="826"/>
      <c r="GH76" s="826"/>
      <c r="GI76" s="826"/>
      <c r="GJ76" s="826"/>
      <c r="GK76" s="826"/>
      <c r="GL76" s="826"/>
      <c r="GM76" s="826"/>
      <c r="GN76" s="826"/>
      <c r="GO76" s="826"/>
      <c r="GP76" s="826"/>
      <c r="GQ76" s="826"/>
      <c r="GR76" s="826"/>
      <c r="GS76" s="826"/>
      <c r="GT76" s="826"/>
      <c r="GU76" s="826"/>
      <c r="GV76" s="826"/>
      <c r="GW76" s="826"/>
      <c r="GX76" s="826"/>
      <c r="GY76" s="826"/>
      <c r="GZ76" s="826"/>
      <c r="HA76" s="826"/>
      <c r="HB76" s="826"/>
      <c r="HC76" s="826"/>
      <c r="HD76" s="826"/>
      <c r="HE76" s="826"/>
      <c r="HF76" s="826"/>
      <c r="HG76" s="826"/>
      <c r="HH76" s="826"/>
      <c r="HI76" s="826"/>
    </row>
    <row r="77" spans="1:217" s="827" customFormat="1" ht="56.25" customHeight="1">
      <c r="A77" s="96">
        <v>86</v>
      </c>
      <c r="B77" s="840" t="s">
        <v>7524</v>
      </c>
      <c r="C77" s="142">
        <v>71730474</v>
      </c>
      <c r="D77" s="828" t="s">
        <v>8072</v>
      </c>
      <c r="E77" s="143"/>
      <c r="F77" s="146"/>
      <c r="G77" s="145"/>
      <c r="H77" s="148"/>
      <c r="I77" s="175"/>
      <c r="J77" s="173"/>
      <c r="K77" s="146"/>
      <c r="L77" s="174"/>
      <c r="M77" s="175"/>
      <c r="N77" s="175"/>
      <c r="O77" s="173"/>
      <c r="P77" s="146"/>
      <c r="Q77" s="174"/>
      <c r="R77" s="175"/>
      <c r="S77" s="175"/>
      <c r="T77" s="173"/>
      <c r="U77" s="146"/>
      <c r="V77" s="174"/>
      <c r="W77" s="175"/>
      <c r="X77" s="175"/>
      <c r="Y77" s="173"/>
      <c r="Z77" s="146"/>
      <c r="AA77" s="174"/>
      <c r="AB77" s="175"/>
      <c r="AC77" s="175"/>
      <c r="AD77" s="173"/>
      <c r="AE77" s="146"/>
      <c r="AF77" s="174"/>
      <c r="AG77" s="175"/>
      <c r="AH77" s="175"/>
      <c r="AI77" s="175"/>
      <c r="AJ77" s="146"/>
      <c r="AK77" s="174"/>
      <c r="AL77" s="175"/>
      <c r="AM77" s="175"/>
      <c r="AN77" s="195"/>
      <c r="AO77" s="195"/>
      <c r="AP77" s="221" t="s">
        <v>10168</v>
      </c>
      <c r="AQ77" s="175"/>
      <c r="AR77" s="173"/>
      <c r="AS77" s="173"/>
      <c r="AT77" s="175"/>
      <c r="AU77" s="175"/>
      <c r="AV77" s="148" t="s">
        <v>10097</v>
      </c>
      <c r="AW77" s="126" t="s">
        <v>10098</v>
      </c>
      <c r="AX77" s="839"/>
      <c r="AY77" s="173"/>
      <c r="AZ77" s="171"/>
      <c r="BA77" s="148"/>
      <c r="BB77" s="148"/>
      <c r="BC77" s="175"/>
      <c r="BD77" s="174"/>
      <c r="BE77" s="174"/>
      <c r="BF77" s="174"/>
      <c r="BG77" s="174"/>
      <c r="BH77" s="176"/>
      <c r="BI77" s="176"/>
      <c r="BJ77" s="177"/>
      <c r="BK77" s="173"/>
      <c r="BL77" s="146"/>
      <c r="BM77" s="838"/>
      <c r="BN77" s="175"/>
      <c r="BO77" s="174"/>
      <c r="BP77" s="174"/>
      <c r="BQ77" s="174"/>
      <c r="BR77" s="179"/>
      <c r="BS77" s="174"/>
      <c r="BT77" s="173"/>
      <c r="BU77" s="146"/>
      <c r="BV77" s="826"/>
      <c r="BW77" s="826"/>
      <c r="BX77" s="826"/>
      <c r="BY77" s="826"/>
      <c r="BZ77" s="826"/>
      <c r="CA77" s="826"/>
      <c r="CB77" s="826"/>
      <c r="CC77" s="826"/>
      <c r="CD77" s="826"/>
      <c r="CE77" s="826"/>
      <c r="CF77" s="826"/>
      <c r="CG77" s="826"/>
      <c r="CH77" s="826"/>
      <c r="CI77" s="826"/>
      <c r="CJ77" s="826"/>
      <c r="CK77" s="826"/>
      <c r="CL77" s="826"/>
      <c r="CM77" s="826"/>
      <c r="CN77" s="826"/>
      <c r="CO77" s="826"/>
      <c r="CP77" s="826"/>
      <c r="CQ77" s="826"/>
      <c r="CR77" s="826"/>
      <c r="CS77" s="826"/>
      <c r="CT77" s="826"/>
      <c r="CU77" s="826"/>
      <c r="CV77" s="826"/>
      <c r="CW77" s="826"/>
      <c r="CX77" s="826"/>
      <c r="CY77" s="826"/>
      <c r="CZ77" s="826"/>
      <c r="DA77" s="826"/>
      <c r="DB77" s="826"/>
      <c r="DC77" s="826"/>
      <c r="DD77" s="826"/>
      <c r="DE77" s="826"/>
      <c r="DF77" s="826"/>
      <c r="DG77" s="826"/>
      <c r="DH77" s="826"/>
      <c r="DI77" s="826"/>
      <c r="DJ77" s="826"/>
      <c r="DK77" s="826"/>
      <c r="DL77" s="826"/>
      <c r="DM77" s="826"/>
      <c r="DN77" s="826"/>
      <c r="DO77" s="826"/>
      <c r="DP77" s="826"/>
      <c r="DQ77" s="826"/>
      <c r="DR77" s="826"/>
      <c r="DS77" s="826"/>
      <c r="DT77" s="826"/>
      <c r="DU77" s="826"/>
      <c r="DV77" s="826"/>
      <c r="DW77" s="826"/>
      <c r="DX77" s="826"/>
      <c r="DY77" s="826"/>
      <c r="DZ77" s="826"/>
      <c r="EA77" s="826"/>
      <c r="EB77" s="826"/>
      <c r="EC77" s="826"/>
      <c r="ED77" s="826"/>
      <c r="EE77" s="826"/>
      <c r="EF77" s="826"/>
      <c r="EG77" s="826"/>
      <c r="EH77" s="826"/>
      <c r="EI77" s="826"/>
      <c r="EJ77" s="826"/>
      <c r="EK77" s="826"/>
      <c r="EL77" s="826"/>
      <c r="EM77" s="826"/>
      <c r="EN77" s="826"/>
      <c r="EO77" s="826"/>
      <c r="EP77" s="826"/>
      <c r="EQ77" s="826"/>
      <c r="ER77" s="826"/>
      <c r="ES77" s="826"/>
      <c r="ET77" s="826"/>
      <c r="EU77" s="826"/>
      <c r="EV77" s="826"/>
      <c r="EW77" s="826"/>
      <c r="EX77" s="826"/>
      <c r="EY77" s="826"/>
      <c r="EZ77" s="826"/>
      <c r="FA77" s="826"/>
      <c r="FB77" s="826"/>
      <c r="FC77" s="826"/>
      <c r="FD77" s="826"/>
      <c r="FE77" s="826"/>
      <c r="FF77" s="826"/>
      <c r="FG77" s="826"/>
      <c r="FH77" s="826"/>
      <c r="FI77" s="826"/>
      <c r="FJ77" s="826"/>
      <c r="FK77" s="826"/>
      <c r="FL77" s="826"/>
      <c r="FM77" s="826"/>
      <c r="FN77" s="826"/>
      <c r="FO77" s="826"/>
      <c r="FP77" s="826"/>
      <c r="FQ77" s="826"/>
      <c r="FR77" s="826"/>
      <c r="FS77" s="826"/>
      <c r="FT77" s="826"/>
      <c r="FU77" s="826"/>
      <c r="FV77" s="826"/>
      <c r="FW77" s="826"/>
      <c r="FX77" s="826"/>
      <c r="FY77" s="826"/>
      <c r="FZ77" s="826"/>
      <c r="GA77" s="826"/>
      <c r="GB77" s="826"/>
      <c r="GC77" s="826"/>
      <c r="GD77" s="826"/>
      <c r="GE77" s="826"/>
      <c r="GF77" s="826"/>
      <c r="GG77" s="826"/>
      <c r="GH77" s="826"/>
      <c r="GI77" s="826"/>
      <c r="GJ77" s="826"/>
      <c r="GK77" s="826"/>
      <c r="GL77" s="826"/>
      <c r="GM77" s="826"/>
      <c r="GN77" s="826"/>
      <c r="GO77" s="826"/>
      <c r="GP77" s="826"/>
      <c r="GQ77" s="826"/>
      <c r="GR77" s="826"/>
      <c r="GS77" s="826"/>
      <c r="GT77" s="826"/>
      <c r="GU77" s="826"/>
      <c r="GV77" s="826"/>
      <c r="GW77" s="826"/>
      <c r="GX77" s="826"/>
      <c r="GY77" s="826"/>
      <c r="GZ77" s="826"/>
      <c r="HA77" s="826"/>
      <c r="HB77" s="826"/>
      <c r="HC77" s="826"/>
      <c r="HD77" s="826"/>
      <c r="HE77" s="826"/>
      <c r="HF77" s="826"/>
      <c r="HG77" s="826"/>
      <c r="HH77" s="826"/>
      <c r="HI77" s="826"/>
    </row>
    <row r="78" spans="1:217" s="827" customFormat="1" ht="56.25" customHeight="1">
      <c r="A78" s="96">
        <v>86</v>
      </c>
      <c r="B78" s="840" t="s">
        <v>7524</v>
      </c>
      <c r="C78" s="142">
        <v>71730474</v>
      </c>
      <c r="D78" s="828" t="s">
        <v>906</v>
      </c>
      <c r="E78" s="143"/>
      <c r="F78" s="146"/>
      <c r="G78" s="145"/>
      <c r="H78" s="148"/>
      <c r="I78" s="175"/>
      <c r="J78" s="173"/>
      <c r="K78" s="146"/>
      <c r="L78" s="174"/>
      <c r="M78" s="175"/>
      <c r="N78" s="175"/>
      <c r="O78" s="173"/>
      <c r="P78" s="146"/>
      <c r="Q78" s="174"/>
      <c r="R78" s="175"/>
      <c r="S78" s="175"/>
      <c r="T78" s="173"/>
      <c r="U78" s="146"/>
      <c r="V78" s="174"/>
      <c r="W78" s="175"/>
      <c r="X78" s="175"/>
      <c r="Y78" s="173"/>
      <c r="Z78" s="146"/>
      <c r="AA78" s="174"/>
      <c r="AB78" s="175"/>
      <c r="AC78" s="175"/>
      <c r="AD78" s="173"/>
      <c r="AE78" s="146"/>
      <c r="AF78" s="174"/>
      <c r="AG78" s="175"/>
      <c r="AH78" s="175"/>
      <c r="AI78" s="175"/>
      <c r="AJ78" s="146"/>
      <c r="AK78" s="174"/>
      <c r="AL78" s="175"/>
      <c r="AM78" s="175"/>
      <c r="AN78" s="195"/>
      <c r="AO78" s="195"/>
      <c r="AP78" s="221" t="s">
        <v>10169</v>
      </c>
      <c r="AQ78" s="175"/>
      <c r="AR78" s="173"/>
      <c r="AS78" s="173"/>
      <c r="AT78" s="175"/>
      <c r="AU78" s="175"/>
      <c r="AV78" s="148" t="s">
        <v>10170</v>
      </c>
      <c r="AW78" s="126" t="s">
        <v>10171</v>
      </c>
      <c r="AX78" s="839"/>
      <c r="AY78" s="173"/>
      <c r="AZ78" s="171"/>
      <c r="BA78" s="148"/>
      <c r="BB78" s="148"/>
      <c r="BC78" s="175"/>
      <c r="BD78" s="174"/>
      <c r="BE78" s="174"/>
      <c r="BF78" s="174"/>
      <c r="BG78" s="174"/>
      <c r="BH78" s="176"/>
      <c r="BI78" s="176"/>
      <c r="BJ78" s="177"/>
      <c r="BK78" s="173"/>
      <c r="BL78" s="146"/>
      <c r="BM78" s="838"/>
      <c r="BN78" s="175"/>
      <c r="BO78" s="174"/>
      <c r="BP78" s="174"/>
      <c r="BQ78" s="174"/>
      <c r="BR78" s="179"/>
      <c r="BS78" s="174"/>
      <c r="BT78" s="173"/>
      <c r="BU78" s="146"/>
      <c r="BV78" s="826"/>
      <c r="BW78" s="826"/>
      <c r="BX78" s="826"/>
      <c r="BY78" s="826"/>
      <c r="BZ78" s="826"/>
      <c r="CA78" s="826"/>
      <c r="CB78" s="826"/>
      <c r="CC78" s="826"/>
      <c r="CD78" s="826"/>
      <c r="CE78" s="826"/>
      <c r="CF78" s="826"/>
      <c r="CG78" s="826"/>
      <c r="CH78" s="826"/>
      <c r="CI78" s="826"/>
      <c r="CJ78" s="826"/>
      <c r="CK78" s="826"/>
      <c r="CL78" s="826"/>
      <c r="CM78" s="826"/>
      <c r="CN78" s="826"/>
      <c r="CO78" s="826"/>
      <c r="CP78" s="826"/>
      <c r="CQ78" s="826"/>
      <c r="CR78" s="826"/>
      <c r="CS78" s="826"/>
      <c r="CT78" s="826"/>
      <c r="CU78" s="826"/>
      <c r="CV78" s="826"/>
      <c r="CW78" s="826"/>
      <c r="CX78" s="826"/>
      <c r="CY78" s="826"/>
      <c r="CZ78" s="826"/>
      <c r="DA78" s="826"/>
      <c r="DB78" s="826"/>
      <c r="DC78" s="826"/>
      <c r="DD78" s="826"/>
      <c r="DE78" s="826"/>
      <c r="DF78" s="826"/>
      <c r="DG78" s="826"/>
      <c r="DH78" s="826"/>
      <c r="DI78" s="826"/>
      <c r="DJ78" s="826"/>
      <c r="DK78" s="826"/>
      <c r="DL78" s="826"/>
      <c r="DM78" s="826"/>
      <c r="DN78" s="826"/>
      <c r="DO78" s="826"/>
      <c r="DP78" s="826"/>
      <c r="DQ78" s="826"/>
      <c r="DR78" s="826"/>
      <c r="DS78" s="826"/>
      <c r="DT78" s="826"/>
      <c r="DU78" s="826"/>
      <c r="DV78" s="826"/>
      <c r="DW78" s="826"/>
      <c r="DX78" s="826"/>
      <c r="DY78" s="826"/>
      <c r="DZ78" s="826"/>
      <c r="EA78" s="826"/>
      <c r="EB78" s="826"/>
      <c r="EC78" s="826"/>
      <c r="ED78" s="826"/>
      <c r="EE78" s="826"/>
      <c r="EF78" s="826"/>
      <c r="EG78" s="826"/>
      <c r="EH78" s="826"/>
      <c r="EI78" s="826"/>
      <c r="EJ78" s="826"/>
      <c r="EK78" s="826"/>
      <c r="EL78" s="826"/>
      <c r="EM78" s="826"/>
      <c r="EN78" s="826"/>
      <c r="EO78" s="826"/>
      <c r="EP78" s="826"/>
      <c r="EQ78" s="826"/>
      <c r="ER78" s="826"/>
      <c r="ES78" s="826"/>
      <c r="ET78" s="826"/>
      <c r="EU78" s="826"/>
      <c r="EV78" s="826"/>
      <c r="EW78" s="826"/>
      <c r="EX78" s="826"/>
      <c r="EY78" s="826"/>
      <c r="EZ78" s="826"/>
      <c r="FA78" s="826"/>
      <c r="FB78" s="826"/>
      <c r="FC78" s="826"/>
      <c r="FD78" s="826"/>
      <c r="FE78" s="826"/>
      <c r="FF78" s="826"/>
      <c r="FG78" s="826"/>
      <c r="FH78" s="826"/>
      <c r="FI78" s="826"/>
      <c r="FJ78" s="826"/>
      <c r="FK78" s="826"/>
      <c r="FL78" s="826"/>
      <c r="FM78" s="826"/>
      <c r="FN78" s="826"/>
      <c r="FO78" s="826"/>
      <c r="FP78" s="826"/>
      <c r="FQ78" s="826"/>
      <c r="FR78" s="826"/>
      <c r="FS78" s="826"/>
      <c r="FT78" s="826"/>
      <c r="FU78" s="826"/>
      <c r="FV78" s="826"/>
      <c r="FW78" s="826"/>
      <c r="FX78" s="826"/>
      <c r="FY78" s="826"/>
      <c r="FZ78" s="826"/>
      <c r="GA78" s="826"/>
      <c r="GB78" s="826"/>
      <c r="GC78" s="826"/>
      <c r="GD78" s="826"/>
      <c r="GE78" s="826"/>
      <c r="GF78" s="826"/>
      <c r="GG78" s="826"/>
      <c r="GH78" s="826"/>
      <c r="GI78" s="826"/>
      <c r="GJ78" s="826"/>
      <c r="GK78" s="826"/>
      <c r="GL78" s="826"/>
      <c r="GM78" s="826"/>
      <c r="GN78" s="826"/>
      <c r="GO78" s="826"/>
      <c r="GP78" s="826"/>
      <c r="GQ78" s="826"/>
      <c r="GR78" s="826"/>
      <c r="GS78" s="826"/>
      <c r="GT78" s="826"/>
      <c r="GU78" s="826"/>
      <c r="GV78" s="826"/>
      <c r="GW78" s="826"/>
      <c r="GX78" s="826"/>
      <c r="GY78" s="826"/>
      <c r="GZ78" s="826"/>
      <c r="HA78" s="826"/>
      <c r="HB78" s="826"/>
      <c r="HC78" s="826"/>
      <c r="HD78" s="826"/>
      <c r="HE78" s="826"/>
      <c r="HF78" s="826"/>
      <c r="HG78" s="826"/>
      <c r="HH78" s="826"/>
      <c r="HI78" s="826"/>
    </row>
    <row r="79" spans="1:217" s="827" customFormat="1" ht="56.25" customHeight="1">
      <c r="A79" s="96">
        <v>86</v>
      </c>
      <c r="B79" s="840" t="s">
        <v>7524</v>
      </c>
      <c r="C79" s="142">
        <v>71730474</v>
      </c>
      <c r="D79" s="828" t="s">
        <v>906</v>
      </c>
      <c r="E79" s="143"/>
      <c r="F79" s="146"/>
      <c r="G79" s="145"/>
      <c r="H79" s="148"/>
      <c r="I79" s="175"/>
      <c r="J79" s="173"/>
      <c r="K79" s="146"/>
      <c r="L79" s="174"/>
      <c r="M79" s="175"/>
      <c r="N79" s="175"/>
      <c r="O79" s="173"/>
      <c r="P79" s="146"/>
      <c r="Q79" s="174"/>
      <c r="R79" s="175"/>
      <c r="S79" s="175"/>
      <c r="T79" s="173"/>
      <c r="U79" s="146"/>
      <c r="V79" s="174"/>
      <c r="W79" s="175"/>
      <c r="X79" s="175"/>
      <c r="Y79" s="173"/>
      <c r="Z79" s="146"/>
      <c r="AA79" s="174"/>
      <c r="AB79" s="175"/>
      <c r="AC79" s="175"/>
      <c r="AD79" s="173"/>
      <c r="AE79" s="146"/>
      <c r="AF79" s="174"/>
      <c r="AG79" s="175"/>
      <c r="AH79" s="175"/>
      <c r="AI79" s="175"/>
      <c r="AJ79" s="146"/>
      <c r="AK79" s="174"/>
      <c r="AL79" s="175"/>
      <c r="AM79" s="175"/>
      <c r="AN79" s="195"/>
      <c r="AO79" s="195"/>
      <c r="AP79" s="221" t="s">
        <v>10172</v>
      </c>
      <c r="AQ79" s="175"/>
      <c r="AR79" s="173"/>
      <c r="AS79" s="173"/>
      <c r="AT79" s="175"/>
      <c r="AU79" s="175"/>
      <c r="AV79" s="148" t="s">
        <v>9999</v>
      </c>
      <c r="AW79" s="126"/>
      <c r="AX79" s="839"/>
      <c r="AY79" s="173"/>
      <c r="AZ79" s="171"/>
      <c r="BA79" s="148"/>
      <c r="BB79" s="148"/>
      <c r="BC79" s="175"/>
      <c r="BD79" s="174"/>
      <c r="BE79" s="174"/>
      <c r="BF79" s="174"/>
      <c r="BG79" s="174"/>
      <c r="BH79" s="176"/>
      <c r="BI79" s="176"/>
      <c r="BJ79" s="177"/>
      <c r="BK79" s="173"/>
      <c r="BL79" s="146"/>
      <c r="BM79" s="838"/>
      <c r="BN79" s="175"/>
      <c r="BO79" s="174"/>
      <c r="BP79" s="174"/>
      <c r="BQ79" s="174"/>
      <c r="BR79" s="179"/>
      <c r="BS79" s="174"/>
      <c r="BT79" s="173"/>
      <c r="BU79" s="146"/>
      <c r="BV79" s="826"/>
      <c r="BW79" s="826"/>
      <c r="BX79" s="826"/>
      <c r="BY79" s="826"/>
      <c r="BZ79" s="826"/>
      <c r="CA79" s="826"/>
      <c r="CB79" s="826"/>
      <c r="CC79" s="826"/>
      <c r="CD79" s="826"/>
      <c r="CE79" s="826"/>
      <c r="CF79" s="826"/>
      <c r="CG79" s="826"/>
      <c r="CH79" s="826"/>
      <c r="CI79" s="826"/>
      <c r="CJ79" s="826"/>
      <c r="CK79" s="826"/>
      <c r="CL79" s="826"/>
      <c r="CM79" s="826"/>
      <c r="CN79" s="826"/>
      <c r="CO79" s="826"/>
      <c r="CP79" s="826"/>
      <c r="CQ79" s="826"/>
      <c r="CR79" s="826"/>
      <c r="CS79" s="826"/>
      <c r="CT79" s="826"/>
      <c r="CU79" s="826"/>
      <c r="CV79" s="826"/>
      <c r="CW79" s="826"/>
      <c r="CX79" s="826"/>
      <c r="CY79" s="826"/>
      <c r="CZ79" s="826"/>
      <c r="DA79" s="826"/>
      <c r="DB79" s="826"/>
      <c r="DC79" s="826"/>
      <c r="DD79" s="826"/>
      <c r="DE79" s="826"/>
      <c r="DF79" s="826"/>
      <c r="DG79" s="826"/>
      <c r="DH79" s="826"/>
      <c r="DI79" s="826"/>
      <c r="DJ79" s="826"/>
      <c r="DK79" s="826"/>
      <c r="DL79" s="826"/>
      <c r="DM79" s="826"/>
      <c r="DN79" s="826"/>
      <c r="DO79" s="826"/>
      <c r="DP79" s="826"/>
      <c r="DQ79" s="826"/>
      <c r="DR79" s="826"/>
      <c r="DS79" s="826"/>
      <c r="DT79" s="826"/>
      <c r="DU79" s="826"/>
      <c r="DV79" s="826"/>
      <c r="DW79" s="826"/>
      <c r="DX79" s="826"/>
      <c r="DY79" s="826"/>
      <c r="DZ79" s="826"/>
      <c r="EA79" s="826"/>
      <c r="EB79" s="826"/>
      <c r="EC79" s="826"/>
      <c r="ED79" s="826"/>
      <c r="EE79" s="826"/>
      <c r="EF79" s="826"/>
      <c r="EG79" s="826"/>
      <c r="EH79" s="826"/>
      <c r="EI79" s="826"/>
      <c r="EJ79" s="826"/>
      <c r="EK79" s="826"/>
      <c r="EL79" s="826"/>
      <c r="EM79" s="826"/>
      <c r="EN79" s="826"/>
      <c r="EO79" s="826"/>
      <c r="EP79" s="826"/>
      <c r="EQ79" s="826"/>
      <c r="ER79" s="826"/>
      <c r="ES79" s="826"/>
      <c r="ET79" s="826"/>
      <c r="EU79" s="826"/>
      <c r="EV79" s="826"/>
      <c r="EW79" s="826"/>
      <c r="EX79" s="826"/>
      <c r="EY79" s="826"/>
      <c r="EZ79" s="826"/>
      <c r="FA79" s="826"/>
      <c r="FB79" s="826"/>
      <c r="FC79" s="826"/>
      <c r="FD79" s="826"/>
      <c r="FE79" s="826"/>
      <c r="FF79" s="826"/>
      <c r="FG79" s="826"/>
      <c r="FH79" s="826"/>
      <c r="FI79" s="826"/>
      <c r="FJ79" s="826"/>
      <c r="FK79" s="826"/>
      <c r="FL79" s="826"/>
      <c r="FM79" s="826"/>
      <c r="FN79" s="826"/>
      <c r="FO79" s="826"/>
      <c r="FP79" s="826"/>
      <c r="FQ79" s="826"/>
      <c r="FR79" s="826"/>
      <c r="FS79" s="826"/>
      <c r="FT79" s="826"/>
      <c r="FU79" s="826"/>
      <c r="FV79" s="826"/>
      <c r="FW79" s="826"/>
      <c r="FX79" s="826"/>
      <c r="FY79" s="826"/>
      <c r="FZ79" s="826"/>
      <c r="GA79" s="826"/>
      <c r="GB79" s="826"/>
      <c r="GC79" s="826"/>
      <c r="GD79" s="826"/>
      <c r="GE79" s="826"/>
      <c r="GF79" s="826"/>
      <c r="GG79" s="826"/>
      <c r="GH79" s="826"/>
      <c r="GI79" s="826"/>
      <c r="GJ79" s="826"/>
      <c r="GK79" s="826"/>
      <c r="GL79" s="826"/>
      <c r="GM79" s="826"/>
      <c r="GN79" s="826"/>
      <c r="GO79" s="826"/>
      <c r="GP79" s="826"/>
      <c r="GQ79" s="826"/>
      <c r="GR79" s="826"/>
      <c r="GS79" s="826"/>
      <c r="GT79" s="826"/>
      <c r="GU79" s="826"/>
      <c r="GV79" s="826"/>
      <c r="GW79" s="826"/>
      <c r="GX79" s="826"/>
      <c r="GY79" s="826"/>
      <c r="GZ79" s="826"/>
      <c r="HA79" s="826"/>
      <c r="HB79" s="826"/>
      <c r="HC79" s="826"/>
      <c r="HD79" s="826"/>
      <c r="HE79" s="826"/>
      <c r="HF79" s="826"/>
      <c r="HG79" s="826"/>
      <c r="HH79" s="826"/>
      <c r="HI79" s="826"/>
    </row>
    <row r="80" spans="1:217" s="827" customFormat="1" ht="56.25" customHeight="1">
      <c r="A80" s="96">
        <v>87</v>
      </c>
      <c r="B80" s="840" t="s">
        <v>8500</v>
      </c>
      <c r="C80" s="142">
        <v>12723075</v>
      </c>
      <c r="D80" s="828" t="s">
        <v>2173</v>
      </c>
      <c r="E80" s="143"/>
      <c r="F80" s="146"/>
      <c r="G80" s="145"/>
      <c r="H80" s="148"/>
      <c r="I80" s="175"/>
      <c r="J80" s="173"/>
      <c r="K80" s="146"/>
      <c r="L80" s="174"/>
      <c r="M80" s="175"/>
      <c r="N80" s="175"/>
      <c r="O80" s="173"/>
      <c r="P80" s="146"/>
      <c r="Q80" s="174"/>
      <c r="R80" s="175"/>
      <c r="S80" s="175"/>
      <c r="T80" s="173"/>
      <c r="U80" s="146"/>
      <c r="V80" s="174"/>
      <c r="W80" s="175"/>
      <c r="X80" s="175"/>
      <c r="Y80" s="173"/>
      <c r="Z80" s="146"/>
      <c r="AA80" s="174"/>
      <c r="AB80" s="175"/>
      <c r="AC80" s="175"/>
      <c r="AD80" s="173"/>
      <c r="AE80" s="146"/>
      <c r="AF80" s="174"/>
      <c r="AG80" s="175"/>
      <c r="AH80" s="175"/>
      <c r="AI80" s="175"/>
      <c r="AJ80" s="146"/>
      <c r="AK80" s="174"/>
      <c r="AL80" s="175"/>
      <c r="AM80" s="175"/>
      <c r="AN80" s="195"/>
      <c r="AO80" s="195"/>
      <c r="AP80" s="221" t="s">
        <v>10173</v>
      </c>
      <c r="AQ80" s="175"/>
      <c r="AR80" s="173"/>
      <c r="AS80" s="173"/>
      <c r="AT80" s="175"/>
      <c r="AU80" s="175"/>
      <c r="AV80" s="148" t="s">
        <v>10010</v>
      </c>
      <c r="AW80" s="126" t="s">
        <v>10011</v>
      </c>
      <c r="AX80" s="839"/>
      <c r="AY80" s="173"/>
      <c r="AZ80" s="171"/>
      <c r="BA80" s="148"/>
      <c r="BB80" s="148"/>
      <c r="BC80" s="175"/>
      <c r="BD80" s="174"/>
      <c r="BE80" s="174"/>
      <c r="BF80" s="174"/>
      <c r="BG80" s="174"/>
      <c r="BH80" s="176"/>
      <c r="BI80" s="176"/>
      <c r="BJ80" s="177"/>
      <c r="BK80" s="173"/>
      <c r="BL80" s="146"/>
      <c r="BM80" s="838"/>
      <c r="BN80" s="175"/>
      <c r="BO80" s="174"/>
      <c r="BP80" s="174"/>
      <c r="BQ80" s="174"/>
      <c r="BR80" s="179"/>
      <c r="BS80" s="174"/>
      <c r="BT80" s="173"/>
      <c r="BU80" s="146"/>
      <c r="BV80" s="826"/>
      <c r="BW80" s="826"/>
      <c r="BX80" s="826"/>
      <c r="BY80" s="826"/>
      <c r="BZ80" s="826"/>
      <c r="CA80" s="826"/>
      <c r="CB80" s="826"/>
      <c r="CC80" s="826"/>
      <c r="CD80" s="826"/>
      <c r="CE80" s="826"/>
      <c r="CF80" s="826"/>
      <c r="CG80" s="826"/>
      <c r="CH80" s="826"/>
      <c r="CI80" s="826"/>
      <c r="CJ80" s="826"/>
      <c r="CK80" s="826"/>
      <c r="CL80" s="826"/>
      <c r="CM80" s="826"/>
      <c r="CN80" s="826"/>
      <c r="CO80" s="826"/>
      <c r="CP80" s="826"/>
      <c r="CQ80" s="826"/>
      <c r="CR80" s="826"/>
      <c r="CS80" s="826"/>
      <c r="CT80" s="826"/>
      <c r="CU80" s="826"/>
      <c r="CV80" s="826"/>
      <c r="CW80" s="826"/>
      <c r="CX80" s="826"/>
      <c r="CY80" s="826"/>
      <c r="CZ80" s="826"/>
      <c r="DA80" s="826"/>
      <c r="DB80" s="826"/>
      <c r="DC80" s="826"/>
      <c r="DD80" s="826"/>
      <c r="DE80" s="826"/>
      <c r="DF80" s="826"/>
      <c r="DG80" s="826"/>
      <c r="DH80" s="826"/>
      <c r="DI80" s="826"/>
      <c r="DJ80" s="826"/>
      <c r="DK80" s="826"/>
      <c r="DL80" s="826"/>
      <c r="DM80" s="826"/>
      <c r="DN80" s="826"/>
      <c r="DO80" s="826"/>
      <c r="DP80" s="826"/>
      <c r="DQ80" s="826"/>
      <c r="DR80" s="826"/>
      <c r="DS80" s="826"/>
      <c r="DT80" s="826"/>
      <c r="DU80" s="826"/>
      <c r="DV80" s="826"/>
      <c r="DW80" s="826"/>
      <c r="DX80" s="826"/>
      <c r="DY80" s="826"/>
      <c r="DZ80" s="826"/>
      <c r="EA80" s="826"/>
      <c r="EB80" s="826"/>
      <c r="EC80" s="826"/>
      <c r="ED80" s="826"/>
      <c r="EE80" s="826"/>
      <c r="EF80" s="826"/>
      <c r="EG80" s="826"/>
      <c r="EH80" s="826"/>
      <c r="EI80" s="826"/>
      <c r="EJ80" s="826"/>
      <c r="EK80" s="826"/>
      <c r="EL80" s="826"/>
      <c r="EM80" s="826"/>
      <c r="EN80" s="826"/>
      <c r="EO80" s="826"/>
      <c r="EP80" s="826"/>
      <c r="EQ80" s="826"/>
      <c r="ER80" s="826"/>
      <c r="ES80" s="826"/>
      <c r="ET80" s="826"/>
      <c r="EU80" s="826"/>
      <c r="EV80" s="826"/>
      <c r="EW80" s="826"/>
      <c r="EX80" s="826"/>
      <c r="EY80" s="826"/>
      <c r="EZ80" s="826"/>
      <c r="FA80" s="826"/>
      <c r="FB80" s="826"/>
      <c r="FC80" s="826"/>
      <c r="FD80" s="826"/>
      <c r="FE80" s="826"/>
      <c r="FF80" s="826"/>
      <c r="FG80" s="826"/>
      <c r="FH80" s="826"/>
      <c r="FI80" s="826"/>
      <c r="FJ80" s="826"/>
      <c r="FK80" s="826"/>
      <c r="FL80" s="826"/>
      <c r="FM80" s="826"/>
      <c r="FN80" s="826"/>
      <c r="FO80" s="826"/>
      <c r="FP80" s="826"/>
      <c r="FQ80" s="826"/>
      <c r="FR80" s="826"/>
      <c r="FS80" s="826"/>
      <c r="FT80" s="826"/>
      <c r="FU80" s="826"/>
      <c r="FV80" s="826"/>
      <c r="FW80" s="826"/>
      <c r="FX80" s="826"/>
      <c r="FY80" s="826"/>
      <c r="FZ80" s="826"/>
      <c r="GA80" s="826"/>
      <c r="GB80" s="826"/>
      <c r="GC80" s="826"/>
      <c r="GD80" s="826"/>
      <c r="GE80" s="826"/>
      <c r="GF80" s="826"/>
      <c r="GG80" s="826"/>
      <c r="GH80" s="826"/>
      <c r="GI80" s="826"/>
      <c r="GJ80" s="826"/>
      <c r="GK80" s="826"/>
      <c r="GL80" s="826"/>
      <c r="GM80" s="826"/>
      <c r="GN80" s="826"/>
      <c r="GO80" s="826"/>
      <c r="GP80" s="826"/>
      <c r="GQ80" s="826"/>
      <c r="GR80" s="826"/>
      <c r="GS80" s="826"/>
      <c r="GT80" s="826"/>
      <c r="GU80" s="826"/>
      <c r="GV80" s="826"/>
      <c r="GW80" s="826"/>
      <c r="GX80" s="826"/>
      <c r="GY80" s="826"/>
      <c r="GZ80" s="826"/>
      <c r="HA80" s="826"/>
      <c r="HB80" s="826"/>
      <c r="HC80" s="826"/>
      <c r="HD80" s="826"/>
      <c r="HE80" s="826"/>
      <c r="HF80" s="826"/>
      <c r="HG80" s="826"/>
      <c r="HH80" s="826"/>
      <c r="HI80" s="826"/>
    </row>
    <row r="81" spans="1:217" s="827" customFormat="1" ht="56.25" customHeight="1">
      <c r="A81" s="96">
        <v>88</v>
      </c>
      <c r="B81" s="840" t="s">
        <v>10174</v>
      </c>
      <c r="C81" s="142">
        <v>83168539</v>
      </c>
      <c r="D81" s="828" t="s">
        <v>10175</v>
      </c>
      <c r="E81" s="143"/>
      <c r="F81" s="146"/>
      <c r="G81" s="145"/>
      <c r="H81" s="148"/>
      <c r="I81" s="175"/>
      <c r="J81" s="173"/>
      <c r="K81" s="146"/>
      <c r="L81" s="174"/>
      <c r="M81" s="175"/>
      <c r="N81" s="175"/>
      <c r="O81" s="173"/>
      <c r="P81" s="146"/>
      <c r="Q81" s="174"/>
      <c r="R81" s="175"/>
      <c r="S81" s="175"/>
      <c r="T81" s="173"/>
      <c r="U81" s="146"/>
      <c r="V81" s="174"/>
      <c r="W81" s="175"/>
      <c r="X81" s="175"/>
      <c r="Y81" s="173"/>
      <c r="Z81" s="146"/>
      <c r="AA81" s="174"/>
      <c r="AB81" s="175"/>
      <c r="AC81" s="175"/>
      <c r="AD81" s="173"/>
      <c r="AE81" s="146"/>
      <c r="AF81" s="174"/>
      <c r="AG81" s="175"/>
      <c r="AH81" s="175"/>
      <c r="AI81" s="175"/>
      <c r="AJ81" s="146"/>
      <c r="AK81" s="174"/>
      <c r="AL81" s="175"/>
      <c r="AM81" s="175"/>
      <c r="AN81" s="195"/>
      <c r="AO81" s="195"/>
      <c r="AP81" s="221" t="s">
        <v>10176</v>
      </c>
      <c r="AQ81" s="175"/>
      <c r="AR81" s="173"/>
      <c r="AS81" s="173"/>
      <c r="AT81" s="175"/>
      <c r="AU81" s="175"/>
      <c r="AV81" s="148" t="s">
        <v>10120</v>
      </c>
      <c r="AW81" s="126" t="s">
        <v>10177</v>
      </c>
      <c r="AX81" s="839"/>
      <c r="AY81" s="173"/>
      <c r="AZ81" s="171"/>
      <c r="BA81" s="148"/>
      <c r="BB81" s="148"/>
      <c r="BC81" s="175"/>
      <c r="BD81" s="174"/>
      <c r="BE81" s="174"/>
      <c r="BF81" s="174"/>
      <c r="BG81" s="174"/>
      <c r="BH81" s="176"/>
      <c r="BI81" s="176"/>
      <c r="BJ81" s="177"/>
      <c r="BK81" s="173"/>
      <c r="BL81" s="146"/>
      <c r="BM81" s="838"/>
      <c r="BN81" s="175"/>
      <c r="BO81" s="174"/>
      <c r="BP81" s="174"/>
      <c r="BQ81" s="174"/>
      <c r="BR81" s="179"/>
      <c r="BS81" s="174"/>
      <c r="BT81" s="173"/>
      <c r="BU81" s="146"/>
      <c r="BV81" s="826"/>
      <c r="BW81" s="826"/>
      <c r="BX81" s="826"/>
      <c r="BY81" s="826"/>
      <c r="BZ81" s="826"/>
      <c r="CA81" s="826"/>
      <c r="CB81" s="826"/>
      <c r="CC81" s="826"/>
      <c r="CD81" s="826"/>
      <c r="CE81" s="826"/>
      <c r="CF81" s="826"/>
      <c r="CG81" s="826"/>
      <c r="CH81" s="826"/>
      <c r="CI81" s="826"/>
      <c r="CJ81" s="826"/>
      <c r="CK81" s="826"/>
      <c r="CL81" s="826"/>
      <c r="CM81" s="826"/>
      <c r="CN81" s="826"/>
      <c r="CO81" s="826"/>
      <c r="CP81" s="826"/>
      <c r="CQ81" s="826"/>
      <c r="CR81" s="826"/>
      <c r="CS81" s="826"/>
      <c r="CT81" s="826"/>
      <c r="CU81" s="826"/>
      <c r="CV81" s="826"/>
      <c r="CW81" s="826"/>
      <c r="CX81" s="826"/>
      <c r="CY81" s="826"/>
      <c r="CZ81" s="826"/>
      <c r="DA81" s="826"/>
      <c r="DB81" s="826"/>
      <c r="DC81" s="826"/>
      <c r="DD81" s="826"/>
      <c r="DE81" s="826"/>
      <c r="DF81" s="826"/>
      <c r="DG81" s="826"/>
      <c r="DH81" s="826"/>
      <c r="DI81" s="826"/>
      <c r="DJ81" s="826"/>
      <c r="DK81" s="826"/>
      <c r="DL81" s="826"/>
      <c r="DM81" s="826"/>
      <c r="DN81" s="826"/>
      <c r="DO81" s="826"/>
      <c r="DP81" s="826"/>
      <c r="DQ81" s="826"/>
      <c r="DR81" s="826"/>
      <c r="DS81" s="826"/>
      <c r="DT81" s="826"/>
      <c r="DU81" s="826"/>
      <c r="DV81" s="826"/>
      <c r="DW81" s="826"/>
      <c r="DX81" s="826"/>
      <c r="DY81" s="826"/>
      <c r="DZ81" s="826"/>
      <c r="EA81" s="826"/>
      <c r="EB81" s="826"/>
      <c r="EC81" s="826"/>
      <c r="ED81" s="826"/>
      <c r="EE81" s="826"/>
      <c r="EF81" s="826"/>
      <c r="EG81" s="826"/>
      <c r="EH81" s="826"/>
      <c r="EI81" s="826"/>
      <c r="EJ81" s="826"/>
      <c r="EK81" s="826"/>
      <c r="EL81" s="826"/>
      <c r="EM81" s="826"/>
      <c r="EN81" s="826"/>
      <c r="EO81" s="826"/>
      <c r="EP81" s="826"/>
      <c r="EQ81" s="826"/>
      <c r="ER81" s="826"/>
      <c r="ES81" s="826"/>
      <c r="ET81" s="826"/>
      <c r="EU81" s="826"/>
      <c r="EV81" s="826"/>
      <c r="EW81" s="826"/>
      <c r="EX81" s="826"/>
      <c r="EY81" s="826"/>
      <c r="EZ81" s="826"/>
      <c r="FA81" s="826"/>
      <c r="FB81" s="826"/>
      <c r="FC81" s="826"/>
      <c r="FD81" s="826"/>
      <c r="FE81" s="826"/>
      <c r="FF81" s="826"/>
      <c r="FG81" s="826"/>
      <c r="FH81" s="826"/>
      <c r="FI81" s="826"/>
      <c r="FJ81" s="826"/>
      <c r="FK81" s="826"/>
      <c r="FL81" s="826"/>
      <c r="FM81" s="826"/>
      <c r="FN81" s="826"/>
      <c r="FO81" s="826"/>
      <c r="FP81" s="826"/>
      <c r="FQ81" s="826"/>
      <c r="FR81" s="826"/>
      <c r="FS81" s="826"/>
      <c r="FT81" s="826"/>
      <c r="FU81" s="826"/>
      <c r="FV81" s="826"/>
      <c r="FW81" s="826"/>
      <c r="FX81" s="826"/>
      <c r="FY81" s="826"/>
      <c r="FZ81" s="826"/>
      <c r="GA81" s="826"/>
      <c r="GB81" s="826"/>
      <c r="GC81" s="826"/>
      <c r="GD81" s="826"/>
      <c r="GE81" s="826"/>
      <c r="GF81" s="826"/>
      <c r="GG81" s="826"/>
      <c r="GH81" s="826"/>
      <c r="GI81" s="826"/>
      <c r="GJ81" s="826"/>
      <c r="GK81" s="826"/>
      <c r="GL81" s="826"/>
      <c r="GM81" s="826"/>
      <c r="GN81" s="826"/>
      <c r="GO81" s="826"/>
      <c r="GP81" s="826"/>
      <c r="GQ81" s="826"/>
      <c r="GR81" s="826"/>
      <c r="GS81" s="826"/>
      <c r="GT81" s="826"/>
      <c r="GU81" s="826"/>
      <c r="GV81" s="826"/>
      <c r="GW81" s="826"/>
      <c r="GX81" s="826"/>
      <c r="GY81" s="826"/>
      <c r="GZ81" s="826"/>
      <c r="HA81" s="826"/>
      <c r="HB81" s="826"/>
      <c r="HC81" s="826"/>
      <c r="HD81" s="826"/>
      <c r="HE81" s="826"/>
      <c r="HF81" s="826"/>
      <c r="HG81" s="826"/>
      <c r="HH81" s="826"/>
      <c r="HI81" s="826"/>
    </row>
    <row r="82" spans="1:217" s="827" customFormat="1" ht="56.25" customHeight="1">
      <c r="A82" s="96">
        <v>89</v>
      </c>
      <c r="B82" s="840" t="s">
        <v>10178</v>
      </c>
      <c r="C82" s="142"/>
      <c r="D82" s="828"/>
      <c r="E82" s="143"/>
      <c r="F82" s="146"/>
      <c r="G82" s="145"/>
      <c r="H82" s="148"/>
      <c r="I82" s="175"/>
      <c r="J82" s="173"/>
      <c r="K82" s="146"/>
      <c r="L82" s="174"/>
      <c r="M82" s="175"/>
      <c r="N82" s="175"/>
      <c r="O82" s="173"/>
      <c r="P82" s="146"/>
      <c r="Q82" s="174"/>
      <c r="R82" s="175"/>
      <c r="S82" s="175"/>
      <c r="T82" s="173"/>
      <c r="U82" s="146"/>
      <c r="V82" s="174"/>
      <c r="W82" s="175"/>
      <c r="X82" s="175"/>
      <c r="Y82" s="173"/>
      <c r="Z82" s="146"/>
      <c r="AA82" s="174"/>
      <c r="AB82" s="175"/>
      <c r="AC82" s="175"/>
      <c r="AD82" s="173"/>
      <c r="AE82" s="146"/>
      <c r="AF82" s="174"/>
      <c r="AG82" s="175"/>
      <c r="AH82" s="175"/>
      <c r="AI82" s="175"/>
      <c r="AJ82" s="146"/>
      <c r="AK82" s="174"/>
      <c r="AL82" s="175"/>
      <c r="AM82" s="175"/>
      <c r="AN82" s="195"/>
      <c r="AO82" s="195"/>
      <c r="AP82" s="845" t="s">
        <v>10179</v>
      </c>
      <c r="AQ82" s="175"/>
      <c r="AR82" s="173"/>
      <c r="AS82" s="173"/>
      <c r="AT82" s="175"/>
      <c r="AU82" s="175"/>
      <c r="AV82" s="126" t="s">
        <v>4665</v>
      </c>
      <c r="AW82" s="423">
        <v>42957</v>
      </c>
      <c r="AX82" s="839"/>
      <c r="AY82" s="173"/>
      <c r="AZ82" s="171"/>
      <c r="BA82" s="148"/>
      <c r="BB82" s="148"/>
      <c r="BC82" s="175"/>
      <c r="BD82" s="174"/>
      <c r="BE82" s="174"/>
      <c r="BF82" s="174"/>
      <c r="BG82" s="174"/>
      <c r="BH82" s="176"/>
      <c r="BI82" s="176"/>
      <c r="BJ82" s="177"/>
      <c r="BK82" s="173"/>
      <c r="BL82" s="146"/>
      <c r="BM82" s="838"/>
      <c r="BN82" s="175"/>
      <c r="BO82" s="174"/>
      <c r="BP82" s="174"/>
      <c r="BQ82" s="174"/>
      <c r="BR82" s="179"/>
      <c r="BS82" s="174"/>
      <c r="BT82" s="173"/>
      <c r="BU82" s="146"/>
      <c r="BV82" s="826"/>
      <c r="BW82" s="826"/>
      <c r="BX82" s="826"/>
      <c r="BY82" s="826"/>
      <c r="BZ82" s="826"/>
      <c r="CA82" s="826"/>
      <c r="CB82" s="826"/>
      <c r="CC82" s="826"/>
      <c r="CD82" s="826"/>
      <c r="CE82" s="826"/>
      <c r="CF82" s="826"/>
      <c r="CG82" s="826"/>
      <c r="CH82" s="826"/>
      <c r="CI82" s="826"/>
      <c r="CJ82" s="826"/>
      <c r="CK82" s="826"/>
      <c r="CL82" s="826"/>
      <c r="CM82" s="826"/>
      <c r="CN82" s="826"/>
      <c r="CO82" s="826"/>
      <c r="CP82" s="826"/>
      <c r="CQ82" s="826"/>
      <c r="CR82" s="826"/>
      <c r="CS82" s="826"/>
      <c r="CT82" s="826"/>
      <c r="CU82" s="826"/>
      <c r="CV82" s="826"/>
      <c r="CW82" s="826"/>
      <c r="CX82" s="826"/>
      <c r="CY82" s="826"/>
      <c r="CZ82" s="826"/>
      <c r="DA82" s="826"/>
      <c r="DB82" s="826"/>
      <c r="DC82" s="826"/>
      <c r="DD82" s="826"/>
      <c r="DE82" s="826"/>
      <c r="DF82" s="826"/>
      <c r="DG82" s="826"/>
      <c r="DH82" s="826"/>
      <c r="DI82" s="826"/>
      <c r="DJ82" s="826"/>
      <c r="DK82" s="826"/>
      <c r="DL82" s="826"/>
      <c r="DM82" s="826"/>
      <c r="DN82" s="826"/>
      <c r="DO82" s="826"/>
      <c r="DP82" s="826"/>
      <c r="DQ82" s="826"/>
      <c r="DR82" s="826"/>
      <c r="DS82" s="826"/>
      <c r="DT82" s="826"/>
      <c r="DU82" s="826"/>
      <c r="DV82" s="826"/>
      <c r="DW82" s="826"/>
      <c r="DX82" s="826"/>
      <c r="DY82" s="826"/>
      <c r="DZ82" s="826"/>
      <c r="EA82" s="826"/>
      <c r="EB82" s="826"/>
      <c r="EC82" s="826"/>
      <c r="ED82" s="826"/>
      <c r="EE82" s="826"/>
      <c r="EF82" s="826"/>
      <c r="EG82" s="826"/>
      <c r="EH82" s="826"/>
      <c r="EI82" s="826"/>
      <c r="EJ82" s="826"/>
      <c r="EK82" s="826"/>
      <c r="EL82" s="826"/>
      <c r="EM82" s="826"/>
      <c r="EN82" s="826"/>
      <c r="EO82" s="826"/>
      <c r="EP82" s="826"/>
      <c r="EQ82" s="826"/>
      <c r="ER82" s="826"/>
      <c r="ES82" s="826"/>
      <c r="ET82" s="826"/>
      <c r="EU82" s="826"/>
      <c r="EV82" s="826"/>
      <c r="EW82" s="826"/>
      <c r="EX82" s="826"/>
      <c r="EY82" s="826"/>
      <c r="EZ82" s="826"/>
      <c r="FA82" s="826"/>
      <c r="FB82" s="826"/>
      <c r="FC82" s="826"/>
      <c r="FD82" s="826"/>
      <c r="FE82" s="826"/>
      <c r="FF82" s="826"/>
      <c r="FG82" s="826"/>
      <c r="FH82" s="826"/>
      <c r="FI82" s="826"/>
      <c r="FJ82" s="826"/>
      <c r="FK82" s="826"/>
      <c r="FL82" s="826"/>
      <c r="FM82" s="826"/>
      <c r="FN82" s="826"/>
      <c r="FO82" s="826"/>
      <c r="FP82" s="826"/>
      <c r="FQ82" s="826"/>
      <c r="FR82" s="826"/>
      <c r="FS82" s="826"/>
      <c r="FT82" s="826"/>
      <c r="FU82" s="826"/>
      <c r="FV82" s="826"/>
      <c r="FW82" s="826"/>
      <c r="FX82" s="826"/>
      <c r="FY82" s="826"/>
      <c r="FZ82" s="826"/>
      <c r="GA82" s="826"/>
      <c r="GB82" s="826"/>
      <c r="GC82" s="826"/>
      <c r="GD82" s="826"/>
      <c r="GE82" s="826"/>
      <c r="GF82" s="826"/>
      <c r="GG82" s="826"/>
      <c r="GH82" s="826"/>
      <c r="GI82" s="826"/>
      <c r="GJ82" s="826"/>
      <c r="GK82" s="826"/>
      <c r="GL82" s="826"/>
      <c r="GM82" s="826"/>
      <c r="GN82" s="826"/>
      <c r="GO82" s="826"/>
      <c r="GP82" s="826"/>
      <c r="GQ82" s="826"/>
      <c r="GR82" s="826"/>
      <c r="GS82" s="826"/>
      <c r="GT82" s="826"/>
      <c r="GU82" s="826"/>
      <c r="GV82" s="826"/>
      <c r="GW82" s="826"/>
      <c r="GX82" s="826"/>
      <c r="GY82" s="826"/>
      <c r="GZ82" s="826"/>
      <c r="HA82" s="826"/>
      <c r="HB82" s="826"/>
      <c r="HC82" s="826"/>
      <c r="HD82" s="826"/>
      <c r="HE82" s="826"/>
      <c r="HF82" s="826"/>
      <c r="HG82" s="826"/>
      <c r="HH82" s="826"/>
      <c r="HI82" s="826"/>
    </row>
    <row r="83" spans="1:217" s="827" customFormat="1" ht="56.25" customHeight="1">
      <c r="A83" s="96">
        <v>90</v>
      </c>
      <c r="B83" s="840" t="s">
        <v>10180</v>
      </c>
      <c r="C83" s="142">
        <v>79547735</v>
      </c>
      <c r="D83" s="828" t="s">
        <v>3482</v>
      </c>
      <c r="E83" s="143"/>
      <c r="F83" s="146"/>
      <c r="G83" s="145"/>
      <c r="H83" s="148"/>
      <c r="I83" s="175"/>
      <c r="J83" s="173"/>
      <c r="K83" s="146"/>
      <c r="L83" s="174"/>
      <c r="M83" s="175"/>
      <c r="N83" s="175"/>
      <c r="O83" s="173"/>
      <c r="P83" s="146"/>
      <c r="Q83" s="174"/>
      <c r="R83" s="175"/>
      <c r="S83" s="175"/>
      <c r="T83" s="173"/>
      <c r="U83" s="146"/>
      <c r="V83" s="174"/>
      <c r="W83" s="175"/>
      <c r="X83" s="175"/>
      <c r="Y83" s="173"/>
      <c r="Z83" s="146"/>
      <c r="AA83" s="174"/>
      <c r="AB83" s="175"/>
      <c r="AC83" s="175"/>
      <c r="AD83" s="173"/>
      <c r="AE83" s="146"/>
      <c r="AF83" s="174"/>
      <c r="AG83" s="175"/>
      <c r="AH83" s="175"/>
      <c r="AI83" s="175"/>
      <c r="AJ83" s="146"/>
      <c r="AK83" s="174"/>
      <c r="AL83" s="175"/>
      <c r="AM83" s="175"/>
      <c r="AN83" s="195"/>
      <c r="AO83" s="195"/>
      <c r="AP83" s="845" t="s">
        <v>10181</v>
      </c>
      <c r="AQ83" s="175"/>
      <c r="AR83" s="173"/>
      <c r="AS83" s="173"/>
      <c r="AT83" s="175"/>
      <c r="AU83" s="175"/>
      <c r="AV83" s="126"/>
      <c r="AW83" s="126"/>
      <c r="AX83" s="839"/>
      <c r="AY83" s="173"/>
      <c r="AZ83" s="171"/>
      <c r="BA83" s="148"/>
      <c r="BB83" s="148"/>
      <c r="BC83" s="175"/>
      <c r="BD83" s="174"/>
      <c r="BE83" s="174"/>
      <c r="BF83" s="174"/>
      <c r="BG83" s="174"/>
      <c r="BH83" s="176"/>
      <c r="BI83" s="176"/>
      <c r="BJ83" s="177"/>
      <c r="BK83" s="173"/>
      <c r="BL83" s="146"/>
      <c r="BM83" s="838"/>
      <c r="BN83" s="175"/>
      <c r="BO83" s="174"/>
      <c r="BP83" s="174"/>
      <c r="BQ83" s="174"/>
      <c r="BR83" s="179"/>
      <c r="BS83" s="174"/>
      <c r="BT83" s="173"/>
      <c r="BU83" s="146"/>
      <c r="BV83" s="826"/>
      <c r="BW83" s="826"/>
      <c r="BX83" s="826"/>
      <c r="BY83" s="826"/>
      <c r="BZ83" s="826"/>
      <c r="CA83" s="826"/>
      <c r="CB83" s="826"/>
      <c r="CC83" s="826"/>
      <c r="CD83" s="826"/>
      <c r="CE83" s="826"/>
      <c r="CF83" s="826"/>
      <c r="CG83" s="826"/>
      <c r="CH83" s="826"/>
      <c r="CI83" s="826"/>
      <c r="CJ83" s="826"/>
      <c r="CK83" s="826"/>
      <c r="CL83" s="826"/>
      <c r="CM83" s="826"/>
      <c r="CN83" s="826"/>
      <c r="CO83" s="826"/>
      <c r="CP83" s="826"/>
      <c r="CQ83" s="826"/>
      <c r="CR83" s="826"/>
      <c r="CS83" s="826"/>
      <c r="CT83" s="826"/>
      <c r="CU83" s="826"/>
      <c r="CV83" s="826"/>
      <c r="CW83" s="826"/>
      <c r="CX83" s="826"/>
      <c r="CY83" s="826"/>
      <c r="CZ83" s="826"/>
      <c r="DA83" s="826"/>
      <c r="DB83" s="826"/>
      <c r="DC83" s="826"/>
      <c r="DD83" s="826"/>
      <c r="DE83" s="826"/>
      <c r="DF83" s="826"/>
      <c r="DG83" s="826"/>
      <c r="DH83" s="826"/>
      <c r="DI83" s="826"/>
      <c r="DJ83" s="826"/>
      <c r="DK83" s="826"/>
      <c r="DL83" s="826"/>
      <c r="DM83" s="826"/>
      <c r="DN83" s="826"/>
      <c r="DO83" s="826"/>
      <c r="DP83" s="826"/>
      <c r="DQ83" s="826"/>
      <c r="DR83" s="826"/>
      <c r="DS83" s="826"/>
      <c r="DT83" s="826"/>
      <c r="DU83" s="826"/>
      <c r="DV83" s="826"/>
      <c r="DW83" s="826"/>
      <c r="DX83" s="826"/>
      <c r="DY83" s="826"/>
      <c r="DZ83" s="826"/>
      <c r="EA83" s="826"/>
      <c r="EB83" s="826"/>
      <c r="EC83" s="826"/>
      <c r="ED83" s="826"/>
      <c r="EE83" s="826"/>
      <c r="EF83" s="826"/>
      <c r="EG83" s="826"/>
      <c r="EH83" s="826"/>
      <c r="EI83" s="826"/>
      <c r="EJ83" s="826"/>
      <c r="EK83" s="826"/>
      <c r="EL83" s="826"/>
      <c r="EM83" s="826"/>
      <c r="EN83" s="826"/>
      <c r="EO83" s="826"/>
      <c r="EP83" s="826"/>
      <c r="EQ83" s="826"/>
      <c r="ER83" s="826"/>
      <c r="ES83" s="826"/>
      <c r="ET83" s="826"/>
      <c r="EU83" s="826"/>
      <c r="EV83" s="826"/>
      <c r="EW83" s="826"/>
      <c r="EX83" s="826"/>
      <c r="EY83" s="826"/>
      <c r="EZ83" s="826"/>
      <c r="FA83" s="826"/>
      <c r="FB83" s="826"/>
      <c r="FC83" s="826"/>
      <c r="FD83" s="826"/>
      <c r="FE83" s="826"/>
      <c r="FF83" s="826"/>
      <c r="FG83" s="826"/>
      <c r="FH83" s="826"/>
      <c r="FI83" s="826"/>
      <c r="FJ83" s="826"/>
      <c r="FK83" s="826"/>
      <c r="FL83" s="826"/>
      <c r="FM83" s="826"/>
      <c r="FN83" s="826"/>
      <c r="FO83" s="826"/>
      <c r="FP83" s="826"/>
      <c r="FQ83" s="826"/>
      <c r="FR83" s="826"/>
      <c r="FS83" s="826"/>
      <c r="FT83" s="826"/>
      <c r="FU83" s="826"/>
      <c r="FV83" s="826"/>
      <c r="FW83" s="826"/>
      <c r="FX83" s="826"/>
      <c r="FY83" s="826"/>
      <c r="FZ83" s="826"/>
      <c r="GA83" s="826"/>
      <c r="GB83" s="826"/>
      <c r="GC83" s="826"/>
      <c r="GD83" s="826"/>
      <c r="GE83" s="826"/>
      <c r="GF83" s="826"/>
      <c r="GG83" s="826"/>
      <c r="GH83" s="826"/>
      <c r="GI83" s="826"/>
      <c r="GJ83" s="826"/>
      <c r="GK83" s="826"/>
      <c r="GL83" s="826"/>
      <c r="GM83" s="826"/>
      <c r="GN83" s="826"/>
      <c r="GO83" s="826"/>
      <c r="GP83" s="826"/>
      <c r="GQ83" s="826"/>
      <c r="GR83" s="826"/>
      <c r="GS83" s="826"/>
      <c r="GT83" s="826"/>
      <c r="GU83" s="826"/>
      <c r="GV83" s="826"/>
      <c r="GW83" s="826"/>
      <c r="GX83" s="826"/>
      <c r="GY83" s="826"/>
      <c r="GZ83" s="826"/>
      <c r="HA83" s="826"/>
      <c r="HB83" s="826"/>
      <c r="HC83" s="826"/>
      <c r="HD83" s="826"/>
      <c r="HE83" s="826"/>
      <c r="HF83" s="826"/>
      <c r="HG83" s="826"/>
      <c r="HH83" s="826"/>
      <c r="HI83" s="826"/>
    </row>
    <row r="84" spans="1:217" s="827" customFormat="1" ht="56.25" customHeight="1">
      <c r="A84" s="96">
        <v>91</v>
      </c>
      <c r="B84" s="840" t="s">
        <v>9311</v>
      </c>
      <c r="C84" s="142">
        <v>79826799</v>
      </c>
      <c r="D84" s="828" t="s">
        <v>167</v>
      </c>
      <c r="E84" s="143"/>
      <c r="F84" s="146"/>
      <c r="G84" s="145"/>
      <c r="H84" s="148"/>
      <c r="I84" s="175"/>
      <c r="J84" s="173"/>
      <c r="K84" s="146"/>
      <c r="L84" s="174"/>
      <c r="M84" s="175"/>
      <c r="N84" s="175"/>
      <c r="O84" s="173"/>
      <c r="P84" s="146"/>
      <c r="Q84" s="174"/>
      <c r="R84" s="175"/>
      <c r="S84" s="175"/>
      <c r="T84" s="173"/>
      <c r="U84" s="146"/>
      <c r="V84" s="174"/>
      <c r="W84" s="175"/>
      <c r="X84" s="175"/>
      <c r="Y84" s="173"/>
      <c r="Z84" s="146"/>
      <c r="AA84" s="174"/>
      <c r="AB84" s="175"/>
      <c r="AC84" s="175"/>
      <c r="AD84" s="173"/>
      <c r="AE84" s="146"/>
      <c r="AF84" s="174"/>
      <c r="AG84" s="175"/>
      <c r="AH84" s="175"/>
      <c r="AI84" s="175"/>
      <c r="AJ84" s="146"/>
      <c r="AK84" s="174"/>
      <c r="AL84" s="175"/>
      <c r="AM84" s="175"/>
      <c r="AN84" s="195"/>
      <c r="AO84" s="195"/>
      <c r="AP84" s="845" t="s">
        <v>10182</v>
      </c>
      <c r="AQ84" s="175"/>
      <c r="AR84" s="173"/>
      <c r="AS84" s="173"/>
      <c r="AT84" s="175"/>
      <c r="AU84" s="175"/>
      <c r="AV84" s="148" t="s">
        <v>10183</v>
      </c>
      <c r="AW84" s="126" t="s">
        <v>10184</v>
      </c>
      <c r="AX84" s="839"/>
      <c r="AY84" s="173"/>
      <c r="AZ84" s="171"/>
      <c r="BA84" s="148"/>
      <c r="BB84" s="148"/>
      <c r="BC84" s="175"/>
      <c r="BD84" s="174"/>
      <c r="BE84" s="174"/>
      <c r="BF84" s="174"/>
      <c r="BG84" s="174"/>
      <c r="BH84" s="176"/>
      <c r="BI84" s="176"/>
      <c r="BJ84" s="177"/>
      <c r="BK84" s="173"/>
      <c r="BL84" s="146"/>
      <c r="BM84" s="838"/>
      <c r="BN84" s="175"/>
      <c r="BO84" s="174"/>
      <c r="BP84" s="174"/>
      <c r="BQ84" s="174"/>
      <c r="BR84" s="179"/>
      <c r="BS84" s="174"/>
      <c r="BT84" s="173"/>
      <c r="BU84" s="146"/>
      <c r="BV84" s="826"/>
      <c r="BW84" s="826"/>
      <c r="BX84" s="826"/>
      <c r="BY84" s="826"/>
      <c r="BZ84" s="826"/>
      <c r="CA84" s="826"/>
      <c r="CB84" s="826"/>
      <c r="CC84" s="826"/>
      <c r="CD84" s="826"/>
      <c r="CE84" s="826"/>
      <c r="CF84" s="826"/>
      <c r="CG84" s="826"/>
      <c r="CH84" s="826"/>
      <c r="CI84" s="826"/>
      <c r="CJ84" s="826"/>
      <c r="CK84" s="826"/>
      <c r="CL84" s="826"/>
      <c r="CM84" s="826"/>
      <c r="CN84" s="826"/>
      <c r="CO84" s="826"/>
      <c r="CP84" s="826"/>
      <c r="CQ84" s="826"/>
      <c r="CR84" s="826"/>
      <c r="CS84" s="826"/>
      <c r="CT84" s="826"/>
      <c r="CU84" s="826"/>
      <c r="CV84" s="826"/>
      <c r="CW84" s="826"/>
      <c r="CX84" s="826"/>
      <c r="CY84" s="826"/>
      <c r="CZ84" s="826"/>
      <c r="DA84" s="826"/>
      <c r="DB84" s="826"/>
      <c r="DC84" s="826"/>
      <c r="DD84" s="826"/>
      <c r="DE84" s="826"/>
      <c r="DF84" s="826"/>
      <c r="DG84" s="826"/>
      <c r="DH84" s="826"/>
      <c r="DI84" s="826"/>
      <c r="DJ84" s="826"/>
      <c r="DK84" s="826"/>
      <c r="DL84" s="826"/>
      <c r="DM84" s="826"/>
      <c r="DN84" s="826"/>
      <c r="DO84" s="826"/>
      <c r="DP84" s="826"/>
      <c r="DQ84" s="826"/>
      <c r="DR84" s="826"/>
      <c r="DS84" s="826"/>
      <c r="DT84" s="826"/>
      <c r="DU84" s="826"/>
      <c r="DV84" s="826"/>
      <c r="DW84" s="826"/>
      <c r="DX84" s="826"/>
      <c r="DY84" s="826"/>
      <c r="DZ84" s="826"/>
      <c r="EA84" s="826"/>
      <c r="EB84" s="826"/>
      <c r="EC84" s="826"/>
      <c r="ED84" s="826"/>
      <c r="EE84" s="826"/>
      <c r="EF84" s="826"/>
      <c r="EG84" s="826"/>
      <c r="EH84" s="826"/>
      <c r="EI84" s="826"/>
      <c r="EJ84" s="826"/>
      <c r="EK84" s="826"/>
      <c r="EL84" s="826"/>
      <c r="EM84" s="826"/>
      <c r="EN84" s="826"/>
      <c r="EO84" s="826"/>
      <c r="EP84" s="826"/>
      <c r="EQ84" s="826"/>
      <c r="ER84" s="826"/>
      <c r="ES84" s="826"/>
      <c r="ET84" s="826"/>
      <c r="EU84" s="826"/>
      <c r="EV84" s="826"/>
      <c r="EW84" s="826"/>
      <c r="EX84" s="826"/>
      <c r="EY84" s="826"/>
      <c r="EZ84" s="826"/>
      <c r="FA84" s="826"/>
      <c r="FB84" s="826"/>
      <c r="FC84" s="826"/>
      <c r="FD84" s="826"/>
      <c r="FE84" s="826"/>
      <c r="FF84" s="826"/>
      <c r="FG84" s="826"/>
      <c r="FH84" s="826"/>
      <c r="FI84" s="826"/>
      <c r="FJ84" s="826"/>
      <c r="FK84" s="826"/>
      <c r="FL84" s="826"/>
      <c r="FM84" s="826"/>
      <c r="FN84" s="826"/>
      <c r="FO84" s="826"/>
      <c r="FP84" s="826"/>
      <c r="FQ84" s="826"/>
      <c r="FR84" s="826"/>
      <c r="FS84" s="826"/>
      <c r="FT84" s="826"/>
      <c r="FU84" s="826"/>
      <c r="FV84" s="826"/>
      <c r="FW84" s="826"/>
      <c r="FX84" s="826"/>
      <c r="FY84" s="826"/>
      <c r="FZ84" s="826"/>
      <c r="GA84" s="826"/>
      <c r="GB84" s="826"/>
      <c r="GC84" s="826"/>
      <c r="GD84" s="826"/>
      <c r="GE84" s="826"/>
      <c r="GF84" s="826"/>
      <c r="GG84" s="826"/>
      <c r="GH84" s="826"/>
      <c r="GI84" s="826"/>
      <c r="GJ84" s="826"/>
      <c r="GK84" s="826"/>
      <c r="GL84" s="826"/>
      <c r="GM84" s="826"/>
      <c r="GN84" s="826"/>
      <c r="GO84" s="826"/>
      <c r="GP84" s="826"/>
      <c r="GQ84" s="826"/>
      <c r="GR84" s="826"/>
      <c r="GS84" s="826"/>
      <c r="GT84" s="826"/>
      <c r="GU84" s="826"/>
      <c r="GV84" s="826"/>
      <c r="GW84" s="826"/>
      <c r="GX84" s="826"/>
      <c r="GY84" s="826"/>
      <c r="GZ84" s="826"/>
      <c r="HA84" s="826"/>
      <c r="HB84" s="826"/>
      <c r="HC84" s="826"/>
      <c r="HD84" s="826"/>
      <c r="HE84" s="826"/>
      <c r="HF84" s="826"/>
      <c r="HG84" s="826"/>
      <c r="HH84" s="826"/>
      <c r="HI84" s="826"/>
    </row>
    <row r="85" spans="1:217" s="827" customFormat="1" ht="56.25" customHeight="1">
      <c r="A85" s="96">
        <v>92</v>
      </c>
      <c r="B85" s="840" t="s">
        <v>10185</v>
      </c>
      <c r="C85" s="142">
        <v>4789616</v>
      </c>
      <c r="D85" s="828" t="s">
        <v>2446</v>
      </c>
      <c r="E85" s="143"/>
      <c r="F85" s="146"/>
      <c r="G85" s="145"/>
      <c r="H85" s="148"/>
      <c r="I85" s="175"/>
      <c r="J85" s="173"/>
      <c r="K85" s="146"/>
      <c r="L85" s="174"/>
      <c r="M85" s="175"/>
      <c r="N85" s="175"/>
      <c r="O85" s="173"/>
      <c r="P85" s="146"/>
      <c r="Q85" s="174"/>
      <c r="R85" s="175"/>
      <c r="S85" s="175"/>
      <c r="T85" s="173"/>
      <c r="U85" s="146"/>
      <c r="V85" s="174"/>
      <c r="W85" s="175"/>
      <c r="X85" s="175"/>
      <c r="Y85" s="173"/>
      <c r="Z85" s="146"/>
      <c r="AA85" s="174"/>
      <c r="AB85" s="175"/>
      <c r="AC85" s="175"/>
      <c r="AD85" s="173"/>
      <c r="AE85" s="146"/>
      <c r="AF85" s="174"/>
      <c r="AG85" s="175"/>
      <c r="AH85" s="175"/>
      <c r="AI85" s="175"/>
      <c r="AJ85" s="146"/>
      <c r="AK85" s="174"/>
      <c r="AL85" s="175"/>
      <c r="AM85" s="175"/>
      <c r="AN85" s="195"/>
      <c r="AO85" s="195"/>
      <c r="AP85" s="845" t="s">
        <v>10186</v>
      </c>
      <c r="AQ85" s="175"/>
      <c r="AR85" s="173"/>
      <c r="AS85" s="173"/>
      <c r="AT85" s="175"/>
      <c r="AU85" s="175"/>
      <c r="AV85" s="148" t="s">
        <v>10187</v>
      </c>
      <c r="AW85" s="126"/>
      <c r="AX85" s="839"/>
      <c r="AY85" s="173"/>
      <c r="AZ85" s="171"/>
      <c r="BA85" s="148"/>
      <c r="BB85" s="148"/>
      <c r="BC85" s="175"/>
      <c r="BD85" s="174"/>
      <c r="BE85" s="174"/>
      <c r="BF85" s="174"/>
      <c r="BG85" s="174"/>
      <c r="BH85" s="176"/>
      <c r="BI85" s="176"/>
      <c r="BJ85" s="177"/>
      <c r="BK85" s="173"/>
      <c r="BL85" s="146"/>
      <c r="BM85" s="838"/>
      <c r="BN85" s="175"/>
      <c r="BO85" s="174"/>
      <c r="BP85" s="174"/>
      <c r="BQ85" s="174"/>
      <c r="BR85" s="179"/>
      <c r="BS85" s="174"/>
      <c r="BT85" s="173"/>
      <c r="BU85" s="146"/>
      <c r="BV85" s="826"/>
      <c r="BW85" s="826"/>
      <c r="BX85" s="826"/>
      <c r="BY85" s="826"/>
      <c r="BZ85" s="826"/>
      <c r="CA85" s="826"/>
      <c r="CB85" s="826"/>
      <c r="CC85" s="826"/>
      <c r="CD85" s="826"/>
      <c r="CE85" s="826"/>
      <c r="CF85" s="826"/>
      <c r="CG85" s="826"/>
      <c r="CH85" s="826"/>
      <c r="CI85" s="826"/>
      <c r="CJ85" s="826"/>
      <c r="CK85" s="826"/>
      <c r="CL85" s="826"/>
      <c r="CM85" s="826"/>
      <c r="CN85" s="826"/>
      <c r="CO85" s="826"/>
      <c r="CP85" s="826"/>
      <c r="CQ85" s="826"/>
      <c r="CR85" s="826"/>
      <c r="CS85" s="826"/>
      <c r="CT85" s="826"/>
      <c r="CU85" s="826"/>
      <c r="CV85" s="826"/>
      <c r="CW85" s="826"/>
      <c r="CX85" s="826"/>
      <c r="CY85" s="826"/>
      <c r="CZ85" s="826"/>
      <c r="DA85" s="826"/>
      <c r="DB85" s="826"/>
      <c r="DC85" s="826"/>
      <c r="DD85" s="826"/>
      <c r="DE85" s="826"/>
      <c r="DF85" s="826"/>
      <c r="DG85" s="826"/>
      <c r="DH85" s="826"/>
      <c r="DI85" s="826"/>
      <c r="DJ85" s="826"/>
      <c r="DK85" s="826"/>
      <c r="DL85" s="826"/>
      <c r="DM85" s="826"/>
      <c r="DN85" s="826"/>
      <c r="DO85" s="826"/>
      <c r="DP85" s="826"/>
      <c r="DQ85" s="826"/>
      <c r="DR85" s="826"/>
      <c r="DS85" s="826"/>
      <c r="DT85" s="826"/>
      <c r="DU85" s="826"/>
      <c r="DV85" s="826"/>
      <c r="DW85" s="826"/>
      <c r="DX85" s="826"/>
      <c r="DY85" s="826"/>
      <c r="DZ85" s="826"/>
      <c r="EA85" s="826"/>
      <c r="EB85" s="826"/>
      <c r="EC85" s="826"/>
      <c r="ED85" s="826"/>
      <c r="EE85" s="826"/>
      <c r="EF85" s="826"/>
      <c r="EG85" s="826"/>
      <c r="EH85" s="826"/>
      <c r="EI85" s="826"/>
      <c r="EJ85" s="826"/>
      <c r="EK85" s="826"/>
      <c r="EL85" s="826"/>
      <c r="EM85" s="826"/>
      <c r="EN85" s="826"/>
      <c r="EO85" s="826"/>
      <c r="EP85" s="826"/>
      <c r="EQ85" s="826"/>
      <c r="ER85" s="826"/>
      <c r="ES85" s="826"/>
      <c r="ET85" s="826"/>
      <c r="EU85" s="826"/>
      <c r="EV85" s="826"/>
      <c r="EW85" s="826"/>
      <c r="EX85" s="826"/>
      <c r="EY85" s="826"/>
      <c r="EZ85" s="826"/>
      <c r="FA85" s="826"/>
      <c r="FB85" s="826"/>
      <c r="FC85" s="826"/>
      <c r="FD85" s="826"/>
      <c r="FE85" s="826"/>
      <c r="FF85" s="826"/>
      <c r="FG85" s="826"/>
      <c r="FH85" s="826"/>
      <c r="FI85" s="826"/>
      <c r="FJ85" s="826"/>
      <c r="FK85" s="826"/>
      <c r="FL85" s="826"/>
      <c r="FM85" s="826"/>
      <c r="FN85" s="826"/>
      <c r="FO85" s="826"/>
      <c r="FP85" s="826"/>
      <c r="FQ85" s="826"/>
      <c r="FR85" s="826"/>
      <c r="FS85" s="826"/>
      <c r="FT85" s="826"/>
      <c r="FU85" s="826"/>
      <c r="FV85" s="826"/>
      <c r="FW85" s="826"/>
      <c r="FX85" s="826"/>
      <c r="FY85" s="826"/>
      <c r="FZ85" s="826"/>
      <c r="GA85" s="826"/>
      <c r="GB85" s="826"/>
      <c r="GC85" s="826"/>
      <c r="GD85" s="826"/>
      <c r="GE85" s="826"/>
      <c r="GF85" s="826"/>
      <c r="GG85" s="826"/>
      <c r="GH85" s="826"/>
      <c r="GI85" s="826"/>
      <c r="GJ85" s="826"/>
      <c r="GK85" s="826"/>
      <c r="GL85" s="826"/>
      <c r="GM85" s="826"/>
      <c r="GN85" s="826"/>
      <c r="GO85" s="826"/>
      <c r="GP85" s="826"/>
      <c r="GQ85" s="826"/>
      <c r="GR85" s="826"/>
      <c r="GS85" s="826"/>
      <c r="GT85" s="826"/>
      <c r="GU85" s="826"/>
      <c r="GV85" s="826"/>
      <c r="GW85" s="826"/>
      <c r="GX85" s="826"/>
      <c r="GY85" s="826"/>
      <c r="GZ85" s="826"/>
      <c r="HA85" s="826"/>
      <c r="HB85" s="826"/>
      <c r="HC85" s="826"/>
      <c r="HD85" s="826"/>
      <c r="HE85" s="826"/>
      <c r="HF85" s="826"/>
      <c r="HG85" s="826"/>
      <c r="HH85" s="826"/>
      <c r="HI85" s="826"/>
    </row>
    <row r="86" spans="1:217" s="827" customFormat="1" ht="56.25" customHeight="1">
      <c r="A86" s="96">
        <v>93</v>
      </c>
      <c r="B86" s="840" t="s">
        <v>10188</v>
      </c>
      <c r="C86" s="142">
        <v>98612119</v>
      </c>
      <c r="D86" s="828" t="s">
        <v>333</v>
      </c>
      <c r="E86" s="143"/>
      <c r="F86" s="146"/>
      <c r="G86" s="145"/>
      <c r="H86" s="148"/>
      <c r="I86" s="175"/>
      <c r="J86" s="173"/>
      <c r="K86" s="146"/>
      <c r="L86" s="174"/>
      <c r="M86" s="175"/>
      <c r="N86" s="175"/>
      <c r="O86" s="173"/>
      <c r="P86" s="146"/>
      <c r="Q86" s="174"/>
      <c r="R86" s="175"/>
      <c r="S86" s="175"/>
      <c r="T86" s="173"/>
      <c r="U86" s="146"/>
      <c r="V86" s="174"/>
      <c r="W86" s="175"/>
      <c r="X86" s="175"/>
      <c r="Y86" s="173"/>
      <c r="Z86" s="146"/>
      <c r="AA86" s="174"/>
      <c r="AB86" s="175"/>
      <c r="AC86" s="175"/>
      <c r="AD86" s="173"/>
      <c r="AE86" s="146"/>
      <c r="AF86" s="174"/>
      <c r="AG86" s="175"/>
      <c r="AH86" s="175"/>
      <c r="AI86" s="175"/>
      <c r="AJ86" s="146"/>
      <c r="AK86" s="174"/>
      <c r="AL86" s="175"/>
      <c r="AM86" s="175"/>
      <c r="AN86" s="195"/>
      <c r="AO86" s="195"/>
      <c r="AP86" s="845" t="s">
        <v>10189</v>
      </c>
      <c r="AQ86" s="175"/>
      <c r="AR86" s="173"/>
      <c r="AS86" s="173"/>
      <c r="AT86" s="175"/>
      <c r="AU86" s="175"/>
      <c r="AV86" s="148" t="s">
        <v>10035</v>
      </c>
      <c r="AW86" s="126" t="s">
        <v>10190</v>
      </c>
      <c r="AX86" s="839"/>
      <c r="AY86" s="173"/>
      <c r="AZ86" s="171"/>
      <c r="BA86" s="148"/>
      <c r="BB86" s="148"/>
      <c r="BC86" s="175"/>
      <c r="BD86" s="174"/>
      <c r="BE86" s="174"/>
      <c r="BF86" s="174"/>
      <c r="BG86" s="174"/>
      <c r="BH86" s="176"/>
      <c r="BI86" s="176"/>
      <c r="BJ86" s="177"/>
      <c r="BK86" s="173"/>
      <c r="BL86" s="146"/>
      <c r="BM86" s="838"/>
      <c r="BN86" s="175"/>
      <c r="BO86" s="174"/>
      <c r="BP86" s="174"/>
      <c r="BQ86" s="174"/>
      <c r="BR86" s="179"/>
      <c r="BS86" s="174"/>
      <c r="BT86" s="173"/>
      <c r="BU86" s="146"/>
      <c r="BV86" s="826"/>
      <c r="BW86" s="826"/>
      <c r="BX86" s="826"/>
      <c r="BY86" s="826"/>
      <c r="BZ86" s="826"/>
      <c r="CA86" s="826"/>
      <c r="CB86" s="826"/>
      <c r="CC86" s="826"/>
      <c r="CD86" s="826"/>
      <c r="CE86" s="826"/>
      <c r="CF86" s="826"/>
      <c r="CG86" s="826"/>
      <c r="CH86" s="826"/>
      <c r="CI86" s="826"/>
      <c r="CJ86" s="826"/>
      <c r="CK86" s="826"/>
      <c r="CL86" s="826"/>
      <c r="CM86" s="826"/>
      <c r="CN86" s="826"/>
      <c r="CO86" s="826"/>
      <c r="CP86" s="826"/>
      <c r="CQ86" s="826"/>
      <c r="CR86" s="826"/>
      <c r="CS86" s="826"/>
      <c r="CT86" s="826"/>
      <c r="CU86" s="826"/>
      <c r="CV86" s="826"/>
      <c r="CW86" s="826"/>
      <c r="CX86" s="826"/>
      <c r="CY86" s="826"/>
      <c r="CZ86" s="826"/>
      <c r="DA86" s="826"/>
      <c r="DB86" s="826"/>
      <c r="DC86" s="826"/>
      <c r="DD86" s="826"/>
      <c r="DE86" s="826"/>
      <c r="DF86" s="826"/>
      <c r="DG86" s="826"/>
      <c r="DH86" s="826"/>
      <c r="DI86" s="826"/>
      <c r="DJ86" s="826"/>
      <c r="DK86" s="826"/>
      <c r="DL86" s="826"/>
      <c r="DM86" s="826"/>
      <c r="DN86" s="826"/>
      <c r="DO86" s="826"/>
      <c r="DP86" s="826"/>
      <c r="DQ86" s="826"/>
      <c r="DR86" s="826"/>
      <c r="DS86" s="826"/>
      <c r="DT86" s="826"/>
      <c r="DU86" s="826"/>
      <c r="DV86" s="826"/>
      <c r="DW86" s="826"/>
      <c r="DX86" s="826"/>
      <c r="DY86" s="826"/>
      <c r="DZ86" s="826"/>
      <c r="EA86" s="826"/>
      <c r="EB86" s="826"/>
      <c r="EC86" s="826"/>
      <c r="ED86" s="826"/>
      <c r="EE86" s="826"/>
      <c r="EF86" s="826"/>
      <c r="EG86" s="826"/>
      <c r="EH86" s="826"/>
      <c r="EI86" s="826"/>
      <c r="EJ86" s="826"/>
      <c r="EK86" s="826"/>
      <c r="EL86" s="826"/>
      <c r="EM86" s="826"/>
      <c r="EN86" s="826"/>
      <c r="EO86" s="826"/>
      <c r="EP86" s="826"/>
      <c r="EQ86" s="826"/>
      <c r="ER86" s="826"/>
      <c r="ES86" s="826"/>
      <c r="ET86" s="826"/>
      <c r="EU86" s="826"/>
      <c r="EV86" s="826"/>
      <c r="EW86" s="826"/>
      <c r="EX86" s="826"/>
      <c r="EY86" s="826"/>
      <c r="EZ86" s="826"/>
      <c r="FA86" s="826"/>
      <c r="FB86" s="826"/>
      <c r="FC86" s="826"/>
      <c r="FD86" s="826"/>
      <c r="FE86" s="826"/>
      <c r="FF86" s="826"/>
      <c r="FG86" s="826"/>
      <c r="FH86" s="826"/>
      <c r="FI86" s="826"/>
      <c r="FJ86" s="826"/>
      <c r="FK86" s="826"/>
      <c r="FL86" s="826"/>
      <c r="FM86" s="826"/>
      <c r="FN86" s="826"/>
      <c r="FO86" s="826"/>
      <c r="FP86" s="826"/>
      <c r="FQ86" s="826"/>
      <c r="FR86" s="826"/>
      <c r="FS86" s="826"/>
      <c r="FT86" s="826"/>
      <c r="FU86" s="826"/>
      <c r="FV86" s="826"/>
      <c r="FW86" s="826"/>
      <c r="FX86" s="826"/>
      <c r="FY86" s="826"/>
      <c r="FZ86" s="826"/>
      <c r="GA86" s="826"/>
      <c r="GB86" s="826"/>
      <c r="GC86" s="826"/>
      <c r="GD86" s="826"/>
      <c r="GE86" s="826"/>
      <c r="GF86" s="826"/>
      <c r="GG86" s="826"/>
      <c r="GH86" s="826"/>
      <c r="GI86" s="826"/>
      <c r="GJ86" s="826"/>
      <c r="GK86" s="826"/>
      <c r="GL86" s="826"/>
      <c r="GM86" s="826"/>
      <c r="GN86" s="826"/>
      <c r="GO86" s="826"/>
      <c r="GP86" s="826"/>
      <c r="GQ86" s="826"/>
      <c r="GR86" s="826"/>
      <c r="GS86" s="826"/>
      <c r="GT86" s="826"/>
      <c r="GU86" s="826"/>
      <c r="GV86" s="826"/>
      <c r="GW86" s="826"/>
      <c r="GX86" s="826"/>
      <c r="GY86" s="826"/>
      <c r="GZ86" s="826"/>
      <c r="HA86" s="826"/>
      <c r="HB86" s="826"/>
      <c r="HC86" s="826"/>
      <c r="HD86" s="826"/>
      <c r="HE86" s="826"/>
      <c r="HF86" s="826"/>
      <c r="HG86" s="826"/>
      <c r="HH86" s="826"/>
      <c r="HI86" s="826"/>
    </row>
    <row r="87" spans="1:217" s="827" customFormat="1" ht="56.25" customHeight="1">
      <c r="A87" s="96">
        <v>95</v>
      </c>
      <c r="B87" s="840" t="s">
        <v>10191</v>
      </c>
      <c r="C87" s="142">
        <v>14837531</v>
      </c>
      <c r="D87" s="828" t="s">
        <v>10192</v>
      </c>
      <c r="E87" s="143"/>
      <c r="F87" s="146"/>
      <c r="G87" s="145"/>
      <c r="H87" s="148"/>
      <c r="I87" s="175"/>
      <c r="J87" s="173"/>
      <c r="K87" s="146"/>
      <c r="L87" s="174"/>
      <c r="M87" s="175"/>
      <c r="N87" s="175"/>
      <c r="O87" s="173"/>
      <c r="P87" s="146"/>
      <c r="Q87" s="174"/>
      <c r="R87" s="175"/>
      <c r="S87" s="175"/>
      <c r="T87" s="173"/>
      <c r="U87" s="146"/>
      <c r="V87" s="174"/>
      <c r="W87" s="175"/>
      <c r="X87" s="175"/>
      <c r="Y87" s="173"/>
      <c r="Z87" s="146"/>
      <c r="AA87" s="174"/>
      <c r="AB87" s="175"/>
      <c r="AC87" s="175"/>
      <c r="AD87" s="173"/>
      <c r="AE87" s="146"/>
      <c r="AF87" s="174"/>
      <c r="AG87" s="175"/>
      <c r="AH87" s="175"/>
      <c r="AI87" s="175"/>
      <c r="AJ87" s="146"/>
      <c r="AK87" s="174"/>
      <c r="AL87" s="175"/>
      <c r="AM87" s="175"/>
      <c r="AN87" s="195"/>
      <c r="AO87" s="195"/>
      <c r="AP87" s="845" t="s">
        <v>10193</v>
      </c>
      <c r="AQ87" s="175"/>
      <c r="AR87" s="173"/>
      <c r="AS87" s="173"/>
      <c r="AT87" s="175"/>
      <c r="AU87" s="175"/>
      <c r="AV87" s="126"/>
      <c r="AW87" s="126"/>
      <c r="AX87" s="839"/>
      <c r="AY87" s="173"/>
      <c r="AZ87" s="171"/>
      <c r="BA87" s="148"/>
      <c r="BB87" s="148"/>
      <c r="BC87" s="175"/>
      <c r="BD87" s="174"/>
      <c r="BE87" s="174"/>
      <c r="BF87" s="174"/>
      <c r="BG87" s="174"/>
      <c r="BH87" s="176"/>
      <c r="BI87" s="176"/>
      <c r="BJ87" s="177"/>
      <c r="BK87" s="173"/>
      <c r="BL87" s="146"/>
      <c r="BM87" s="838"/>
      <c r="BN87" s="175"/>
      <c r="BO87" s="174"/>
      <c r="BP87" s="174"/>
      <c r="BQ87" s="174"/>
      <c r="BR87" s="179"/>
      <c r="BS87" s="174"/>
      <c r="BT87" s="173"/>
      <c r="BU87" s="146"/>
      <c r="BV87" s="826"/>
      <c r="BW87" s="826"/>
      <c r="BX87" s="826"/>
      <c r="BY87" s="826"/>
      <c r="BZ87" s="826"/>
      <c r="CA87" s="826"/>
      <c r="CB87" s="826"/>
      <c r="CC87" s="826"/>
      <c r="CD87" s="826"/>
      <c r="CE87" s="826"/>
      <c r="CF87" s="826"/>
      <c r="CG87" s="826"/>
      <c r="CH87" s="826"/>
      <c r="CI87" s="826"/>
      <c r="CJ87" s="826"/>
      <c r="CK87" s="826"/>
      <c r="CL87" s="826"/>
      <c r="CM87" s="826"/>
      <c r="CN87" s="826"/>
      <c r="CO87" s="826"/>
      <c r="CP87" s="826"/>
      <c r="CQ87" s="826"/>
      <c r="CR87" s="826"/>
      <c r="CS87" s="826"/>
      <c r="CT87" s="826"/>
      <c r="CU87" s="826"/>
      <c r="CV87" s="826"/>
      <c r="CW87" s="826"/>
      <c r="CX87" s="826"/>
      <c r="CY87" s="826"/>
      <c r="CZ87" s="826"/>
      <c r="DA87" s="826"/>
      <c r="DB87" s="826"/>
      <c r="DC87" s="826"/>
      <c r="DD87" s="826"/>
      <c r="DE87" s="826"/>
      <c r="DF87" s="826"/>
      <c r="DG87" s="826"/>
      <c r="DH87" s="826"/>
      <c r="DI87" s="826"/>
      <c r="DJ87" s="826"/>
      <c r="DK87" s="826"/>
      <c r="DL87" s="826"/>
      <c r="DM87" s="826"/>
      <c r="DN87" s="826"/>
      <c r="DO87" s="826"/>
      <c r="DP87" s="826"/>
      <c r="DQ87" s="826"/>
      <c r="DR87" s="826"/>
      <c r="DS87" s="826"/>
      <c r="DT87" s="826"/>
      <c r="DU87" s="826"/>
      <c r="DV87" s="826"/>
      <c r="DW87" s="826"/>
      <c r="DX87" s="826"/>
      <c r="DY87" s="826"/>
      <c r="DZ87" s="826"/>
      <c r="EA87" s="826"/>
      <c r="EB87" s="826"/>
      <c r="EC87" s="826"/>
      <c r="ED87" s="826"/>
      <c r="EE87" s="826"/>
      <c r="EF87" s="826"/>
      <c r="EG87" s="826"/>
      <c r="EH87" s="826"/>
      <c r="EI87" s="826"/>
      <c r="EJ87" s="826"/>
      <c r="EK87" s="826"/>
      <c r="EL87" s="826"/>
      <c r="EM87" s="826"/>
      <c r="EN87" s="826"/>
      <c r="EO87" s="826"/>
      <c r="EP87" s="826"/>
      <c r="EQ87" s="826"/>
      <c r="ER87" s="826"/>
      <c r="ES87" s="826"/>
      <c r="ET87" s="826"/>
      <c r="EU87" s="826"/>
      <c r="EV87" s="826"/>
      <c r="EW87" s="826"/>
      <c r="EX87" s="826"/>
      <c r="EY87" s="826"/>
      <c r="EZ87" s="826"/>
      <c r="FA87" s="826"/>
      <c r="FB87" s="826"/>
      <c r="FC87" s="826"/>
      <c r="FD87" s="826"/>
      <c r="FE87" s="826"/>
      <c r="FF87" s="826"/>
      <c r="FG87" s="826"/>
      <c r="FH87" s="826"/>
      <c r="FI87" s="826"/>
      <c r="FJ87" s="826"/>
      <c r="FK87" s="826"/>
      <c r="FL87" s="826"/>
      <c r="FM87" s="826"/>
      <c r="FN87" s="826"/>
      <c r="FO87" s="826"/>
      <c r="FP87" s="826"/>
      <c r="FQ87" s="826"/>
      <c r="FR87" s="826"/>
      <c r="FS87" s="826"/>
      <c r="FT87" s="826"/>
      <c r="FU87" s="826"/>
      <c r="FV87" s="826"/>
      <c r="FW87" s="826"/>
      <c r="FX87" s="826"/>
      <c r="FY87" s="826"/>
      <c r="FZ87" s="826"/>
      <c r="GA87" s="826"/>
      <c r="GB87" s="826"/>
      <c r="GC87" s="826"/>
      <c r="GD87" s="826"/>
      <c r="GE87" s="826"/>
      <c r="GF87" s="826"/>
      <c r="GG87" s="826"/>
      <c r="GH87" s="826"/>
      <c r="GI87" s="826"/>
      <c r="GJ87" s="826"/>
      <c r="GK87" s="826"/>
      <c r="GL87" s="826"/>
      <c r="GM87" s="826"/>
      <c r="GN87" s="826"/>
      <c r="GO87" s="826"/>
      <c r="GP87" s="826"/>
      <c r="GQ87" s="826"/>
      <c r="GR87" s="826"/>
      <c r="GS87" s="826"/>
      <c r="GT87" s="826"/>
      <c r="GU87" s="826"/>
      <c r="GV87" s="826"/>
      <c r="GW87" s="826"/>
      <c r="GX87" s="826"/>
      <c r="GY87" s="826"/>
      <c r="GZ87" s="826"/>
      <c r="HA87" s="826"/>
      <c r="HB87" s="826"/>
      <c r="HC87" s="826"/>
      <c r="HD87" s="826"/>
      <c r="HE87" s="826"/>
      <c r="HF87" s="826"/>
      <c r="HG87" s="826"/>
      <c r="HH87" s="826"/>
      <c r="HI87" s="826"/>
    </row>
    <row r="88" spans="1:217" s="847" customFormat="1" ht="56.25" customHeight="1">
      <c r="A88" s="57">
        <v>159</v>
      </c>
      <c r="B88" s="846" t="s">
        <v>10194</v>
      </c>
      <c r="C88" s="59">
        <v>75098352</v>
      </c>
      <c r="D88" s="823" t="s">
        <v>242</v>
      </c>
      <c r="E88" s="60"/>
      <c r="F88" s="63"/>
      <c r="G88" s="62"/>
      <c r="H88" s="117"/>
      <c r="I88" s="183"/>
      <c r="J88" s="169"/>
      <c r="K88" s="63"/>
      <c r="L88" s="182"/>
      <c r="M88" s="183"/>
      <c r="N88" s="183"/>
      <c r="O88" s="169"/>
      <c r="P88" s="63"/>
      <c r="Q88" s="182"/>
      <c r="R88" s="183"/>
      <c r="S88" s="183"/>
      <c r="T88" s="169"/>
      <c r="U88" s="63"/>
      <c r="V88" s="182"/>
      <c r="W88" s="183"/>
      <c r="X88" s="183"/>
      <c r="Y88" s="169"/>
      <c r="Z88" s="63"/>
      <c r="AA88" s="182"/>
      <c r="AB88" s="183"/>
      <c r="AC88" s="183"/>
      <c r="AD88" s="169"/>
      <c r="AE88" s="63"/>
      <c r="AF88" s="182"/>
      <c r="AG88" s="183"/>
      <c r="AH88" s="183"/>
      <c r="AI88" s="183"/>
      <c r="AJ88" s="63"/>
      <c r="AK88" s="182"/>
      <c r="AL88" s="183"/>
      <c r="AM88" s="183"/>
      <c r="AN88" s="183" t="s">
        <v>6487</v>
      </c>
      <c r="AO88" s="183" t="s">
        <v>2558</v>
      </c>
      <c r="AP88" s="182" t="s">
        <v>10195</v>
      </c>
      <c r="AQ88" s="183"/>
      <c r="AR88" s="169">
        <v>38063</v>
      </c>
      <c r="AS88" s="169">
        <v>40631</v>
      </c>
      <c r="AT88" s="183" t="s">
        <v>10196</v>
      </c>
      <c r="AU88" s="183" t="s">
        <v>69</v>
      </c>
      <c r="AV88" s="117" t="s">
        <v>328</v>
      </c>
      <c r="AW88" s="60">
        <v>42506</v>
      </c>
      <c r="AX88" s="839"/>
      <c r="AY88" s="169"/>
      <c r="AZ88" s="171"/>
      <c r="BA88" s="117" t="s">
        <v>95</v>
      </c>
      <c r="BB88" s="117" t="s">
        <v>1792</v>
      </c>
      <c r="BC88" s="183"/>
      <c r="BD88" s="182"/>
      <c r="BE88" s="182"/>
      <c r="BF88" s="182"/>
      <c r="BG88" s="182"/>
      <c r="BH88" s="140"/>
      <c r="BI88" s="140"/>
      <c r="BJ88" s="184"/>
      <c r="BK88" s="169"/>
      <c r="BL88" s="63"/>
      <c r="BM88" s="549"/>
      <c r="BN88" s="183"/>
      <c r="BO88" s="182"/>
      <c r="BP88" s="182"/>
      <c r="BQ88" s="182"/>
      <c r="BR88" s="186"/>
      <c r="BS88" s="182"/>
      <c r="BT88" s="169"/>
      <c r="BU88" s="63"/>
      <c r="BV88" s="826"/>
      <c r="BW88" s="826"/>
      <c r="BX88" s="826"/>
      <c r="BY88" s="826"/>
      <c r="BZ88" s="826"/>
      <c r="CA88" s="826"/>
      <c r="CB88" s="826"/>
      <c r="CC88" s="826"/>
      <c r="CD88" s="826"/>
      <c r="CE88" s="826"/>
      <c r="CF88" s="826"/>
      <c r="CG88" s="826"/>
      <c r="CH88" s="826"/>
      <c r="CI88" s="826"/>
      <c r="CJ88" s="826"/>
      <c r="CK88" s="826"/>
      <c r="CL88" s="826"/>
      <c r="CM88" s="826"/>
      <c r="CN88" s="826"/>
      <c r="CO88" s="826"/>
      <c r="CP88" s="826"/>
      <c r="CQ88" s="826"/>
      <c r="CR88" s="826"/>
      <c r="CS88" s="826"/>
      <c r="CT88" s="826"/>
      <c r="CU88" s="826"/>
      <c r="CV88" s="826"/>
      <c r="CW88" s="826"/>
      <c r="CX88" s="826"/>
      <c r="CY88" s="826"/>
      <c r="CZ88" s="826"/>
      <c r="DA88" s="826"/>
      <c r="DB88" s="826"/>
      <c r="DC88" s="826"/>
      <c r="DD88" s="826"/>
      <c r="DE88" s="826"/>
      <c r="DF88" s="826"/>
      <c r="DG88" s="826"/>
      <c r="DH88" s="826"/>
      <c r="DI88" s="826"/>
      <c r="DJ88" s="826"/>
      <c r="DK88" s="826"/>
      <c r="DL88" s="826"/>
      <c r="DM88" s="826"/>
      <c r="DN88" s="826"/>
      <c r="DO88" s="826"/>
      <c r="DP88" s="826"/>
      <c r="DQ88" s="826"/>
      <c r="DR88" s="826"/>
      <c r="DS88" s="826"/>
      <c r="DT88" s="826"/>
      <c r="DU88" s="826"/>
      <c r="DV88" s="826"/>
      <c r="DW88" s="826"/>
      <c r="DX88" s="826"/>
      <c r="DY88" s="826"/>
      <c r="DZ88" s="826"/>
      <c r="EA88" s="826"/>
      <c r="EB88" s="826"/>
      <c r="EC88" s="826"/>
      <c r="ED88" s="826"/>
      <c r="EE88" s="826"/>
      <c r="EF88" s="826"/>
      <c r="EG88" s="826"/>
      <c r="EH88" s="826"/>
      <c r="EI88" s="826"/>
      <c r="EJ88" s="826"/>
      <c r="EK88" s="826"/>
      <c r="EL88" s="826"/>
      <c r="EM88" s="826"/>
      <c r="EN88" s="826"/>
      <c r="EO88" s="826"/>
      <c r="EP88" s="826"/>
      <c r="EQ88" s="826"/>
      <c r="ER88" s="826"/>
      <c r="ES88" s="826"/>
      <c r="ET88" s="826"/>
      <c r="EU88" s="826"/>
      <c r="EV88" s="826"/>
      <c r="EW88" s="826"/>
      <c r="EX88" s="826"/>
      <c r="EY88" s="826"/>
      <c r="EZ88" s="826"/>
      <c r="FA88" s="826"/>
      <c r="FB88" s="826"/>
      <c r="FC88" s="826"/>
      <c r="FD88" s="826"/>
      <c r="FE88" s="826"/>
      <c r="FF88" s="826"/>
      <c r="FG88" s="826"/>
      <c r="FH88" s="826"/>
      <c r="FI88" s="826"/>
      <c r="FJ88" s="826"/>
      <c r="FK88" s="826"/>
      <c r="FL88" s="826"/>
      <c r="FM88" s="826"/>
      <c r="FN88" s="826"/>
      <c r="FO88" s="826"/>
      <c r="FP88" s="826"/>
      <c r="FQ88" s="826"/>
      <c r="FR88" s="826"/>
      <c r="FS88" s="826"/>
      <c r="FT88" s="826"/>
      <c r="FU88" s="826"/>
      <c r="FV88" s="826"/>
      <c r="FW88" s="826"/>
      <c r="FX88" s="826"/>
      <c r="FY88" s="826"/>
      <c r="FZ88" s="826"/>
      <c r="GA88" s="826"/>
      <c r="GB88" s="826"/>
      <c r="GC88" s="826"/>
      <c r="GD88" s="826"/>
      <c r="GE88" s="826"/>
      <c r="GF88" s="826"/>
      <c r="GG88" s="826"/>
      <c r="GH88" s="826"/>
      <c r="GI88" s="826"/>
      <c r="GJ88" s="826"/>
      <c r="GK88" s="826"/>
      <c r="GL88" s="826"/>
      <c r="GM88" s="826"/>
      <c r="GN88" s="826"/>
      <c r="GO88" s="826"/>
      <c r="GP88" s="826"/>
      <c r="GQ88" s="826"/>
      <c r="GR88" s="826"/>
      <c r="GS88" s="826"/>
      <c r="GT88" s="826"/>
      <c r="GU88" s="826"/>
      <c r="GV88" s="826"/>
      <c r="GW88" s="826"/>
      <c r="GX88" s="826"/>
      <c r="GY88" s="826"/>
      <c r="GZ88" s="826"/>
      <c r="HA88" s="826"/>
      <c r="HB88" s="826"/>
      <c r="HC88" s="826"/>
    </row>
    <row r="89" spans="1:217" s="847" customFormat="1" ht="56.25" customHeight="1">
      <c r="A89" s="57">
        <v>162</v>
      </c>
      <c r="B89" s="846" t="s">
        <v>10197</v>
      </c>
      <c r="C89" s="59">
        <v>14250756</v>
      </c>
      <c r="D89" s="823" t="s">
        <v>6679</v>
      </c>
      <c r="E89" s="60"/>
      <c r="F89" s="63"/>
      <c r="G89" s="62"/>
      <c r="H89" s="117"/>
      <c r="I89" s="183"/>
      <c r="J89" s="169"/>
      <c r="K89" s="63"/>
      <c r="L89" s="182"/>
      <c r="M89" s="183"/>
      <c r="N89" s="183"/>
      <c r="O89" s="169"/>
      <c r="P89" s="63"/>
      <c r="Q89" s="182"/>
      <c r="R89" s="183"/>
      <c r="S89" s="183"/>
      <c r="T89" s="169"/>
      <c r="U89" s="63"/>
      <c r="V89" s="182"/>
      <c r="W89" s="183"/>
      <c r="X89" s="183"/>
      <c r="Y89" s="169"/>
      <c r="Z89" s="63"/>
      <c r="AA89" s="182"/>
      <c r="AB89" s="183"/>
      <c r="AC89" s="183"/>
      <c r="AD89" s="169"/>
      <c r="AE89" s="63"/>
      <c r="AF89" s="182"/>
      <c r="AG89" s="183"/>
      <c r="AH89" s="183"/>
      <c r="AI89" s="183"/>
      <c r="AJ89" s="63"/>
      <c r="AK89" s="182"/>
      <c r="AL89" s="183"/>
      <c r="AM89" s="183"/>
      <c r="AN89" s="183" t="s">
        <v>6487</v>
      </c>
      <c r="AO89" s="183" t="s">
        <v>2558</v>
      </c>
      <c r="AP89" s="848" t="s">
        <v>10198</v>
      </c>
      <c r="AQ89" s="183"/>
      <c r="AR89" s="169">
        <v>38777</v>
      </c>
      <c r="AS89" s="169">
        <v>39813</v>
      </c>
      <c r="AT89" s="183" t="s">
        <v>10199</v>
      </c>
      <c r="AU89" s="117" t="s">
        <v>92</v>
      </c>
      <c r="AV89" s="117" t="s">
        <v>10200</v>
      </c>
      <c r="AW89" s="169">
        <v>41851</v>
      </c>
      <c r="AX89" s="839"/>
      <c r="AY89" s="169"/>
      <c r="AZ89" s="171"/>
      <c r="BA89" s="117" t="s">
        <v>95</v>
      </c>
      <c r="BB89" s="117" t="s">
        <v>1792</v>
      </c>
      <c r="BC89" s="183"/>
      <c r="BD89" s="182"/>
      <c r="BE89" s="182"/>
      <c r="BF89" s="182"/>
      <c r="BG89" s="182"/>
      <c r="BH89" s="140"/>
      <c r="BI89" s="140"/>
      <c r="BJ89" s="184"/>
      <c r="BK89" s="169"/>
      <c r="BL89" s="63"/>
      <c r="BM89" s="549"/>
      <c r="BN89" s="183"/>
      <c r="BO89" s="182"/>
      <c r="BP89" s="182"/>
      <c r="BQ89" s="182"/>
      <c r="BR89" s="186"/>
      <c r="BS89" s="182"/>
      <c r="BT89" s="169"/>
      <c r="BU89" s="63"/>
      <c r="BV89" s="826"/>
      <c r="BW89" s="826"/>
      <c r="BX89" s="826"/>
      <c r="BY89" s="826"/>
      <c r="BZ89" s="826"/>
      <c r="CA89" s="826"/>
      <c r="CB89" s="826"/>
      <c r="CC89" s="826"/>
      <c r="CD89" s="826"/>
      <c r="CE89" s="826"/>
      <c r="CF89" s="826"/>
      <c r="CG89" s="826"/>
      <c r="CH89" s="826"/>
      <c r="CI89" s="826"/>
      <c r="CJ89" s="826"/>
      <c r="CK89" s="826"/>
      <c r="CL89" s="826"/>
      <c r="CM89" s="826"/>
      <c r="CN89" s="826"/>
      <c r="CO89" s="826"/>
      <c r="CP89" s="826"/>
      <c r="CQ89" s="826"/>
      <c r="CR89" s="826"/>
      <c r="CS89" s="826"/>
      <c r="CT89" s="826"/>
      <c r="CU89" s="826"/>
      <c r="CV89" s="826"/>
      <c r="CW89" s="826"/>
      <c r="CX89" s="826"/>
      <c r="CY89" s="826"/>
      <c r="CZ89" s="826"/>
      <c r="DA89" s="826"/>
      <c r="DB89" s="826"/>
      <c r="DC89" s="826"/>
      <c r="DD89" s="826"/>
      <c r="DE89" s="826"/>
      <c r="DF89" s="826"/>
      <c r="DG89" s="826"/>
      <c r="DH89" s="826"/>
      <c r="DI89" s="826"/>
      <c r="DJ89" s="826"/>
      <c r="DK89" s="826"/>
      <c r="DL89" s="826"/>
      <c r="DM89" s="826"/>
      <c r="DN89" s="826"/>
      <c r="DO89" s="826"/>
      <c r="DP89" s="826"/>
      <c r="DQ89" s="826"/>
      <c r="DR89" s="826"/>
      <c r="DS89" s="826"/>
      <c r="DT89" s="826"/>
      <c r="DU89" s="826"/>
      <c r="DV89" s="826"/>
      <c r="DW89" s="826"/>
      <c r="DX89" s="826"/>
      <c r="DY89" s="826"/>
      <c r="DZ89" s="826"/>
      <c r="EA89" s="826"/>
      <c r="EB89" s="826"/>
      <c r="EC89" s="826"/>
      <c r="ED89" s="826"/>
      <c r="EE89" s="826"/>
      <c r="EF89" s="826"/>
      <c r="EG89" s="826"/>
      <c r="EH89" s="826"/>
      <c r="EI89" s="826"/>
      <c r="EJ89" s="826"/>
      <c r="EK89" s="826"/>
      <c r="EL89" s="826"/>
      <c r="EM89" s="826"/>
      <c r="EN89" s="826"/>
      <c r="EO89" s="826"/>
      <c r="EP89" s="826"/>
      <c r="EQ89" s="826"/>
      <c r="ER89" s="826"/>
      <c r="ES89" s="826"/>
      <c r="ET89" s="826"/>
      <c r="EU89" s="826"/>
      <c r="EV89" s="826"/>
      <c r="EW89" s="826"/>
      <c r="EX89" s="826"/>
      <c r="EY89" s="826"/>
      <c r="EZ89" s="826"/>
      <c r="FA89" s="826"/>
      <c r="FB89" s="826"/>
      <c r="FC89" s="826"/>
      <c r="FD89" s="826"/>
      <c r="FE89" s="826"/>
      <c r="FF89" s="826"/>
      <c r="FG89" s="826"/>
      <c r="FH89" s="826"/>
      <c r="FI89" s="826"/>
      <c r="FJ89" s="826"/>
      <c r="FK89" s="826"/>
      <c r="FL89" s="826"/>
      <c r="FM89" s="826"/>
      <c r="FN89" s="826"/>
      <c r="FO89" s="826"/>
      <c r="FP89" s="826"/>
      <c r="FQ89" s="826"/>
      <c r="FR89" s="826"/>
      <c r="FS89" s="826"/>
      <c r="FT89" s="826"/>
      <c r="FU89" s="826"/>
      <c r="FV89" s="826"/>
      <c r="FW89" s="826"/>
      <c r="FX89" s="826"/>
      <c r="FY89" s="826"/>
      <c r="FZ89" s="826"/>
      <c r="GA89" s="826"/>
      <c r="GB89" s="826"/>
      <c r="GC89" s="826"/>
      <c r="GD89" s="826"/>
      <c r="GE89" s="826"/>
      <c r="GF89" s="826"/>
      <c r="GG89" s="826"/>
      <c r="GH89" s="826"/>
      <c r="GI89" s="826"/>
      <c r="GJ89" s="826"/>
      <c r="GK89" s="826"/>
      <c r="GL89" s="826"/>
      <c r="GM89" s="826"/>
      <c r="GN89" s="826"/>
      <c r="GO89" s="826"/>
      <c r="GP89" s="826"/>
      <c r="GQ89" s="826"/>
      <c r="GR89" s="826"/>
      <c r="GS89" s="826"/>
      <c r="GT89" s="826"/>
      <c r="GU89" s="826"/>
      <c r="GV89" s="826"/>
      <c r="GW89" s="826"/>
      <c r="GX89" s="826"/>
      <c r="GY89" s="826"/>
      <c r="GZ89" s="826"/>
      <c r="HA89" s="826"/>
      <c r="HB89" s="826"/>
      <c r="HC89" s="826"/>
    </row>
    <row r="90" spans="1:217" s="847" customFormat="1" ht="56.25" customHeight="1">
      <c r="A90" s="57">
        <v>114</v>
      </c>
      <c r="B90" s="846" t="s">
        <v>10201</v>
      </c>
      <c r="C90" s="59">
        <v>26558590</v>
      </c>
      <c r="D90" s="823" t="s">
        <v>10202</v>
      </c>
      <c r="E90" s="60"/>
      <c r="F90" s="63"/>
      <c r="G90" s="62"/>
      <c r="H90" s="117"/>
      <c r="I90" s="183"/>
      <c r="J90" s="169"/>
      <c r="K90" s="63"/>
      <c r="L90" s="182"/>
      <c r="M90" s="183"/>
      <c r="N90" s="183"/>
      <c r="O90" s="169"/>
      <c r="P90" s="63"/>
      <c r="Q90" s="182"/>
      <c r="R90" s="183"/>
      <c r="S90" s="183"/>
      <c r="T90" s="169"/>
      <c r="U90" s="63"/>
      <c r="V90" s="182"/>
      <c r="W90" s="183"/>
      <c r="X90" s="183"/>
      <c r="Y90" s="169"/>
      <c r="Z90" s="63"/>
      <c r="AA90" s="182"/>
      <c r="AB90" s="183"/>
      <c r="AC90" s="183"/>
      <c r="AD90" s="169"/>
      <c r="AE90" s="63"/>
      <c r="AF90" s="182"/>
      <c r="AG90" s="183"/>
      <c r="AH90" s="183"/>
      <c r="AI90" s="183"/>
      <c r="AJ90" s="63"/>
      <c r="AK90" s="182"/>
      <c r="AL90" s="183"/>
      <c r="AM90" s="183"/>
      <c r="AN90" s="183" t="s">
        <v>6487</v>
      </c>
      <c r="AO90" s="183" t="s">
        <v>2558</v>
      </c>
      <c r="AP90" s="848" t="s">
        <v>10203</v>
      </c>
      <c r="AQ90" s="183"/>
      <c r="AR90" s="169" t="s">
        <v>67</v>
      </c>
      <c r="AS90" s="169" t="s">
        <v>67</v>
      </c>
      <c r="AT90" s="183" t="s">
        <v>10196</v>
      </c>
      <c r="AU90" s="117" t="s">
        <v>92</v>
      </c>
      <c r="AV90" s="117" t="s">
        <v>10200</v>
      </c>
      <c r="AW90" s="60">
        <v>41879</v>
      </c>
      <c r="AX90" s="839"/>
      <c r="AY90" s="169"/>
      <c r="AZ90" s="171"/>
      <c r="BA90" s="117" t="s">
        <v>561</v>
      </c>
      <c r="BB90" s="117" t="s">
        <v>10204</v>
      </c>
      <c r="BC90" s="117" t="s">
        <v>10205</v>
      </c>
      <c r="BD90" s="182"/>
      <c r="BE90" s="182"/>
      <c r="BF90" s="182"/>
      <c r="BG90" s="182"/>
      <c r="BH90" s="140"/>
      <c r="BI90" s="140"/>
      <c r="BJ90" s="184"/>
      <c r="BK90" s="169"/>
      <c r="BL90" s="63"/>
      <c r="BM90" s="549"/>
      <c r="BN90" s="183"/>
      <c r="BO90" s="182"/>
      <c r="BP90" s="182"/>
      <c r="BQ90" s="182"/>
      <c r="BR90" s="186"/>
      <c r="BS90" s="182"/>
      <c r="BT90" s="169"/>
      <c r="BU90" s="63"/>
      <c r="BV90" s="826"/>
      <c r="BW90" s="826"/>
      <c r="BX90" s="826"/>
      <c r="BY90" s="826"/>
      <c r="BZ90" s="826"/>
      <c r="CA90" s="826"/>
      <c r="CB90" s="826"/>
      <c r="CC90" s="826"/>
      <c r="CD90" s="826"/>
      <c r="CE90" s="826"/>
      <c r="CF90" s="826"/>
      <c r="CG90" s="826"/>
      <c r="CH90" s="826"/>
      <c r="CI90" s="826"/>
      <c r="CJ90" s="826"/>
      <c r="CK90" s="826"/>
      <c r="CL90" s="826"/>
      <c r="CM90" s="826"/>
      <c r="CN90" s="826"/>
      <c r="CO90" s="826"/>
      <c r="CP90" s="826"/>
      <c r="CQ90" s="826"/>
      <c r="CR90" s="826"/>
      <c r="CS90" s="826"/>
      <c r="CT90" s="826"/>
      <c r="CU90" s="826"/>
      <c r="CV90" s="826"/>
      <c r="CW90" s="826"/>
      <c r="CX90" s="826"/>
      <c r="CY90" s="826"/>
      <c r="CZ90" s="826"/>
      <c r="DA90" s="826"/>
      <c r="DB90" s="826"/>
      <c r="DC90" s="826"/>
      <c r="DD90" s="826"/>
      <c r="DE90" s="826"/>
      <c r="DF90" s="826"/>
      <c r="DG90" s="826"/>
      <c r="DH90" s="826"/>
      <c r="DI90" s="826"/>
      <c r="DJ90" s="826"/>
      <c r="DK90" s="826"/>
      <c r="DL90" s="826"/>
      <c r="DM90" s="826"/>
      <c r="DN90" s="826"/>
      <c r="DO90" s="826"/>
      <c r="DP90" s="826"/>
      <c r="DQ90" s="826"/>
      <c r="DR90" s="826"/>
      <c r="DS90" s="826"/>
      <c r="DT90" s="826"/>
      <c r="DU90" s="826"/>
      <c r="DV90" s="826"/>
      <c r="DW90" s="826"/>
      <c r="DX90" s="826"/>
      <c r="DY90" s="826"/>
      <c r="DZ90" s="826"/>
      <c r="EA90" s="826"/>
      <c r="EB90" s="826"/>
      <c r="EC90" s="826"/>
      <c r="ED90" s="826"/>
      <c r="EE90" s="826"/>
      <c r="EF90" s="826"/>
      <c r="EG90" s="826"/>
      <c r="EH90" s="826"/>
      <c r="EI90" s="826"/>
      <c r="EJ90" s="826"/>
      <c r="EK90" s="826"/>
      <c r="EL90" s="826"/>
      <c r="EM90" s="826"/>
      <c r="EN90" s="826"/>
      <c r="EO90" s="826"/>
      <c r="EP90" s="826"/>
      <c r="EQ90" s="826"/>
      <c r="ER90" s="826"/>
      <c r="ES90" s="826"/>
      <c r="ET90" s="826"/>
      <c r="EU90" s="826"/>
      <c r="EV90" s="826"/>
      <c r="EW90" s="826"/>
      <c r="EX90" s="826"/>
      <c r="EY90" s="826"/>
      <c r="EZ90" s="826"/>
      <c r="FA90" s="826"/>
      <c r="FB90" s="826"/>
      <c r="FC90" s="826"/>
      <c r="FD90" s="826"/>
      <c r="FE90" s="826"/>
      <c r="FF90" s="826"/>
      <c r="FG90" s="826"/>
      <c r="FH90" s="826"/>
      <c r="FI90" s="826"/>
      <c r="FJ90" s="826"/>
      <c r="FK90" s="826"/>
      <c r="FL90" s="826"/>
      <c r="FM90" s="826"/>
      <c r="FN90" s="826"/>
      <c r="FO90" s="826"/>
      <c r="FP90" s="826"/>
      <c r="FQ90" s="826"/>
      <c r="FR90" s="826"/>
      <c r="FS90" s="826"/>
      <c r="FT90" s="826"/>
      <c r="FU90" s="826"/>
      <c r="FV90" s="826"/>
      <c r="FW90" s="826"/>
      <c r="FX90" s="826"/>
      <c r="FY90" s="826"/>
      <c r="FZ90" s="826"/>
      <c r="GA90" s="826"/>
      <c r="GB90" s="826"/>
      <c r="GC90" s="826"/>
      <c r="GD90" s="826"/>
      <c r="GE90" s="826"/>
      <c r="GF90" s="826"/>
      <c r="GG90" s="826"/>
      <c r="GH90" s="826"/>
      <c r="GI90" s="826"/>
      <c r="GJ90" s="826"/>
      <c r="GK90" s="826"/>
      <c r="GL90" s="826"/>
      <c r="GM90" s="826"/>
      <c r="GN90" s="826"/>
      <c r="GO90" s="826"/>
      <c r="GP90" s="826"/>
      <c r="GQ90" s="826"/>
      <c r="GR90" s="826"/>
      <c r="GS90" s="826"/>
      <c r="GT90" s="826"/>
      <c r="GU90" s="826"/>
      <c r="GV90" s="826"/>
      <c r="GW90" s="826"/>
      <c r="GX90" s="826"/>
      <c r="GY90" s="826"/>
      <c r="GZ90" s="826"/>
      <c r="HA90" s="826"/>
      <c r="HB90" s="826"/>
      <c r="HC90" s="826"/>
    </row>
    <row r="91" spans="1:217" s="847" customFormat="1" ht="56.25" customHeight="1">
      <c r="A91" s="57">
        <v>136</v>
      </c>
      <c r="B91" s="846" t="s">
        <v>10206</v>
      </c>
      <c r="C91" s="59">
        <v>40429627</v>
      </c>
      <c r="D91" s="823" t="s">
        <v>8856</v>
      </c>
      <c r="E91" s="60"/>
      <c r="F91" s="63"/>
      <c r="G91" s="62"/>
      <c r="H91" s="117"/>
      <c r="I91" s="183"/>
      <c r="J91" s="169"/>
      <c r="K91" s="63"/>
      <c r="L91" s="182"/>
      <c r="M91" s="183"/>
      <c r="N91" s="183"/>
      <c r="O91" s="169"/>
      <c r="P91" s="63"/>
      <c r="Q91" s="182"/>
      <c r="R91" s="183"/>
      <c r="S91" s="183"/>
      <c r="T91" s="169"/>
      <c r="U91" s="63"/>
      <c r="V91" s="182"/>
      <c r="W91" s="183"/>
      <c r="X91" s="183"/>
      <c r="Y91" s="169"/>
      <c r="Z91" s="63"/>
      <c r="AA91" s="182"/>
      <c r="AB91" s="183"/>
      <c r="AC91" s="183"/>
      <c r="AD91" s="169"/>
      <c r="AE91" s="63"/>
      <c r="AF91" s="182"/>
      <c r="AG91" s="183"/>
      <c r="AH91" s="183"/>
      <c r="AI91" s="183"/>
      <c r="AJ91" s="63"/>
      <c r="AK91" s="182"/>
      <c r="AL91" s="183"/>
      <c r="AM91" s="183"/>
      <c r="AN91" s="183" t="s">
        <v>6487</v>
      </c>
      <c r="AO91" s="183" t="s">
        <v>2558</v>
      </c>
      <c r="AP91" s="848" t="s">
        <v>10207</v>
      </c>
      <c r="AQ91" s="183"/>
      <c r="AR91" s="169" t="s">
        <v>67</v>
      </c>
      <c r="AS91" s="169" t="s">
        <v>67</v>
      </c>
      <c r="AT91" s="183" t="s">
        <v>10196</v>
      </c>
      <c r="AU91" s="117" t="s">
        <v>92</v>
      </c>
      <c r="AV91" s="117" t="s">
        <v>10208</v>
      </c>
      <c r="AW91" s="60">
        <v>41977</v>
      </c>
      <c r="AX91" s="839"/>
      <c r="AY91" s="169"/>
      <c r="AZ91" s="171"/>
      <c r="BA91" s="117" t="s">
        <v>561</v>
      </c>
      <c r="BB91" s="117" t="s">
        <v>10204</v>
      </c>
      <c r="BC91" s="117" t="s">
        <v>10209</v>
      </c>
      <c r="BD91" s="182"/>
      <c r="BE91" s="182"/>
      <c r="BF91" s="182"/>
      <c r="BG91" s="182"/>
      <c r="BH91" s="140"/>
      <c r="BI91" s="140"/>
      <c r="BJ91" s="184"/>
      <c r="BK91" s="169"/>
      <c r="BL91" s="63"/>
      <c r="BM91" s="549"/>
      <c r="BN91" s="183"/>
      <c r="BO91" s="182"/>
      <c r="BP91" s="182"/>
      <c r="BQ91" s="182"/>
      <c r="BR91" s="186"/>
      <c r="BS91" s="182"/>
      <c r="BT91" s="169"/>
      <c r="BU91" s="63"/>
      <c r="BV91" s="826"/>
      <c r="BW91" s="826"/>
      <c r="BX91" s="826"/>
      <c r="BY91" s="826"/>
      <c r="BZ91" s="826"/>
      <c r="CA91" s="826"/>
      <c r="CB91" s="826"/>
      <c r="CC91" s="826"/>
      <c r="CD91" s="826"/>
      <c r="CE91" s="826"/>
      <c r="CF91" s="826"/>
      <c r="CG91" s="826"/>
      <c r="CH91" s="826"/>
      <c r="CI91" s="826"/>
      <c r="CJ91" s="826"/>
      <c r="CK91" s="826"/>
      <c r="CL91" s="826"/>
      <c r="CM91" s="826"/>
      <c r="CN91" s="826"/>
      <c r="CO91" s="826"/>
      <c r="CP91" s="826"/>
      <c r="CQ91" s="826"/>
      <c r="CR91" s="826"/>
      <c r="CS91" s="826"/>
      <c r="CT91" s="826"/>
      <c r="CU91" s="826"/>
      <c r="CV91" s="826"/>
      <c r="CW91" s="826"/>
      <c r="CX91" s="826"/>
      <c r="CY91" s="826"/>
      <c r="CZ91" s="826"/>
      <c r="DA91" s="826"/>
      <c r="DB91" s="826"/>
      <c r="DC91" s="826"/>
      <c r="DD91" s="826"/>
      <c r="DE91" s="826"/>
      <c r="DF91" s="826"/>
      <c r="DG91" s="826"/>
      <c r="DH91" s="826"/>
      <c r="DI91" s="826"/>
      <c r="DJ91" s="826"/>
      <c r="DK91" s="826"/>
      <c r="DL91" s="826"/>
      <c r="DM91" s="826"/>
      <c r="DN91" s="826"/>
      <c r="DO91" s="826"/>
      <c r="DP91" s="826"/>
      <c r="DQ91" s="826"/>
      <c r="DR91" s="826"/>
      <c r="DS91" s="826"/>
      <c r="DT91" s="826"/>
      <c r="DU91" s="826"/>
      <c r="DV91" s="826"/>
      <c r="DW91" s="826"/>
      <c r="DX91" s="826"/>
      <c r="DY91" s="826"/>
      <c r="DZ91" s="826"/>
      <c r="EA91" s="826"/>
      <c r="EB91" s="826"/>
      <c r="EC91" s="826"/>
      <c r="ED91" s="826"/>
      <c r="EE91" s="826"/>
      <c r="EF91" s="826"/>
      <c r="EG91" s="826"/>
      <c r="EH91" s="826"/>
      <c r="EI91" s="826"/>
      <c r="EJ91" s="826"/>
      <c r="EK91" s="826"/>
      <c r="EL91" s="826"/>
      <c r="EM91" s="826"/>
      <c r="EN91" s="826"/>
      <c r="EO91" s="826"/>
      <c r="EP91" s="826"/>
      <c r="EQ91" s="826"/>
      <c r="ER91" s="826"/>
      <c r="ES91" s="826"/>
      <c r="ET91" s="826"/>
      <c r="EU91" s="826"/>
      <c r="EV91" s="826"/>
      <c r="EW91" s="826"/>
      <c r="EX91" s="826"/>
      <c r="EY91" s="826"/>
      <c r="EZ91" s="826"/>
      <c r="FA91" s="826"/>
      <c r="FB91" s="826"/>
      <c r="FC91" s="826"/>
      <c r="FD91" s="826"/>
      <c r="FE91" s="826"/>
      <c r="FF91" s="826"/>
      <c r="FG91" s="826"/>
      <c r="FH91" s="826"/>
      <c r="FI91" s="826"/>
      <c r="FJ91" s="826"/>
      <c r="FK91" s="826"/>
      <c r="FL91" s="826"/>
      <c r="FM91" s="826"/>
      <c r="FN91" s="826"/>
      <c r="FO91" s="826"/>
      <c r="FP91" s="826"/>
      <c r="FQ91" s="826"/>
      <c r="FR91" s="826"/>
      <c r="FS91" s="826"/>
      <c r="FT91" s="826"/>
      <c r="FU91" s="826"/>
      <c r="FV91" s="826"/>
      <c r="FW91" s="826"/>
      <c r="FX91" s="826"/>
      <c r="FY91" s="826"/>
      <c r="FZ91" s="826"/>
      <c r="GA91" s="826"/>
      <c r="GB91" s="826"/>
      <c r="GC91" s="826"/>
      <c r="GD91" s="826"/>
      <c r="GE91" s="826"/>
      <c r="GF91" s="826"/>
      <c r="GG91" s="826"/>
      <c r="GH91" s="826"/>
      <c r="GI91" s="826"/>
      <c r="GJ91" s="826"/>
      <c r="GK91" s="826"/>
      <c r="GL91" s="826"/>
      <c r="GM91" s="826"/>
      <c r="GN91" s="826"/>
      <c r="GO91" s="826"/>
      <c r="GP91" s="826"/>
      <c r="GQ91" s="826"/>
      <c r="GR91" s="826"/>
      <c r="GS91" s="826"/>
      <c r="GT91" s="826"/>
      <c r="GU91" s="826"/>
      <c r="GV91" s="826"/>
      <c r="GW91" s="826"/>
      <c r="GX91" s="826"/>
      <c r="GY91" s="826"/>
      <c r="GZ91" s="826"/>
      <c r="HA91" s="826"/>
      <c r="HB91" s="826"/>
      <c r="HC91" s="826"/>
    </row>
    <row r="92" spans="1:217" s="847" customFormat="1" ht="56.25" customHeight="1">
      <c r="A92" s="57">
        <v>120</v>
      </c>
      <c r="B92" s="846" t="s">
        <v>10210</v>
      </c>
      <c r="C92" s="59">
        <v>80148261</v>
      </c>
      <c r="D92" s="425"/>
      <c r="E92" s="60"/>
      <c r="F92" s="63"/>
      <c r="G92" s="62"/>
      <c r="H92" s="117"/>
      <c r="I92" s="183"/>
      <c r="J92" s="169"/>
      <c r="K92" s="63"/>
      <c r="L92" s="182"/>
      <c r="M92" s="183"/>
      <c r="N92" s="183"/>
      <c r="O92" s="169"/>
      <c r="P92" s="63"/>
      <c r="Q92" s="182"/>
      <c r="R92" s="183"/>
      <c r="S92" s="183"/>
      <c r="T92" s="169"/>
      <c r="U92" s="63"/>
      <c r="V92" s="182"/>
      <c r="W92" s="183"/>
      <c r="X92" s="183"/>
      <c r="Y92" s="169"/>
      <c r="Z92" s="63"/>
      <c r="AA92" s="182"/>
      <c r="AB92" s="183"/>
      <c r="AC92" s="183"/>
      <c r="AD92" s="169"/>
      <c r="AE92" s="63"/>
      <c r="AF92" s="182"/>
      <c r="AG92" s="183"/>
      <c r="AH92" s="183"/>
      <c r="AI92" s="183"/>
      <c r="AJ92" s="63"/>
      <c r="AK92" s="182"/>
      <c r="AL92" s="183"/>
      <c r="AM92" s="183"/>
      <c r="AN92" s="183" t="s">
        <v>6487</v>
      </c>
      <c r="AO92" s="183" t="s">
        <v>2558</v>
      </c>
      <c r="AP92" s="848" t="s">
        <v>10211</v>
      </c>
      <c r="AQ92" s="183"/>
      <c r="AR92" s="169"/>
      <c r="AS92" s="169">
        <v>40850</v>
      </c>
      <c r="AT92" s="183" t="s">
        <v>10212</v>
      </c>
      <c r="AU92" s="117" t="s">
        <v>92</v>
      </c>
      <c r="AV92" s="117" t="s">
        <v>10213</v>
      </c>
      <c r="AW92" s="60">
        <v>41698</v>
      </c>
      <c r="AX92" s="839"/>
      <c r="AY92" s="169"/>
      <c r="AZ92" s="171"/>
      <c r="BA92" s="117" t="s">
        <v>10214</v>
      </c>
      <c r="BB92" s="117" t="s">
        <v>1792</v>
      </c>
      <c r="BC92" s="183"/>
      <c r="BD92" s="182"/>
      <c r="BE92" s="182"/>
      <c r="BF92" s="182"/>
      <c r="BG92" s="182"/>
      <c r="BH92" s="140"/>
      <c r="BI92" s="140"/>
      <c r="BJ92" s="184"/>
      <c r="BK92" s="169"/>
      <c r="BL92" s="63"/>
      <c r="BM92" s="549"/>
      <c r="BN92" s="183"/>
      <c r="BO92" s="182"/>
      <c r="BP92" s="182"/>
      <c r="BQ92" s="182"/>
      <c r="BR92" s="186"/>
      <c r="BS92" s="182"/>
      <c r="BT92" s="169"/>
      <c r="BU92" s="63"/>
      <c r="BV92" s="826"/>
      <c r="BW92" s="826"/>
      <c r="BX92" s="826"/>
      <c r="BY92" s="826"/>
      <c r="BZ92" s="826"/>
      <c r="CA92" s="826"/>
      <c r="CB92" s="826"/>
      <c r="CC92" s="826"/>
      <c r="CD92" s="826"/>
      <c r="CE92" s="826"/>
      <c r="CF92" s="826"/>
      <c r="CG92" s="826"/>
      <c r="CH92" s="826"/>
      <c r="CI92" s="826"/>
      <c r="CJ92" s="826"/>
      <c r="CK92" s="826"/>
      <c r="CL92" s="826"/>
      <c r="CM92" s="826"/>
      <c r="CN92" s="826"/>
      <c r="CO92" s="826"/>
      <c r="CP92" s="826"/>
      <c r="CQ92" s="826"/>
      <c r="CR92" s="826"/>
      <c r="CS92" s="826"/>
      <c r="CT92" s="826"/>
      <c r="CU92" s="826"/>
      <c r="CV92" s="826"/>
      <c r="CW92" s="826"/>
      <c r="CX92" s="826"/>
      <c r="CY92" s="826"/>
      <c r="CZ92" s="826"/>
      <c r="DA92" s="826"/>
      <c r="DB92" s="826"/>
      <c r="DC92" s="826"/>
      <c r="DD92" s="826"/>
      <c r="DE92" s="826"/>
      <c r="DF92" s="826"/>
      <c r="DG92" s="826"/>
      <c r="DH92" s="826"/>
      <c r="DI92" s="826"/>
      <c r="DJ92" s="826"/>
      <c r="DK92" s="826"/>
      <c r="DL92" s="826"/>
      <c r="DM92" s="826"/>
      <c r="DN92" s="826"/>
      <c r="DO92" s="826"/>
      <c r="DP92" s="826"/>
      <c r="DQ92" s="826"/>
      <c r="DR92" s="826"/>
      <c r="DS92" s="826"/>
      <c r="DT92" s="826"/>
      <c r="DU92" s="826"/>
      <c r="DV92" s="826"/>
      <c r="DW92" s="826"/>
      <c r="DX92" s="826"/>
      <c r="DY92" s="826"/>
      <c r="DZ92" s="826"/>
      <c r="EA92" s="826"/>
      <c r="EB92" s="826"/>
      <c r="EC92" s="826"/>
      <c r="ED92" s="826"/>
      <c r="EE92" s="826"/>
      <c r="EF92" s="826"/>
      <c r="EG92" s="826"/>
      <c r="EH92" s="826"/>
      <c r="EI92" s="826"/>
      <c r="EJ92" s="826"/>
      <c r="EK92" s="826"/>
      <c r="EL92" s="826"/>
      <c r="EM92" s="826"/>
      <c r="EN92" s="826"/>
      <c r="EO92" s="826"/>
      <c r="EP92" s="826"/>
      <c r="EQ92" s="826"/>
      <c r="ER92" s="826"/>
      <c r="ES92" s="826"/>
      <c r="ET92" s="826"/>
      <c r="EU92" s="826"/>
      <c r="EV92" s="826"/>
      <c r="EW92" s="826"/>
      <c r="EX92" s="826"/>
      <c r="EY92" s="826"/>
      <c r="EZ92" s="826"/>
      <c r="FA92" s="826"/>
      <c r="FB92" s="826"/>
      <c r="FC92" s="826"/>
      <c r="FD92" s="826"/>
      <c r="FE92" s="826"/>
      <c r="FF92" s="826"/>
      <c r="FG92" s="826"/>
      <c r="FH92" s="826"/>
      <c r="FI92" s="826"/>
      <c r="FJ92" s="826"/>
      <c r="FK92" s="826"/>
      <c r="FL92" s="826"/>
      <c r="FM92" s="826"/>
      <c r="FN92" s="826"/>
      <c r="FO92" s="826"/>
      <c r="FP92" s="826"/>
      <c r="FQ92" s="826"/>
      <c r="FR92" s="826"/>
      <c r="FS92" s="826"/>
      <c r="FT92" s="826"/>
      <c r="FU92" s="826"/>
      <c r="FV92" s="826"/>
      <c r="FW92" s="826"/>
      <c r="FX92" s="826"/>
      <c r="FY92" s="826"/>
      <c r="FZ92" s="826"/>
      <c r="GA92" s="826"/>
      <c r="GB92" s="826"/>
      <c r="GC92" s="826"/>
      <c r="GD92" s="826"/>
      <c r="GE92" s="826"/>
      <c r="GF92" s="826"/>
      <c r="GG92" s="826"/>
      <c r="GH92" s="826"/>
      <c r="GI92" s="826"/>
      <c r="GJ92" s="826"/>
      <c r="GK92" s="826"/>
      <c r="GL92" s="826"/>
      <c r="GM92" s="826"/>
      <c r="GN92" s="826"/>
      <c r="GO92" s="826"/>
      <c r="GP92" s="826"/>
      <c r="GQ92" s="826"/>
      <c r="GR92" s="826"/>
      <c r="GS92" s="826"/>
      <c r="GT92" s="826"/>
      <c r="GU92" s="826"/>
      <c r="GV92" s="826"/>
      <c r="GW92" s="826"/>
      <c r="GX92" s="826"/>
      <c r="GY92" s="826"/>
      <c r="GZ92" s="826"/>
      <c r="HA92" s="826"/>
      <c r="HB92" s="826"/>
      <c r="HC92" s="826"/>
    </row>
    <row r="93" spans="1:217" s="847" customFormat="1" ht="56.25" customHeight="1">
      <c r="A93" s="57">
        <v>125</v>
      </c>
      <c r="B93" s="846" t="s">
        <v>10215</v>
      </c>
      <c r="C93" s="59">
        <v>93296495</v>
      </c>
      <c r="D93" s="823" t="s">
        <v>3988</v>
      </c>
      <c r="E93" s="60"/>
      <c r="F93" s="63"/>
      <c r="G93" s="62"/>
      <c r="H93" s="117"/>
      <c r="I93" s="183"/>
      <c r="J93" s="169"/>
      <c r="K93" s="63"/>
      <c r="L93" s="182"/>
      <c r="M93" s="183"/>
      <c r="N93" s="183"/>
      <c r="O93" s="169"/>
      <c r="P93" s="63"/>
      <c r="Q93" s="182"/>
      <c r="R93" s="183"/>
      <c r="S93" s="183"/>
      <c r="T93" s="169"/>
      <c r="U93" s="63"/>
      <c r="V93" s="182"/>
      <c r="W93" s="183"/>
      <c r="X93" s="183"/>
      <c r="Y93" s="169"/>
      <c r="Z93" s="63"/>
      <c r="AA93" s="182"/>
      <c r="AB93" s="183"/>
      <c r="AC93" s="183"/>
      <c r="AD93" s="169"/>
      <c r="AE93" s="63"/>
      <c r="AF93" s="182"/>
      <c r="AG93" s="183"/>
      <c r="AH93" s="183"/>
      <c r="AI93" s="183"/>
      <c r="AJ93" s="63"/>
      <c r="AK93" s="182"/>
      <c r="AL93" s="183"/>
      <c r="AM93" s="183"/>
      <c r="AN93" s="183" t="s">
        <v>6487</v>
      </c>
      <c r="AO93" s="183" t="s">
        <v>2558</v>
      </c>
      <c r="AP93" s="848" t="s">
        <v>10216</v>
      </c>
      <c r="AQ93" s="183"/>
      <c r="AR93" s="169">
        <v>37187</v>
      </c>
      <c r="AS93" s="169">
        <v>40908</v>
      </c>
      <c r="AT93" s="183" t="s">
        <v>10196</v>
      </c>
      <c r="AU93" s="183" t="s">
        <v>69</v>
      </c>
      <c r="AV93" s="117" t="s">
        <v>10217</v>
      </c>
      <c r="AW93" s="60">
        <v>42529</v>
      </c>
      <c r="AX93" s="839"/>
      <c r="AY93" s="169"/>
      <c r="AZ93" s="171"/>
      <c r="BA93" s="117" t="s">
        <v>912</v>
      </c>
      <c r="BB93" s="117" t="s">
        <v>10218</v>
      </c>
      <c r="BC93" s="183"/>
      <c r="BD93" s="182"/>
      <c r="BE93" s="182"/>
      <c r="BF93" s="182"/>
      <c r="BG93" s="182"/>
      <c r="BH93" s="140"/>
      <c r="BI93" s="140"/>
      <c r="BJ93" s="184"/>
      <c r="BK93" s="169"/>
      <c r="BL93" s="63"/>
      <c r="BM93" s="549"/>
      <c r="BN93" s="183"/>
      <c r="BO93" s="182"/>
      <c r="BP93" s="182"/>
      <c r="BQ93" s="182"/>
      <c r="BR93" s="186"/>
      <c r="BS93" s="182"/>
      <c r="BT93" s="169"/>
      <c r="BU93" s="63"/>
      <c r="BV93" s="826"/>
      <c r="BW93" s="826"/>
      <c r="BX93" s="826"/>
      <c r="BY93" s="826"/>
      <c r="BZ93" s="826"/>
      <c r="CA93" s="826"/>
      <c r="CB93" s="826"/>
      <c r="CC93" s="826"/>
      <c r="CD93" s="826"/>
      <c r="CE93" s="826"/>
      <c r="CF93" s="826"/>
      <c r="CG93" s="826"/>
      <c r="CH93" s="826"/>
      <c r="CI93" s="826"/>
      <c r="CJ93" s="826"/>
      <c r="CK93" s="826"/>
      <c r="CL93" s="826"/>
      <c r="CM93" s="826"/>
      <c r="CN93" s="826"/>
      <c r="CO93" s="826"/>
      <c r="CP93" s="826"/>
      <c r="CQ93" s="826"/>
      <c r="CR93" s="826"/>
      <c r="CS93" s="826"/>
      <c r="CT93" s="826"/>
      <c r="CU93" s="826"/>
      <c r="CV93" s="826"/>
      <c r="CW93" s="826"/>
      <c r="CX93" s="826"/>
      <c r="CY93" s="826"/>
      <c r="CZ93" s="826"/>
      <c r="DA93" s="826"/>
      <c r="DB93" s="826"/>
      <c r="DC93" s="826"/>
      <c r="DD93" s="826"/>
      <c r="DE93" s="826"/>
      <c r="DF93" s="826"/>
      <c r="DG93" s="826"/>
      <c r="DH93" s="826"/>
      <c r="DI93" s="826"/>
      <c r="DJ93" s="826"/>
      <c r="DK93" s="826"/>
      <c r="DL93" s="826"/>
      <c r="DM93" s="826"/>
      <c r="DN93" s="826"/>
      <c r="DO93" s="826"/>
      <c r="DP93" s="826"/>
      <c r="DQ93" s="826"/>
      <c r="DR93" s="826"/>
      <c r="DS93" s="826"/>
      <c r="DT93" s="826"/>
      <c r="DU93" s="826"/>
      <c r="DV93" s="826"/>
      <c r="DW93" s="826"/>
      <c r="DX93" s="826"/>
      <c r="DY93" s="826"/>
      <c r="DZ93" s="826"/>
      <c r="EA93" s="826"/>
      <c r="EB93" s="826"/>
      <c r="EC93" s="826"/>
      <c r="ED93" s="826"/>
      <c r="EE93" s="826"/>
      <c r="EF93" s="826"/>
      <c r="EG93" s="826"/>
      <c r="EH93" s="826"/>
      <c r="EI93" s="826"/>
      <c r="EJ93" s="826"/>
      <c r="EK93" s="826"/>
      <c r="EL93" s="826"/>
      <c r="EM93" s="826"/>
      <c r="EN93" s="826"/>
      <c r="EO93" s="826"/>
      <c r="EP93" s="826"/>
      <c r="EQ93" s="826"/>
      <c r="ER93" s="826"/>
      <c r="ES93" s="826"/>
      <c r="ET93" s="826"/>
      <c r="EU93" s="826"/>
      <c r="EV93" s="826"/>
      <c r="EW93" s="826"/>
      <c r="EX93" s="826"/>
      <c r="EY93" s="826"/>
      <c r="EZ93" s="826"/>
      <c r="FA93" s="826"/>
      <c r="FB93" s="826"/>
      <c r="FC93" s="826"/>
      <c r="FD93" s="826"/>
      <c r="FE93" s="826"/>
      <c r="FF93" s="826"/>
      <c r="FG93" s="826"/>
      <c r="FH93" s="826"/>
      <c r="FI93" s="826"/>
      <c r="FJ93" s="826"/>
      <c r="FK93" s="826"/>
      <c r="FL93" s="826"/>
      <c r="FM93" s="826"/>
      <c r="FN93" s="826"/>
      <c r="FO93" s="826"/>
      <c r="FP93" s="826"/>
      <c r="FQ93" s="826"/>
      <c r="FR93" s="826"/>
      <c r="FS93" s="826"/>
      <c r="FT93" s="826"/>
      <c r="FU93" s="826"/>
      <c r="FV93" s="826"/>
      <c r="FW93" s="826"/>
      <c r="FX93" s="826"/>
      <c r="FY93" s="826"/>
      <c r="FZ93" s="826"/>
      <c r="GA93" s="826"/>
      <c r="GB93" s="826"/>
      <c r="GC93" s="826"/>
      <c r="GD93" s="826"/>
      <c r="GE93" s="826"/>
      <c r="GF93" s="826"/>
      <c r="GG93" s="826"/>
      <c r="GH93" s="826"/>
      <c r="GI93" s="826"/>
      <c r="GJ93" s="826"/>
      <c r="GK93" s="826"/>
      <c r="GL93" s="826"/>
      <c r="GM93" s="826"/>
      <c r="GN93" s="826"/>
      <c r="GO93" s="826"/>
      <c r="GP93" s="826"/>
      <c r="GQ93" s="826"/>
      <c r="GR93" s="826"/>
      <c r="GS93" s="826"/>
      <c r="GT93" s="826"/>
      <c r="GU93" s="826"/>
      <c r="GV93" s="826"/>
      <c r="GW93" s="826"/>
      <c r="GX93" s="826"/>
      <c r="GY93" s="826"/>
      <c r="GZ93" s="826"/>
      <c r="HA93" s="826"/>
      <c r="HB93" s="826"/>
      <c r="HC93" s="826"/>
    </row>
    <row r="94" spans="1:217" s="847" customFormat="1" ht="56.25" customHeight="1">
      <c r="A94" s="57">
        <v>125</v>
      </c>
      <c r="B94" s="846" t="s">
        <v>10219</v>
      </c>
      <c r="C94" s="59"/>
      <c r="D94" s="425"/>
      <c r="E94" s="60"/>
      <c r="F94" s="63"/>
      <c r="G94" s="62"/>
      <c r="H94" s="117"/>
      <c r="I94" s="183"/>
      <c r="J94" s="169"/>
      <c r="K94" s="63"/>
      <c r="L94" s="182"/>
      <c r="M94" s="183"/>
      <c r="N94" s="183"/>
      <c r="O94" s="169"/>
      <c r="P94" s="63"/>
      <c r="Q94" s="182"/>
      <c r="R94" s="183"/>
      <c r="S94" s="183"/>
      <c r="T94" s="169"/>
      <c r="U94" s="63"/>
      <c r="V94" s="182"/>
      <c r="W94" s="183"/>
      <c r="X94" s="183"/>
      <c r="Y94" s="169"/>
      <c r="Z94" s="63"/>
      <c r="AA94" s="182"/>
      <c r="AB94" s="183"/>
      <c r="AC94" s="183"/>
      <c r="AD94" s="169"/>
      <c r="AE94" s="63"/>
      <c r="AF94" s="182"/>
      <c r="AG94" s="183"/>
      <c r="AH94" s="183"/>
      <c r="AI94" s="183"/>
      <c r="AJ94" s="63"/>
      <c r="AK94" s="182"/>
      <c r="AL94" s="183"/>
      <c r="AM94" s="183"/>
      <c r="AN94" s="183" t="s">
        <v>6487</v>
      </c>
      <c r="AO94" s="183" t="s">
        <v>2558</v>
      </c>
      <c r="AP94" s="182"/>
      <c r="AQ94" s="183"/>
      <c r="AR94" s="169"/>
      <c r="AS94" s="169"/>
      <c r="AT94" s="183"/>
      <c r="AU94" s="183"/>
      <c r="AV94" s="117"/>
      <c r="AW94" s="117"/>
      <c r="AX94" s="839"/>
      <c r="AY94" s="169"/>
      <c r="AZ94" s="171"/>
      <c r="BA94" s="117"/>
      <c r="BB94" s="117"/>
      <c r="BC94" s="183"/>
      <c r="BD94" s="182"/>
      <c r="BE94" s="182"/>
      <c r="BF94" s="182"/>
      <c r="BG94" s="182"/>
      <c r="BH94" s="140"/>
      <c r="BI94" s="140"/>
      <c r="BJ94" s="184"/>
      <c r="BK94" s="169"/>
      <c r="BL94" s="63"/>
      <c r="BM94" s="549"/>
      <c r="BN94" s="183"/>
      <c r="BO94" s="182"/>
      <c r="BP94" s="182"/>
      <c r="BQ94" s="182"/>
      <c r="BR94" s="186"/>
      <c r="BS94" s="182"/>
      <c r="BT94" s="169"/>
      <c r="BU94" s="63"/>
      <c r="BV94" s="826"/>
      <c r="BW94" s="826"/>
      <c r="BX94" s="826"/>
      <c r="BY94" s="826"/>
      <c r="BZ94" s="826"/>
      <c r="CA94" s="826"/>
      <c r="CB94" s="826"/>
      <c r="CC94" s="826"/>
      <c r="CD94" s="826"/>
      <c r="CE94" s="826"/>
      <c r="CF94" s="826"/>
      <c r="CG94" s="826"/>
      <c r="CH94" s="826"/>
      <c r="CI94" s="826"/>
      <c r="CJ94" s="826"/>
      <c r="CK94" s="826"/>
      <c r="CL94" s="826"/>
      <c r="CM94" s="826"/>
      <c r="CN94" s="826"/>
      <c r="CO94" s="826"/>
      <c r="CP94" s="826"/>
      <c r="CQ94" s="826"/>
      <c r="CR94" s="826"/>
      <c r="CS94" s="826"/>
      <c r="CT94" s="826"/>
      <c r="CU94" s="826"/>
      <c r="CV94" s="826"/>
      <c r="CW94" s="826"/>
      <c r="CX94" s="826"/>
      <c r="CY94" s="826"/>
      <c r="CZ94" s="826"/>
      <c r="DA94" s="826"/>
      <c r="DB94" s="826"/>
      <c r="DC94" s="826"/>
      <c r="DD94" s="826"/>
      <c r="DE94" s="826"/>
      <c r="DF94" s="826"/>
      <c r="DG94" s="826"/>
      <c r="DH94" s="826"/>
      <c r="DI94" s="826"/>
      <c r="DJ94" s="826"/>
      <c r="DK94" s="826"/>
      <c r="DL94" s="826"/>
      <c r="DM94" s="826"/>
      <c r="DN94" s="826"/>
      <c r="DO94" s="826"/>
      <c r="DP94" s="826"/>
      <c r="DQ94" s="826"/>
      <c r="DR94" s="826"/>
      <c r="DS94" s="826"/>
      <c r="DT94" s="826"/>
      <c r="DU94" s="826"/>
      <c r="DV94" s="826"/>
      <c r="DW94" s="826"/>
      <c r="DX94" s="826"/>
      <c r="DY94" s="826"/>
      <c r="DZ94" s="826"/>
      <c r="EA94" s="826"/>
      <c r="EB94" s="826"/>
      <c r="EC94" s="826"/>
      <c r="ED94" s="826"/>
      <c r="EE94" s="826"/>
      <c r="EF94" s="826"/>
      <c r="EG94" s="826"/>
      <c r="EH94" s="826"/>
      <c r="EI94" s="826"/>
      <c r="EJ94" s="826"/>
      <c r="EK94" s="826"/>
      <c r="EL94" s="826"/>
      <c r="EM94" s="826"/>
      <c r="EN94" s="826"/>
      <c r="EO94" s="826"/>
      <c r="EP94" s="826"/>
      <c r="EQ94" s="826"/>
      <c r="ER94" s="826"/>
      <c r="ES94" s="826"/>
      <c r="ET94" s="826"/>
      <c r="EU94" s="826"/>
      <c r="EV94" s="826"/>
      <c r="EW94" s="826"/>
      <c r="EX94" s="826"/>
      <c r="EY94" s="826"/>
      <c r="EZ94" s="826"/>
      <c r="FA94" s="826"/>
      <c r="FB94" s="826"/>
      <c r="FC94" s="826"/>
      <c r="FD94" s="826"/>
      <c r="FE94" s="826"/>
      <c r="FF94" s="826"/>
      <c r="FG94" s="826"/>
      <c r="FH94" s="826"/>
      <c r="FI94" s="826"/>
      <c r="FJ94" s="826"/>
      <c r="FK94" s="826"/>
      <c r="FL94" s="826"/>
      <c r="FM94" s="826"/>
      <c r="FN94" s="826"/>
      <c r="FO94" s="826"/>
      <c r="FP94" s="826"/>
      <c r="FQ94" s="826"/>
      <c r="FR94" s="826"/>
      <c r="FS94" s="826"/>
      <c r="FT94" s="826"/>
      <c r="FU94" s="826"/>
      <c r="FV94" s="826"/>
      <c r="FW94" s="826"/>
      <c r="FX94" s="826"/>
      <c r="FY94" s="826"/>
      <c r="FZ94" s="826"/>
      <c r="GA94" s="826"/>
      <c r="GB94" s="826"/>
      <c r="GC94" s="826"/>
      <c r="GD94" s="826"/>
      <c r="GE94" s="826"/>
      <c r="GF94" s="826"/>
      <c r="GG94" s="826"/>
      <c r="GH94" s="826"/>
      <c r="GI94" s="826"/>
      <c r="GJ94" s="826"/>
      <c r="GK94" s="826"/>
      <c r="GL94" s="826"/>
      <c r="GM94" s="826"/>
      <c r="GN94" s="826"/>
      <c r="GO94" s="826"/>
      <c r="GP94" s="826"/>
      <c r="GQ94" s="826"/>
      <c r="GR94" s="826"/>
      <c r="GS94" s="826"/>
      <c r="GT94" s="826"/>
      <c r="GU94" s="826"/>
      <c r="GV94" s="826"/>
      <c r="GW94" s="826"/>
      <c r="GX94" s="826"/>
      <c r="GY94" s="826"/>
      <c r="GZ94" s="826"/>
      <c r="HA94" s="826"/>
      <c r="HB94" s="826"/>
      <c r="HC94" s="826"/>
    </row>
    <row r="95" spans="1:217" s="847" customFormat="1" ht="56.25" customHeight="1">
      <c r="A95" s="57">
        <v>126</v>
      </c>
      <c r="B95" s="846" t="s">
        <v>10220</v>
      </c>
      <c r="C95" s="59">
        <v>15171086</v>
      </c>
      <c r="D95" s="823" t="s">
        <v>1647</v>
      </c>
      <c r="E95" s="60"/>
      <c r="F95" s="63"/>
      <c r="G95" s="62"/>
      <c r="H95" s="117"/>
      <c r="I95" s="183"/>
      <c r="J95" s="169"/>
      <c r="K95" s="63"/>
      <c r="L95" s="182"/>
      <c r="M95" s="183"/>
      <c r="N95" s="183"/>
      <c r="O95" s="169"/>
      <c r="P95" s="63"/>
      <c r="Q95" s="182"/>
      <c r="R95" s="183"/>
      <c r="S95" s="183"/>
      <c r="T95" s="169"/>
      <c r="U95" s="63"/>
      <c r="V95" s="182"/>
      <c r="W95" s="183"/>
      <c r="X95" s="183"/>
      <c r="Y95" s="169"/>
      <c r="Z95" s="63"/>
      <c r="AA95" s="182"/>
      <c r="AB95" s="183"/>
      <c r="AC95" s="183"/>
      <c r="AD95" s="169"/>
      <c r="AE95" s="63"/>
      <c r="AF95" s="182"/>
      <c r="AG95" s="183"/>
      <c r="AH95" s="183"/>
      <c r="AI95" s="183"/>
      <c r="AJ95" s="63"/>
      <c r="AK95" s="182"/>
      <c r="AL95" s="183"/>
      <c r="AM95" s="183"/>
      <c r="AN95" s="183" t="s">
        <v>6487</v>
      </c>
      <c r="AO95" s="183" t="s">
        <v>2558</v>
      </c>
      <c r="AP95" s="848" t="s">
        <v>10221</v>
      </c>
      <c r="AQ95" s="183"/>
      <c r="AR95" s="169">
        <v>38353</v>
      </c>
      <c r="AS95" s="169">
        <v>40633</v>
      </c>
      <c r="AT95" s="183" t="s">
        <v>10222</v>
      </c>
      <c r="AU95" s="183" t="s">
        <v>69</v>
      </c>
      <c r="AV95" s="117" t="s">
        <v>6616</v>
      </c>
      <c r="AW95" s="60">
        <v>43270</v>
      </c>
      <c r="AX95" s="839"/>
      <c r="AY95" s="169"/>
      <c r="AZ95" s="171"/>
      <c r="BA95" s="117" t="s">
        <v>4865</v>
      </c>
      <c r="BB95" s="117" t="s">
        <v>10223</v>
      </c>
      <c r="BC95" s="183"/>
      <c r="BD95" s="182"/>
      <c r="BE95" s="182"/>
      <c r="BF95" s="182"/>
      <c r="BG95" s="182"/>
      <c r="BH95" s="140"/>
      <c r="BI95" s="140"/>
      <c r="BJ95" s="184"/>
      <c r="BK95" s="169"/>
      <c r="BL95" s="63"/>
      <c r="BM95" s="549"/>
      <c r="BN95" s="183"/>
      <c r="BO95" s="182"/>
      <c r="BP95" s="182"/>
      <c r="BQ95" s="182"/>
      <c r="BR95" s="186"/>
      <c r="BS95" s="182"/>
      <c r="BT95" s="169"/>
      <c r="BU95" s="63"/>
      <c r="BV95" s="826"/>
      <c r="BW95" s="826"/>
      <c r="BX95" s="826"/>
      <c r="BY95" s="826"/>
      <c r="BZ95" s="826"/>
      <c r="CA95" s="826"/>
      <c r="CB95" s="826"/>
      <c r="CC95" s="826"/>
      <c r="CD95" s="826"/>
      <c r="CE95" s="826"/>
      <c r="CF95" s="826"/>
      <c r="CG95" s="826"/>
      <c r="CH95" s="826"/>
      <c r="CI95" s="826"/>
      <c r="CJ95" s="826"/>
      <c r="CK95" s="826"/>
      <c r="CL95" s="826"/>
      <c r="CM95" s="826"/>
      <c r="CN95" s="826"/>
      <c r="CO95" s="826"/>
      <c r="CP95" s="826"/>
      <c r="CQ95" s="826"/>
      <c r="CR95" s="826"/>
      <c r="CS95" s="826"/>
      <c r="CT95" s="826"/>
      <c r="CU95" s="826"/>
      <c r="CV95" s="826"/>
      <c r="CW95" s="826"/>
      <c r="CX95" s="826"/>
      <c r="CY95" s="826"/>
      <c r="CZ95" s="826"/>
      <c r="DA95" s="826"/>
      <c r="DB95" s="826"/>
      <c r="DC95" s="826"/>
      <c r="DD95" s="826"/>
      <c r="DE95" s="826"/>
      <c r="DF95" s="826"/>
      <c r="DG95" s="826"/>
      <c r="DH95" s="826"/>
      <c r="DI95" s="826"/>
      <c r="DJ95" s="826"/>
      <c r="DK95" s="826"/>
      <c r="DL95" s="826"/>
      <c r="DM95" s="826"/>
      <c r="DN95" s="826"/>
      <c r="DO95" s="826"/>
      <c r="DP95" s="826"/>
      <c r="DQ95" s="826"/>
      <c r="DR95" s="826"/>
      <c r="DS95" s="826"/>
      <c r="DT95" s="826"/>
      <c r="DU95" s="826"/>
      <c r="DV95" s="826"/>
      <c r="DW95" s="826"/>
      <c r="DX95" s="826"/>
      <c r="DY95" s="826"/>
      <c r="DZ95" s="826"/>
      <c r="EA95" s="826"/>
      <c r="EB95" s="826"/>
      <c r="EC95" s="826"/>
      <c r="ED95" s="826"/>
      <c r="EE95" s="826"/>
      <c r="EF95" s="826"/>
      <c r="EG95" s="826"/>
      <c r="EH95" s="826"/>
      <c r="EI95" s="826"/>
      <c r="EJ95" s="826"/>
      <c r="EK95" s="826"/>
      <c r="EL95" s="826"/>
      <c r="EM95" s="826"/>
      <c r="EN95" s="826"/>
      <c r="EO95" s="826"/>
      <c r="EP95" s="826"/>
      <c r="EQ95" s="826"/>
      <c r="ER95" s="826"/>
      <c r="ES95" s="826"/>
      <c r="ET95" s="826"/>
      <c r="EU95" s="826"/>
      <c r="EV95" s="826"/>
      <c r="EW95" s="826"/>
      <c r="EX95" s="826"/>
      <c r="EY95" s="826"/>
      <c r="EZ95" s="826"/>
      <c r="FA95" s="826"/>
      <c r="FB95" s="826"/>
      <c r="FC95" s="826"/>
      <c r="FD95" s="826"/>
      <c r="FE95" s="826"/>
      <c r="FF95" s="826"/>
      <c r="FG95" s="826"/>
      <c r="FH95" s="826"/>
      <c r="FI95" s="826"/>
      <c r="FJ95" s="826"/>
      <c r="FK95" s="826"/>
      <c r="FL95" s="826"/>
      <c r="FM95" s="826"/>
      <c r="FN95" s="826"/>
      <c r="FO95" s="826"/>
      <c r="FP95" s="826"/>
      <c r="FQ95" s="826"/>
      <c r="FR95" s="826"/>
      <c r="FS95" s="826"/>
      <c r="FT95" s="826"/>
      <c r="FU95" s="826"/>
      <c r="FV95" s="826"/>
      <c r="FW95" s="826"/>
      <c r="FX95" s="826"/>
      <c r="FY95" s="826"/>
      <c r="FZ95" s="826"/>
      <c r="GA95" s="826"/>
      <c r="GB95" s="826"/>
      <c r="GC95" s="826"/>
      <c r="GD95" s="826"/>
      <c r="GE95" s="826"/>
      <c r="GF95" s="826"/>
      <c r="GG95" s="826"/>
      <c r="GH95" s="826"/>
      <c r="GI95" s="826"/>
      <c r="GJ95" s="826"/>
      <c r="GK95" s="826"/>
      <c r="GL95" s="826"/>
      <c r="GM95" s="826"/>
      <c r="GN95" s="826"/>
      <c r="GO95" s="826"/>
      <c r="GP95" s="826"/>
      <c r="GQ95" s="826"/>
      <c r="GR95" s="826"/>
      <c r="GS95" s="826"/>
      <c r="GT95" s="826"/>
      <c r="GU95" s="826"/>
      <c r="GV95" s="826"/>
      <c r="GW95" s="826"/>
      <c r="GX95" s="826"/>
      <c r="GY95" s="826"/>
      <c r="GZ95" s="826"/>
      <c r="HA95" s="826"/>
      <c r="HB95" s="826"/>
      <c r="HC95" s="826"/>
    </row>
    <row r="96" spans="1:217" s="847" customFormat="1" ht="56.25" customHeight="1">
      <c r="A96" s="57">
        <v>129</v>
      </c>
      <c r="B96" s="846" t="s">
        <v>10224</v>
      </c>
      <c r="C96" s="59">
        <v>29927770</v>
      </c>
      <c r="D96" s="823" t="s">
        <v>10159</v>
      </c>
      <c r="E96" s="60"/>
      <c r="F96" s="63"/>
      <c r="G96" s="62"/>
      <c r="H96" s="117"/>
      <c r="I96" s="183"/>
      <c r="J96" s="169"/>
      <c r="K96" s="63"/>
      <c r="L96" s="182"/>
      <c r="M96" s="183"/>
      <c r="N96" s="183"/>
      <c r="O96" s="169"/>
      <c r="P96" s="63"/>
      <c r="Q96" s="182"/>
      <c r="R96" s="183"/>
      <c r="S96" s="183"/>
      <c r="T96" s="169"/>
      <c r="U96" s="63"/>
      <c r="V96" s="182"/>
      <c r="W96" s="183"/>
      <c r="X96" s="183"/>
      <c r="Y96" s="169"/>
      <c r="Z96" s="63"/>
      <c r="AA96" s="182"/>
      <c r="AB96" s="183"/>
      <c r="AC96" s="183"/>
      <c r="AD96" s="169"/>
      <c r="AE96" s="63"/>
      <c r="AF96" s="182"/>
      <c r="AG96" s="183"/>
      <c r="AH96" s="183"/>
      <c r="AI96" s="183"/>
      <c r="AJ96" s="63"/>
      <c r="AK96" s="182"/>
      <c r="AL96" s="183"/>
      <c r="AM96" s="183"/>
      <c r="AN96" s="183" t="s">
        <v>6487</v>
      </c>
      <c r="AO96" s="183" t="s">
        <v>2558</v>
      </c>
      <c r="AP96" s="848" t="s">
        <v>10225</v>
      </c>
      <c r="AQ96" s="183"/>
      <c r="AR96" s="169">
        <v>37773</v>
      </c>
      <c r="AS96" s="169">
        <v>39823</v>
      </c>
      <c r="AT96" s="183" t="s">
        <v>10226</v>
      </c>
      <c r="AU96" s="117" t="s">
        <v>92</v>
      </c>
      <c r="AV96" s="117" t="s">
        <v>10227</v>
      </c>
      <c r="AW96" s="60">
        <v>42290</v>
      </c>
      <c r="AX96" s="839"/>
      <c r="AY96" s="169"/>
      <c r="AZ96" s="171"/>
      <c r="BA96" s="117" t="s">
        <v>95</v>
      </c>
      <c r="BB96" s="117" t="s">
        <v>1792</v>
      </c>
      <c r="BC96" s="183"/>
      <c r="BD96" s="182"/>
      <c r="BE96" s="182"/>
      <c r="BF96" s="182"/>
      <c r="BG96" s="182"/>
      <c r="BH96" s="140"/>
      <c r="BI96" s="140"/>
      <c r="BJ96" s="184"/>
      <c r="BK96" s="169"/>
      <c r="BL96" s="63"/>
      <c r="BM96" s="549"/>
      <c r="BN96" s="183"/>
      <c r="BO96" s="182"/>
      <c r="BP96" s="182"/>
      <c r="BQ96" s="182"/>
      <c r="BR96" s="186"/>
      <c r="BS96" s="182"/>
      <c r="BT96" s="169"/>
      <c r="BU96" s="63"/>
      <c r="BV96" s="826"/>
      <c r="BW96" s="826"/>
      <c r="BX96" s="826"/>
      <c r="BY96" s="826"/>
      <c r="BZ96" s="826"/>
      <c r="CA96" s="826"/>
      <c r="CB96" s="826"/>
      <c r="CC96" s="826"/>
      <c r="CD96" s="826"/>
      <c r="CE96" s="826"/>
      <c r="CF96" s="826"/>
      <c r="CG96" s="826"/>
      <c r="CH96" s="826"/>
      <c r="CI96" s="826"/>
      <c r="CJ96" s="826"/>
      <c r="CK96" s="826"/>
      <c r="CL96" s="826"/>
      <c r="CM96" s="826"/>
      <c r="CN96" s="826"/>
      <c r="CO96" s="826"/>
      <c r="CP96" s="826"/>
      <c r="CQ96" s="826"/>
      <c r="CR96" s="826"/>
      <c r="CS96" s="826"/>
      <c r="CT96" s="826"/>
      <c r="CU96" s="826"/>
      <c r="CV96" s="826"/>
      <c r="CW96" s="826"/>
      <c r="CX96" s="826"/>
      <c r="CY96" s="826"/>
      <c r="CZ96" s="826"/>
      <c r="DA96" s="826"/>
      <c r="DB96" s="826"/>
      <c r="DC96" s="826"/>
      <c r="DD96" s="826"/>
      <c r="DE96" s="826"/>
      <c r="DF96" s="826"/>
      <c r="DG96" s="826"/>
      <c r="DH96" s="826"/>
      <c r="DI96" s="826"/>
      <c r="DJ96" s="826"/>
      <c r="DK96" s="826"/>
      <c r="DL96" s="826"/>
      <c r="DM96" s="826"/>
      <c r="DN96" s="826"/>
      <c r="DO96" s="826"/>
      <c r="DP96" s="826"/>
      <c r="DQ96" s="826"/>
      <c r="DR96" s="826"/>
      <c r="DS96" s="826"/>
      <c r="DT96" s="826"/>
      <c r="DU96" s="826"/>
      <c r="DV96" s="826"/>
      <c r="DW96" s="826"/>
      <c r="DX96" s="826"/>
      <c r="DY96" s="826"/>
      <c r="DZ96" s="826"/>
      <c r="EA96" s="826"/>
      <c r="EB96" s="826"/>
      <c r="EC96" s="826"/>
      <c r="ED96" s="826"/>
      <c r="EE96" s="826"/>
      <c r="EF96" s="826"/>
      <c r="EG96" s="826"/>
      <c r="EH96" s="826"/>
      <c r="EI96" s="826"/>
      <c r="EJ96" s="826"/>
      <c r="EK96" s="826"/>
      <c r="EL96" s="826"/>
      <c r="EM96" s="826"/>
      <c r="EN96" s="826"/>
      <c r="EO96" s="826"/>
      <c r="EP96" s="826"/>
      <c r="EQ96" s="826"/>
      <c r="ER96" s="826"/>
      <c r="ES96" s="826"/>
      <c r="ET96" s="826"/>
      <c r="EU96" s="826"/>
      <c r="EV96" s="826"/>
      <c r="EW96" s="826"/>
      <c r="EX96" s="826"/>
      <c r="EY96" s="826"/>
      <c r="EZ96" s="826"/>
      <c r="FA96" s="826"/>
      <c r="FB96" s="826"/>
      <c r="FC96" s="826"/>
      <c r="FD96" s="826"/>
      <c r="FE96" s="826"/>
      <c r="FF96" s="826"/>
      <c r="FG96" s="826"/>
      <c r="FH96" s="826"/>
      <c r="FI96" s="826"/>
      <c r="FJ96" s="826"/>
      <c r="FK96" s="826"/>
      <c r="FL96" s="826"/>
      <c r="FM96" s="826"/>
      <c r="FN96" s="826"/>
      <c r="FO96" s="826"/>
      <c r="FP96" s="826"/>
      <c r="FQ96" s="826"/>
      <c r="FR96" s="826"/>
      <c r="FS96" s="826"/>
      <c r="FT96" s="826"/>
      <c r="FU96" s="826"/>
      <c r="FV96" s="826"/>
      <c r="FW96" s="826"/>
      <c r="FX96" s="826"/>
      <c r="FY96" s="826"/>
      <c r="FZ96" s="826"/>
      <c r="GA96" s="826"/>
      <c r="GB96" s="826"/>
      <c r="GC96" s="826"/>
      <c r="GD96" s="826"/>
      <c r="GE96" s="826"/>
      <c r="GF96" s="826"/>
      <c r="GG96" s="826"/>
      <c r="GH96" s="826"/>
      <c r="GI96" s="826"/>
      <c r="GJ96" s="826"/>
      <c r="GK96" s="826"/>
      <c r="GL96" s="826"/>
      <c r="GM96" s="826"/>
      <c r="GN96" s="826"/>
      <c r="GO96" s="826"/>
      <c r="GP96" s="826"/>
      <c r="GQ96" s="826"/>
      <c r="GR96" s="826"/>
      <c r="GS96" s="826"/>
      <c r="GT96" s="826"/>
      <c r="GU96" s="826"/>
      <c r="GV96" s="826"/>
      <c r="GW96" s="826"/>
      <c r="GX96" s="826"/>
      <c r="GY96" s="826"/>
      <c r="GZ96" s="826"/>
      <c r="HA96" s="826"/>
      <c r="HB96" s="826"/>
      <c r="HC96" s="826"/>
    </row>
    <row r="97" spans="1:211" s="847" customFormat="1" ht="56.25" customHeight="1">
      <c r="A97" s="57">
        <v>149</v>
      </c>
      <c r="B97" s="117" t="s">
        <v>4944</v>
      </c>
      <c r="C97" s="59">
        <v>79204548</v>
      </c>
      <c r="D97" s="823" t="s">
        <v>906</v>
      </c>
      <c r="E97" s="60"/>
      <c r="F97" s="63"/>
      <c r="G97" s="62"/>
      <c r="H97" s="117"/>
      <c r="I97" s="183"/>
      <c r="J97" s="169"/>
      <c r="K97" s="63"/>
      <c r="L97" s="182"/>
      <c r="M97" s="183"/>
      <c r="N97" s="183"/>
      <c r="O97" s="169"/>
      <c r="P97" s="63"/>
      <c r="Q97" s="182"/>
      <c r="R97" s="183"/>
      <c r="S97" s="183"/>
      <c r="T97" s="169"/>
      <c r="U97" s="63"/>
      <c r="V97" s="182"/>
      <c r="W97" s="183"/>
      <c r="X97" s="183"/>
      <c r="Y97" s="169"/>
      <c r="Z97" s="63"/>
      <c r="AA97" s="182"/>
      <c r="AB97" s="183"/>
      <c r="AC97" s="183"/>
      <c r="AD97" s="169"/>
      <c r="AE97" s="63"/>
      <c r="AF97" s="182"/>
      <c r="AG97" s="183"/>
      <c r="AH97" s="183"/>
      <c r="AI97" s="183"/>
      <c r="AJ97" s="63"/>
      <c r="AK97" s="182"/>
      <c r="AL97" s="183"/>
      <c r="AM97" s="183"/>
      <c r="AN97" s="183" t="s">
        <v>6487</v>
      </c>
      <c r="AO97" s="183" t="s">
        <v>2558</v>
      </c>
      <c r="AP97" s="848" t="s">
        <v>10228</v>
      </c>
      <c r="AQ97" s="183"/>
      <c r="AR97" s="169">
        <v>33637</v>
      </c>
      <c r="AS97" s="169">
        <v>40908</v>
      </c>
      <c r="AT97" s="183"/>
      <c r="AU97" s="183" t="s">
        <v>69</v>
      </c>
      <c r="AV97" s="117" t="s">
        <v>8235</v>
      </c>
      <c r="AW97" s="60">
        <v>42943</v>
      </c>
      <c r="AX97" s="839"/>
      <c r="AY97" s="169"/>
      <c r="AZ97" s="171"/>
      <c r="BA97" s="117" t="s">
        <v>912</v>
      </c>
      <c r="BB97" s="117" t="s">
        <v>10223</v>
      </c>
      <c r="BC97" s="183"/>
      <c r="BD97" s="182"/>
      <c r="BE97" s="182"/>
      <c r="BF97" s="182"/>
      <c r="BG97" s="182"/>
      <c r="BH97" s="140"/>
      <c r="BI97" s="140"/>
      <c r="BJ97" s="184"/>
      <c r="BK97" s="169"/>
      <c r="BL97" s="63"/>
      <c r="BM97" s="549"/>
      <c r="BN97" s="183"/>
      <c r="BO97" s="182"/>
      <c r="BP97" s="182"/>
      <c r="BQ97" s="182"/>
      <c r="BR97" s="186"/>
      <c r="BS97" s="182"/>
      <c r="BT97" s="169"/>
      <c r="BU97" s="63"/>
      <c r="BV97" s="826"/>
      <c r="BW97" s="826"/>
      <c r="BX97" s="826"/>
      <c r="BY97" s="826"/>
      <c r="BZ97" s="826"/>
      <c r="CA97" s="826"/>
      <c r="CB97" s="826"/>
      <c r="CC97" s="826"/>
      <c r="CD97" s="826"/>
      <c r="CE97" s="826"/>
      <c r="CF97" s="826"/>
      <c r="CG97" s="826"/>
      <c r="CH97" s="826"/>
      <c r="CI97" s="826"/>
      <c r="CJ97" s="826"/>
      <c r="CK97" s="826"/>
      <c r="CL97" s="826"/>
      <c r="CM97" s="826"/>
      <c r="CN97" s="826"/>
      <c r="CO97" s="826"/>
      <c r="CP97" s="826"/>
      <c r="CQ97" s="826"/>
      <c r="CR97" s="826"/>
      <c r="CS97" s="826"/>
      <c r="CT97" s="826"/>
      <c r="CU97" s="826"/>
      <c r="CV97" s="826"/>
      <c r="CW97" s="826"/>
      <c r="CX97" s="826"/>
      <c r="CY97" s="826"/>
      <c r="CZ97" s="826"/>
      <c r="DA97" s="826"/>
      <c r="DB97" s="826"/>
      <c r="DC97" s="826"/>
      <c r="DD97" s="826"/>
      <c r="DE97" s="826"/>
      <c r="DF97" s="826"/>
      <c r="DG97" s="826"/>
      <c r="DH97" s="826"/>
      <c r="DI97" s="826"/>
      <c r="DJ97" s="826"/>
      <c r="DK97" s="826"/>
      <c r="DL97" s="826"/>
      <c r="DM97" s="826"/>
      <c r="DN97" s="826"/>
      <c r="DO97" s="826"/>
      <c r="DP97" s="826"/>
      <c r="DQ97" s="826"/>
      <c r="DR97" s="826"/>
      <c r="DS97" s="826"/>
      <c r="DT97" s="826"/>
      <c r="DU97" s="826"/>
      <c r="DV97" s="826"/>
      <c r="DW97" s="826"/>
      <c r="DX97" s="826"/>
      <c r="DY97" s="826"/>
      <c r="DZ97" s="826"/>
      <c r="EA97" s="826"/>
      <c r="EB97" s="826"/>
      <c r="EC97" s="826"/>
      <c r="ED97" s="826"/>
      <c r="EE97" s="826"/>
      <c r="EF97" s="826"/>
      <c r="EG97" s="826"/>
      <c r="EH97" s="826"/>
      <c r="EI97" s="826"/>
      <c r="EJ97" s="826"/>
      <c r="EK97" s="826"/>
      <c r="EL97" s="826"/>
      <c r="EM97" s="826"/>
      <c r="EN97" s="826"/>
      <c r="EO97" s="826"/>
      <c r="EP97" s="826"/>
      <c r="EQ97" s="826"/>
      <c r="ER97" s="826"/>
      <c r="ES97" s="826"/>
      <c r="ET97" s="826"/>
      <c r="EU97" s="826"/>
      <c r="EV97" s="826"/>
      <c r="EW97" s="826"/>
      <c r="EX97" s="826"/>
      <c r="EY97" s="826"/>
      <c r="EZ97" s="826"/>
      <c r="FA97" s="826"/>
      <c r="FB97" s="826"/>
      <c r="FC97" s="826"/>
      <c r="FD97" s="826"/>
      <c r="FE97" s="826"/>
      <c r="FF97" s="826"/>
      <c r="FG97" s="826"/>
      <c r="FH97" s="826"/>
      <c r="FI97" s="826"/>
      <c r="FJ97" s="826"/>
      <c r="FK97" s="826"/>
      <c r="FL97" s="826"/>
      <c r="FM97" s="826"/>
      <c r="FN97" s="826"/>
      <c r="FO97" s="826"/>
      <c r="FP97" s="826"/>
      <c r="FQ97" s="826"/>
      <c r="FR97" s="826"/>
      <c r="FS97" s="826"/>
      <c r="FT97" s="826"/>
      <c r="FU97" s="826"/>
      <c r="FV97" s="826"/>
      <c r="FW97" s="826"/>
      <c r="FX97" s="826"/>
      <c r="FY97" s="826"/>
      <c r="FZ97" s="826"/>
      <c r="GA97" s="826"/>
      <c r="GB97" s="826"/>
      <c r="GC97" s="826"/>
      <c r="GD97" s="826"/>
      <c r="GE97" s="826"/>
      <c r="GF97" s="826"/>
      <c r="GG97" s="826"/>
      <c r="GH97" s="826"/>
      <c r="GI97" s="826"/>
      <c r="GJ97" s="826"/>
      <c r="GK97" s="826"/>
      <c r="GL97" s="826"/>
      <c r="GM97" s="826"/>
      <c r="GN97" s="826"/>
      <c r="GO97" s="826"/>
      <c r="GP97" s="826"/>
      <c r="GQ97" s="826"/>
      <c r="GR97" s="826"/>
      <c r="GS97" s="826"/>
      <c r="GT97" s="826"/>
      <c r="GU97" s="826"/>
      <c r="GV97" s="826"/>
      <c r="GW97" s="826"/>
      <c r="GX97" s="826"/>
      <c r="GY97" s="826"/>
      <c r="GZ97" s="826"/>
      <c r="HA97" s="826"/>
      <c r="HB97" s="826"/>
      <c r="HC97" s="826"/>
    </row>
    <row r="98" spans="1:211" s="847" customFormat="1" ht="56.25" customHeight="1">
      <c r="A98" s="57">
        <v>158</v>
      </c>
      <c r="B98" s="846" t="s">
        <v>9677</v>
      </c>
      <c r="C98" s="59">
        <v>88206747</v>
      </c>
      <c r="D98" s="823" t="s">
        <v>167</v>
      </c>
      <c r="E98" s="60"/>
      <c r="F98" s="63"/>
      <c r="G98" s="62"/>
      <c r="H98" s="117"/>
      <c r="I98" s="183"/>
      <c r="J98" s="169"/>
      <c r="K98" s="63"/>
      <c r="L98" s="182"/>
      <c r="M98" s="183"/>
      <c r="N98" s="183"/>
      <c r="O98" s="169"/>
      <c r="P98" s="63"/>
      <c r="Q98" s="182"/>
      <c r="R98" s="183"/>
      <c r="S98" s="183"/>
      <c r="T98" s="169"/>
      <c r="U98" s="63"/>
      <c r="V98" s="182"/>
      <c r="W98" s="183"/>
      <c r="X98" s="183"/>
      <c r="Y98" s="169"/>
      <c r="Z98" s="63"/>
      <c r="AA98" s="182"/>
      <c r="AB98" s="183"/>
      <c r="AC98" s="183"/>
      <c r="AD98" s="169"/>
      <c r="AE98" s="63"/>
      <c r="AF98" s="182"/>
      <c r="AG98" s="183"/>
      <c r="AH98" s="183"/>
      <c r="AI98" s="183"/>
      <c r="AJ98" s="63"/>
      <c r="AK98" s="182"/>
      <c r="AL98" s="183"/>
      <c r="AM98" s="183"/>
      <c r="AN98" s="183" t="s">
        <v>6487</v>
      </c>
      <c r="AO98" s="183" t="s">
        <v>2558</v>
      </c>
      <c r="AP98" s="848" t="s">
        <v>10229</v>
      </c>
      <c r="AQ98" s="183"/>
      <c r="AR98" s="169">
        <v>37365</v>
      </c>
      <c r="AS98" s="169">
        <v>40218</v>
      </c>
      <c r="AT98" s="183"/>
      <c r="AU98" s="183" t="s">
        <v>69</v>
      </c>
      <c r="AV98" s="117" t="s">
        <v>10230</v>
      </c>
      <c r="AW98" s="117" t="s">
        <v>10231</v>
      </c>
      <c r="AX98" s="839"/>
      <c r="AY98" s="169"/>
      <c r="AZ98" s="171"/>
      <c r="BA98" s="117" t="s">
        <v>95</v>
      </c>
      <c r="BB98" s="117" t="s">
        <v>4478</v>
      </c>
      <c r="BC98" s="183"/>
      <c r="BD98" s="182"/>
      <c r="BE98" s="182"/>
      <c r="BF98" s="182"/>
      <c r="BG98" s="182"/>
      <c r="BH98" s="140"/>
      <c r="BI98" s="140"/>
      <c r="BJ98" s="184"/>
      <c r="BK98" s="169"/>
      <c r="BL98" s="63"/>
      <c r="BM98" s="549"/>
      <c r="BN98" s="183"/>
      <c r="BO98" s="182"/>
      <c r="BP98" s="182"/>
      <c r="BQ98" s="182"/>
      <c r="BR98" s="186"/>
      <c r="BS98" s="182"/>
      <c r="BT98" s="169"/>
      <c r="BU98" s="63"/>
      <c r="BV98" s="826"/>
      <c r="BW98" s="826"/>
      <c r="BX98" s="826"/>
      <c r="BY98" s="826"/>
      <c r="BZ98" s="826"/>
      <c r="CA98" s="826"/>
      <c r="CB98" s="826"/>
      <c r="CC98" s="826"/>
      <c r="CD98" s="826"/>
      <c r="CE98" s="826"/>
      <c r="CF98" s="826"/>
      <c r="CG98" s="826"/>
      <c r="CH98" s="826"/>
      <c r="CI98" s="826"/>
      <c r="CJ98" s="826"/>
      <c r="CK98" s="826"/>
      <c r="CL98" s="826"/>
      <c r="CM98" s="826"/>
      <c r="CN98" s="826"/>
      <c r="CO98" s="826"/>
      <c r="CP98" s="826"/>
      <c r="CQ98" s="826"/>
      <c r="CR98" s="826"/>
      <c r="CS98" s="826"/>
      <c r="CT98" s="826"/>
      <c r="CU98" s="826"/>
      <c r="CV98" s="826"/>
      <c r="CW98" s="826"/>
      <c r="CX98" s="826"/>
      <c r="CY98" s="826"/>
      <c r="CZ98" s="826"/>
      <c r="DA98" s="826"/>
      <c r="DB98" s="826"/>
      <c r="DC98" s="826"/>
      <c r="DD98" s="826"/>
      <c r="DE98" s="826"/>
      <c r="DF98" s="826"/>
      <c r="DG98" s="826"/>
      <c r="DH98" s="826"/>
      <c r="DI98" s="826"/>
      <c r="DJ98" s="826"/>
      <c r="DK98" s="826"/>
      <c r="DL98" s="826"/>
      <c r="DM98" s="826"/>
      <c r="DN98" s="826"/>
      <c r="DO98" s="826"/>
      <c r="DP98" s="826"/>
      <c r="DQ98" s="826"/>
      <c r="DR98" s="826"/>
      <c r="DS98" s="826"/>
      <c r="DT98" s="826"/>
      <c r="DU98" s="826"/>
      <c r="DV98" s="826"/>
      <c r="DW98" s="826"/>
      <c r="DX98" s="826"/>
      <c r="DY98" s="826"/>
      <c r="DZ98" s="826"/>
      <c r="EA98" s="826"/>
      <c r="EB98" s="826"/>
      <c r="EC98" s="826"/>
      <c r="ED98" s="826"/>
      <c r="EE98" s="826"/>
      <c r="EF98" s="826"/>
      <c r="EG98" s="826"/>
      <c r="EH98" s="826"/>
      <c r="EI98" s="826"/>
      <c r="EJ98" s="826"/>
      <c r="EK98" s="826"/>
      <c r="EL98" s="826"/>
      <c r="EM98" s="826"/>
      <c r="EN98" s="826"/>
      <c r="EO98" s="826"/>
      <c r="EP98" s="826"/>
      <c r="EQ98" s="826"/>
      <c r="ER98" s="826"/>
      <c r="ES98" s="826"/>
      <c r="ET98" s="826"/>
      <c r="EU98" s="826"/>
      <c r="EV98" s="826"/>
      <c r="EW98" s="826"/>
      <c r="EX98" s="826"/>
      <c r="EY98" s="826"/>
      <c r="EZ98" s="826"/>
      <c r="FA98" s="826"/>
      <c r="FB98" s="826"/>
      <c r="FC98" s="826"/>
      <c r="FD98" s="826"/>
      <c r="FE98" s="826"/>
      <c r="FF98" s="826"/>
      <c r="FG98" s="826"/>
      <c r="FH98" s="826"/>
      <c r="FI98" s="826"/>
      <c r="FJ98" s="826"/>
      <c r="FK98" s="826"/>
      <c r="FL98" s="826"/>
      <c r="FM98" s="826"/>
      <c r="FN98" s="826"/>
      <c r="FO98" s="826"/>
      <c r="FP98" s="826"/>
      <c r="FQ98" s="826"/>
      <c r="FR98" s="826"/>
      <c r="FS98" s="826"/>
      <c r="FT98" s="826"/>
      <c r="FU98" s="826"/>
      <c r="FV98" s="826"/>
      <c r="FW98" s="826"/>
      <c r="FX98" s="826"/>
      <c r="FY98" s="826"/>
      <c r="FZ98" s="826"/>
      <c r="GA98" s="826"/>
      <c r="GB98" s="826"/>
      <c r="GC98" s="826"/>
      <c r="GD98" s="826"/>
      <c r="GE98" s="826"/>
      <c r="GF98" s="826"/>
      <c r="GG98" s="826"/>
      <c r="GH98" s="826"/>
      <c r="GI98" s="826"/>
      <c r="GJ98" s="826"/>
      <c r="GK98" s="826"/>
      <c r="GL98" s="826"/>
      <c r="GM98" s="826"/>
      <c r="GN98" s="826"/>
      <c r="GO98" s="826"/>
      <c r="GP98" s="826"/>
      <c r="GQ98" s="826"/>
      <c r="GR98" s="826"/>
      <c r="GS98" s="826"/>
      <c r="GT98" s="826"/>
      <c r="GU98" s="826"/>
      <c r="GV98" s="826"/>
      <c r="GW98" s="826"/>
      <c r="GX98" s="826"/>
      <c r="GY98" s="826"/>
      <c r="GZ98" s="826"/>
      <c r="HA98" s="826"/>
      <c r="HB98" s="826"/>
      <c r="HC98" s="826"/>
    </row>
    <row r="99" spans="1:211" s="847" customFormat="1" ht="178.5" customHeight="1">
      <c r="A99" s="57">
        <v>166</v>
      </c>
      <c r="B99" s="117" t="s">
        <v>10232</v>
      </c>
      <c r="C99" s="59" t="s">
        <v>10233</v>
      </c>
      <c r="D99" s="823" t="s">
        <v>10234</v>
      </c>
      <c r="E99" s="60"/>
      <c r="F99" s="63"/>
      <c r="G99" s="62"/>
      <c r="H99" s="117"/>
      <c r="I99" s="183"/>
      <c r="J99" s="169"/>
      <c r="K99" s="63"/>
      <c r="L99" s="182"/>
      <c r="M99" s="183"/>
      <c r="N99" s="183"/>
      <c r="O99" s="169"/>
      <c r="P99" s="63"/>
      <c r="Q99" s="182"/>
      <c r="R99" s="183"/>
      <c r="S99" s="183"/>
      <c r="T99" s="169"/>
      <c r="U99" s="63"/>
      <c r="V99" s="182"/>
      <c r="W99" s="183"/>
      <c r="X99" s="183"/>
      <c r="Y99" s="169"/>
      <c r="Z99" s="63"/>
      <c r="AA99" s="182"/>
      <c r="AB99" s="183"/>
      <c r="AC99" s="183"/>
      <c r="AD99" s="169"/>
      <c r="AE99" s="63"/>
      <c r="AF99" s="182"/>
      <c r="AG99" s="183"/>
      <c r="AH99" s="183"/>
      <c r="AI99" s="183"/>
      <c r="AJ99" s="63"/>
      <c r="AK99" s="182"/>
      <c r="AL99" s="183"/>
      <c r="AM99" s="183"/>
      <c r="AN99" s="183" t="s">
        <v>6487</v>
      </c>
      <c r="AO99" s="183" t="s">
        <v>2558</v>
      </c>
      <c r="AP99" s="848" t="s">
        <v>10235</v>
      </c>
      <c r="AQ99" s="183"/>
      <c r="AR99" s="169" t="s">
        <v>67</v>
      </c>
      <c r="AS99" s="169" t="s">
        <v>67</v>
      </c>
      <c r="AT99" s="183"/>
      <c r="AU99" s="117" t="s">
        <v>92</v>
      </c>
      <c r="AV99" s="117" t="s">
        <v>10236</v>
      </c>
      <c r="AW99" s="60">
        <v>43175</v>
      </c>
      <c r="AX99" s="839"/>
      <c r="AY99" s="169"/>
      <c r="AZ99" s="171"/>
      <c r="BA99" s="117" t="s">
        <v>561</v>
      </c>
      <c r="BB99" s="117" t="s">
        <v>10237</v>
      </c>
      <c r="BC99" s="117" t="s">
        <v>10238</v>
      </c>
      <c r="BD99" s="182"/>
      <c r="BE99" s="182"/>
      <c r="BF99" s="182"/>
      <c r="BG99" s="182"/>
      <c r="BH99" s="140"/>
      <c r="BI99" s="140"/>
      <c r="BJ99" s="184"/>
      <c r="BK99" s="169"/>
      <c r="BL99" s="63"/>
      <c r="BM99" s="549"/>
      <c r="BN99" s="183"/>
      <c r="BO99" s="182"/>
      <c r="BP99" s="182"/>
      <c r="BQ99" s="182"/>
      <c r="BR99" s="186"/>
      <c r="BS99" s="182"/>
      <c r="BT99" s="169"/>
      <c r="BU99" s="63"/>
      <c r="BV99" s="826"/>
      <c r="BW99" s="826"/>
      <c r="BX99" s="826"/>
      <c r="BY99" s="826"/>
      <c r="BZ99" s="826"/>
      <c r="CA99" s="826"/>
      <c r="CB99" s="826"/>
      <c r="CC99" s="826"/>
      <c r="CD99" s="826"/>
      <c r="CE99" s="826"/>
      <c r="CF99" s="826"/>
      <c r="CG99" s="826"/>
      <c r="CH99" s="826"/>
      <c r="CI99" s="826"/>
      <c r="CJ99" s="826"/>
      <c r="CK99" s="826"/>
      <c r="CL99" s="826"/>
      <c r="CM99" s="826"/>
      <c r="CN99" s="826"/>
      <c r="CO99" s="826"/>
      <c r="CP99" s="826"/>
      <c r="CQ99" s="826"/>
      <c r="CR99" s="826"/>
      <c r="CS99" s="826"/>
      <c r="CT99" s="826"/>
      <c r="CU99" s="826"/>
      <c r="CV99" s="826"/>
      <c r="CW99" s="826"/>
      <c r="CX99" s="826"/>
      <c r="CY99" s="826"/>
      <c r="CZ99" s="826"/>
      <c r="DA99" s="826"/>
      <c r="DB99" s="826"/>
      <c r="DC99" s="826"/>
      <c r="DD99" s="826"/>
      <c r="DE99" s="826"/>
      <c r="DF99" s="826"/>
      <c r="DG99" s="826"/>
      <c r="DH99" s="826"/>
      <c r="DI99" s="826"/>
      <c r="DJ99" s="826"/>
      <c r="DK99" s="826"/>
      <c r="DL99" s="826"/>
      <c r="DM99" s="826"/>
      <c r="DN99" s="826"/>
      <c r="DO99" s="826"/>
      <c r="DP99" s="826"/>
      <c r="DQ99" s="826"/>
      <c r="DR99" s="826"/>
      <c r="DS99" s="826"/>
      <c r="DT99" s="826"/>
      <c r="DU99" s="826"/>
      <c r="DV99" s="826"/>
      <c r="DW99" s="826"/>
      <c r="DX99" s="826"/>
      <c r="DY99" s="826"/>
      <c r="DZ99" s="826"/>
      <c r="EA99" s="826"/>
      <c r="EB99" s="826"/>
      <c r="EC99" s="826"/>
      <c r="ED99" s="826"/>
      <c r="EE99" s="826"/>
      <c r="EF99" s="826"/>
      <c r="EG99" s="826"/>
      <c r="EH99" s="826"/>
      <c r="EI99" s="826"/>
      <c r="EJ99" s="826"/>
      <c r="EK99" s="826"/>
      <c r="EL99" s="826"/>
      <c r="EM99" s="826"/>
      <c r="EN99" s="826"/>
      <c r="EO99" s="826"/>
      <c r="EP99" s="826"/>
      <c r="EQ99" s="826"/>
      <c r="ER99" s="826"/>
      <c r="ES99" s="826"/>
      <c r="ET99" s="826"/>
      <c r="EU99" s="826"/>
      <c r="EV99" s="826"/>
      <c r="EW99" s="826"/>
      <c r="EX99" s="826"/>
      <c r="EY99" s="826"/>
      <c r="EZ99" s="826"/>
      <c r="FA99" s="826"/>
      <c r="FB99" s="826"/>
      <c r="FC99" s="826"/>
      <c r="FD99" s="826"/>
      <c r="FE99" s="826"/>
      <c r="FF99" s="826"/>
      <c r="FG99" s="826"/>
      <c r="FH99" s="826"/>
      <c r="FI99" s="826"/>
      <c r="FJ99" s="826"/>
      <c r="FK99" s="826"/>
      <c r="FL99" s="826"/>
      <c r="FM99" s="826"/>
      <c r="FN99" s="826"/>
      <c r="FO99" s="826"/>
      <c r="FP99" s="826"/>
      <c r="FQ99" s="826"/>
      <c r="FR99" s="826"/>
      <c r="FS99" s="826"/>
      <c r="FT99" s="826"/>
      <c r="FU99" s="826"/>
      <c r="FV99" s="826"/>
      <c r="FW99" s="826"/>
      <c r="FX99" s="826"/>
      <c r="FY99" s="826"/>
      <c r="FZ99" s="826"/>
      <c r="GA99" s="826"/>
      <c r="GB99" s="826"/>
      <c r="GC99" s="826"/>
      <c r="GD99" s="826"/>
      <c r="GE99" s="826"/>
      <c r="GF99" s="826"/>
      <c r="GG99" s="826"/>
      <c r="GH99" s="826"/>
      <c r="GI99" s="826"/>
      <c r="GJ99" s="826"/>
      <c r="GK99" s="826"/>
      <c r="GL99" s="826"/>
      <c r="GM99" s="826"/>
      <c r="GN99" s="826"/>
      <c r="GO99" s="826"/>
      <c r="GP99" s="826"/>
      <c r="GQ99" s="826"/>
      <c r="GR99" s="826"/>
      <c r="GS99" s="826"/>
      <c r="GT99" s="826"/>
      <c r="GU99" s="826"/>
      <c r="GV99" s="826"/>
      <c r="GW99" s="826"/>
      <c r="GX99" s="826"/>
      <c r="GY99" s="826"/>
      <c r="GZ99" s="826"/>
      <c r="HA99" s="826"/>
      <c r="HB99" s="826"/>
      <c r="HC99" s="826"/>
    </row>
    <row r="100" spans="1:211" s="847" customFormat="1" ht="157.5" customHeight="1">
      <c r="A100" s="57">
        <v>152</v>
      </c>
      <c r="B100" s="117" t="s">
        <v>10239</v>
      </c>
      <c r="C100" s="59" t="s">
        <v>10240</v>
      </c>
      <c r="D100" s="823" t="s">
        <v>10241</v>
      </c>
      <c r="E100" s="60"/>
      <c r="F100" s="63"/>
      <c r="G100" s="62"/>
      <c r="H100" s="117"/>
      <c r="I100" s="183"/>
      <c r="J100" s="169"/>
      <c r="K100" s="63"/>
      <c r="L100" s="182"/>
      <c r="M100" s="183"/>
      <c r="N100" s="183"/>
      <c r="O100" s="169"/>
      <c r="P100" s="63"/>
      <c r="Q100" s="182"/>
      <c r="R100" s="183"/>
      <c r="S100" s="183"/>
      <c r="T100" s="169"/>
      <c r="U100" s="63"/>
      <c r="V100" s="182"/>
      <c r="W100" s="183"/>
      <c r="X100" s="183"/>
      <c r="Y100" s="169"/>
      <c r="Z100" s="63"/>
      <c r="AA100" s="182"/>
      <c r="AB100" s="183"/>
      <c r="AC100" s="183"/>
      <c r="AD100" s="169"/>
      <c r="AE100" s="63"/>
      <c r="AF100" s="182"/>
      <c r="AG100" s="183"/>
      <c r="AH100" s="183"/>
      <c r="AI100" s="183"/>
      <c r="AJ100" s="63"/>
      <c r="AK100" s="182"/>
      <c r="AL100" s="183"/>
      <c r="AM100" s="183"/>
      <c r="AN100" s="183" t="s">
        <v>6487</v>
      </c>
      <c r="AO100" s="183" t="s">
        <v>2558</v>
      </c>
      <c r="AP100" s="182" t="s">
        <v>10242</v>
      </c>
      <c r="AQ100" s="183"/>
      <c r="AR100" s="169" t="s">
        <v>67</v>
      </c>
      <c r="AS100" s="169" t="s">
        <v>67</v>
      </c>
      <c r="AT100" s="183"/>
      <c r="AU100" s="183" t="s">
        <v>69</v>
      </c>
      <c r="AV100" s="117" t="s">
        <v>9946</v>
      </c>
      <c r="AW100" s="60">
        <v>42975</v>
      </c>
      <c r="AX100" s="839"/>
      <c r="AY100" s="169"/>
      <c r="AZ100" s="171"/>
      <c r="BA100" s="117" t="s">
        <v>561</v>
      </c>
      <c r="BB100" s="117" t="s">
        <v>10243</v>
      </c>
      <c r="BC100" s="117" t="s">
        <v>9960</v>
      </c>
      <c r="BD100" s="182"/>
      <c r="BE100" s="182"/>
      <c r="BF100" s="182"/>
      <c r="BG100" s="182"/>
      <c r="BH100" s="140"/>
      <c r="BI100" s="140"/>
      <c r="BJ100" s="184"/>
      <c r="BK100" s="169"/>
      <c r="BL100" s="63"/>
      <c r="BM100" s="549"/>
      <c r="BN100" s="183"/>
      <c r="BO100" s="182"/>
      <c r="BP100" s="182"/>
      <c r="BQ100" s="182"/>
      <c r="BR100" s="186"/>
      <c r="BS100" s="182"/>
      <c r="BT100" s="169"/>
      <c r="BU100" s="63"/>
      <c r="BV100" s="826"/>
      <c r="BW100" s="826"/>
      <c r="BX100" s="826"/>
      <c r="BY100" s="826"/>
      <c r="BZ100" s="826"/>
      <c r="CA100" s="826"/>
      <c r="CB100" s="826"/>
      <c r="CC100" s="826"/>
      <c r="CD100" s="826"/>
      <c r="CE100" s="826"/>
      <c r="CF100" s="826"/>
      <c r="CG100" s="826"/>
      <c r="CH100" s="826"/>
      <c r="CI100" s="826"/>
      <c r="CJ100" s="826"/>
      <c r="CK100" s="826"/>
      <c r="CL100" s="826"/>
      <c r="CM100" s="826"/>
      <c r="CN100" s="826"/>
      <c r="CO100" s="826"/>
      <c r="CP100" s="826"/>
      <c r="CQ100" s="826"/>
      <c r="CR100" s="826"/>
      <c r="CS100" s="826"/>
      <c r="CT100" s="826"/>
      <c r="CU100" s="826"/>
      <c r="CV100" s="826"/>
      <c r="CW100" s="826"/>
      <c r="CX100" s="826"/>
      <c r="CY100" s="826"/>
      <c r="CZ100" s="826"/>
      <c r="DA100" s="826"/>
      <c r="DB100" s="826"/>
      <c r="DC100" s="826"/>
      <c r="DD100" s="826"/>
      <c r="DE100" s="826"/>
      <c r="DF100" s="826"/>
      <c r="DG100" s="826"/>
      <c r="DH100" s="826"/>
      <c r="DI100" s="826"/>
      <c r="DJ100" s="826"/>
      <c r="DK100" s="826"/>
      <c r="DL100" s="826"/>
      <c r="DM100" s="826"/>
      <c r="DN100" s="826"/>
      <c r="DO100" s="826"/>
      <c r="DP100" s="826"/>
      <c r="DQ100" s="826"/>
      <c r="DR100" s="826"/>
      <c r="DS100" s="826"/>
      <c r="DT100" s="826"/>
      <c r="DU100" s="826"/>
      <c r="DV100" s="826"/>
      <c r="DW100" s="826"/>
      <c r="DX100" s="826"/>
      <c r="DY100" s="826"/>
      <c r="DZ100" s="826"/>
      <c r="EA100" s="826"/>
      <c r="EB100" s="826"/>
      <c r="EC100" s="826"/>
      <c r="ED100" s="826"/>
      <c r="EE100" s="826"/>
      <c r="EF100" s="826"/>
      <c r="EG100" s="826"/>
      <c r="EH100" s="826"/>
      <c r="EI100" s="826"/>
      <c r="EJ100" s="826"/>
      <c r="EK100" s="826"/>
      <c r="EL100" s="826"/>
      <c r="EM100" s="826"/>
      <c r="EN100" s="826"/>
      <c r="EO100" s="826"/>
      <c r="EP100" s="826"/>
      <c r="EQ100" s="826"/>
      <c r="ER100" s="826"/>
      <c r="ES100" s="826"/>
      <c r="ET100" s="826"/>
      <c r="EU100" s="826"/>
      <c r="EV100" s="826"/>
      <c r="EW100" s="826"/>
      <c r="EX100" s="826"/>
      <c r="EY100" s="826"/>
      <c r="EZ100" s="826"/>
      <c r="FA100" s="826"/>
      <c r="FB100" s="826"/>
      <c r="FC100" s="826"/>
      <c r="FD100" s="826"/>
      <c r="FE100" s="826"/>
      <c r="FF100" s="826"/>
      <c r="FG100" s="826"/>
      <c r="FH100" s="826"/>
      <c r="FI100" s="826"/>
      <c r="FJ100" s="826"/>
      <c r="FK100" s="826"/>
      <c r="FL100" s="826"/>
      <c r="FM100" s="826"/>
      <c r="FN100" s="826"/>
      <c r="FO100" s="826"/>
      <c r="FP100" s="826"/>
      <c r="FQ100" s="826"/>
      <c r="FR100" s="826"/>
      <c r="FS100" s="826"/>
      <c r="FT100" s="826"/>
      <c r="FU100" s="826"/>
      <c r="FV100" s="826"/>
      <c r="FW100" s="826"/>
      <c r="FX100" s="826"/>
      <c r="FY100" s="826"/>
      <c r="FZ100" s="826"/>
      <c r="GA100" s="826"/>
      <c r="GB100" s="826"/>
      <c r="GC100" s="826"/>
      <c r="GD100" s="826"/>
      <c r="GE100" s="826"/>
      <c r="GF100" s="826"/>
      <c r="GG100" s="826"/>
      <c r="GH100" s="826"/>
      <c r="GI100" s="826"/>
      <c r="GJ100" s="826"/>
      <c r="GK100" s="826"/>
      <c r="GL100" s="826"/>
      <c r="GM100" s="826"/>
      <c r="GN100" s="826"/>
      <c r="GO100" s="826"/>
      <c r="GP100" s="826"/>
      <c r="GQ100" s="826"/>
      <c r="GR100" s="826"/>
      <c r="GS100" s="826"/>
      <c r="GT100" s="826"/>
      <c r="GU100" s="826"/>
      <c r="GV100" s="826"/>
      <c r="GW100" s="826"/>
      <c r="GX100" s="826"/>
      <c r="GY100" s="826"/>
      <c r="GZ100" s="826"/>
      <c r="HA100" s="826"/>
      <c r="HB100" s="826"/>
      <c r="HC100" s="826"/>
    </row>
    <row r="101" spans="1:211" s="847" customFormat="1" ht="206.25" customHeight="1">
      <c r="A101" s="57">
        <v>164</v>
      </c>
      <c r="B101" s="117" t="s">
        <v>10244</v>
      </c>
      <c r="C101" s="59" t="s">
        <v>10245</v>
      </c>
      <c r="D101" s="823" t="s">
        <v>10246</v>
      </c>
      <c r="E101" s="60" t="s">
        <v>10247</v>
      </c>
      <c r="F101" s="63"/>
      <c r="G101" s="62"/>
      <c r="H101" s="117"/>
      <c r="I101" s="183"/>
      <c r="J101" s="169"/>
      <c r="K101" s="63"/>
      <c r="L101" s="182"/>
      <c r="M101" s="183"/>
      <c r="N101" s="183"/>
      <c r="O101" s="169"/>
      <c r="P101" s="63"/>
      <c r="Q101" s="182"/>
      <c r="R101" s="183"/>
      <c r="S101" s="183"/>
      <c r="T101" s="169"/>
      <c r="U101" s="63"/>
      <c r="V101" s="182"/>
      <c r="W101" s="183"/>
      <c r="X101" s="183"/>
      <c r="Y101" s="169"/>
      <c r="Z101" s="63"/>
      <c r="AA101" s="182"/>
      <c r="AB101" s="183"/>
      <c r="AC101" s="183"/>
      <c r="AD101" s="169"/>
      <c r="AE101" s="63"/>
      <c r="AF101" s="182"/>
      <c r="AG101" s="183"/>
      <c r="AH101" s="183"/>
      <c r="AI101" s="183"/>
      <c r="AJ101" s="63"/>
      <c r="AK101" s="182"/>
      <c r="AL101" s="183"/>
      <c r="AM101" s="183"/>
      <c r="AN101" s="183" t="s">
        <v>6487</v>
      </c>
      <c r="AO101" s="183" t="s">
        <v>2558</v>
      </c>
      <c r="AP101" s="848" t="s">
        <v>10248</v>
      </c>
      <c r="AQ101" s="183"/>
      <c r="AR101" s="169" t="s">
        <v>67</v>
      </c>
      <c r="AS101" s="169" t="s">
        <v>67</v>
      </c>
      <c r="AT101" s="183"/>
      <c r="AU101" s="117" t="s">
        <v>92</v>
      </c>
      <c r="AV101" s="117" t="s">
        <v>10249</v>
      </c>
      <c r="AW101" s="60">
        <v>42181</v>
      </c>
      <c r="AX101" s="839"/>
      <c r="AY101" s="169"/>
      <c r="AZ101" s="171"/>
      <c r="BA101" s="117" t="s">
        <v>561</v>
      </c>
      <c r="BB101" s="117" t="s">
        <v>10250</v>
      </c>
      <c r="BC101" s="117" t="s">
        <v>10251</v>
      </c>
      <c r="BD101" s="182"/>
      <c r="BE101" s="182"/>
      <c r="BF101" s="182"/>
      <c r="BG101" s="182"/>
      <c r="BH101" s="140"/>
      <c r="BI101" s="140"/>
      <c r="BJ101" s="184"/>
      <c r="BK101" s="169"/>
      <c r="BL101" s="63"/>
      <c r="BM101" s="549"/>
      <c r="BN101" s="183"/>
      <c r="BO101" s="182"/>
      <c r="BP101" s="182"/>
      <c r="BQ101" s="182"/>
      <c r="BR101" s="186"/>
      <c r="BS101" s="182"/>
      <c r="BT101" s="169"/>
      <c r="BU101" s="63"/>
      <c r="BV101" s="826"/>
      <c r="BW101" s="826"/>
      <c r="BX101" s="826"/>
      <c r="BY101" s="826"/>
      <c r="BZ101" s="826"/>
      <c r="CA101" s="826"/>
      <c r="CB101" s="826"/>
      <c r="CC101" s="826"/>
      <c r="CD101" s="826"/>
      <c r="CE101" s="826"/>
      <c r="CF101" s="826"/>
      <c r="CG101" s="826"/>
      <c r="CH101" s="826"/>
      <c r="CI101" s="826"/>
      <c r="CJ101" s="826"/>
      <c r="CK101" s="826"/>
      <c r="CL101" s="826"/>
      <c r="CM101" s="826"/>
      <c r="CN101" s="826"/>
      <c r="CO101" s="826"/>
      <c r="CP101" s="826"/>
      <c r="CQ101" s="826"/>
      <c r="CR101" s="826"/>
      <c r="CS101" s="826"/>
      <c r="CT101" s="826"/>
      <c r="CU101" s="826"/>
      <c r="CV101" s="826"/>
      <c r="CW101" s="826"/>
      <c r="CX101" s="826"/>
      <c r="CY101" s="826"/>
      <c r="CZ101" s="826"/>
      <c r="DA101" s="826"/>
      <c r="DB101" s="826"/>
      <c r="DC101" s="826"/>
      <c r="DD101" s="826"/>
      <c r="DE101" s="826"/>
      <c r="DF101" s="826"/>
      <c r="DG101" s="826"/>
      <c r="DH101" s="826"/>
      <c r="DI101" s="826"/>
      <c r="DJ101" s="826"/>
      <c r="DK101" s="826"/>
      <c r="DL101" s="826"/>
      <c r="DM101" s="826"/>
      <c r="DN101" s="826"/>
      <c r="DO101" s="826"/>
      <c r="DP101" s="826"/>
      <c r="DQ101" s="826"/>
      <c r="DR101" s="826"/>
      <c r="DS101" s="826"/>
      <c r="DT101" s="826"/>
      <c r="DU101" s="826"/>
      <c r="DV101" s="826"/>
      <c r="DW101" s="826"/>
      <c r="DX101" s="826"/>
      <c r="DY101" s="826"/>
      <c r="DZ101" s="826"/>
      <c r="EA101" s="826"/>
      <c r="EB101" s="826"/>
      <c r="EC101" s="826"/>
      <c r="ED101" s="826"/>
      <c r="EE101" s="826"/>
      <c r="EF101" s="826"/>
      <c r="EG101" s="826"/>
      <c r="EH101" s="826"/>
      <c r="EI101" s="826"/>
      <c r="EJ101" s="826"/>
      <c r="EK101" s="826"/>
      <c r="EL101" s="826"/>
      <c r="EM101" s="826"/>
      <c r="EN101" s="826"/>
      <c r="EO101" s="826"/>
      <c r="EP101" s="826"/>
      <c r="EQ101" s="826"/>
      <c r="ER101" s="826"/>
      <c r="ES101" s="826"/>
      <c r="ET101" s="826"/>
      <c r="EU101" s="826"/>
      <c r="EV101" s="826"/>
      <c r="EW101" s="826"/>
      <c r="EX101" s="826"/>
      <c r="EY101" s="826"/>
      <c r="EZ101" s="826"/>
      <c r="FA101" s="826"/>
      <c r="FB101" s="826"/>
      <c r="FC101" s="826"/>
      <c r="FD101" s="826"/>
      <c r="FE101" s="826"/>
      <c r="FF101" s="826"/>
      <c r="FG101" s="826"/>
      <c r="FH101" s="826"/>
      <c r="FI101" s="826"/>
      <c r="FJ101" s="826"/>
      <c r="FK101" s="826"/>
      <c r="FL101" s="826"/>
      <c r="FM101" s="826"/>
      <c r="FN101" s="826"/>
      <c r="FO101" s="826"/>
      <c r="FP101" s="826"/>
      <c r="FQ101" s="826"/>
      <c r="FR101" s="826"/>
      <c r="FS101" s="826"/>
      <c r="FT101" s="826"/>
      <c r="FU101" s="826"/>
      <c r="FV101" s="826"/>
      <c r="FW101" s="826"/>
      <c r="FX101" s="826"/>
      <c r="FY101" s="826"/>
      <c r="FZ101" s="826"/>
      <c r="GA101" s="826"/>
      <c r="GB101" s="826"/>
      <c r="GC101" s="826"/>
      <c r="GD101" s="826"/>
      <c r="GE101" s="826"/>
      <c r="GF101" s="826"/>
      <c r="GG101" s="826"/>
      <c r="GH101" s="826"/>
      <c r="GI101" s="826"/>
      <c r="GJ101" s="826"/>
      <c r="GK101" s="826"/>
      <c r="GL101" s="826"/>
      <c r="GM101" s="826"/>
      <c r="GN101" s="826"/>
      <c r="GO101" s="826"/>
      <c r="GP101" s="826"/>
      <c r="GQ101" s="826"/>
      <c r="GR101" s="826"/>
      <c r="GS101" s="826"/>
      <c r="GT101" s="826"/>
      <c r="GU101" s="826"/>
      <c r="GV101" s="826"/>
      <c r="GW101" s="826"/>
      <c r="GX101" s="826"/>
      <c r="GY101" s="826"/>
      <c r="GZ101" s="826"/>
      <c r="HA101" s="826"/>
      <c r="HB101" s="826"/>
      <c r="HC101" s="826"/>
    </row>
    <row r="102" spans="1:211" s="847" customFormat="1" ht="56.25" customHeight="1">
      <c r="A102" s="57">
        <v>161</v>
      </c>
      <c r="B102" s="846" t="s">
        <v>10252</v>
      </c>
      <c r="C102" s="59">
        <v>91493608</v>
      </c>
      <c r="D102" s="823" t="s">
        <v>3988</v>
      </c>
      <c r="E102" s="60"/>
      <c r="F102" s="63"/>
      <c r="G102" s="62"/>
      <c r="H102" s="117"/>
      <c r="I102" s="183"/>
      <c r="J102" s="169"/>
      <c r="K102" s="63"/>
      <c r="L102" s="182"/>
      <c r="M102" s="183"/>
      <c r="N102" s="183"/>
      <c r="O102" s="169"/>
      <c r="P102" s="63"/>
      <c r="Q102" s="182"/>
      <c r="R102" s="183"/>
      <c r="S102" s="183"/>
      <c r="T102" s="169"/>
      <c r="U102" s="63"/>
      <c r="V102" s="182"/>
      <c r="W102" s="183"/>
      <c r="X102" s="183"/>
      <c r="Y102" s="169"/>
      <c r="Z102" s="63"/>
      <c r="AA102" s="182"/>
      <c r="AB102" s="183"/>
      <c r="AC102" s="183"/>
      <c r="AD102" s="169"/>
      <c r="AE102" s="63"/>
      <c r="AF102" s="182"/>
      <c r="AG102" s="183"/>
      <c r="AH102" s="183"/>
      <c r="AI102" s="183"/>
      <c r="AJ102" s="63"/>
      <c r="AK102" s="182"/>
      <c r="AL102" s="183"/>
      <c r="AM102" s="183"/>
      <c r="AN102" s="183" t="s">
        <v>6487</v>
      </c>
      <c r="AO102" s="183" t="s">
        <v>2558</v>
      </c>
      <c r="AP102" s="182" t="s">
        <v>10253</v>
      </c>
      <c r="AQ102" s="183"/>
      <c r="AR102" s="169">
        <v>36839</v>
      </c>
      <c r="AS102" s="169">
        <v>40908</v>
      </c>
      <c r="AT102" s="117" t="s">
        <v>10254</v>
      </c>
      <c r="AU102" s="183" t="s">
        <v>69</v>
      </c>
      <c r="AV102" s="117" t="s">
        <v>10255</v>
      </c>
      <c r="AW102" s="60">
        <v>42655</v>
      </c>
      <c r="AX102" s="839"/>
      <c r="AY102" s="169"/>
      <c r="AZ102" s="171"/>
      <c r="BA102" s="117" t="s">
        <v>912</v>
      </c>
      <c r="BB102" s="117" t="s">
        <v>10256</v>
      </c>
      <c r="BC102" s="183"/>
      <c r="BD102" s="182"/>
      <c r="BE102" s="182"/>
      <c r="BF102" s="182"/>
      <c r="BG102" s="182"/>
      <c r="BH102" s="140"/>
      <c r="BI102" s="140"/>
      <c r="BJ102" s="184"/>
      <c r="BK102" s="169"/>
      <c r="BL102" s="63"/>
      <c r="BM102" s="549"/>
      <c r="BN102" s="183"/>
      <c r="BO102" s="182"/>
      <c r="BP102" s="182"/>
      <c r="BQ102" s="182"/>
      <c r="BR102" s="186"/>
      <c r="BS102" s="182"/>
      <c r="BT102" s="169"/>
      <c r="BU102" s="63"/>
      <c r="BV102" s="826"/>
      <c r="BW102" s="826"/>
      <c r="BX102" s="826"/>
      <c r="BY102" s="826"/>
      <c r="BZ102" s="826"/>
      <c r="CA102" s="826"/>
      <c r="CB102" s="826"/>
      <c r="CC102" s="826"/>
      <c r="CD102" s="826"/>
      <c r="CE102" s="826"/>
      <c r="CF102" s="826"/>
      <c r="CG102" s="826"/>
      <c r="CH102" s="826"/>
      <c r="CI102" s="826"/>
      <c r="CJ102" s="826"/>
      <c r="CK102" s="826"/>
      <c r="CL102" s="826"/>
      <c r="CM102" s="826"/>
      <c r="CN102" s="826"/>
      <c r="CO102" s="826"/>
      <c r="CP102" s="826"/>
      <c r="CQ102" s="826"/>
      <c r="CR102" s="826"/>
      <c r="CS102" s="826"/>
      <c r="CT102" s="826"/>
      <c r="CU102" s="826"/>
      <c r="CV102" s="826"/>
      <c r="CW102" s="826"/>
      <c r="CX102" s="826"/>
      <c r="CY102" s="826"/>
      <c r="CZ102" s="826"/>
      <c r="DA102" s="826"/>
      <c r="DB102" s="826"/>
      <c r="DC102" s="826"/>
      <c r="DD102" s="826"/>
      <c r="DE102" s="826"/>
      <c r="DF102" s="826"/>
      <c r="DG102" s="826"/>
      <c r="DH102" s="826"/>
      <c r="DI102" s="826"/>
      <c r="DJ102" s="826"/>
      <c r="DK102" s="826"/>
      <c r="DL102" s="826"/>
      <c r="DM102" s="826"/>
      <c r="DN102" s="826"/>
      <c r="DO102" s="826"/>
      <c r="DP102" s="826"/>
      <c r="DQ102" s="826"/>
      <c r="DR102" s="826"/>
      <c r="DS102" s="826"/>
      <c r="DT102" s="826"/>
      <c r="DU102" s="826"/>
      <c r="DV102" s="826"/>
      <c r="DW102" s="826"/>
      <c r="DX102" s="826"/>
      <c r="DY102" s="826"/>
      <c r="DZ102" s="826"/>
      <c r="EA102" s="826"/>
      <c r="EB102" s="826"/>
      <c r="EC102" s="826"/>
      <c r="ED102" s="826"/>
      <c r="EE102" s="826"/>
      <c r="EF102" s="826"/>
      <c r="EG102" s="826"/>
      <c r="EH102" s="826"/>
      <c r="EI102" s="826"/>
      <c r="EJ102" s="826"/>
      <c r="EK102" s="826"/>
      <c r="EL102" s="826"/>
      <c r="EM102" s="826"/>
      <c r="EN102" s="826"/>
      <c r="EO102" s="826"/>
      <c r="EP102" s="826"/>
      <c r="EQ102" s="826"/>
      <c r="ER102" s="826"/>
      <c r="ES102" s="826"/>
      <c r="ET102" s="826"/>
      <c r="EU102" s="826"/>
      <c r="EV102" s="826"/>
      <c r="EW102" s="826"/>
      <c r="EX102" s="826"/>
      <c r="EY102" s="826"/>
      <c r="EZ102" s="826"/>
      <c r="FA102" s="826"/>
      <c r="FB102" s="826"/>
      <c r="FC102" s="826"/>
      <c r="FD102" s="826"/>
      <c r="FE102" s="826"/>
      <c r="FF102" s="826"/>
      <c r="FG102" s="826"/>
      <c r="FH102" s="826"/>
      <c r="FI102" s="826"/>
      <c r="FJ102" s="826"/>
      <c r="FK102" s="826"/>
      <c r="FL102" s="826"/>
      <c r="FM102" s="826"/>
      <c r="FN102" s="826"/>
      <c r="FO102" s="826"/>
      <c r="FP102" s="826"/>
      <c r="FQ102" s="826"/>
      <c r="FR102" s="826"/>
      <c r="FS102" s="826"/>
      <c r="FT102" s="826"/>
      <c r="FU102" s="826"/>
      <c r="FV102" s="826"/>
      <c r="FW102" s="826"/>
      <c r="FX102" s="826"/>
      <c r="FY102" s="826"/>
      <c r="FZ102" s="826"/>
      <c r="GA102" s="826"/>
      <c r="GB102" s="826"/>
      <c r="GC102" s="826"/>
      <c r="GD102" s="826"/>
      <c r="GE102" s="826"/>
      <c r="GF102" s="826"/>
      <c r="GG102" s="826"/>
      <c r="GH102" s="826"/>
      <c r="GI102" s="826"/>
      <c r="GJ102" s="826"/>
      <c r="GK102" s="826"/>
      <c r="GL102" s="826"/>
      <c r="GM102" s="826"/>
      <c r="GN102" s="826"/>
      <c r="GO102" s="826"/>
      <c r="GP102" s="826"/>
      <c r="GQ102" s="826"/>
      <c r="GR102" s="826"/>
      <c r="GS102" s="826"/>
      <c r="GT102" s="826"/>
      <c r="GU102" s="826"/>
      <c r="GV102" s="826"/>
      <c r="GW102" s="826"/>
      <c r="GX102" s="826"/>
      <c r="GY102" s="826"/>
      <c r="GZ102" s="826"/>
      <c r="HA102" s="826"/>
      <c r="HB102" s="826"/>
      <c r="HC102" s="826"/>
    </row>
    <row r="103" spans="1:211" s="847" customFormat="1" ht="56.25" customHeight="1">
      <c r="A103" s="57">
        <v>157</v>
      </c>
      <c r="B103" s="846" t="s">
        <v>8285</v>
      </c>
      <c r="C103" s="59">
        <v>72238013</v>
      </c>
      <c r="D103" s="823" t="s">
        <v>8637</v>
      </c>
      <c r="E103" s="60"/>
      <c r="F103" s="63"/>
      <c r="G103" s="62"/>
      <c r="H103" s="117"/>
      <c r="I103" s="183"/>
      <c r="J103" s="169"/>
      <c r="K103" s="63"/>
      <c r="L103" s="182"/>
      <c r="M103" s="183"/>
      <c r="N103" s="183"/>
      <c r="O103" s="169"/>
      <c r="P103" s="63"/>
      <c r="Q103" s="182"/>
      <c r="R103" s="183"/>
      <c r="S103" s="183"/>
      <c r="T103" s="169"/>
      <c r="U103" s="63"/>
      <c r="V103" s="182"/>
      <c r="W103" s="183"/>
      <c r="X103" s="183"/>
      <c r="Y103" s="169"/>
      <c r="Z103" s="63"/>
      <c r="AA103" s="182"/>
      <c r="AB103" s="183"/>
      <c r="AC103" s="183"/>
      <c r="AD103" s="169"/>
      <c r="AE103" s="63"/>
      <c r="AF103" s="182"/>
      <c r="AG103" s="183"/>
      <c r="AH103" s="183"/>
      <c r="AI103" s="183"/>
      <c r="AJ103" s="63"/>
      <c r="AK103" s="182"/>
      <c r="AL103" s="183"/>
      <c r="AM103" s="183"/>
      <c r="AN103" s="183" t="s">
        <v>6487</v>
      </c>
      <c r="AO103" s="183" t="s">
        <v>2558</v>
      </c>
      <c r="AP103" s="848" t="s">
        <v>10257</v>
      </c>
      <c r="AQ103" s="183"/>
      <c r="AR103" s="169">
        <v>37077</v>
      </c>
      <c r="AS103" s="169">
        <v>40054</v>
      </c>
      <c r="AT103" s="183" t="s">
        <v>10258</v>
      </c>
      <c r="AU103" s="183" t="s">
        <v>69</v>
      </c>
      <c r="AV103" s="117" t="s">
        <v>10259</v>
      </c>
      <c r="AW103" s="60">
        <v>42415</v>
      </c>
      <c r="AX103" s="839"/>
      <c r="AY103" s="169"/>
      <c r="AZ103" s="171"/>
      <c r="BA103" s="117" t="s">
        <v>95</v>
      </c>
      <c r="BB103" s="117" t="s">
        <v>4604</v>
      </c>
      <c r="BC103" s="183"/>
      <c r="BD103" s="182"/>
      <c r="BE103" s="182"/>
      <c r="BF103" s="182"/>
      <c r="BG103" s="182"/>
      <c r="BH103" s="140"/>
      <c r="BI103" s="140"/>
      <c r="BJ103" s="184"/>
      <c r="BK103" s="169"/>
      <c r="BL103" s="63"/>
      <c r="BM103" s="549"/>
      <c r="BN103" s="183"/>
      <c r="BO103" s="182"/>
      <c r="BP103" s="182"/>
      <c r="BQ103" s="182"/>
      <c r="BR103" s="186"/>
      <c r="BS103" s="182"/>
      <c r="BT103" s="169"/>
      <c r="BU103" s="63"/>
      <c r="BV103" s="826"/>
      <c r="BW103" s="826"/>
      <c r="BX103" s="826"/>
      <c r="BY103" s="826"/>
      <c r="BZ103" s="826"/>
      <c r="CA103" s="826"/>
      <c r="CB103" s="826"/>
      <c r="CC103" s="826"/>
      <c r="CD103" s="826"/>
      <c r="CE103" s="826"/>
      <c r="CF103" s="826"/>
      <c r="CG103" s="826"/>
      <c r="CH103" s="826"/>
      <c r="CI103" s="826"/>
      <c r="CJ103" s="826"/>
      <c r="CK103" s="826"/>
      <c r="CL103" s="826"/>
      <c r="CM103" s="826"/>
      <c r="CN103" s="826"/>
      <c r="CO103" s="826"/>
      <c r="CP103" s="826"/>
      <c r="CQ103" s="826"/>
      <c r="CR103" s="826"/>
      <c r="CS103" s="826"/>
      <c r="CT103" s="826"/>
      <c r="CU103" s="826"/>
      <c r="CV103" s="826"/>
      <c r="CW103" s="826"/>
      <c r="CX103" s="826"/>
      <c r="CY103" s="826"/>
      <c r="CZ103" s="826"/>
      <c r="DA103" s="826"/>
      <c r="DB103" s="826"/>
      <c r="DC103" s="826"/>
      <c r="DD103" s="826"/>
      <c r="DE103" s="826"/>
      <c r="DF103" s="826"/>
      <c r="DG103" s="826"/>
      <c r="DH103" s="826"/>
      <c r="DI103" s="826"/>
      <c r="DJ103" s="826"/>
      <c r="DK103" s="826"/>
      <c r="DL103" s="826"/>
      <c r="DM103" s="826"/>
      <c r="DN103" s="826"/>
      <c r="DO103" s="826"/>
      <c r="DP103" s="826"/>
      <c r="DQ103" s="826"/>
      <c r="DR103" s="826"/>
      <c r="DS103" s="826"/>
      <c r="DT103" s="826"/>
      <c r="DU103" s="826"/>
      <c r="DV103" s="826"/>
      <c r="DW103" s="826"/>
      <c r="DX103" s="826"/>
      <c r="DY103" s="826"/>
      <c r="DZ103" s="826"/>
      <c r="EA103" s="826"/>
      <c r="EB103" s="826"/>
      <c r="EC103" s="826"/>
      <c r="ED103" s="826"/>
      <c r="EE103" s="826"/>
      <c r="EF103" s="826"/>
      <c r="EG103" s="826"/>
      <c r="EH103" s="826"/>
      <c r="EI103" s="826"/>
      <c r="EJ103" s="826"/>
      <c r="EK103" s="826"/>
      <c r="EL103" s="826"/>
      <c r="EM103" s="826"/>
      <c r="EN103" s="826"/>
      <c r="EO103" s="826"/>
      <c r="EP103" s="826"/>
      <c r="EQ103" s="826"/>
      <c r="ER103" s="826"/>
      <c r="ES103" s="826"/>
      <c r="ET103" s="826"/>
      <c r="EU103" s="826"/>
      <c r="EV103" s="826"/>
      <c r="EW103" s="826"/>
      <c r="EX103" s="826"/>
      <c r="EY103" s="826"/>
      <c r="EZ103" s="826"/>
      <c r="FA103" s="826"/>
      <c r="FB103" s="826"/>
      <c r="FC103" s="826"/>
      <c r="FD103" s="826"/>
      <c r="FE103" s="826"/>
      <c r="FF103" s="826"/>
      <c r="FG103" s="826"/>
      <c r="FH103" s="826"/>
      <c r="FI103" s="826"/>
      <c r="FJ103" s="826"/>
      <c r="FK103" s="826"/>
      <c r="FL103" s="826"/>
      <c r="FM103" s="826"/>
      <c r="FN103" s="826"/>
      <c r="FO103" s="826"/>
      <c r="FP103" s="826"/>
      <c r="FQ103" s="826"/>
      <c r="FR103" s="826"/>
      <c r="FS103" s="826"/>
      <c r="FT103" s="826"/>
      <c r="FU103" s="826"/>
      <c r="FV103" s="826"/>
      <c r="FW103" s="826"/>
      <c r="FX103" s="826"/>
      <c r="FY103" s="826"/>
      <c r="FZ103" s="826"/>
      <c r="GA103" s="826"/>
      <c r="GB103" s="826"/>
      <c r="GC103" s="826"/>
      <c r="GD103" s="826"/>
      <c r="GE103" s="826"/>
      <c r="GF103" s="826"/>
      <c r="GG103" s="826"/>
      <c r="GH103" s="826"/>
      <c r="GI103" s="826"/>
      <c r="GJ103" s="826"/>
      <c r="GK103" s="826"/>
      <c r="GL103" s="826"/>
      <c r="GM103" s="826"/>
      <c r="GN103" s="826"/>
      <c r="GO103" s="826"/>
      <c r="GP103" s="826"/>
      <c r="GQ103" s="826"/>
      <c r="GR103" s="826"/>
      <c r="GS103" s="826"/>
      <c r="GT103" s="826"/>
      <c r="GU103" s="826"/>
      <c r="GV103" s="826"/>
      <c r="GW103" s="826"/>
      <c r="GX103" s="826"/>
      <c r="GY103" s="826"/>
      <c r="GZ103" s="826"/>
      <c r="HA103" s="826"/>
      <c r="HB103" s="826"/>
      <c r="HC103" s="826"/>
    </row>
    <row r="104" spans="1:211" s="847" customFormat="1" ht="56.25" customHeight="1">
      <c r="A104" s="57">
        <v>156</v>
      </c>
      <c r="B104" s="846" t="s">
        <v>10260</v>
      </c>
      <c r="C104" s="59">
        <v>72279482</v>
      </c>
      <c r="D104" s="425"/>
      <c r="E104" s="60"/>
      <c r="F104" s="63"/>
      <c r="G104" s="62"/>
      <c r="H104" s="117"/>
      <c r="I104" s="183"/>
      <c r="J104" s="169"/>
      <c r="K104" s="63"/>
      <c r="L104" s="182"/>
      <c r="M104" s="183"/>
      <c r="N104" s="183"/>
      <c r="O104" s="169"/>
      <c r="P104" s="63"/>
      <c r="Q104" s="182"/>
      <c r="R104" s="183"/>
      <c r="S104" s="183"/>
      <c r="T104" s="169"/>
      <c r="U104" s="63"/>
      <c r="V104" s="182"/>
      <c r="W104" s="183"/>
      <c r="X104" s="183"/>
      <c r="Y104" s="169"/>
      <c r="Z104" s="63"/>
      <c r="AA104" s="182"/>
      <c r="AB104" s="183"/>
      <c r="AC104" s="183"/>
      <c r="AD104" s="169"/>
      <c r="AE104" s="63"/>
      <c r="AF104" s="182"/>
      <c r="AG104" s="183"/>
      <c r="AH104" s="183"/>
      <c r="AI104" s="183"/>
      <c r="AJ104" s="63"/>
      <c r="AK104" s="182"/>
      <c r="AL104" s="183"/>
      <c r="AM104" s="183"/>
      <c r="AN104" s="183" t="s">
        <v>6487</v>
      </c>
      <c r="AO104" s="183" t="s">
        <v>2558</v>
      </c>
      <c r="AP104" s="183" t="s">
        <v>10261</v>
      </c>
      <c r="AQ104" s="183"/>
      <c r="AR104" s="169">
        <v>38779</v>
      </c>
      <c r="AS104" s="169">
        <v>40627</v>
      </c>
      <c r="AT104" s="183" t="s">
        <v>10262</v>
      </c>
      <c r="AU104" s="183" t="s">
        <v>69</v>
      </c>
      <c r="AV104" s="117" t="s">
        <v>10263</v>
      </c>
      <c r="AW104" s="60">
        <v>42433</v>
      </c>
      <c r="AX104" s="839"/>
      <c r="AY104" s="169"/>
      <c r="AZ104" s="171"/>
      <c r="BA104" s="117" t="s">
        <v>95</v>
      </c>
      <c r="BB104" s="117" t="s">
        <v>10264</v>
      </c>
      <c r="BC104" s="183"/>
      <c r="BD104" s="182"/>
      <c r="BE104" s="182"/>
      <c r="BF104" s="182"/>
      <c r="BG104" s="182"/>
      <c r="BH104" s="140"/>
      <c r="BI104" s="140"/>
      <c r="BJ104" s="184"/>
      <c r="BK104" s="169"/>
      <c r="BL104" s="63"/>
      <c r="BM104" s="549"/>
      <c r="BN104" s="183"/>
      <c r="BO104" s="182"/>
      <c r="BP104" s="182"/>
      <c r="BQ104" s="182"/>
      <c r="BR104" s="186"/>
      <c r="BS104" s="182"/>
      <c r="BT104" s="169"/>
      <c r="BU104" s="63"/>
      <c r="BV104" s="826"/>
      <c r="BW104" s="826"/>
      <c r="BX104" s="826"/>
      <c r="BY104" s="826"/>
      <c r="BZ104" s="826"/>
      <c r="CA104" s="826"/>
      <c r="CB104" s="826"/>
      <c r="CC104" s="826"/>
      <c r="CD104" s="826"/>
      <c r="CE104" s="826"/>
      <c r="CF104" s="826"/>
      <c r="CG104" s="826"/>
      <c r="CH104" s="826"/>
      <c r="CI104" s="826"/>
      <c r="CJ104" s="826"/>
      <c r="CK104" s="826"/>
      <c r="CL104" s="826"/>
      <c r="CM104" s="826"/>
      <c r="CN104" s="826"/>
      <c r="CO104" s="826"/>
      <c r="CP104" s="826"/>
      <c r="CQ104" s="826"/>
      <c r="CR104" s="826"/>
      <c r="CS104" s="826"/>
      <c r="CT104" s="826"/>
      <c r="CU104" s="826"/>
      <c r="CV104" s="826"/>
      <c r="CW104" s="826"/>
      <c r="CX104" s="826"/>
      <c r="CY104" s="826"/>
      <c r="CZ104" s="826"/>
      <c r="DA104" s="826"/>
      <c r="DB104" s="826"/>
      <c r="DC104" s="826"/>
      <c r="DD104" s="826"/>
      <c r="DE104" s="826"/>
      <c r="DF104" s="826"/>
      <c r="DG104" s="826"/>
      <c r="DH104" s="826"/>
      <c r="DI104" s="826"/>
      <c r="DJ104" s="826"/>
      <c r="DK104" s="826"/>
      <c r="DL104" s="826"/>
      <c r="DM104" s="826"/>
      <c r="DN104" s="826"/>
      <c r="DO104" s="826"/>
      <c r="DP104" s="826"/>
      <c r="DQ104" s="826"/>
      <c r="DR104" s="826"/>
      <c r="DS104" s="826"/>
      <c r="DT104" s="826"/>
      <c r="DU104" s="826"/>
      <c r="DV104" s="826"/>
      <c r="DW104" s="826"/>
      <c r="DX104" s="826"/>
      <c r="DY104" s="826"/>
      <c r="DZ104" s="826"/>
      <c r="EA104" s="826"/>
      <c r="EB104" s="826"/>
      <c r="EC104" s="826"/>
      <c r="ED104" s="826"/>
      <c r="EE104" s="826"/>
      <c r="EF104" s="826"/>
      <c r="EG104" s="826"/>
      <c r="EH104" s="826"/>
      <c r="EI104" s="826"/>
      <c r="EJ104" s="826"/>
      <c r="EK104" s="826"/>
      <c r="EL104" s="826"/>
      <c r="EM104" s="826"/>
      <c r="EN104" s="826"/>
      <c r="EO104" s="826"/>
      <c r="EP104" s="826"/>
      <c r="EQ104" s="826"/>
      <c r="ER104" s="826"/>
      <c r="ES104" s="826"/>
      <c r="ET104" s="826"/>
      <c r="EU104" s="826"/>
      <c r="EV104" s="826"/>
      <c r="EW104" s="826"/>
      <c r="EX104" s="826"/>
      <c r="EY104" s="826"/>
      <c r="EZ104" s="826"/>
      <c r="FA104" s="826"/>
      <c r="FB104" s="826"/>
      <c r="FC104" s="826"/>
      <c r="FD104" s="826"/>
      <c r="FE104" s="826"/>
      <c r="FF104" s="826"/>
      <c r="FG104" s="826"/>
      <c r="FH104" s="826"/>
      <c r="FI104" s="826"/>
      <c r="FJ104" s="826"/>
      <c r="FK104" s="826"/>
      <c r="FL104" s="826"/>
      <c r="FM104" s="826"/>
      <c r="FN104" s="826"/>
      <c r="FO104" s="826"/>
      <c r="FP104" s="826"/>
      <c r="FQ104" s="826"/>
      <c r="FR104" s="826"/>
      <c r="FS104" s="826"/>
      <c r="FT104" s="826"/>
      <c r="FU104" s="826"/>
      <c r="FV104" s="826"/>
      <c r="FW104" s="826"/>
      <c r="FX104" s="826"/>
      <c r="FY104" s="826"/>
      <c r="FZ104" s="826"/>
      <c r="GA104" s="826"/>
      <c r="GB104" s="826"/>
      <c r="GC104" s="826"/>
      <c r="GD104" s="826"/>
      <c r="GE104" s="826"/>
      <c r="GF104" s="826"/>
      <c r="GG104" s="826"/>
      <c r="GH104" s="826"/>
      <c r="GI104" s="826"/>
      <c r="GJ104" s="826"/>
      <c r="GK104" s="826"/>
      <c r="GL104" s="826"/>
      <c r="GM104" s="826"/>
      <c r="GN104" s="826"/>
      <c r="GO104" s="826"/>
      <c r="GP104" s="826"/>
      <c r="GQ104" s="826"/>
      <c r="GR104" s="826"/>
      <c r="GS104" s="826"/>
      <c r="GT104" s="826"/>
      <c r="GU104" s="826"/>
      <c r="GV104" s="826"/>
      <c r="GW104" s="826"/>
      <c r="GX104" s="826"/>
      <c r="GY104" s="826"/>
      <c r="GZ104" s="826"/>
      <c r="HA104" s="826"/>
      <c r="HB104" s="826"/>
      <c r="HC104" s="826"/>
    </row>
    <row r="105" spans="1:211" s="847" customFormat="1" ht="56.25" customHeight="1">
      <c r="A105" s="57">
        <v>141</v>
      </c>
      <c r="B105" s="846" t="s">
        <v>10265</v>
      </c>
      <c r="C105" s="59">
        <v>6774615</v>
      </c>
      <c r="D105" s="823" t="s">
        <v>167</v>
      </c>
      <c r="E105" s="60"/>
      <c r="F105" s="63"/>
      <c r="G105" s="62"/>
      <c r="H105" s="117"/>
      <c r="I105" s="183"/>
      <c r="J105" s="169"/>
      <c r="K105" s="63"/>
      <c r="L105" s="182"/>
      <c r="M105" s="183"/>
      <c r="N105" s="183"/>
      <c r="O105" s="169"/>
      <c r="P105" s="63"/>
      <c r="Q105" s="182"/>
      <c r="R105" s="183"/>
      <c r="S105" s="183"/>
      <c r="T105" s="169"/>
      <c r="U105" s="63"/>
      <c r="V105" s="182"/>
      <c r="W105" s="183"/>
      <c r="X105" s="183"/>
      <c r="Y105" s="169"/>
      <c r="Z105" s="63"/>
      <c r="AA105" s="182"/>
      <c r="AB105" s="183"/>
      <c r="AC105" s="183"/>
      <c r="AD105" s="169"/>
      <c r="AE105" s="63"/>
      <c r="AF105" s="182"/>
      <c r="AG105" s="183"/>
      <c r="AH105" s="183"/>
      <c r="AI105" s="183"/>
      <c r="AJ105" s="63"/>
      <c r="AK105" s="182"/>
      <c r="AL105" s="183"/>
      <c r="AM105" s="183"/>
      <c r="AN105" s="183" t="s">
        <v>6487</v>
      </c>
      <c r="AO105" s="183" t="s">
        <v>2558</v>
      </c>
      <c r="AP105" s="848" t="s">
        <v>10266</v>
      </c>
      <c r="AQ105" s="183"/>
      <c r="AR105" s="169">
        <v>37368</v>
      </c>
      <c r="AS105" s="169">
        <v>39860</v>
      </c>
      <c r="AT105" s="183"/>
      <c r="AU105" s="183" t="s">
        <v>69</v>
      </c>
      <c r="AV105" s="117" t="s">
        <v>10267</v>
      </c>
      <c r="AW105" s="60">
        <v>42591</v>
      </c>
      <c r="AX105" s="839"/>
      <c r="AY105" s="169"/>
      <c r="AZ105" s="171"/>
      <c r="BA105" s="117" t="s">
        <v>95</v>
      </c>
      <c r="BB105" s="117" t="s">
        <v>4478</v>
      </c>
      <c r="BC105" s="183"/>
      <c r="BD105" s="182"/>
      <c r="BE105" s="182"/>
      <c r="BF105" s="182"/>
      <c r="BG105" s="182"/>
      <c r="BH105" s="140"/>
      <c r="BI105" s="140"/>
      <c r="BJ105" s="184"/>
      <c r="BK105" s="169"/>
      <c r="BL105" s="63"/>
      <c r="BM105" s="549"/>
      <c r="BN105" s="183"/>
      <c r="BO105" s="182"/>
      <c r="BP105" s="182"/>
      <c r="BQ105" s="182"/>
      <c r="BR105" s="186"/>
      <c r="BS105" s="182"/>
      <c r="BT105" s="169"/>
      <c r="BU105" s="63"/>
      <c r="BV105" s="826"/>
      <c r="BW105" s="826"/>
      <c r="BX105" s="826"/>
      <c r="BY105" s="826"/>
      <c r="BZ105" s="826"/>
      <c r="CA105" s="826"/>
      <c r="CB105" s="826"/>
      <c r="CC105" s="826"/>
      <c r="CD105" s="826"/>
      <c r="CE105" s="826"/>
      <c r="CF105" s="826"/>
      <c r="CG105" s="826"/>
      <c r="CH105" s="826"/>
      <c r="CI105" s="826"/>
      <c r="CJ105" s="826"/>
      <c r="CK105" s="826"/>
      <c r="CL105" s="826"/>
      <c r="CM105" s="826"/>
      <c r="CN105" s="826"/>
      <c r="CO105" s="826"/>
      <c r="CP105" s="826"/>
      <c r="CQ105" s="826"/>
      <c r="CR105" s="826"/>
      <c r="CS105" s="826"/>
      <c r="CT105" s="826"/>
      <c r="CU105" s="826"/>
      <c r="CV105" s="826"/>
      <c r="CW105" s="826"/>
      <c r="CX105" s="826"/>
      <c r="CY105" s="826"/>
      <c r="CZ105" s="826"/>
      <c r="DA105" s="826"/>
      <c r="DB105" s="826"/>
      <c r="DC105" s="826"/>
      <c r="DD105" s="826"/>
      <c r="DE105" s="826"/>
      <c r="DF105" s="826"/>
      <c r="DG105" s="826"/>
      <c r="DH105" s="826"/>
      <c r="DI105" s="826"/>
      <c r="DJ105" s="826"/>
      <c r="DK105" s="826"/>
      <c r="DL105" s="826"/>
      <c r="DM105" s="826"/>
      <c r="DN105" s="826"/>
      <c r="DO105" s="826"/>
      <c r="DP105" s="826"/>
      <c r="DQ105" s="826"/>
      <c r="DR105" s="826"/>
      <c r="DS105" s="826"/>
      <c r="DT105" s="826"/>
      <c r="DU105" s="826"/>
      <c r="DV105" s="826"/>
      <c r="DW105" s="826"/>
      <c r="DX105" s="826"/>
      <c r="DY105" s="826"/>
      <c r="DZ105" s="826"/>
      <c r="EA105" s="826"/>
      <c r="EB105" s="826"/>
      <c r="EC105" s="826"/>
      <c r="ED105" s="826"/>
      <c r="EE105" s="826"/>
      <c r="EF105" s="826"/>
      <c r="EG105" s="826"/>
      <c r="EH105" s="826"/>
      <c r="EI105" s="826"/>
      <c r="EJ105" s="826"/>
      <c r="EK105" s="826"/>
      <c r="EL105" s="826"/>
      <c r="EM105" s="826"/>
      <c r="EN105" s="826"/>
      <c r="EO105" s="826"/>
      <c r="EP105" s="826"/>
      <c r="EQ105" s="826"/>
      <c r="ER105" s="826"/>
      <c r="ES105" s="826"/>
      <c r="ET105" s="826"/>
      <c r="EU105" s="826"/>
      <c r="EV105" s="826"/>
      <c r="EW105" s="826"/>
      <c r="EX105" s="826"/>
      <c r="EY105" s="826"/>
      <c r="EZ105" s="826"/>
      <c r="FA105" s="826"/>
      <c r="FB105" s="826"/>
      <c r="FC105" s="826"/>
      <c r="FD105" s="826"/>
      <c r="FE105" s="826"/>
      <c r="FF105" s="826"/>
      <c r="FG105" s="826"/>
      <c r="FH105" s="826"/>
      <c r="FI105" s="826"/>
      <c r="FJ105" s="826"/>
      <c r="FK105" s="826"/>
      <c r="FL105" s="826"/>
      <c r="FM105" s="826"/>
      <c r="FN105" s="826"/>
      <c r="FO105" s="826"/>
      <c r="FP105" s="826"/>
      <c r="FQ105" s="826"/>
      <c r="FR105" s="826"/>
      <c r="FS105" s="826"/>
      <c r="FT105" s="826"/>
      <c r="FU105" s="826"/>
      <c r="FV105" s="826"/>
      <c r="FW105" s="826"/>
      <c r="FX105" s="826"/>
      <c r="FY105" s="826"/>
      <c r="FZ105" s="826"/>
      <c r="GA105" s="826"/>
      <c r="GB105" s="826"/>
      <c r="GC105" s="826"/>
      <c r="GD105" s="826"/>
      <c r="GE105" s="826"/>
      <c r="GF105" s="826"/>
      <c r="GG105" s="826"/>
      <c r="GH105" s="826"/>
      <c r="GI105" s="826"/>
      <c r="GJ105" s="826"/>
      <c r="GK105" s="826"/>
      <c r="GL105" s="826"/>
      <c r="GM105" s="826"/>
      <c r="GN105" s="826"/>
      <c r="GO105" s="826"/>
      <c r="GP105" s="826"/>
      <c r="GQ105" s="826"/>
      <c r="GR105" s="826"/>
      <c r="GS105" s="826"/>
      <c r="GT105" s="826"/>
      <c r="GU105" s="826"/>
      <c r="GV105" s="826"/>
      <c r="GW105" s="826"/>
      <c r="GX105" s="826"/>
      <c r="GY105" s="826"/>
      <c r="GZ105" s="826"/>
      <c r="HA105" s="826"/>
      <c r="HB105" s="826"/>
      <c r="HC105" s="826"/>
    </row>
    <row r="106" spans="1:211" s="847" customFormat="1" ht="56.25" customHeight="1">
      <c r="A106" s="57">
        <v>140</v>
      </c>
      <c r="B106" s="846" t="s">
        <v>10268</v>
      </c>
      <c r="C106" s="59">
        <v>85435997</v>
      </c>
      <c r="D106" s="823" t="s">
        <v>1647</v>
      </c>
      <c r="E106" s="60"/>
      <c r="F106" s="63"/>
      <c r="G106" s="62"/>
      <c r="H106" s="117"/>
      <c r="I106" s="183"/>
      <c r="J106" s="169"/>
      <c r="K106" s="63"/>
      <c r="L106" s="182"/>
      <c r="M106" s="183"/>
      <c r="N106" s="183"/>
      <c r="O106" s="169"/>
      <c r="P106" s="63"/>
      <c r="Q106" s="182"/>
      <c r="R106" s="183"/>
      <c r="S106" s="183"/>
      <c r="T106" s="169"/>
      <c r="U106" s="63"/>
      <c r="V106" s="182"/>
      <c r="W106" s="183"/>
      <c r="X106" s="183"/>
      <c r="Y106" s="169"/>
      <c r="Z106" s="63"/>
      <c r="AA106" s="182"/>
      <c r="AB106" s="183"/>
      <c r="AC106" s="183"/>
      <c r="AD106" s="169"/>
      <c r="AE106" s="63"/>
      <c r="AF106" s="182"/>
      <c r="AG106" s="183"/>
      <c r="AH106" s="183"/>
      <c r="AI106" s="183"/>
      <c r="AJ106" s="63"/>
      <c r="AK106" s="182"/>
      <c r="AL106" s="183"/>
      <c r="AM106" s="183"/>
      <c r="AN106" s="183" t="s">
        <v>6487</v>
      </c>
      <c r="AO106" s="183" t="s">
        <v>2558</v>
      </c>
      <c r="AP106" s="848" t="s">
        <v>10269</v>
      </c>
      <c r="AQ106" s="183"/>
      <c r="AR106" s="169">
        <v>39288</v>
      </c>
      <c r="AS106" s="169">
        <v>40633</v>
      </c>
      <c r="AT106" s="183" t="s">
        <v>10270</v>
      </c>
      <c r="AU106" s="183" t="s">
        <v>69</v>
      </c>
      <c r="AV106" s="117" t="s">
        <v>6616</v>
      </c>
      <c r="AW106" s="60">
        <v>43270</v>
      </c>
      <c r="AX106" s="839"/>
      <c r="AY106" s="169"/>
      <c r="AZ106" s="171"/>
      <c r="BA106" s="117" t="s">
        <v>95</v>
      </c>
      <c r="BB106" s="117" t="s">
        <v>10264</v>
      </c>
      <c r="BC106" s="183"/>
      <c r="BD106" s="182"/>
      <c r="BE106" s="182"/>
      <c r="BF106" s="182"/>
      <c r="BG106" s="182"/>
      <c r="BH106" s="140"/>
      <c r="BI106" s="140"/>
      <c r="BJ106" s="184"/>
      <c r="BK106" s="169"/>
      <c r="BL106" s="63"/>
      <c r="BM106" s="549"/>
      <c r="BN106" s="183"/>
      <c r="BO106" s="182"/>
      <c r="BP106" s="182"/>
      <c r="BQ106" s="182"/>
      <c r="BR106" s="186"/>
      <c r="BS106" s="182"/>
      <c r="BT106" s="169"/>
      <c r="BU106" s="63"/>
      <c r="BV106" s="826"/>
      <c r="BW106" s="826"/>
      <c r="BX106" s="826"/>
      <c r="BY106" s="826"/>
      <c r="BZ106" s="826"/>
      <c r="CA106" s="826"/>
      <c r="CB106" s="826"/>
      <c r="CC106" s="826"/>
      <c r="CD106" s="826"/>
      <c r="CE106" s="826"/>
      <c r="CF106" s="826"/>
      <c r="CG106" s="826"/>
      <c r="CH106" s="826"/>
      <c r="CI106" s="826"/>
      <c r="CJ106" s="826"/>
      <c r="CK106" s="826"/>
      <c r="CL106" s="826"/>
      <c r="CM106" s="826"/>
      <c r="CN106" s="826"/>
      <c r="CO106" s="826"/>
      <c r="CP106" s="826"/>
      <c r="CQ106" s="826"/>
      <c r="CR106" s="826"/>
      <c r="CS106" s="826"/>
      <c r="CT106" s="826"/>
      <c r="CU106" s="826"/>
      <c r="CV106" s="826"/>
      <c r="CW106" s="826"/>
      <c r="CX106" s="826"/>
      <c r="CY106" s="826"/>
      <c r="CZ106" s="826"/>
      <c r="DA106" s="826"/>
      <c r="DB106" s="826"/>
      <c r="DC106" s="826"/>
      <c r="DD106" s="826"/>
      <c r="DE106" s="826"/>
      <c r="DF106" s="826"/>
      <c r="DG106" s="826"/>
      <c r="DH106" s="826"/>
      <c r="DI106" s="826"/>
      <c r="DJ106" s="826"/>
      <c r="DK106" s="826"/>
      <c r="DL106" s="826"/>
      <c r="DM106" s="826"/>
      <c r="DN106" s="826"/>
      <c r="DO106" s="826"/>
      <c r="DP106" s="826"/>
      <c r="DQ106" s="826"/>
      <c r="DR106" s="826"/>
      <c r="DS106" s="826"/>
      <c r="DT106" s="826"/>
      <c r="DU106" s="826"/>
      <c r="DV106" s="826"/>
      <c r="DW106" s="826"/>
      <c r="DX106" s="826"/>
      <c r="DY106" s="826"/>
      <c r="DZ106" s="826"/>
      <c r="EA106" s="826"/>
      <c r="EB106" s="826"/>
      <c r="EC106" s="826"/>
      <c r="ED106" s="826"/>
      <c r="EE106" s="826"/>
      <c r="EF106" s="826"/>
      <c r="EG106" s="826"/>
      <c r="EH106" s="826"/>
      <c r="EI106" s="826"/>
      <c r="EJ106" s="826"/>
      <c r="EK106" s="826"/>
      <c r="EL106" s="826"/>
      <c r="EM106" s="826"/>
      <c r="EN106" s="826"/>
      <c r="EO106" s="826"/>
      <c r="EP106" s="826"/>
      <c r="EQ106" s="826"/>
      <c r="ER106" s="826"/>
      <c r="ES106" s="826"/>
      <c r="ET106" s="826"/>
      <c r="EU106" s="826"/>
      <c r="EV106" s="826"/>
      <c r="EW106" s="826"/>
      <c r="EX106" s="826"/>
      <c r="EY106" s="826"/>
      <c r="EZ106" s="826"/>
      <c r="FA106" s="826"/>
      <c r="FB106" s="826"/>
      <c r="FC106" s="826"/>
      <c r="FD106" s="826"/>
      <c r="FE106" s="826"/>
      <c r="FF106" s="826"/>
      <c r="FG106" s="826"/>
      <c r="FH106" s="826"/>
      <c r="FI106" s="826"/>
      <c r="FJ106" s="826"/>
      <c r="FK106" s="826"/>
      <c r="FL106" s="826"/>
      <c r="FM106" s="826"/>
      <c r="FN106" s="826"/>
      <c r="FO106" s="826"/>
      <c r="FP106" s="826"/>
      <c r="FQ106" s="826"/>
      <c r="FR106" s="826"/>
      <c r="FS106" s="826"/>
      <c r="FT106" s="826"/>
      <c r="FU106" s="826"/>
      <c r="FV106" s="826"/>
      <c r="FW106" s="826"/>
      <c r="FX106" s="826"/>
      <c r="FY106" s="826"/>
      <c r="FZ106" s="826"/>
      <c r="GA106" s="826"/>
      <c r="GB106" s="826"/>
      <c r="GC106" s="826"/>
      <c r="GD106" s="826"/>
      <c r="GE106" s="826"/>
      <c r="GF106" s="826"/>
      <c r="GG106" s="826"/>
      <c r="GH106" s="826"/>
      <c r="GI106" s="826"/>
      <c r="GJ106" s="826"/>
      <c r="GK106" s="826"/>
      <c r="GL106" s="826"/>
      <c r="GM106" s="826"/>
      <c r="GN106" s="826"/>
      <c r="GO106" s="826"/>
      <c r="GP106" s="826"/>
      <c r="GQ106" s="826"/>
      <c r="GR106" s="826"/>
      <c r="GS106" s="826"/>
      <c r="GT106" s="826"/>
      <c r="GU106" s="826"/>
      <c r="GV106" s="826"/>
      <c r="GW106" s="826"/>
      <c r="GX106" s="826"/>
      <c r="GY106" s="826"/>
      <c r="GZ106" s="826"/>
      <c r="HA106" s="826"/>
      <c r="HB106" s="826"/>
      <c r="HC106" s="826"/>
    </row>
    <row r="107" spans="1:211" s="847" customFormat="1" ht="56.25" customHeight="1">
      <c r="A107" s="57">
        <v>137</v>
      </c>
      <c r="B107" s="846" t="s">
        <v>9298</v>
      </c>
      <c r="C107" s="59">
        <v>91539570</v>
      </c>
      <c r="D107" s="823" t="s">
        <v>382</v>
      </c>
      <c r="E107" s="60"/>
      <c r="F107" s="63"/>
      <c r="G107" s="62"/>
      <c r="H107" s="117"/>
      <c r="I107" s="183"/>
      <c r="J107" s="169"/>
      <c r="K107" s="63"/>
      <c r="L107" s="182"/>
      <c r="M107" s="183"/>
      <c r="N107" s="183"/>
      <c r="O107" s="169"/>
      <c r="P107" s="63"/>
      <c r="Q107" s="182"/>
      <c r="R107" s="183"/>
      <c r="S107" s="183"/>
      <c r="T107" s="169"/>
      <c r="U107" s="63"/>
      <c r="V107" s="182"/>
      <c r="W107" s="183"/>
      <c r="X107" s="183"/>
      <c r="Y107" s="169"/>
      <c r="Z107" s="63"/>
      <c r="AA107" s="182"/>
      <c r="AB107" s="183"/>
      <c r="AC107" s="183"/>
      <c r="AD107" s="169"/>
      <c r="AE107" s="63"/>
      <c r="AF107" s="182"/>
      <c r="AG107" s="183"/>
      <c r="AH107" s="183"/>
      <c r="AI107" s="183"/>
      <c r="AJ107" s="63"/>
      <c r="AK107" s="182"/>
      <c r="AL107" s="183"/>
      <c r="AM107" s="183"/>
      <c r="AN107" s="183" t="s">
        <v>6487</v>
      </c>
      <c r="AO107" s="183" t="s">
        <v>2558</v>
      </c>
      <c r="AP107" s="848" t="s">
        <v>10271</v>
      </c>
      <c r="AQ107" s="183"/>
      <c r="AR107" s="169">
        <v>38777</v>
      </c>
      <c r="AS107" s="169">
        <v>40633</v>
      </c>
      <c r="AT107" s="183"/>
      <c r="AU107" s="183" t="s">
        <v>69</v>
      </c>
      <c r="AV107" s="117" t="s">
        <v>627</v>
      </c>
      <c r="AW107" s="60">
        <v>42716</v>
      </c>
      <c r="AX107" s="839"/>
      <c r="AY107" s="169"/>
      <c r="AZ107" s="171"/>
      <c r="BA107" s="117" t="s">
        <v>95</v>
      </c>
      <c r="BB107" s="117" t="s">
        <v>10264</v>
      </c>
      <c r="BC107" s="183"/>
      <c r="BD107" s="182"/>
      <c r="BE107" s="182"/>
      <c r="BF107" s="182"/>
      <c r="BG107" s="182"/>
      <c r="BH107" s="140"/>
      <c r="BI107" s="140"/>
      <c r="BJ107" s="184"/>
      <c r="BK107" s="169"/>
      <c r="BL107" s="63"/>
      <c r="BM107" s="549"/>
      <c r="BN107" s="183"/>
      <c r="BO107" s="182"/>
      <c r="BP107" s="182"/>
      <c r="BQ107" s="182"/>
      <c r="BR107" s="186"/>
      <c r="BS107" s="182"/>
      <c r="BT107" s="169"/>
      <c r="BU107" s="63"/>
      <c r="BV107" s="826"/>
      <c r="BW107" s="826"/>
      <c r="BX107" s="826"/>
      <c r="BY107" s="826"/>
      <c r="BZ107" s="826"/>
      <c r="CA107" s="826"/>
      <c r="CB107" s="826"/>
      <c r="CC107" s="826"/>
      <c r="CD107" s="826"/>
      <c r="CE107" s="826"/>
      <c r="CF107" s="826"/>
      <c r="CG107" s="826"/>
      <c r="CH107" s="826"/>
      <c r="CI107" s="826"/>
      <c r="CJ107" s="826"/>
      <c r="CK107" s="826"/>
      <c r="CL107" s="826"/>
      <c r="CM107" s="826"/>
      <c r="CN107" s="826"/>
      <c r="CO107" s="826"/>
      <c r="CP107" s="826"/>
      <c r="CQ107" s="826"/>
      <c r="CR107" s="826"/>
      <c r="CS107" s="826"/>
      <c r="CT107" s="826"/>
      <c r="CU107" s="826"/>
      <c r="CV107" s="826"/>
      <c r="CW107" s="826"/>
      <c r="CX107" s="826"/>
      <c r="CY107" s="826"/>
      <c r="CZ107" s="826"/>
      <c r="DA107" s="826"/>
      <c r="DB107" s="826"/>
      <c r="DC107" s="826"/>
      <c r="DD107" s="826"/>
      <c r="DE107" s="826"/>
      <c r="DF107" s="826"/>
      <c r="DG107" s="826"/>
      <c r="DH107" s="826"/>
      <c r="DI107" s="826"/>
      <c r="DJ107" s="826"/>
      <c r="DK107" s="826"/>
      <c r="DL107" s="826"/>
      <c r="DM107" s="826"/>
      <c r="DN107" s="826"/>
      <c r="DO107" s="826"/>
      <c r="DP107" s="826"/>
      <c r="DQ107" s="826"/>
      <c r="DR107" s="826"/>
      <c r="DS107" s="826"/>
      <c r="DT107" s="826"/>
      <c r="DU107" s="826"/>
      <c r="DV107" s="826"/>
      <c r="DW107" s="826"/>
      <c r="DX107" s="826"/>
      <c r="DY107" s="826"/>
      <c r="DZ107" s="826"/>
      <c r="EA107" s="826"/>
      <c r="EB107" s="826"/>
      <c r="EC107" s="826"/>
      <c r="ED107" s="826"/>
      <c r="EE107" s="826"/>
      <c r="EF107" s="826"/>
      <c r="EG107" s="826"/>
      <c r="EH107" s="826"/>
      <c r="EI107" s="826"/>
      <c r="EJ107" s="826"/>
      <c r="EK107" s="826"/>
      <c r="EL107" s="826"/>
      <c r="EM107" s="826"/>
      <c r="EN107" s="826"/>
      <c r="EO107" s="826"/>
      <c r="EP107" s="826"/>
      <c r="EQ107" s="826"/>
      <c r="ER107" s="826"/>
      <c r="ES107" s="826"/>
      <c r="ET107" s="826"/>
      <c r="EU107" s="826"/>
      <c r="EV107" s="826"/>
      <c r="EW107" s="826"/>
      <c r="EX107" s="826"/>
      <c r="EY107" s="826"/>
      <c r="EZ107" s="826"/>
      <c r="FA107" s="826"/>
      <c r="FB107" s="826"/>
      <c r="FC107" s="826"/>
      <c r="FD107" s="826"/>
      <c r="FE107" s="826"/>
      <c r="FF107" s="826"/>
      <c r="FG107" s="826"/>
      <c r="FH107" s="826"/>
      <c r="FI107" s="826"/>
      <c r="FJ107" s="826"/>
      <c r="FK107" s="826"/>
      <c r="FL107" s="826"/>
      <c r="FM107" s="826"/>
      <c r="FN107" s="826"/>
      <c r="FO107" s="826"/>
      <c r="FP107" s="826"/>
      <c r="FQ107" s="826"/>
      <c r="FR107" s="826"/>
      <c r="FS107" s="826"/>
      <c r="FT107" s="826"/>
      <c r="FU107" s="826"/>
      <c r="FV107" s="826"/>
      <c r="FW107" s="826"/>
      <c r="FX107" s="826"/>
      <c r="FY107" s="826"/>
      <c r="FZ107" s="826"/>
      <c r="GA107" s="826"/>
      <c r="GB107" s="826"/>
      <c r="GC107" s="826"/>
      <c r="GD107" s="826"/>
      <c r="GE107" s="826"/>
      <c r="GF107" s="826"/>
      <c r="GG107" s="826"/>
      <c r="GH107" s="826"/>
      <c r="GI107" s="826"/>
      <c r="GJ107" s="826"/>
      <c r="GK107" s="826"/>
      <c r="GL107" s="826"/>
      <c r="GM107" s="826"/>
      <c r="GN107" s="826"/>
      <c r="GO107" s="826"/>
      <c r="GP107" s="826"/>
      <c r="GQ107" s="826"/>
      <c r="GR107" s="826"/>
      <c r="GS107" s="826"/>
      <c r="GT107" s="826"/>
      <c r="GU107" s="826"/>
      <c r="GV107" s="826"/>
      <c r="GW107" s="826"/>
      <c r="GX107" s="826"/>
      <c r="GY107" s="826"/>
      <c r="GZ107" s="826"/>
      <c r="HA107" s="826"/>
      <c r="HB107" s="826"/>
      <c r="HC107" s="826"/>
    </row>
    <row r="108" spans="1:211" s="847" customFormat="1" ht="56.25" customHeight="1">
      <c r="A108" s="57">
        <v>107</v>
      </c>
      <c r="B108" s="846" t="s">
        <v>10272</v>
      </c>
      <c r="C108" s="59">
        <v>94529061</v>
      </c>
      <c r="D108" s="823" t="s">
        <v>9988</v>
      </c>
      <c r="E108" s="60"/>
      <c r="F108" s="63"/>
      <c r="G108" s="62"/>
      <c r="H108" s="117"/>
      <c r="I108" s="183"/>
      <c r="J108" s="169"/>
      <c r="K108" s="63"/>
      <c r="L108" s="182"/>
      <c r="M108" s="183"/>
      <c r="N108" s="183"/>
      <c r="O108" s="169"/>
      <c r="P108" s="63"/>
      <c r="Q108" s="182"/>
      <c r="R108" s="183"/>
      <c r="S108" s="183"/>
      <c r="T108" s="169"/>
      <c r="U108" s="63"/>
      <c r="V108" s="182"/>
      <c r="W108" s="183"/>
      <c r="X108" s="183"/>
      <c r="Y108" s="169"/>
      <c r="Z108" s="63"/>
      <c r="AA108" s="182"/>
      <c r="AB108" s="183"/>
      <c r="AC108" s="183"/>
      <c r="AD108" s="169"/>
      <c r="AE108" s="63"/>
      <c r="AF108" s="182"/>
      <c r="AG108" s="183"/>
      <c r="AH108" s="183"/>
      <c r="AI108" s="183"/>
      <c r="AJ108" s="63"/>
      <c r="AK108" s="182"/>
      <c r="AL108" s="183"/>
      <c r="AM108" s="183"/>
      <c r="AN108" s="183" t="s">
        <v>6487</v>
      </c>
      <c r="AO108" s="183" t="s">
        <v>2558</v>
      </c>
      <c r="AP108" s="848" t="s">
        <v>10273</v>
      </c>
      <c r="AQ108" s="183"/>
      <c r="AR108" s="169">
        <v>38869</v>
      </c>
      <c r="AS108" s="169">
        <v>40639</v>
      </c>
      <c r="AT108" s="183"/>
      <c r="AU108" s="183" t="s">
        <v>69</v>
      </c>
      <c r="AV108" s="117" t="s">
        <v>10274</v>
      </c>
      <c r="AW108" s="60">
        <v>43203</v>
      </c>
      <c r="AX108" s="839"/>
      <c r="AY108" s="169"/>
      <c r="AZ108" s="171"/>
      <c r="BA108" s="117" t="s">
        <v>95</v>
      </c>
      <c r="BB108" s="117" t="s">
        <v>4478</v>
      </c>
      <c r="BC108" s="183"/>
      <c r="BD108" s="182"/>
      <c r="BE108" s="182"/>
      <c r="BF108" s="182"/>
      <c r="BG108" s="182"/>
      <c r="BH108" s="140"/>
      <c r="BI108" s="140"/>
      <c r="BJ108" s="184"/>
      <c r="BK108" s="169"/>
      <c r="BL108" s="63"/>
      <c r="BM108" s="549"/>
      <c r="BN108" s="183"/>
      <c r="BO108" s="182"/>
      <c r="BP108" s="182"/>
      <c r="BQ108" s="182"/>
      <c r="BR108" s="186"/>
      <c r="BS108" s="182"/>
      <c r="BT108" s="169"/>
      <c r="BU108" s="63"/>
      <c r="BV108" s="826"/>
      <c r="BW108" s="826"/>
      <c r="BX108" s="826"/>
      <c r="BY108" s="826"/>
      <c r="BZ108" s="826"/>
      <c r="CA108" s="826"/>
      <c r="CB108" s="826"/>
      <c r="CC108" s="826"/>
      <c r="CD108" s="826"/>
      <c r="CE108" s="826"/>
      <c r="CF108" s="826"/>
      <c r="CG108" s="826"/>
      <c r="CH108" s="826"/>
      <c r="CI108" s="826"/>
      <c r="CJ108" s="826"/>
      <c r="CK108" s="826"/>
      <c r="CL108" s="826"/>
      <c r="CM108" s="826"/>
      <c r="CN108" s="826"/>
      <c r="CO108" s="826"/>
      <c r="CP108" s="826"/>
      <c r="CQ108" s="826"/>
      <c r="CR108" s="826"/>
      <c r="CS108" s="826"/>
      <c r="CT108" s="826"/>
      <c r="CU108" s="826"/>
      <c r="CV108" s="826"/>
      <c r="CW108" s="826"/>
      <c r="CX108" s="826"/>
      <c r="CY108" s="826"/>
      <c r="CZ108" s="826"/>
      <c r="DA108" s="826"/>
      <c r="DB108" s="826"/>
      <c r="DC108" s="826"/>
      <c r="DD108" s="826"/>
      <c r="DE108" s="826"/>
      <c r="DF108" s="826"/>
      <c r="DG108" s="826"/>
      <c r="DH108" s="826"/>
      <c r="DI108" s="826"/>
      <c r="DJ108" s="826"/>
      <c r="DK108" s="826"/>
      <c r="DL108" s="826"/>
      <c r="DM108" s="826"/>
      <c r="DN108" s="826"/>
      <c r="DO108" s="826"/>
      <c r="DP108" s="826"/>
      <c r="DQ108" s="826"/>
      <c r="DR108" s="826"/>
      <c r="DS108" s="826"/>
      <c r="DT108" s="826"/>
      <c r="DU108" s="826"/>
      <c r="DV108" s="826"/>
      <c r="DW108" s="826"/>
      <c r="DX108" s="826"/>
      <c r="DY108" s="826"/>
      <c r="DZ108" s="826"/>
      <c r="EA108" s="826"/>
      <c r="EB108" s="826"/>
      <c r="EC108" s="826"/>
      <c r="ED108" s="826"/>
      <c r="EE108" s="826"/>
      <c r="EF108" s="826"/>
      <c r="EG108" s="826"/>
      <c r="EH108" s="826"/>
      <c r="EI108" s="826"/>
      <c r="EJ108" s="826"/>
      <c r="EK108" s="826"/>
      <c r="EL108" s="826"/>
      <c r="EM108" s="826"/>
      <c r="EN108" s="826"/>
      <c r="EO108" s="826"/>
      <c r="EP108" s="826"/>
      <c r="EQ108" s="826"/>
      <c r="ER108" s="826"/>
      <c r="ES108" s="826"/>
      <c r="ET108" s="826"/>
      <c r="EU108" s="826"/>
      <c r="EV108" s="826"/>
      <c r="EW108" s="826"/>
      <c r="EX108" s="826"/>
      <c r="EY108" s="826"/>
      <c r="EZ108" s="826"/>
      <c r="FA108" s="826"/>
      <c r="FB108" s="826"/>
      <c r="FC108" s="826"/>
      <c r="FD108" s="826"/>
      <c r="FE108" s="826"/>
      <c r="FF108" s="826"/>
      <c r="FG108" s="826"/>
      <c r="FH108" s="826"/>
      <c r="FI108" s="826"/>
      <c r="FJ108" s="826"/>
      <c r="FK108" s="826"/>
      <c r="FL108" s="826"/>
      <c r="FM108" s="826"/>
      <c r="FN108" s="826"/>
      <c r="FO108" s="826"/>
      <c r="FP108" s="826"/>
      <c r="FQ108" s="826"/>
      <c r="FR108" s="826"/>
      <c r="FS108" s="826"/>
      <c r="FT108" s="826"/>
      <c r="FU108" s="826"/>
      <c r="FV108" s="826"/>
      <c r="FW108" s="826"/>
      <c r="FX108" s="826"/>
      <c r="FY108" s="826"/>
      <c r="FZ108" s="826"/>
      <c r="GA108" s="826"/>
      <c r="GB108" s="826"/>
      <c r="GC108" s="826"/>
      <c r="GD108" s="826"/>
      <c r="GE108" s="826"/>
      <c r="GF108" s="826"/>
      <c r="GG108" s="826"/>
      <c r="GH108" s="826"/>
      <c r="GI108" s="826"/>
      <c r="GJ108" s="826"/>
      <c r="GK108" s="826"/>
      <c r="GL108" s="826"/>
      <c r="GM108" s="826"/>
      <c r="GN108" s="826"/>
      <c r="GO108" s="826"/>
      <c r="GP108" s="826"/>
      <c r="GQ108" s="826"/>
      <c r="GR108" s="826"/>
      <c r="GS108" s="826"/>
      <c r="GT108" s="826"/>
      <c r="GU108" s="826"/>
      <c r="GV108" s="826"/>
      <c r="GW108" s="826"/>
      <c r="GX108" s="826"/>
      <c r="GY108" s="826"/>
      <c r="GZ108" s="826"/>
      <c r="HA108" s="826"/>
      <c r="HB108" s="826"/>
      <c r="HC108" s="826"/>
    </row>
    <row r="109" spans="1:211" s="847" customFormat="1" ht="56.25" customHeight="1">
      <c r="A109" s="57">
        <v>105</v>
      </c>
      <c r="B109" s="846" t="s">
        <v>6378</v>
      </c>
      <c r="C109" s="59">
        <v>73106921</v>
      </c>
      <c r="D109" s="823" t="s">
        <v>906</v>
      </c>
      <c r="E109" s="60"/>
      <c r="F109" s="63"/>
      <c r="G109" s="62"/>
      <c r="H109" s="117"/>
      <c r="I109" s="183"/>
      <c r="J109" s="169"/>
      <c r="K109" s="63"/>
      <c r="L109" s="182"/>
      <c r="M109" s="183"/>
      <c r="N109" s="183"/>
      <c r="O109" s="169"/>
      <c r="P109" s="63"/>
      <c r="Q109" s="182"/>
      <c r="R109" s="183"/>
      <c r="S109" s="183"/>
      <c r="T109" s="169"/>
      <c r="U109" s="63"/>
      <c r="V109" s="182"/>
      <c r="W109" s="183"/>
      <c r="X109" s="183"/>
      <c r="Y109" s="169"/>
      <c r="Z109" s="63"/>
      <c r="AA109" s="182"/>
      <c r="AB109" s="183"/>
      <c r="AC109" s="183"/>
      <c r="AD109" s="169"/>
      <c r="AE109" s="63"/>
      <c r="AF109" s="182"/>
      <c r="AG109" s="183"/>
      <c r="AH109" s="183"/>
      <c r="AI109" s="183"/>
      <c r="AJ109" s="63"/>
      <c r="AK109" s="182"/>
      <c r="AL109" s="183"/>
      <c r="AM109" s="183"/>
      <c r="AN109" s="183" t="s">
        <v>6487</v>
      </c>
      <c r="AO109" s="183" t="s">
        <v>2558</v>
      </c>
      <c r="AP109" s="848" t="s">
        <v>10275</v>
      </c>
      <c r="AQ109" s="183"/>
      <c r="AR109" s="169">
        <v>35272</v>
      </c>
      <c r="AS109" s="169">
        <v>40908</v>
      </c>
      <c r="AT109" s="183" t="s">
        <v>10276</v>
      </c>
      <c r="AU109" s="183" t="s">
        <v>69</v>
      </c>
      <c r="AV109" s="117" t="s">
        <v>10277</v>
      </c>
      <c r="AW109" s="60">
        <v>42356</v>
      </c>
      <c r="AX109" s="839"/>
      <c r="AY109" s="169"/>
      <c r="AZ109" s="171"/>
      <c r="BA109" s="117" t="s">
        <v>95</v>
      </c>
      <c r="BB109" s="117" t="s">
        <v>10264</v>
      </c>
      <c r="BC109" s="183"/>
      <c r="BD109" s="182"/>
      <c r="BE109" s="182"/>
      <c r="BF109" s="182"/>
      <c r="BG109" s="182"/>
      <c r="BH109" s="140"/>
      <c r="BI109" s="140"/>
      <c r="BJ109" s="184"/>
      <c r="BK109" s="169"/>
      <c r="BL109" s="63"/>
      <c r="BM109" s="549"/>
      <c r="BN109" s="183"/>
      <c r="BO109" s="182"/>
      <c r="BP109" s="182"/>
      <c r="BQ109" s="182"/>
      <c r="BR109" s="186"/>
      <c r="BS109" s="182"/>
      <c r="BT109" s="169"/>
      <c r="BU109" s="63"/>
      <c r="BV109" s="826"/>
      <c r="BW109" s="826"/>
      <c r="BX109" s="826"/>
      <c r="BY109" s="826"/>
      <c r="BZ109" s="826"/>
      <c r="CA109" s="826"/>
      <c r="CB109" s="826"/>
      <c r="CC109" s="826"/>
      <c r="CD109" s="826"/>
      <c r="CE109" s="826"/>
      <c r="CF109" s="826"/>
      <c r="CG109" s="826"/>
      <c r="CH109" s="826"/>
      <c r="CI109" s="826"/>
      <c r="CJ109" s="826"/>
      <c r="CK109" s="826"/>
      <c r="CL109" s="826"/>
      <c r="CM109" s="826"/>
      <c r="CN109" s="826"/>
      <c r="CO109" s="826"/>
      <c r="CP109" s="826"/>
      <c r="CQ109" s="826"/>
      <c r="CR109" s="826"/>
      <c r="CS109" s="826"/>
      <c r="CT109" s="826"/>
      <c r="CU109" s="826"/>
      <c r="CV109" s="826"/>
      <c r="CW109" s="826"/>
      <c r="CX109" s="826"/>
      <c r="CY109" s="826"/>
      <c r="CZ109" s="826"/>
      <c r="DA109" s="826"/>
      <c r="DB109" s="826"/>
      <c r="DC109" s="826"/>
      <c r="DD109" s="826"/>
      <c r="DE109" s="826"/>
      <c r="DF109" s="826"/>
      <c r="DG109" s="826"/>
      <c r="DH109" s="826"/>
      <c r="DI109" s="826"/>
      <c r="DJ109" s="826"/>
      <c r="DK109" s="826"/>
      <c r="DL109" s="826"/>
      <c r="DM109" s="826"/>
      <c r="DN109" s="826"/>
      <c r="DO109" s="826"/>
      <c r="DP109" s="826"/>
      <c r="DQ109" s="826"/>
      <c r="DR109" s="826"/>
      <c r="DS109" s="826"/>
      <c r="DT109" s="826"/>
      <c r="DU109" s="826"/>
      <c r="DV109" s="826"/>
      <c r="DW109" s="826"/>
      <c r="DX109" s="826"/>
      <c r="DY109" s="826"/>
      <c r="DZ109" s="826"/>
      <c r="EA109" s="826"/>
      <c r="EB109" s="826"/>
      <c r="EC109" s="826"/>
      <c r="ED109" s="826"/>
      <c r="EE109" s="826"/>
      <c r="EF109" s="826"/>
      <c r="EG109" s="826"/>
      <c r="EH109" s="826"/>
      <c r="EI109" s="826"/>
      <c r="EJ109" s="826"/>
      <c r="EK109" s="826"/>
      <c r="EL109" s="826"/>
      <c r="EM109" s="826"/>
      <c r="EN109" s="826"/>
      <c r="EO109" s="826"/>
      <c r="EP109" s="826"/>
      <c r="EQ109" s="826"/>
      <c r="ER109" s="826"/>
      <c r="ES109" s="826"/>
      <c r="ET109" s="826"/>
      <c r="EU109" s="826"/>
      <c r="EV109" s="826"/>
      <c r="EW109" s="826"/>
      <c r="EX109" s="826"/>
      <c r="EY109" s="826"/>
      <c r="EZ109" s="826"/>
      <c r="FA109" s="826"/>
      <c r="FB109" s="826"/>
      <c r="FC109" s="826"/>
      <c r="FD109" s="826"/>
      <c r="FE109" s="826"/>
      <c r="FF109" s="826"/>
      <c r="FG109" s="826"/>
      <c r="FH109" s="826"/>
      <c r="FI109" s="826"/>
      <c r="FJ109" s="826"/>
      <c r="FK109" s="826"/>
      <c r="FL109" s="826"/>
      <c r="FM109" s="826"/>
      <c r="FN109" s="826"/>
      <c r="FO109" s="826"/>
      <c r="FP109" s="826"/>
      <c r="FQ109" s="826"/>
      <c r="FR109" s="826"/>
      <c r="FS109" s="826"/>
      <c r="FT109" s="826"/>
      <c r="FU109" s="826"/>
      <c r="FV109" s="826"/>
      <c r="FW109" s="826"/>
      <c r="FX109" s="826"/>
      <c r="FY109" s="826"/>
      <c r="FZ109" s="826"/>
      <c r="GA109" s="826"/>
      <c r="GB109" s="826"/>
      <c r="GC109" s="826"/>
      <c r="GD109" s="826"/>
      <c r="GE109" s="826"/>
      <c r="GF109" s="826"/>
      <c r="GG109" s="826"/>
      <c r="GH109" s="826"/>
      <c r="GI109" s="826"/>
      <c r="GJ109" s="826"/>
      <c r="GK109" s="826"/>
      <c r="GL109" s="826"/>
      <c r="GM109" s="826"/>
      <c r="GN109" s="826"/>
      <c r="GO109" s="826"/>
      <c r="GP109" s="826"/>
      <c r="GQ109" s="826"/>
      <c r="GR109" s="826"/>
      <c r="GS109" s="826"/>
      <c r="GT109" s="826"/>
      <c r="GU109" s="826"/>
      <c r="GV109" s="826"/>
      <c r="GW109" s="826"/>
      <c r="GX109" s="826"/>
      <c r="GY109" s="826"/>
      <c r="GZ109" s="826"/>
      <c r="HA109" s="826"/>
      <c r="HB109" s="826"/>
      <c r="HC109" s="826"/>
    </row>
    <row r="110" spans="1:211" s="847" customFormat="1" ht="56.25" customHeight="1">
      <c r="A110" s="57">
        <v>121</v>
      </c>
      <c r="B110" s="846" t="s">
        <v>9251</v>
      </c>
      <c r="C110" s="59">
        <v>71797359</v>
      </c>
      <c r="D110" s="823" t="s">
        <v>333</v>
      </c>
      <c r="E110" s="60"/>
      <c r="F110" s="63"/>
      <c r="G110" s="62"/>
      <c r="H110" s="117"/>
      <c r="I110" s="183"/>
      <c r="J110" s="169"/>
      <c r="K110" s="63"/>
      <c r="L110" s="182"/>
      <c r="M110" s="183"/>
      <c r="N110" s="183"/>
      <c r="O110" s="169"/>
      <c r="P110" s="63"/>
      <c r="Q110" s="182"/>
      <c r="R110" s="183"/>
      <c r="S110" s="183"/>
      <c r="T110" s="169"/>
      <c r="U110" s="63"/>
      <c r="V110" s="182"/>
      <c r="W110" s="183"/>
      <c r="X110" s="183"/>
      <c r="Y110" s="169"/>
      <c r="Z110" s="63"/>
      <c r="AA110" s="182"/>
      <c r="AB110" s="183"/>
      <c r="AC110" s="183"/>
      <c r="AD110" s="169"/>
      <c r="AE110" s="63"/>
      <c r="AF110" s="182"/>
      <c r="AG110" s="183"/>
      <c r="AH110" s="183"/>
      <c r="AI110" s="183"/>
      <c r="AJ110" s="63"/>
      <c r="AK110" s="182"/>
      <c r="AL110" s="183"/>
      <c r="AM110" s="183"/>
      <c r="AN110" s="183" t="s">
        <v>6487</v>
      </c>
      <c r="AO110" s="183" t="s">
        <v>2558</v>
      </c>
      <c r="AP110" s="848" t="s">
        <v>9253</v>
      </c>
      <c r="AQ110" s="183"/>
      <c r="AR110" s="169">
        <v>38785</v>
      </c>
      <c r="AS110" s="169">
        <v>40724</v>
      </c>
      <c r="AT110" s="183" t="s">
        <v>10278</v>
      </c>
      <c r="AU110" s="183" t="s">
        <v>69</v>
      </c>
      <c r="AV110" s="117" t="s">
        <v>10279</v>
      </c>
      <c r="AW110" s="60">
        <v>42307</v>
      </c>
      <c r="AX110" s="839"/>
      <c r="AY110" s="169"/>
      <c r="AZ110" s="171"/>
      <c r="BA110" s="117" t="s">
        <v>95</v>
      </c>
      <c r="BB110" s="117" t="s">
        <v>4604</v>
      </c>
      <c r="BC110" s="183"/>
      <c r="BD110" s="182"/>
      <c r="BE110" s="182"/>
      <c r="BF110" s="182"/>
      <c r="BG110" s="182"/>
      <c r="BH110" s="140"/>
      <c r="BI110" s="140"/>
      <c r="BJ110" s="184"/>
      <c r="BK110" s="169"/>
      <c r="BL110" s="63"/>
      <c r="BM110" s="549"/>
      <c r="BN110" s="183"/>
      <c r="BO110" s="182"/>
      <c r="BP110" s="182"/>
      <c r="BQ110" s="182"/>
      <c r="BR110" s="186"/>
      <c r="BS110" s="182"/>
      <c r="BT110" s="169"/>
      <c r="BU110" s="63"/>
      <c r="BV110" s="826"/>
      <c r="BW110" s="826"/>
      <c r="BX110" s="826"/>
      <c r="BY110" s="826"/>
      <c r="BZ110" s="826"/>
      <c r="CA110" s="826"/>
      <c r="CB110" s="826"/>
      <c r="CC110" s="826"/>
      <c r="CD110" s="826"/>
      <c r="CE110" s="826"/>
      <c r="CF110" s="826"/>
      <c r="CG110" s="826"/>
      <c r="CH110" s="826"/>
      <c r="CI110" s="826"/>
      <c r="CJ110" s="826"/>
      <c r="CK110" s="826"/>
      <c r="CL110" s="826"/>
      <c r="CM110" s="826"/>
      <c r="CN110" s="826"/>
      <c r="CO110" s="826"/>
      <c r="CP110" s="826"/>
      <c r="CQ110" s="826"/>
      <c r="CR110" s="826"/>
      <c r="CS110" s="826"/>
      <c r="CT110" s="826"/>
      <c r="CU110" s="826"/>
      <c r="CV110" s="826"/>
      <c r="CW110" s="826"/>
      <c r="CX110" s="826"/>
      <c r="CY110" s="826"/>
      <c r="CZ110" s="826"/>
      <c r="DA110" s="826"/>
      <c r="DB110" s="826"/>
      <c r="DC110" s="826"/>
      <c r="DD110" s="826"/>
      <c r="DE110" s="826"/>
      <c r="DF110" s="826"/>
      <c r="DG110" s="826"/>
      <c r="DH110" s="826"/>
      <c r="DI110" s="826"/>
      <c r="DJ110" s="826"/>
      <c r="DK110" s="826"/>
      <c r="DL110" s="826"/>
      <c r="DM110" s="826"/>
      <c r="DN110" s="826"/>
      <c r="DO110" s="826"/>
      <c r="DP110" s="826"/>
      <c r="DQ110" s="826"/>
      <c r="DR110" s="826"/>
      <c r="DS110" s="826"/>
      <c r="DT110" s="826"/>
      <c r="DU110" s="826"/>
      <c r="DV110" s="826"/>
      <c r="DW110" s="826"/>
      <c r="DX110" s="826"/>
      <c r="DY110" s="826"/>
      <c r="DZ110" s="826"/>
      <c r="EA110" s="826"/>
      <c r="EB110" s="826"/>
      <c r="EC110" s="826"/>
      <c r="ED110" s="826"/>
      <c r="EE110" s="826"/>
      <c r="EF110" s="826"/>
      <c r="EG110" s="826"/>
      <c r="EH110" s="826"/>
      <c r="EI110" s="826"/>
      <c r="EJ110" s="826"/>
      <c r="EK110" s="826"/>
      <c r="EL110" s="826"/>
      <c r="EM110" s="826"/>
      <c r="EN110" s="826"/>
      <c r="EO110" s="826"/>
      <c r="EP110" s="826"/>
      <c r="EQ110" s="826"/>
      <c r="ER110" s="826"/>
      <c r="ES110" s="826"/>
      <c r="ET110" s="826"/>
      <c r="EU110" s="826"/>
      <c r="EV110" s="826"/>
      <c r="EW110" s="826"/>
      <c r="EX110" s="826"/>
      <c r="EY110" s="826"/>
      <c r="EZ110" s="826"/>
      <c r="FA110" s="826"/>
      <c r="FB110" s="826"/>
      <c r="FC110" s="826"/>
      <c r="FD110" s="826"/>
      <c r="FE110" s="826"/>
      <c r="FF110" s="826"/>
      <c r="FG110" s="826"/>
      <c r="FH110" s="826"/>
      <c r="FI110" s="826"/>
      <c r="FJ110" s="826"/>
      <c r="FK110" s="826"/>
      <c r="FL110" s="826"/>
      <c r="FM110" s="826"/>
      <c r="FN110" s="826"/>
      <c r="FO110" s="826"/>
      <c r="FP110" s="826"/>
      <c r="FQ110" s="826"/>
      <c r="FR110" s="826"/>
      <c r="FS110" s="826"/>
      <c r="FT110" s="826"/>
      <c r="FU110" s="826"/>
      <c r="FV110" s="826"/>
      <c r="FW110" s="826"/>
      <c r="FX110" s="826"/>
      <c r="FY110" s="826"/>
      <c r="FZ110" s="826"/>
      <c r="GA110" s="826"/>
      <c r="GB110" s="826"/>
      <c r="GC110" s="826"/>
      <c r="GD110" s="826"/>
      <c r="GE110" s="826"/>
      <c r="GF110" s="826"/>
      <c r="GG110" s="826"/>
      <c r="GH110" s="826"/>
      <c r="GI110" s="826"/>
      <c r="GJ110" s="826"/>
      <c r="GK110" s="826"/>
      <c r="GL110" s="826"/>
      <c r="GM110" s="826"/>
      <c r="GN110" s="826"/>
      <c r="GO110" s="826"/>
      <c r="GP110" s="826"/>
      <c r="GQ110" s="826"/>
      <c r="GR110" s="826"/>
      <c r="GS110" s="826"/>
      <c r="GT110" s="826"/>
      <c r="GU110" s="826"/>
      <c r="GV110" s="826"/>
      <c r="GW110" s="826"/>
      <c r="GX110" s="826"/>
      <c r="GY110" s="826"/>
      <c r="GZ110" s="826"/>
      <c r="HA110" s="826"/>
      <c r="HB110" s="826"/>
      <c r="HC110" s="826"/>
    </row>
    <row r="111" spans="1:211" s="847" customFormat="1" ht="185.25" customHeight="1">
      <c r="A111" s="57">
        <v>103</v>
      </c>
      <c r="B111" s="117" t="s">
        <v>10280</v>
      </c>
      <c r="C111" s="59" t="s">
        <v>10281</v>
      </c>
      <c r="D111" s="425" t="s">
        <v>10282</v>
      </c>
      <c r="E111" s="60"/>
      <c r="F111" s="63"/>
      <c r="G111" s="62"/>
      <c r="H111" s="117"/>
      <c r="I111" s="183"/>
      <c r="J111" s="169"/>
      <c r="K111" s="63"/>
      <c r="L111" s="182"/>
      <c r="M111" s="183"/>
      <c r="N111" s="183"/>
      <c r="O111" s="169"/>
      <c r="P111" s="63"/>
      <c r="Q111" s="182"/>
      <c r="R111" s="183"/>
      <c r="S111" s="183"/>
      <c r="T111" s="169"/>
      <c r="U111" s="63"/>
      <c r="V111" s="182"/>
      <c r="W111" s="183"/>
      <c r="X111" s="183"/>
      <c r="Y111" s="169"/>
      <c r="Z111" s="63"/>
      <c r="AA111" s="182"/>
      <c r="AB111" s="183"/>
      <c r="AC111" s="183"/>
      <c r="AD111" s="169"/>
      <c r="AE111" s="63"/>
      <c r="AF111" s="182"/>
      <c r="AG111" s="183"/>
      <c r="AH111" s="183"/>
      <c r="AI111" s="183"/>
      <c r="AJ111" s="63"/>
      <c r="AK111" s="182"/>
      <c r="AL111" s="183"/>
      <c r="AM111" s="183"/>
      <c r="AN111" s="183" t="s">
        <v>6487</v>
      </c>
      <c r="AO111" s="183" t="s">
        <v>2558</v>
      </c>
      <c r="AP111" s="848" t="s">
        <v>10283</v>
      </c>
      <c r="AQ111" s="183"/>
      <c r="AR111" s="169" t="s">
        <v>67</v>
      </c>
      <c r="AS111" s="169" t="s">
        <v>67</v>
      </c>
      <c r="AT111" s="183"/>
      <c r="AU111" s="183" t="s">
        <v>69</v>
      </c>
      <c r="AV111" s="117" t="s">
        <v>10284</v>
      </c>
      <c r="AW111" s="60">
        <v>42825</v>
      </c>
      <c r="AX111" s="839"/>
      <c r="AY111" s="169"/>
      <c r="AZ111" s="171"/>
      <c r="BA111" s="117" t="s">
        <v>561</v>
      </c>
      <c r="BB111" s="117" t="s">
        <v>10285</v>
      </c>
      <c r="BC111" s="183"/>
      <c r="BD111" s="182"/>
      <c r="BE111" s="182"/>
      <c r="BF111" s="182"/>
      <c r="BG111" s="182"/>
      <c r="BH111" s="140"/>
      <c r="BI111" s="140"/>
      <c r="BJ111" s="184"/>
      <c r="BK111" s="169"/>
      <c r="BL111" s="63"/>
      <c r="BM111" s="549"/>
      <c r="BN111" s="183"/>
      <c r="BO111" s="182"/>
      <c r="BP111" s="182"/>
      <c r="BQ111" s="182"/>
      <c r="BR111" s="186"/>
      <c r="BS111" s="182"/>
      <c r="BT111" s="169"/>
      <c r="BU111" s="63"/>
      <c r="BV111" s="826"/>
      <c r="BW111" s="826"/>
      <c r="BX111" s="826"/>
      <c r="BY111" s="826"/>
      <c r="BZ111" s="826"/>
      <c r="CA111" s="826"/>
      <c r="CB111" s="826"/>
      <c r="CC111" s="826"/>
      <c r="CD111" s="826"/>
      <c r="CE111" s="826"/>
      <c r="CF111" s="826"/>
      <c r="CG111" s="826"/>
      <c r="CH111" s="826"/>
      <c r="CI111" s="826"/>
      <c r="CJ111" s="826"/>
      <c r="CK111" s="826"/>
      <c r="CL111" s="826"/>
      <c r="CM111" s="826"/>
      <c r="CN111" s="826"/>
      <c r="CO111" s="826"/>
      <c r="CP111" s="826"/>
      <c r="CQ111" s="826"/>
      <c r="CR111" s="826"/>
      <c r="CS111" s="826"/>
      <c r="CT111" s="826"/>
      <c r="CU111" s="826"/>
      <c r="CV111" s="826"/>
      <c r="CW111" s="826"/>
      <c r="CX111" s="826"/>
      <c r="CY111" s="826"/>
      <c r="CZ111" s="826"/>
      <c r="DA111" s="826"/>
      <c r="DB111" s="826"/>
      <c r="DC111" s="826"/>
      <c r="DD111" s="826"/>
      <c r="DE111" s="826"/>
      <c r="DF111" s="826"/>
      <c r="DG111" s="826"/>
      <c r="DH111" s="826"/>
      <c r="DI111" s="826"/>
      <c r="DJ111" s="826"/>
      <c r="DK111" s="826"/>
      <c r="DL111" s="826"/>
      <c r="DM111" s="826"/>
      <c r="DN111" s="826"/>
      <c r="DO111" s="826"/>
      <c r="DP111" s="826"/>
      <c r="DQ111" s="826"/>
      <c r="DR111" s="826"/>
      <c r="DS111" s="826"/>
      <c r="DT111" s="826"/>
      <c r="DU111" s="826"/>
      <c r="DV111" s="826"/>
      <c r="DW111" s="826"/>
      <c r="DX111" s="826"/>
      <c r="DY111" s="826"/>
      <c r="DZ111" s="826"/>
      <c r="EA111" s="826"/>
      <c r="EB111" s="826"/>
      <c r="EC111" s="826"/>
      <c r="ED111" s="826"/>
      <c r="EE111" s="826"/>
      <c r="EF111" s="826"/>
      <c r="EG111" s="826"/>
      <c r="EH111" s="826"/>
      <c r="EI111" s="826"/>
      <c r="EJ111" s="826"/>
      <c r="EK111" s="826"/>
      <c r="EL111" s="826"/>
      <c r="EM111" s="826"/>
      <c r="EN111" s="826"/>
      <c r="EO111" s="826"/>
      <c r="EP111" s="826"/>
      <c r="EQ111" s="826"/>
      <c r="ER111" s="826"/>
      <c r="ES111" s="826"/>
      <c r="ET111" s="826"/>
      <c r="EU111" s="826"/>
      <c r="EV111" s="826"/>
      <c r="EW111" s="826"/>
      <c r="EX111" s="826"/>
      <c r="EY111" s="826"/>
      <c r="EZ111" s="826"/>
      <c r="FA111" s="826"/>
      <c r="FB111" s="826"/>
      <c r="FC111" s="826"/>
      <c r="FD111" s="826"/>
      <c r="FE111" s="826"/>
      <c r="FF111" s="826"/>
      <c r="FG111" s="826"/>
      <c r="FH111" s="826"/>
      <c r="FI111" s="826"/>
      <c r="FJ111" s="826"/>
      <c r="FK111" s="826"/>
      <c r="FL111" s="826"/>
      <c r="FM111" s="826"/>
      <c r="FN111" s="826"/>
      <c r="FO111" s="826"/>
      <c r="FP111" s="826"/>
      <c r="FQ111" s="826"/>
      <c r="FR111" s="826"/>
      <c r="FS111" s="826"/>
      <c r="FT111" s="826"/>
      <c r="FU111" s="826"/>
      <c r="FV111" s="826"/>
      <c r="FW111" s="826"/>
      <c r="FX111" s="826"/>
      <c r="FY111" s="826"/>
      <c r="FZ111" s="826"/>
      <c r="GA111" s="826"/>
      <c r="GB111" s="826"/>
      <c r="GC111" s="826"/>
      <c r="GD111" s="826"/>
      <c r="GE111" s="826"/>
      <c r="GF111" s="826"/>
      <c r="GG111" s="826"/>
      <c r="GH111" s="826"/>
      <c r="GI111" s="826"/>
      <c r="GJ111" s="826"/>
      <c r="GK111" s="826"/>
      <c r="GL111" s="826"/>
      <c r="GM111" s="826"/>
      <c r="GN111" s="826"/>
      <c r="GO111" s="826"/>
      <c r="GP111" s="826"/>
      <c r="GQ111" s="826"/>
      <c r="GR111" s="826"/>
      <c r="GS111" s="826"/>
      <c r="GT111" s="826"/>
      <c r="GU111" s="826"/>
      <c r="GV111" s="826"/>
      <c r="GW111" s="826"/>
      <c r="GX111" s="826"/>
      <c r="GY111" s="826"/>
      <c r="GZ111" s="826"/>
      <c r="HA111" s="826"/>
      <c r="HB111" s="826"/>
      <c r="HC111" s="826"/>
    </row>
    <row r="112" spans="1:211" s="847" customFormat="1" ht="56.25" customHeight="1">
      <c r="A112" s="57">
        <v>104</v>
      </c>
      <c r="B112" s="846" t="s">
        <v>4352</v>
      </c>
      <c r="C112" s="59">
        <v>70523565</v>
      </c>
      <c r="D112" s="425"/>
      <c r="E112" s="60"/>
      <c r="F112" s="63"/>
      <c r="G112" s="62"/>
      <c r="H112" s="117"/>
      <c r="I112" s="183"/>
      <c r="J112" s="169"/>
      <c r="K112" s="63"/>
      <c r="L112" s="182"/>
      <c r="M112" s="183"/>
      <c r="N112" s="183"/>
      <c r="O112" s="169"/>
      <c r="P112" s="63"/>
      <c r="Q112" s="182"/>
      <c r="R112" s="183"/>
      <c r="S112" s="183"/>
      <c r="T112" s="169"/>
      <c r="U112" s="63"/>
      <c r="V112" s="182"/>
      <c r="W112" s="183"/>
      <c r="X112" s="183"/>
      <c r="Y112" s="169"/>
      <c r="Z112" s="63"/>
      <c r="AA112" s="182"/>
      <c r="AB112" s="183"/>
      <c r="AC112" s="183"/>
      <c r="AD112" s="169"/>
      <c r="AE112" s="63"/>
      <c r="AF112" s="182"/>
      <c r="AG112" s="183"/>
      <c r="AH112" s="183"/>
      <c r="AI112" s="183"/>
      <c r="AJ112" s="63"/>
      <c r="AK112" s="182"/>
      <c r="AL112" s="183"/>
      <c r="AM112" s="183"/>
      <c r="AN112" s="183" t="s">
        <v>6487</v>
      </c>
      <c r="AO112" s="183" t="s">
        <v>2558</v>
      </c>
      <c r="AP112" s="182" t="s">
        <v>10286</v>
      </c>
      <c r="AQ112" s="169"/>
      <c r="AR112" s="169">
        <v>34394</v>
      </c>
      <c r="AS112" s="169">
        <v>40908</v>
      </c>
      <c r="AT112" s="183" t="s">
        <v>10287</v>
      </c>
      <c r="AU112" s="183" t="s">
        <v>69</v>
      </c>
      <c r="AV112" s="117" t="s">
        <v>10288</v>
      </c>
      <c r="AW112" s="60">
        <v>43028</v>
      </c>
      <c r="AX112" s="839"/>
      <c r="AY112" s="169"/>
      <c r="AZ112" s="171"/>
      <c r="BA112" s="117" t="s">
        <v>912</v>
      </c>
      <c r="BB112" s="117" t="s">
        <v>4478</v>
      </c>
      <c r="BC112" s="183"/>
      <c r="BD112" s="182"/>
      <c r="BE112" s="182"/>
      <c r="BF112" s="182"/>
      <c r="BG112" s="182"/>
      <c r="BH112" s="140"/>
      <c r="BI112" s="140"/>
      <c r="BJ112" s="184"/>
      <c r="BK112" s="169"/>
      <c r="BL112" s="63"/>
      <c r="BM112" s="549"/>
      <c r="BN112" s="183"/>
      <c r="BO112" s="182"/>
      <c r="BP112" s="182"/>
      <c r="BQ112" s="182"/>
      <c r="BR112" s="186"/>
      <c r="BS112" s="182"/>
      <c r="BT112" s="169"/>
      <c r="BU112" s="63"/>
      <c r="BV112" s="826"/>
      <c r="BW112" s="826"/>
      <c r="BX112" s="826"/>
      <c r="BY112" s="826"/>
      <c r="BZ112" s="826"/>
      <c r="CA112" s="826"/>
      <c r="CB112" s="826"/>
      <c r="CC112" s="826"/>
      <c r="CD112" s="826"/>
      <c r="CE112" s="826"/>
      <c r="CF112" s="826"/>
      <c r="CG112" s="826"/>
      <c r="CH112" s="826"/>
      <c r="CI112" s="826"/>
      <c r="CJ112" s="826"/>
      <c r="CK112" s="826"/>
      <c r="CL112" s="826"/>
      <c r="CM112" s="826"/>
      <c r="CN112" s="826"/>
      <c r="CO112" s="826"/>
      <c r="CP112" s="826"/>
      <c r="CQ112" s="826"/>
      <c r="CR112" s="826"/>
      <c r="CS112" s="826"/>
      <c r="CT112" s="826"/>
      <c r="CU112" s="826"/>
      <c r="CV112" s="826"/>
      <c r="CW112" s="826"/>
      <c r="CX112" s="826"/>
      <c r="CY112" s="826"/>
      <c r="CZ112" s="826"/>
      <c r="DA112" s="826"/>
      <c r="DB112" s="826"/>
      <c r="DC112" s="826"/>
      <c r="DD112" s="826"/>
      <c r="DE112" s="826"/>
      <c r="DF112" s="826"/>
      <c r="DG112" s="826"/>
      <c r="DH112" s="826"/>
      <c r="DI112" s="826"/>
      <c r="DJ112" s="826"/>
      <c r="DK112" s="826"/>
      <c r="DL112" s="826"/>
      <c r="DM112" s="826"/>
      <c r="DN112" s="826"/>
      <c r="DO112" s="826"/>
      <c r="DP112" s="826"/>
      <c r="DQ112" s="826"/>
      <c r="DR112" s="826"/>
      <c r="DS112" s="826"/>
      <c r="DT112" s="826"/>
      <c r="DU112" s="826"/>
      <c r="DV112" s="826"/>
      <c r="DW112" s="826"/>
      <c r="DX112" s="826"/>
      <c r="DY112" s="826"/>
      <c r="DZ112" s="826"/>
      <c r="EA112" s="826"/>
      <c r="EB112" s="826"/>
      <c r="EC112" s="826"/>
      <c r="ED112" s="826"/>
      <c r="EE112" s="826"/>
      <c r="EF112" s="826"/>
      <c r="EG112" s="826"/>
      <c r="EH112" s="826"/>
      <c r="EI112" s="826"/>
      <c r="EJ112" s="826"/>
      <c r="EK112" s="826"/>
      <c r="EL112" s="826"/>
      <c r="EM112" s="826"/>
      <c r="EN112" s="826"/>
      <c r="EO112" s="826"/>
      <c r="EP112" s="826"/>
      <c r="EQ112" s="826"/>
      <c r="ER112" s="826"/>
      <c r="ES112" s="826"/>
      <c r="ET112" s="826"/>
      <c r="EU112" s="826"/>
      <c r="EV112" s="826"/>
      <c r="EW112" s="826"/>
      <c r="EX112" s="826"/>
      <c r="EY112" s="826"/>
      <c r="EZ112" s="826"/>
      <c r="FA112" s="826"/>
      <c r="FB112" s="826"/>
      <c r="FC112" s="826"/>
      <c r="FD112" s="826"/>
      <c r="FE112" s="826"/>
      <c r="FF112" s="826"/>
      <c r="FG112" s="826"/>
      <c r="FH112" s="826"/>
      <c r="FI112" s="826"/>
      <c r="FJ112" s="826"/>
      <c r="FK112" s="826"/>
      <c r="FL112" s="826"/>
      <c r="FM112" s="826"/>
      <c r="FN112" s="826"/>
      <c r="FO112" s="826"/>
      <c r="FP112" s="826"/>
      <c r="FQ112" s="826"/>
      <c r="FR112" s="826"/>
      <c r="FS112" s="826"/>
      <c r="FT112" s="826"/>
      <c r="FU112" s="826"/>
      <c r="FV112" s="826"/>
      <c r="FW112" s="826"/>
      <c r="FX112" s="826"/>
      <c r="FY112" s="826"/>
      <c r="FZ112" s="826"/>
      <c r="GA112" s="826"/>
      <c r="GB112" s="826"/>
      <c r="GC112" s="826"/>
      <c r="GD112" s="826"/>
      <c r="GE112" s="826"/>
      <c r="GF112" s="826"/>
      <c r="GG112" s="826"/>
      <c r="GH112" s="826"/>
      <c r="GI112" s="826"/>
      <c r="GJ112" s="826"/>
      <c r="GK112" s="826"/>
      <c r="GL112" s="826"/>
      <c r="GM112" s="826"/>
      <c r="GN112" s="826"/>
      <c r="GO112" s="826"/>
      <c r="GP112" s="826"/>
      <c r="GQ112" s="826"/>
      <c r="GR112" s="826"/>
      <c r="GS112" s="826"/>
      <c r="GT112" s="826"/>
      <c r="GU112" s="826"/>
      <c r="GV112" s="826"/>
      <c r="GW112" s="826"/>
      <c r="GX112" s="826"/>
      <c r="GY112" s="826"/>
      <c r="GZ112" s="826"/>
      <c r="HA112" s="826"/>
      <c r="HB112" s="826"/>
      <c r="HC112" s="826"/>
    </row>
    <row r="113" spans="1:16171" s="847" customFormat="1" ht="56.25" customHeight="1">
      <c r="A113" s="57">
        <v>122</v>
      </c>
      <c r="B113" s="846" t="s">
        <v>9293</v>
      </c>
      <c r="C113" s="59">
        <v>11412510</v>
      </c>
      <c r="D113" s="823" t="s">
        <v>10289</v>
      </c>
      <c r="E113" s="60"/>
      <c r="F113" s="63"/>
      <c r="G113" s="62"/>
      <c r="H113" s="117"/>
      <c r="I113" s="183"/>
      <c r="J113" s="169"/>
      <c r="K113" s="63"/>
      <c r="L113" s="182"/>
      <c r="M113" s="183"/>
      <c r="N113" s="183"/>
      <c r="O113" s="169"/>
      <c r="P113" s="63"/>
      <c r="Q113" s="182"/>
      <c r="R113" s="183"/>
      <c r="S113" s="183"/>
      <c r="T113" s="169"/>
      <c r="U113" s="63"/>
      <c r="V113" s="182"/>
      <c r="W113" s="183"/>
      <c r="X113" s="183"/>
      <c r="Y113" s="169"/>
      <c r="Z113" s="63"/>
      <c r="AA113" s="182"/>
      <c r="AB113" s="183"/>
      <c r="AC113" s="183"/>
      <c r="AD113" s="169"/>
      <c r="AE113" s="63"/>
      <c r="AF113" s="182"/>
      <c r="AG113" s="183"/>
      <c r="AH113" s="183"/>
      <c r="AI113" s="183"/>
      <c r="AJ113" s="63"/>
      <c r="AK113" s="182"/>
      <c r="AL113" s="183"/>
      <c r="AM113" s="183"/>
      <c r="AN113" s="183" t="s">
        <v>6487</v>
      </c>
      <c r="AO113" s="183" t="s">
        <v>2558</v>
      </c>
      <c r="AP113" s="848" t="s">
        <v>9295</v>
      </c>
      <c r="AQ113" s="183"/>
      <c r="AR113" s="169">
        <v>38649</v>
      </c>
      <c r="AS113" s="169">
        <v>39994</v>
      </c>
      <c r="AT113" s="183" t="s">
        <v>10290</v>
      </c>
      <c r="AU113" s="183" t="s">
        <v>69</v>
      </c>
      <c r="AV113" s="117" t="s">
        <v>10291</v>
      </c>
      <c r="AW113" s="60">
        <v>42615</v>
      </c>
      <c r="AX113" s="839"/>
      <c r="AY113" s="169"/>
      <c r="AZ113" s="171"/>
      <c r="BA113" s="117" t="s">
        <v>95</v>
      </c>
      <c r="BB113" s="117" t="s">
        <v>1792</v>
      </c>
      <c r="BC113" s="183"/>
      <c r="BD113" s="182"/>
      <c r="BE113" s="182"/>
      <c r="BF113" s="182"/>
      <c r="BG113" s="182"/>
      <c r="BH113" s="140"/>
      <c r="BI113" s="140"/>
      <c r="BJ113" s="184"/>
      <c r="BK113" s="169"/>
      <c r="BL113" s="63"/>
      <c r="BM113" s="549"/>
      <c r="BN113" s="183"/>
      <c r="BO113" s="182"/>
      <c r="BP113" s="182"/>
      <c r="BQ113" s="182"/>
      <c r="BR113" s="186"/>
      <c r="BS113" s="182"/>
      <c r="BT113" s="169"/>
      <c r="BU113" s="63"/>
      <c r="BV113" s="826"/>
      <c r="BW113" s="826"/>
      <c r="BX113" s="826"/>
      <c r="BY113" s="826"/>
      <c r="BZ113" s="826"/>
      <c r="CA113" s="826"/>
      <c r="CB113" s="826"/>
      <c r="CC113" s="826"/>
      <c r="CD113" s="826"/>
      <c r="CE113" s="826"/>
      <c r="CF113" s="826"/>
      <c r="CG113" s="826"/>
      <c r="CH113" s="826"/>
      <c r="CI113" s="826"/>
      <c r="CJ113" s="826"/>
      <c r="CK113" s="826"/>
      <c r="CL113" s="826"/>
      <c r="CM113" s="826"/>
      <c r="CN113" s="826"/>
      <c r="CO113" s="826"/>
      <c r="CP113" s="826"/>
      <c r="CQ113" s="826"/>
      <c r="CR113" s="826"/>
      <c r="CS113" s="826"/>
      <c r="CT113" s="826"/>
      <c r="CU113" s="826"/>
      <c r="CV113" s="826"/>
      <c r="CW113" s="826"/>
      <c r="CX113" s="826"/>
      <c r="CY113" s="826"/>
      <c r="CZ113" s="826"/>
      <c r="DA113" s="826"/>
      <c r="DB113" s="826"/>
      <c r="DC113" s="826"/>
      <c r="DD113" s="826"/>
      <c r="DE113" s="826"/>
      <c r="DF113" s="826"/>
      <c r="DG113" s="826"/>
      <c r="DH113" s="826"/>
      <c r="DI113" s="826"/>
      <c r="DJ113" s="826"/>
      <c r="DK113" s="826"/>
      <c r="DL113" s="826"/>
      <c r="DM113" s="826"/>
      <c r="DN113" s="826"/>
      <c r="DO113" s="826"/>
      <c r="DP113" s="826"/>
      <c r="DQ113" s="826"/>
      <c r="DR113" s="826"/>
      <c r="DS113" s="826"/>
      <c r="DT113" s="826"/>
      <c r="DU113" s="826"/>
      <c r="DV113" s="826"/>
      <c r="DW113" s="826"/>
      <c r="DX113" s="826"/>
      <c r="DY113" s="826"/>
      <c r="DZ113" s="826"/>
      <c r="EA113" s="826"/>
      <c r="EB113" s="826"/>
      <c r="EC113" s="826"/>
      <c r="ED113" s="826"/>
      <c r="EE113" s="826"/>
      <c r="EF113" s="826"/>
      <c r="EG113" s="826"/>
      <c r="EH113" s="826"/>
      <c r="EI113" s="826"/>
      <c r="EJ113" s="826"/>
      <c r="EK113" s="826"/>
      <c r="EL113" s="826"/>
      <c r="EM113" s="826"/>
      <c r="EN113" s="826"/>
      <c r="EO113" s="826"/>
      <c r="EP113" s="826"/>
      <c r="EQ113" s="826"/>
      <c r="ER113" s="826"/>
      <c r="ES113" s="826"/>
      <c r="ET113" s="826"/>
      <c r="EU113" s="826"/>
      <c r="EV113" s="826"/>
      <c r="EW113" s="826"/>
      <c r="EX113" s="826"/>
      <c r="EY113" s="826"/>
      <c r="EZ113" s="826"/>
      <c r="FA113" s="826"/>
      <c r="FB113" s="826"/>
      <c r="FC113" s="826"/>
      <c r="FD113" s="826"/>
      <c r="FE113" s="826"/>
      <c r="FF113" s="826"/>
      <c r="FG113" s="826"/>
      <c r="FH113" s="826"/>
      <c r="FI113" s="826"/>
      <c r="FJ113" s="826"/>
      <c r="FK113" s="826"/>
      <c r="FL113" s="826"/>
      <c r="FM113" s="826"/>
      <c r="FN113" s="826"/>
      <c r="FO113" s="826"/>
      <c r="FP113" s="826"/>
      <c r="FQ113" s="826"/>
      <c r="FR113" s="826"/>
      <c r="FS113" s="826"/>
      <c r="FT113" s="826"/>
      <c r="FU113" s="826"/>
      <c r="FV113" s="826"/>
      <c r="FW113" s="826"/>
      <c r="FX113" s="826"/>
      <c r="FY113" s="826"/>
      <c r="FZ113" s="826"/>
      <c r="GA113" s="826"/>
      <c r="GB113" s="826"/>
      <c r="GC113" s="826"/>
      <c r="GD113" s="826"/>
      <c r="GE113" s="826"/>
      <c r="GF113" s="826"/>
      <c r="GG113" s="826"/>
      <c r="GH113" s="826"/>
      <c r="GI113" s="826"/>
      <c r="GJ113" s="826"/>
      <c r="GK113" s="826"/>
      <c r="GL113" s="826"/>
      <c r="GM113" s="826"/>
      <c r="GN113" s="826"/>
      <c r="GO113" s="826"/>
      <c r="GP113" s="826"/>
      <c r="GQ113" s="826"/>
      <c r="GR113" s="826"/>
      <c r="GS113" s="826"/>
      <c r="GT113" s="826"/>
      <c r="GU113" s="826"/>
      <c r="GV113" s="826"/>
      <c r="GW113" s="826"/>
      <c r="GX113" s="826"/>
      <c r="GY113" s="826"/>
      <c r="GZ113" s="826"/>
      <c r="HA113" s="826"/>
      <c r="HB113" s="826"/>
      <c r="HC113" s="826"/>
    </row>
    <row r="114" spans="1:16171" s="847" customFormat="1" ht="56.25" customHeight="1">
      <c r="A114" s="57">
        <v>102</v>
      </c>
      <c r="B114" s="846" t="s">
        <v>10292</v>
      </c>
      <c r="C114" s="59">
        <v>64740664</v>
      </c>
      <c r="D114" s="823" t="s">
        <v>8070</v>
      </c>
      <c r="E114" s="60"/>
      <c r="F114" s="63"/>
      <c r="G114" s="62"/>
      <c r="H114" s="117"/>
      <c r="I114" s="183"/>
      <c r="J114" s="169"/>
      <c r="K114" s="63"/>
      <c r="L114" s="182"/>
      <c r="M114" s="183"/>
      <c r="N114" s="183"/>
      <c r="O114" s="169"/>
      <c r="P114" s="63"/>
      <c r="Q114" s="182"/>
      <c r="R114" s="183"/>
      <c r="S114" s="183"/>
      <c r="T114" s="169"/>
      <c r="U114" s="63"/>
      <c r="V114" s="182"/>
      <c r="W114" s="183"/>
      <c r="X114" s="183"/>
      <c r="Y114" s="169"/>
      <c r="Z114" s="63"/>
      <c r="AA114" s="182"/>
      <c r="AB114" s="183"/>
      <c r="AC114" s="183"/>
      <c r="AD114" s="169"/>
      <c r="AE114" s="63"/>
      <c r="AF114" s="182"/>
      <c r="AG114" s="183"/>
      <c r="AH114" s="183"/>
      <c r="AI114" s="183"/>
      <c r="AJ114" s="63"/>
      <c r="AK114" s="182"/>
      <c r="AL114" s="183"/>
      <c r="AM114" s="183"/>
      <c r="AN114" s="183" t="s">
        <v>6487</v>
      </c>
      <c r="AO114" s="183" t="s">
        <v>2558</v>
      </c>
      <c r="AP114" s="848" t="s">
        <v>10293</v>
      </c>
      <c r="AQ114" s="183"/>
      <c r="AR114" s="169">
        <v>37842</v>
      </c>
      <c r="AS114" s="169">
        <v>40618</v>
      </c>
      <c r="AT114" s="183"/>
      <c r="AU114" s="183" t="s">
        <v>69</v>
      </c>
      <c r="AV114" s="117" t="s">
        <v>10294</v>
      </c>
      <c r="AW114" s="60">
        <v>43006</v>
      </c>
      <c r="AX114" s="839"/>
      <c r="AY114" s="169"/>
      <c r="AZ114" s="171"/>
      <c r="BA114" s="117" t="s">
        <v>4865</v>
      </c>
      <c r="BB114" s="117" t="s">
        <v>4478</v>
      </c>
      <c r="BC114" s="183"/>
      <c r="BD114" s="182"/>
      <c r="BE114" s="182"/>
      <c r="BF114" s="182"/>
      <c r="BG114" s="182"/>
      <c r="BH114" s="140"/>
      <c r="BI114" s="140"/>
      <c r="BJ114" s="184"/>
      <c r="BK114" s="169"/>
      <c r="BL114" s="63"/>
      <c r="BM114" s="549"/>
      <c r="BN114" s="183"/>
      <c r="BO114" s="182"/>
      <c r="BP114" s="182"/>
      <c r="BQ114" s="182"/>
      <c r="BR114" s="186"/>
      <c r="BS114" s="182"/>
      <c r="BT114" s="169"/>
      <c r="BU114" s="63"/>
      <c r="BV114" s="826"/>
      <c r="BW114" s="826"/>
      <c r="BX114" s="826"/>
      <c r="BY114" s="826"/>
      <c r="BZ114" s="826"/>
      <c r="CA114" s="826"/>
      <c r="CB114" s="826"/>
      <c r="CC114" s="826"/>
      <c r="CD114" s="826"/>
      <c r="CE114" s="826"/>
      <c r="CF114" s="826"/>
      <c r="CG114" s="826"/>
      <c r="CH114" s="826"/>
      <c r="CI114" s="826"/>
      <c r="CJ114" s="826"/>
      <c r="CK114" s="826"/>
      <c r="CL114" s="826"/>
      <c r="CM114" s="826"/>
      <c r="CN114" s="826"/>
      <c r="CO114" s="826"/>
      <c r="CP114" s="826"/>
      <c r="CQ114" s="826"/>
      <c r="CR114" s="826"/>
      <c r="CS114" s="826"/>
      <c r="CT114" s="826"/>
      <c r="CU114" s="826"/>
      <c r="CV114" s="826"/>
      <c r="CW114" s="826"/>
      <c r="CX114" s="826"/>
      <c r="CY114" s="826"/>
      <c r="CZ114" s="826"/>
      <c r="DA114" s="826"/>
      <c r="DB114" s="826"/>
      <c r="DC114" s="826"/>
      <c r="DD114" s="826"/>
      <c r="DE114" s="826"/>
      <c r="DF114" s="826"/>
      <c r="DG114" s="826"/>
      <c r="DH114" s="826"/>
      <c r="DI114" s="826"/>
      <c r="DJ114" s="826"/>
      <c r="DK114" s="826"/>
      <c r="DL114" s="826"/>
      <c r="DM114" s="826"/>
      <c r="DN114" s="826"/>
      <c r="DO114" s="826"/>
      <c r="DP114" s="826"/>
      <c r="DQ114" s="826"/>
      <c r="DR114" s="826"/>
      <c r="DS114" s="826"/>
      <c r="DT114" s="826"/>
      <c r="DU114" s="826"/>
      <c r="DV114" s="826"/>
      <c r="DW114" s="826"/>
      <c r="DX114" s="826"/>
      <c r="DY114" s="826"/>
      <c r="DZ114" s="826"/>
      <c r="EA114" s="826"/>
      <c r="EB114" s="826"/>
      <c r="EC114" s="826"/>
      <c r="ED114" s="826"/>
      <c r="EE114" s="826"/>
      <c r="EF114" s="826"/>
      <c r="EG114" s="826"/>
      <c r="EH114" s="826"/>
      <c r="EI114" s="826"/>
      <c r="EJ114" s="826"/>
      <c r="EK114" s="826"/>
      <c r="EL114" s="826"/>
      <c r="EM114" s="826"/>
      <c r="EN114" s="826"/>
      <c r="EO114" s="826"/>
      <c r="EP114" s="826"/>
      <c r="EQ114" s="826"/>
      <c r="ER114" s="826"/>
      <c r="ES114" s="826"/>
      <c r="ET114" s="826"/>
      <c r="EU114" s="826"/>
      <c r="EV114" s="826"/>
      <c r="EW114" s="826"/>
      <c r="EX114" s="826"/>
      <c r="EY114" s="826"/>
      <c r="EZ114" s="826"/>
      <c r="FA114" s="826"/>
      <c r="FB114" s="826"/>
      <c r="FC114" s="826"/>
      <c r="FD114" s="826"/>
      <c r="FE114" s="826"/>
      <c r="FF114" s="826"/>
      <c r="FG114" s="826"/>
      <c r="FH114" s="826"/>
      <c r="FI114" s="826"/>
      <c r="FJ114" s="826"/>
      <c r="FK114" s="826"/>
      <c r="FL114" s="826"/>
      <c r="FM114" s="826"/>
      <c r="FN114" s="826"/>
      <c r="FO114" s="826"/>
      <c r="FP114" s="826"/>
      <c r="FQ114" s="826"/>
      <c r="FR114" s="826"/>
      <c r="FS114" s="826"/>
      <c r="FT114" s="826"/>
      <c r="FU114" s="826"/>
      <c r="FV114" s="826"/>
      <c r="FW114" s="826"/>
      <c r="FX114" s="826"/>
      <c r="FY114" s="826"/>
      <c r="FZ114" s="826"/>
      <c r="GA114" s="826"/>
      <c r="GB114" s="826"/>
      <c r="GC114" s="826"/>
      <c r="GD114" s="826"/>
      <c r="GE114" s="826"/>
      <c r="GF114" s="826"/>
      <c r="GG114" s="826"/>
      <c r="GH114" s="826"/>
      <c r="GI114" s="826"/>
      <c r="GJ114" s="826"/>
      <c r="GK114" s="826"/>
      <c r="GL114" s="826"/>
      <c r="GM114" s="826"/>
      <c r="GN114" s="826"/>
      <c r="GO114" s="826"/>
      <c r="GP114" s="826"/>
      <c r="GQ114" s="826"/>
      <c r="GR114" s="826"/>
      <c r="GS114" s="826"/>
      <c r="GT114" s="826"/>
      <c r="GU114" s="826"/>
      <c r="GV114" s="826"/>
      <c r="GW114" s="826"/>
      <c r="GX114" s="826"/>
      <c r="GY114" s="826"/>
      <c r="GZ114" s="826"/>
      <c r="HA114" s="826"/>
      <c r="HB114" s="826"/>
      <c r="HC114" s="826"/>
    </row>
    <row r="115" spans="1:16171" s="847" customFormat="1" ht="56.25" customHeight="1">
      <c r="A115" s="57">
        <v>123</v>
      </c>
      <c r="B115" s="846" t="s">
        <v>10295</v>
      </c>
      <c r="C115" s="59">
        <v>93393326</v>
      </c>
      <c r="D115" s="823" t="s">
        <v>8638</v>
      </c>
      <c r="E115" s="60"/>
      <c r="F115" s="63"/>
      <c r="G115" s="62"/>
      <c r="H115" s="117"/>
      <c r="I115" s="183"/>
      <c r="J115" s="169"/>
      <c r="K115" s="63"/>
      <c r="L115" s="182"/>
      <c r="M115" s="183"/>
      <c r="N115" s="183"/>
      <c r="O115" s="169"/>
      <c r="P115" s="63"/>
      <c r="Q115" s="182"/>
      <c r="R115" s="183"/>
      <c r="S115" s="183"/>
      <c r="T115" s="169"/>
      <c r="U115" s="63"/>
      <c r="V115" s="182"/>
      <c r="W115" s="183"/>
      <c r="X115" s="183"/>
      <c r="Y115" s="169"/>
      <c r="Z115" s="63"/>
      <c r="AA115" s="182"/>
      <c r="AB115" s="183"/>
      <c r="AC115" s="183"/>
      <c r="AD115" s="169"/>
      <c r="AE115" s="63"/>
      <c r="AF115" s="182"/>
      <c r="AG115" s="183"/>
      <c r="AH115" s="183"/>
      <c r="AI115" s="183"/>
      <c r="AJ115" s="63"/>
      <c r="AK115" s="182"/>
      <c r="AL115" s="183"/>
      <c r="AM115" s="183"/>
      <c r="AN115" s="183" t="s">
        <v>6487</v>
      </c>
      <c r="AO115" s="183" t="s">
        <v>2558</v>
      </c>
      <c r="AP115" s="848" t="s">
        <v>10296</v>
      </c>
      <c r="AQ115" s="183"/>
      <c r="AR115" s="169">
        <v>39262</v>
      </c>
      <c r="AS115" s="169">
        <v>40633</v>
      </c>
      <c r="AT115" s="183"/>
      <c r="AU115" s="183" t="s">
        <v>69</v>
      </c>
      <c r="AV115" s="117" t="s">
        <v>10297</v>
      </c>
      <c r="AW115" s="60">
        <v>43000</v>
      </c>
      <c r="AX115" s="839"/>
      <c r="AY115" s="169"/>
      <c r="AZ115" s="171"/>
      <c r="BA115" s="117" t="s">
        <v>95</v>
      </c>
      <c r="BB115" s="117" t="s">
        <v>4478</v>
      </c>
      <c r="BC115" s="183"/>
      <c r="BD115" s="182"/>
      <c r="BE115" s="182"/>
      <c r="BF115" s="182"/>
      <c r="BG115" s="182"/>
      <c r="BH115" s="140"/>
      <c r="BI115" s="140"/>
      <c r="BJ115" s="184"/>
      <c r="BK115" s="169"/>
      <c r="BL115" s="63"/>
      <c r="BM115" s="549"/>
      <c r="BN115" s="183"/>
      <c r="BO115" s="182"/>
      <c r="BP115" s="182"/>
      <c r="BQ115" s="182"/>
      <c r="BR115" s="186"/>
      <c r="BS115" s="182"/>
      <c r="BT115" s="169"/>
      <c r="BU115" s="63"/>
      <c r="BV115" s="826"/>
      <c r="BW115" s="826"/>
      <c r="BX115" s="826"/>
      <c r="BY115" s="826"/>
      <c r="BZ115" s="826"/>
      <c r="CA115" s="826"/>
      <c r="CB115" s="826"/>
      <c r="CC115" s="826"/>
      <c r="CD115" s="826"/>
      <c r="CE115" s="826"/>
      <c r="CF115" s="826"/>
      <c r="CG115" s="826"/>
      <c r="CH115" s="826"/>
      <c r="CI115" s="826"/>
      <c r="CJ115" s="826"/>
      <c r="CK115" s="826"/>
      <c r="CL115" s="826"/>
      <c r="CM115" s="826"/>
      <c r="CN115" s="826"/>
      <c r="CO115" s="826"/>
      <c r="CP115" s="826"/>
      <c r="CQ115" s="826"/>
      <c r="CR115" s="826"/>
      <c r="CS115" s="826"/>
      <c r="CT115" s="826"/>
      <c r="CU115" s="826"/>
      <c r="CV115" s="826"/>
      <c r="CW115" s="826"/>
      <c r="CX115" s="826"/>
      <c r="CY115" s="826"/>
      <c r="CZ115" s="826"/>
      <c r="DA115" s="826"/>
      <c r="DB115" s="826"/>
      <c r="DC115" s="826"/>
      <c r="DD115" s="826"/>
      <c r="DE115" s="826"/>
      <c r="DF115" s="826"/>
      <c r="DG115" s="826"/>
      <c r="DH115" s="826"/>
      <c r="DI115" s="826"/>
      <c r="DJ115" s="826"/>
      <c r="DK115" s="826"/>
      <c r="DL115" s="826"/>
      <c r="DM115" s="826"/>
      <c r="DN115" s="826"/>
      <c r="DO115" s="826"/>
      <c r="DP115" s="826"/>
      <c r="DQ115" s="826"/>
      <c r="DR115" s="826"/>
      <c r="DS115" s="826"/>
      <c r="DT115" s="826"/>
      <c r="DU115" s="826"/>
      <c r="DV115" s="826"/>
      <c r="DW115" s="826"/>
      <c r="DX115" s="826"/>
      <c r="DY115" s="826"/>
      <c r="DZ115" s="826"/>
      <c r="EA115" s="826"/>
      <c r="EB115" s="826"/>
      <c r="EC115" s="826"/>
      <c r="ED115" s="826"/>
      <c r="EE115" s="826"/>
      <c r="EF115" s="826"/>
      <c r="EG115" s="826"/>
      <c r="EH115" s="826"/>
      <c r="EI115" s="826"/>
      <c r="EJ115" s="826"/>
      <c r="EK115" s="826"/>
      <c r="EL115" s="826"/>
      <c r="EM115" s="826"/>
      <c r="EN115" s="826"/>
      <c r="EO115" s="826"/>
      <c r="EP115" s="826"/>
      <c r="EQ115" s="826"/>
      <c r="ER115" s="826"/>
      <c r="ES115" s="826"/>
      <c r="ET115" s="826"/>
      <c r="EU115" s="826"/>
      <c r="EV115" s="826"/>
      <c r="EW115" s="826"/>
      <c r="EX115" s="826"/>
      <c r="EY115" s="826"/>
      <c r="EZ115" s="826"/>
      <c r="FA115" s="826"/>
      <c r="FB115" s="826"/>
      <c r="FC115" s="826"/>
      <c r="FD115" s="826"/>
      <c r="FE115" s="826"/>
      <c r="FF115" s="826"/>
      <c r="FG115" s="826"/>
      <c r="FH115" s="826"/>
      <c r="FI115" s="826"/>
      <c r="FJ115" s="826"/>
      <c r="FK115" s="826"/>
      <c r="FL115" s="826"/>
      <c r="FM115" s="826"/>
      <c r="FN115" s="826"/>
      <c r="FO115" s="826"/>
      <c r="FP115" s="826"/>
      <c r="FQ115" s="826"/>
      <c r="FR115" s="826"/>
      <c r="FS115" s="826"/>
      <c r="FT115" s="826"/>
      <c r="FU115" s="826"/>
      <c r="FV115" s="826"/>
      <c r="FW115" s="826"/>
      <c r="FX115" s="826"/>
      <c r="FY115" s="826"/>
      <c r="FZ115" s="826"/>
      <c r="GA115" s="826"/>
      <c r="GB115" s="826"/>
      <c r="GC115" s="826"/>
      <c r="GD115" s="826"/>
      <c r="GE115" s="826"/>
      <c r="GF115" s="826"/>
      <c r="GG115" s="826"/>
      <c r="GH115" s="826"/>
      <c r="GI115" s="826"/>
      <c r="GJ115" s="826"/>
      <c r="GK115" s="826"/>
      <c r="GL115" s="826"/>
      <c r="GM115" s="826"/>
      <c r="GN115" s="826"/>
      <c r="GO115" s="826"/>
      <c r="GP115" s="826"/>
      <c r="GQ115" s="826"/>
      <c r="GR115" s="826"/>
      <c r="GS115" s="826"/>
      <c r="GT115" s="826"/>
      <c r="GU115" s="826"/>
      <c r="GV115" s="826"/>
      <c r="GW115" s="826"/>
      <c r="GX115" s="826"/>
      <c r="GY115" s="826"/>
      <c r="GZ115" s="826"/>
      <c r="HA115" s="826"/>
      <c r="HB115" s="826"/>
      <c r="HC115" s="826"/>
    </row>
    <row r="116" spans="1:16171" s="847" customFormat="1" ht="56.25" customHeight="1">
      <c r="A116" s="57">
        <v>124</v>
      </c>
      <c r="B116" s="846" t="s">
        <v>8634</v>
      </c>
      <c r="C116" s="59">
        <v>16749446</v>
      </c>
      <c r="D116" s="823" t="s">
        <v>9983</v>
      </c>
      <c r="E116" s="60"/>
      <c r="F116" s="63"/>
      <c r="G116" s="62"/>
      <c r="H116" s="117"/>
      <c r="I116" s="183"/>
      <c r="J116" s="169"/>
      <c r="K116" s="63"/>
      <c r="L116" s="182"/>
      <c r="M116" s="183"/>
      <c r="N116" s="183"/>
      <c r="O116" s="169"/>
      <c r="P116" s="63"/>
      <c r="Q116" s="182"/>
      <c r="R116" s="183"/>
      <c r="S116" s="183"/>
      <c r="T116" s="169"/>
      <c r="U116" s="63"/>
      <c r="V116" s="182"/>
      <c r="W116" s="183"/>
      <c r="X116" s="183"/>
      <c r="Y116" s="169"/>
      <c r="Z116" s="63"/>
      <c r="AA116" s="182"/>
      <c r="AB116" s="183"/>
      <c r="AC116" s="183"/>
      <c r="AD116" s="169"/>
      <c r="AE116" s="63"/>
      <c r="AF116" s="182"/>
      <c r="AG116" s="183"/>
      <c r="AH116" s="183"/>
      <c r="AI116" s="183"/>
      <c r="AJ116" s="63"/>
      <c r="AK116" s="182"/>
      <c r="AL116" s="183"/>
      <c r="AM116" s="183"/>
      <c r="AN116" s="183" t="s">
        <v>6487</v>
      </c>
      <c r="AO116" s="183" t="s">
        <v>2558</v>
      </c>
      <c r="AP116" s="848" t="s">
        <v>10298</v>
      </c>
      <c r="AQ116" s="183"/>
      <c r="AR116" s="169">
        <v>37073</v>
      </c>
      <c r="AS116" s="169">
        <v>40633</v>
      </c>
      <c r="AT116" s="183" t="s">
        <v>10299</v>
      </c>
      <c r="AU116" s="117" t="s">
        <v>92</v>
      </c>
      <c r="AV116" s="117" t="s">
        <v>10227</v>
      </c>
      <c r="AW116" s="60">
        <v>42290</v>
      </c>
      <c r="AX116" s="839"/>
      <c r="AY116" s="169"/>
      <c r="AZ116" s="171"/>
      <c r="BA116" s="117" t="s">
        <v>95</v>
      </c>
      <c r="BB116" s="117" t="s">
        <v>1792</v>
      </c>
      <c r="BC116" s="183"/>
      <c r="BD116" s="182"/>
      <c r="BE116" s="182"/>
      <c r="BF116" s="182"/>
      <c r="BG116" s="182"/>
      <c r="BH116" s="140"/>
      <c r="BI116" s="140"/>
      <c r="BJ116" s="184"/>
      <c r="BK116" s="169"/>
      <c r="BL116" s="63"/>
      <c r="BM116" s="549"/>
      <c r="BN116" s="183"/>
      <c r="BO116" s="182"/>
      <c r="BP116" s="182"/>
      <c r="BQ116" s="182"/>
      <c r="BR116" s="186"/>
      <c r="BS116" s="182"/>
      <c r="BT116" s="169"/>
      <c r="BU116" s="63"/>
      <c r="BV116" s="826"/>
      <c r="BW116" s="826"/>
      <c r="BX116" s="826"/>
      <c r="BY116" s="826"/>
      <c r="BZ116" s="826"/>
      <c r="CA116" s="826"/>
      <c r="CB116" s="826"/>
      <c r="CC116" s="826"/>
      <c r="CD116" s="826"/>
      <c r="CE116" s="826"/>
      <c r="CF116" s="826"/>
      <c r="CG116" s="826"/>
      <c r="CH116" s="826"/>
      <c r="CI116" s="826"/>
      <c r="CJ116" s="826"/>
      <c r="CK116" s="826"/>
      <c r="CL116" s="826"/>
      <c r="CM116" s="826"/>
      <c r="CN116" s="826"/>
      <c r="CO116" s="826"/>
      <c r="CP116" s="826"/>
      <c r="CQ116" s="826"/>
      <c r="CR116" s="826"/>
      <c r="CS116" s="826"/>
      <c r="CT116" s="826"/>
      <c r="CU116" s="826"/>
      <c r="CV116" s="826"/>
      <c r="CW116" s="826"/>
      <c r="CX116" s="826"/>
      <c r="CY116" s="826"/>
      <c r="CZ116" s="826"/>
      <c r="DA116" s="826"/>
      <c r="DB116" s="826"/>
      <c r="DC116" s="826"/>
      <c r="DD116" s="826"/>
      <c r="DE116" s="826"/>
      <c r="DF116" s="826"/>
      <c r="DG116" s="826"/>
      <c r="DH116" s="826"/>
      <c r="DI116" s="826"/>
      <c r="DJ116" s="826"/>
      <c r="DK116" s="826"/>
      <c r="DL116" s="826"/>
      <c r="DM116" s="826"/>
      <c r="DN116" s="826"/>
      <c r="DO116" s="826"/>
      <c r="DP116" s="826"/>
      <c r="DQ116" s="826"/>
      <c r="DR116" s="826"/>
      <c r="DS116" s="826"/>
      <c r="DT116" s="826"/>
      <c r="DU116" s="826"/>
      <c r="DV116" s="826"/>
      <c r="DW116" s="826"/>
      <c r="DX116" s="826"/>
      <c r="DY116" s="826"/>
      <c r="DZ116" s="826"/>
      <c r="EA116" s="826"/>
      <c r="EB116" s="826"/>
      <c r="EC116" s="826"/>
      <c r="ED116" s="826"/>
      <c r="EE116" s="826"/>
      <c r="EF116" s="826"/>
      <c r="EG116" s="826"/>
      <c r="EH116" s="826"/>
      <c r="EI116" s="826"/>
      <c r="EJ116" s="826"/>
      <c r="EK116" s="826"/>
      <c r="EL116" s="826"/>
      <c r="EM116" s="826"/>
      <c r="EN116" s="826"/>
      <c r="EO116" s="826"/>
      <c r="EP116" s="826"/>
      <c r="EQ116" s="826"/>
      <c r="ER116" s="826"/>
      <c r="ES116" s="826"/>
      <c r="ET116" s="826"/>
      <c r="EU116" s="826"/>
      <c r="EV116" s="826"/>
      <c r="EW116" s="826"/>
      <c r="EX116" s="826"/>
      <c r="EY116" s="826"/>
      <c r="EZ116" s="826"/>
      <c r="FA116" s="826"/>
      <c r="FB116" s="826"/>
      <c r="FC116" s="826"/>
      <c r="FD116" s="826"/>
      <c r="FE116" s="826"/>
      <c r="FF116" s="826"/>
      <c r="FG116" s="826"/>
      <c r="FH116" s="826"/>
      <c r="FI116" s="826"/>
      <c r="FJ116" s="826"/>
      <c r="FK116" s="826"/>
      <c r="FL116" s="826"/>
      <c r="FM116" s="826"/>
      <c r="FN116" s="826"/>
      <c r="FO116" s="826"/>
      <c r="FP116" s="826"/>
      <c r="FQ116" s="826"/>
      <c r="FR116" s="826"/>
      <c r="FS116" s="826"/>
      <c r="FT116" s="826"/>
      <c r="FU116" s="826"/>
      <c r="FV116" s="826"/>
      <c r="FW116" s="826"/>
      <c r="FX116" s="826"/>
      <c r="FY116" s="826"/>
      <c r="FZ116" s="826"/>
      <c r="GA116" s="826"/>
      <c r="GB116" s="826"/>
      <c r="GC116" s="826"/>
      <c r="GD116" s="826"/>
      <c r="GE116" s="826"/>
      <c r="GF116" s="826"/>
      <c r="GG116" s="826"/>
      <c r="GH116" s="826"/>
      <c r="GI116" s="826"/>
      <c r="GJ116" s="826"/>
      <c r="GK116" s="826"/>
      <c r="GL116" s="826"/>
      <c r="GM116" s="826"/>
      <c r="GN116" s="826"/>
      <c r="GO116" s="826"/>
      <c r="GP116" s="826"/>
      <c r="GQ116" s="826"/>
      <c r="GR116" s="826"/>
      <c r="GS116" s="826"/>
      <c r="GT116" s="826"/>
      <c r="GU116" s="826"/>
      <c r="GV116" s="826"/>
      <c r="GW116" s="826"/>
      <c r="GX116" s="826"/>
      <c r="GY116" s="826"/>
      <c r="GZ116" s="826"/>
      <c r="HA116" s="826"/>
      <c r="HB116" s="826"/>
      <c r="HC116" s="826"/>
    </row>
    <row r="117" spans="1:16171" s="847" customFormat="1" ht="56.25" customHeight="1">
      <c r="A117" s="57">
        <v>109</v>
      </c>
      <c r="B117" s="846" t="s">
        <v>10300</v>
      </c>
      <c r="C117" s="59">
        <v>70877122</v>
      </c>
      <c r="D117" s="425" t="s">
        <v>906</v>
      </c>
      <c r="E117" s="60"/>
      <c r="F117" s="63"/>
      <c r="G117" s="62"/>
      <c r="H117" s="117"/>
      <c r="I117" s="183"/>
      <c r="J117" s="169"/>
      <c r="K117" s="63"/>
      <c r="L117" s="182"/>
      <c r="M117" s="183"/>
      <c r="N117" s="183"/>
      <c r="O117" s="169"/>
      <c r="P117" s="63"/>
      <c r="Q117" s="182"/>
      <c r="R117" s="183"/>
      <c r="S117" s="183"/>
      <c r="T117" s="169"/>
      <c r="U117" s="63"/>
      <c r="V117" s="182"/>
      <c r="W117" s="183"/>
      <c r="X117" s="183"/>
      <c r="Y117" s="169"/>
      <c r="Z117" s="63"/>
      <c r="AA117" s="182"/>
      <c r="AB117" s="183"/>
      <c r="AC117" s="183"/>
      <c r="AD117" s="169"/>
      <c r="AE117" s="63"/>
      <c r="AF117" s="182"/>
      <c r="AG117" s="183"/>
      <c r="AH117" s="183"/>
      <c r="AI117" s="183"/>
      <c r="AJ117" s="63"/>
      <c r="AK117" s="182"/>
      <c r="AL117" s="183"/>
      <c r="AM117" s="183"/>
      <c r="AN117" s="183" t="s">
        <v>6487</v>
      </c>
      <c r="AO117" s="183" t="s">
        <v>2558</v>
      </c>
      <c r="AP117" s="182" t="s">
        <v>10301</v>
      </c>
      <c r="AQ117" s="183"/>
      <c r="AR117" s="169">
        <v>36147</v>
      </c>
      <c r="AS117" s="169">
        <v>40872</v>
      </c>
      <c r="AT117" s="183"/>
      <c r="AU117" s="183" t="s">
        <v>69</v>
      </c>
      <c r="AV117" s="117" t="s">
        <v>2472</v>
      </c>
      <c r="AW117" s="60">
        <v>42213</v>
      </c>
      <c r="AX117" s="839"/>
      <c r="AY117" s="169"/>
      <c r="AZ117" s="171"/>
      <c r="BA117" s="117" t="s">
        <v>912</v>
      </c>
      <c r="BB117" s="117" t="s">
        <v>4478</v>
      </c>
      <c r="BC117" s="183"/>
      <c r="BD117" s="182"/>
      <c r="BE117" s="182"/>
      <c r="BF117" s="182"/>
      <c r="BG117" s="182"/>
      <c r="BH117" s="140"/>
      <c r="BI117" s="140"/>
      <c r="BJ117" s="184"/>
      <c r="BK117" s="169"/>
      <c r="BL117" s="63"/>
      <c r="BM117" s="549"/>
      <c r="BN117" s="183"/>
      <c r="BO117" s="182"/>
      <c r="BP117" s="182"/>
      <c r="BQ117" s="182"/>
      <c r="BR117" s="186"/>
      <c r="BS117" s="182"/>
      <c r="BT117" s="169"/>
      <c r="BU117" s="63"/>
      <c r="BV117" s="826"/>
      <c r="BW117" s="826"/>
      <c r="BX117" s="826"/>
      <c r="BY117" s="826"/>
      <c r="BZ117" s="826"/>
      <c r="CA117" s="826"/>
      <c r="CB117" s="826"/>
      <c r="CC117" s="826"/>
      <c r="CD117" s="826"/>
      <c r="CE117" s="826"/>
      <c r="CF117" s="826"/>
      <c r="CG117" s="826"/>
      <c r="CH117" s="826"/>
      <c r="CI117" s="826"/>
      <c r="CJ117" s="826"/>
      <c r="CK117" s="826"/>
      <c r="CL117" s="826"/>
      <c r="CM117" s="826"/>
      <c r="CN117" s="826"/>
      <c r="CO117" s="826"/>
      <c r="CP117" s="826"/>
      <c r="CQ117" s="826"/>
      <c r="CR117" s="826"/>
      <c r="CS117" s="826"/>
      <c r="CT117" s="826"/>
      <c r="CU117" s="826"/>
      <c r="CV117" s="826"/>
      <c r="CW117" s="826"/>
      <c r="CX117" s="826"/>
      <c r="CY117" s="826"/>
      <c r="CZ117" s="826"/>
      <c r="DA117" s="826"/>
      <c r="DB117" s="826"/>
      <c r="DC117" s="826"/>
      <c r="DD117" s="826"/>
      <c r="DE117" s="826"/>
      <c r="DF117" s="826"/>
      <c r="DG117" s="826"/>
      <c r="DH117" s="826"/>
      <c r="DI117" s="826"/>
      <c r="DJ117" s="826"/>
      <c r="DK117" s="826"/>
      <c r="DL117" s="826"/>
      <c r="DM117" s="826"/>
      <c r="DN117" s="826"/>
      <c r="DO117" s="826"/>
      <c r="DP117" s="826"/>
      <c r="DQ117" s="826"/>
      <c r="DR117" s="826"/>
      <c r="DS117" s="826"/>
      <c r="DT117" s="826"/>
      <c r="DU117" s="826"/>
      <c r="DV117" s="826"/>
      <c r="DW117" s="826"/>
      <c r="DX117" s="826"/>
      <c r="DY117" s="826"/>
      <c r="DZ117" s="826"/>
      <c r="EA117" s="826"/>
      <c r="EB117" s="826"/>
      <c r="EC117" s="826"/>
      <c r="ED117" s="826"/>
      <c r="EE117" s="826"/>
      <c r="EF117" s="826"/>
      <c r="EG117" s="826"/>
      <c r="EH117" s="826"/>
      <c r="EI117" s="826"/>
      <c r="EJ117" s="826"/>
      <c r="EK117" s="826"/>
      <c r="EL117" s="826"/>
      <c r="EM117" s="826"/>
      <c r="EN117" s="826"/>
      <c r="EO117" s="826"/>
      <c r="EP117" s="826"/>
      <c r="EQ117" s="826"/>
      <c r="ER117" s="826"/>
      <c r="ES117" s="826"/>
      <c r="ET117" s="826"/>
      <c r="EU117" s="826"/>
      <c r="EV117" s="826"/>
      <c r="EW117" s="826"/>
      <c r="EX117" s="826"/>
      <c r="EY117" s="826"/>
      <c r="EZ117" s="826"/>
      <c r="FA117" s="826"/>
      <c r="FB117" s="826"/>
      <c r="FC117" s="826"/>
      <c r="FD117" s="826"/>
      <c r="FE117" s="826"/>
      <c r="FF117" s="826"/>
      <c r="FG117" s="826"/>
      <c r="FH117" s="826"/>
      <c r="FI117" s="826"/>
      <c r="FJ117" s="826"/>
      <c r="FK117" s="826"/>
      <c r="FL117" s="826"/>
      <c r="FM117" s="826"/>
      <c r="FN117" s="826"/>
      <c r="FO117" s="826"/>
      <c r="FP117" s="826"/>
      <c r="FQ117" s="826"/>
      <c r="FR117" s="826"/>
      <c r="FS117" s="826"/>
      <c r="FT117" s="826"/>
      <c r="FU117" s="826"/>
      <c r="FV117" s="826"/>
      <c r="FW117" s="826"/>
      <c r="FX117" s="826"/>
      <c r="FY117" s="826"/>
      <c r="FZ117" s="826"/>
      <c r="GA117" s="826"/>
      <c r="GB117" s="826"/>
      <c r="GC117" s="826"/>
      <c r="GD117" s="826"/>
      <c r="GE117" s="826"/>
      <c r="GF117" s="826"/>
      <c r="GG117" s="826"/>
      <c r="GH117" s="826"/>
      <c r="GI117" s="826"/>
      <c r="GJ117" s="826"/>
      <c r="GK117" s="826"/>
      <c r="GL117" s="826"/>
      <c r="GM117" s="826"/>
      <c r="GN117" s="826"/>
      <c r="GO117" s="826"/>
      <c r="GP117" s="826"/>
      <c r="GQ117" s="826"/>
      <c r="GR117" s="826"/>
      <c r="GS117" s="826"/>
      <c r="GT117" s="826"/>
      <c r="GU117" s="826"/>
      <c r="GV117" s="826"/>
      <c r="GW117" s="826"/>
      <c r="GX117" s="826"/>
      <c r="GY117" s="826"/>
      <c r="GZ117" s="826"/>
      <c r="HA117" s="826"/>
      <c r="HB117" s="826"/>
      <c r="HC117" s="826"/>
    </row>
    <row r="118" spans="1:16171" s="847" customFormat="1" ht="56.25" customHeight="1">
      <c r="A118" s="57">
        <v>118</v>
      </c>
      <c r="B118" s="846" t="s">
        <v>10302</v>
      </c>
      <c r="C118" s="59">
        <v>93409190</v>
      </c>
      <c r="D118" s="823" t="s">
        <v>2446</v>
      </c>
      <c r="E118" s="60"/>
      <c r="F118" s="63"/>
      <c r="G118" s="62"/>
      <c r="H118" s="117"/>
      <c r="I118" s="183"/>
      <c r="J118" s="169"/>
      <c r="K118" s="63"/>
      <c r="L118" s="182"/>
      <c r="M118" s="183"/>
      <c r="N118" s="183"/>
      <c r="O118" s="169"/>
      <c r="P118" s="63"/>
      <c r="Q118" s="182"/>
      <c r="R118" s="183"/>
      <c r="S118" s="183"/>
      <c r="T118" s="169"/>
      <c r="U118" s="63"/>
      <c r="V118" s="182"/>
      <c r="W118" s="183"/>
      <c r="X118" s="183"/>
      <c r="Y118" s="169"/>
      <c r="Z118" s="63"/>
      <c r="AA118" s="182"/>
      <c r="AB118" s="183"/>
      <c r="AC118" s="183"/>
      <c r="AD118" s="169"/>
      <c r="AE118" s="63"/>
      <c r="AF118" s="182"/>
      <c r="AG118" s="183"/>
      <c r="AH118" s="183"/>
      <c r="AI118" s="183"/>
      <c r="AJ118" s="63"/>
      <c r="AK118" s="182"/>
      <c r="AL118" s="183"/>
      <c r="AM118" s="183"/>
      <c r="AN118" s="183" t="s">
        <v>6487</v>
      </c>
      <c r="AO118" s="183" t="s">
        <v>2558</v>
      </c>
      <c r="AP118" s="848" t="s">
        <v>10303</v>
      </c>
      <c r="AQ118" s="183"/>
      <c r="AR118" s="169">
        <v>38353</v>
      </c>
      <c r="AS118" s="169">
        <v>40847</v>
      </c>
      <c r="AT118" s="183"/>
      <c r="AU118" s="183" t="s">
        <v>69</v>
      </c>
      <c r="AV118" s="117" t="s">
        <v>8421</v>
      </c>
      <c r="AW118" s="60">
        <v>43174</v>
      </c>
      <c r="AX118" s="839"/>
      <c r="AY118" s="169"/>
      <c r="AZ118" s="171"/>
      <c r="BA118" s="117" t="s">
        <v>95</v>
      </c>
      <c r="BB118" s="117" t="s">
        <v>1792</v>
      </c>
      <c r="BC118" s="183"/>
      <c r="BD118" s="182"/>
      <c r="BE118" s="182"/>
      <c r="BF118" s="182"/>
      <c r="BG118" s="182"/>
      <c r="BH118" s="140"/>
      <c r="BI118" s="140"/>
      <c r="BJ118" s="184"/>
      <c r="BK118" s="169"/>
      <c r="BL118" s="63"/>
      <c r="BM118" s="549"/>
      <c r="BN118" s="183"/>
      <c r="BO118" s="182"/>
      <c r="BP118" s="182"/>
      <c r="BQ118" s="182"/>
      <c r="BR118" s="186"/>
      <c r="BS118" s="182"/>
      <c r="BT118" s="169"/>
      <c r="BU118" s="63"/>
      <c r="BV118" s="826"/>
      <c r="BW118" s="826"/>
      <c r="BX118" s="826"/>
      <c r="BY118" s="826"/>
      <c r="BZ118" s="826"/>
      <c r="CA118" s="826"/>
      <c r="CB118" s="826"/>
      <c r="CC118" s="826"/>
      <c r="CD118" s="826"/>
      <c r="CE118" s="826"/>
      <c r="CF118" s="826"/>
      <c r="CG118" s="826"/>
      <c r="CH118" s="826"/>
      <c r="CI118" s="826"/>
      <c r="CJ118" s="826"/>
      <c r="CK118" s="826"/>
      <c r="CL118" s="826"/>
      <c r="CM118" s="826"/>
      <c r="CN118" s="826"/>
      <c r="CO118" s="826"/>
      <c r="CP118" s="826"/>
      <c r="CQ118" s="826"/>
      <c r="CR118" s="826"/>
      <c r="CS118" s="826"/>
      <c r="CT118" s="826"/>
      <c r="CU118" s="826"/>
      <c r="CV118" s="826"/>
      <c r="CW118" s="826"/>
      <c r="CX118" s="826"/>
      <c r="CY118" s="826"/>
      <c r="CZ118" s="826"/>
      <c r="DA118" s="826"/>
      <c r="DB118" s="826"/>
      <c r="DC118" s="826"/>
      <c r="DD118" s="826"/>
      <c r="DE118" s="826"/>
      <c r="DF118" s="826"/>
      <c r="DG118" s="826"/>
      <c r="DH118" s="826"/>
      <c r="DI118" s="826"/>
      <c r="DJ118" s="826"/>
      <c r="DK118" s="826"/>
      <c r="DL118" s="826"/>
      <c r="DM118" s="826"/>
      <c r="DN118" s="826"/>
      <c r="DO118" s="826"/>
      <c r="DP118" s="826"/>
      <c r="DQ118" s="826"/>
      <c r="DR118" s="826"/>
      <c r="DS118" s="826"/>
      <c r="DT118" s="826"/>
      <c r="DU118" s="826"/>
      <c r="DV118" s="826"/>
      <c r="DW118" s="826"/>
      <c r="DX118" s="826"/>
      <c r="DY118" s="826"/>
      <c r="DZ118" s="826"/>
      <c r="EA118" s="826"/>
      <c r="EB118" s="826"/>
      <c r="EC118" s="826"/>
      <c r="ED118" s="826"/>
      <c r="EE118" s="826"/>
      <c r="EF118" s="826"/>
      <c r="EG118" s="826"/>
      <c r="EH118" s="826"/>
      <c r="EI118" s="826"/>
      <c r="EJ118" s="826"/>
      <c r="EK118" s="826"/>
      <c r="EL118" s="826"/>
      <c r="EM118" s="826"/>
      <c r="EN118" s="826"/>
      <c r="EO118" s="826"/>
      <c r="EP118" s="826"/>
      <c r="EQ118" s="826"/>
      <c r="ER118" s="826"/>
      <c r="ES118" s="826"/>
      <c r="ET118" s="826"/>
      <c r="EU118" s="826"/>
      <c r="EV118" s="826"/>
      <c r="EW118" s="826"/>
      <c r="EX118" s="826"/>
      <c r="EY118" s="826"/>
      <c r="EZ118" s="826"/>
      <c r="FA118" s="826"/>
      <c r="FB118" s="826"/>
      <c r="FC118" s="826"/>
      <c r="FD118" s="826"/>
      <c r="FE118" s="826"/>
      <c r="FF118" s="826"/>
      <c r="FG118" s="826"/>
      <c r="FH118" s="826"/>
      <c r="FI118" s="826"/>
      <c r="FJ118" s="826"/>
      <c r="FK118" s="826"/>
      <c r="FL118" s="826"/>
      <c r="FM118" s="826"/>
      <c r="FN118" s="826"/>
      <c r="FO118" s="826"/>
      <c r="FP118" s="826"/>
      <c r="FQ118" s="826"/>
      <c r="FR118" s="826"/>
      <c r="FS118" s="826"/>
      <c r="FT118" s="826"/>
      <c r="FU118" s="826"/>
      <c r="FV118" s="826"/>
      <c r="FW118" s="826"/>
      <c r="FX118" s="826"/>
      <c r="FY118" s="826"/>
      <c r="FZ118" s="826"/>
      <c r="GA118" s="826"/>
      <c r="GB118" s="826"/>
      <c r="GC118" s="826"/>
      <c r="GD118" s="826"/>
      <c r="GE118" s="826"/>
      <c r="GF118" s="826"/>
      <c r="GG118" s="826"/>
      <c r="GH118" s="826"/>
      <c r="GI118" s="826"/>
      <c r="GJ118" s="826"/>
      <c r="GK118" s="826"/>
      <c r="GL118" s="826"/>
      <c r="GM118" s="826"/>
      <c r="GN118" s="826"/>
      <c r="GO118" s="826"/>
      <c r="GP118" s="826"/>
      <c r="GQ118" s="826"/>
      <c r="GR118" s="826"/>
      <c r="GS118" s="826"/>
      <c r="GT118" s="826"/>
      <c r="GU118" s="826"/>
      <c r="GV118" s="826"/>
      <c r="GW118" s="826"/>
      <c r="GX118" s="826"/>
      <c r="GY118" s="826"/>
      <c r="GZ118" s="826"/>
      <c r="HA118" s="826"/>
      <c r="HB118" s="826"/>
      <c r="HC118" s="826"/>
    </row>
    <row r="119" spans="1:16171" s="847" customFormat="1" ht="56.25" customHeight="1">
      <c r="A119" s="57">
        <v>110</v>
      </c>
      <c r="B119" s="846" t="s">
        <v>10304</v>
      </c>
      <c r="C119" s="59">
        <v>98521550</v>
      </c>
      <c r="D119" s="823" t="s">
        <v>333</v>
      </c>
      <c r="E119" s="60"/>
      <c r="F119" s="63"/>
      <c r="G119" s="62"/>
      <c r="H119" s="117"/>
      <c r="I119" s="183"/>
      <c r="J119" s="169"/>
      <c r="K119" s="63"/>
      <c r="L119" s="182"/>
      <c r="M119" s="183"/>
      <c r="N119" s="183"/>
      <c r="O119" s="169"/>
      <c r="P119" s="63"/>
      <c r="Q119" s="182"/>
      <c r="R119" s="183"/>
      <c r="S119" s="183"/>
      <c r="T119" s="169"/>
      <c r="U119" s="63"/>
      <c r="V119" s="182"/>
      <c r="W119" s="183"/>
      <c r="X119" s="183"/>
      <c r="Y119" s="169"/>
      <c r="Z119" s="63"/>
      <c r="AA119" s="182"/>
      <c r="AB119" s="183"/>
      <c r="AC119" s="183"/>
      <c r="AD119" s="169"/>
      <c r="AE119" s="63"/>
      <c r="AF119" s="182"/>
      <c r="AG119" s="183"/>
      <c r="AH119" s="183"/>
      <c r="AI119" s="183"/>
      <c r="AJ119" s="63"/>
      <c r="AK119" s="182"/>
      <c r="AL119" s="183"/>
      <c r="AM119" s="183"/>
      <c r="AN119" s="183" t="s">
        <v>6487</v>
      </c>
      <c r="AO119" s="183" t="s">
        <v>2558</v>
      </c>
      <c r="AP119" s="848" t="s">
        <v>10305</v>
      </c>
      <c r="AQ119" s="183"/>
      <c r="AR119" s="169">
        <v>37853</v>
      </c>
      <c r="AS119" s="169">
        <v>40724</v>
      </c>
      <c r="AT119" s="183" t="s">
        <v>10306</v>
      </c>
      <c r="AU119" s="183" t="s">
        <v>69</v>
      </c>
      <c r="AV119" s="117" t="s">
        <v>10307</v>
      </c>
      <c r="AW119" s="60">
        <v>42914</v>
      </c>
      <c r="AX119" s="839"/>
      <c r="AY119" s="169"/>
      <c r="AZ119" s="171"/>
      <c r="BA119" s="117" t="s">
        <v>95</v>
      </c>
      <c r="BB119" s="117" t="s">
        <v>4478</v>
      </c>
      <c r="BC119" s="183"/>
      <c r="BD119" s="182"/>
      <c r="BE119" s="182"/>
      <c r="BF119" s="182"/>
      <c r="BG119" s="182"/>
      <c r="BH119" s="140"/>
      <c r="BI119" s="140"/>
      <c r="BJ119" s="184"/>
      <c r="BK119" s="169"/>
      <c r="BL119" s="63"/>
      <c r="BM119" s="549"/>
      <c r="BN119" s="183"/>
      <c r="BO119" s="182"/>
      <c r="BP119" s="182"/>
      <c r="BQ119" s="182"/>
      <c r="BR119" s="186"/>
      <c r="BS119" s="182"/>
      <c r="BT119" s="169"/>
      <c r="BU119" s="63"/>
      <c r="BV119" s="826"/>
      <c r="BW119" s="826"/>
      <c r="BX119" s="826"/>
      <c r="BY119" s="826"/>
      <c r="BZ119" s="826"/>
      <c r="CA119" s="826"/>
      <c r="CB119" s="826"/>
      <c r="CC119" s="826"/>
      <c r="CD119" s="826"/>
      <c r="CE119" s="826"/>
      <c r="CF119" s="826"/>
      <c r="CG119" s="826"/>
      <c r="CH119" s="826"/>
      <c r="CI119" s="826"/>
      <c r="CJ119" s="826"/>
      <c r="CK119" s="826"/>
      <c r="CL119" s="826"/>
      <c r="CM119" s="826"/>
      <c r="CN119" s="826"/>
      <c r="CO119" s="826"/>
      <c r="CP119" s="826"/>
      <c r="CQ119" s="826"/>
      <c r="CR119" s="826"/>
      <c r="CS119" s="826"/>
      <c r="CT119" s="826"/>
      <c r="CU119" s="826"/>
      <c r="CV119" s="826"/>
      <c r="CW119" s="826"/>
      <c r="CX119" s="826"/>
      <c r="CY119" s="826"/>
      <c r="CZ119" s="826"/>
      <c r="DA119" s="826"/>
      <c r="DB119" s="826"/>
      <c r="DC119" s="826"/>
      <c r="DD119" s="826"/>
      <c r="DE119" s="826"/>
      <c r="DF119" s="826"/>
      <c r="DG119" s="826"/>
      <c r="DH119" s="826"/>
      <c r="DI119" s="826"/>
      <c r="DJ119" s="826"/>
      <c r="DK119" s="826"/>
      <c r="DL119" s="826"/>
      <c r="DM119" s="826"/>
      <c r="DN119" s="826"/>
      <c r="DO119" s="826"/>
      <c r="DP119" s="826"/>
      <c r="DQ119" s="826"/>
      <c r="DR119" s="826"/>
      <c r="DS119" s="826"/>
      <c r="DT119" s="826"/>
      <c r="DU119" s="826"/>
      <c r="DV119" s="826"/>
      <c r="DW119" s="826"/>
      <c r="DX119" s="826"/>
      <c r="DY119" s="826"/>
      <c r="DZ119" s="826"/>
      <c r="EA119" s="826"/>
      <c r="EB119" s="826"/>
      <c r="EC119" s="826"/>
      <c r="ED119" s="826"/>
      <c r="EE119" s="826"/>
      <c r="EF119" s="826"/>
      <c r="EG119" s="826"/>
      <c r="EH119" s="826"/>
      <c r="EI119" s="826"/>
      <c r="EJ119" s="826"/>
      <c r="EK119" s="826"/>
      <c r="EL119" s="826"/>
      <c r="EM119" s="826"/>
      <c r="EN119" s="826"/>
      <c r="EO119" s="826"/>
      <c r="EP119" s="826"/>
      <c r="EQ119" s="826"/>
      <c r="ER119" s="826"/>
      <c r="ES119" s="826"/>
      <c r="ET119" s="826"/>
      <c r="EU119" s="826"/>
      <c r="EV119" s="826"/>
      <c r="EW119" s="826"/>
      <c r="EX119" s="826"/>
      <c r="EY119" s="826"/>
      <c r="EZ119" s="826"/>
      <c r="FA119" s="826"/>
      <c r="FB119" s="826"/>
      <c r="FC119" s="826"/>
      <c r="FD119" s="826"/>
      <c r="FE119" s="826"/>
      <c r="FF119" s="826"/>
      <c r="FG119" s="826"/>
      <c r="FH119" s="826"/>
      <c r="FI119" s="826"/>
      <c r="FJ119" s="826"/>
      <c r="FK119" s="826"/>
      <c r="FL119" s="826"/>
      <c r="FM119" s="826"/>
      <c r="FN119" s="826"/>
      <c r="FO119" s="826"/>
      <c r="FP119" s="826"/>
      <c r="FQ119" s="826"/>
      <c r="FR119" s="826"/>
      <c r="FS119" s="826"/>
      <c r="FT119" s="826"/>
      <c r="FU119" s="826"/>
      <c r="FV119" s="826"/>
      <c r="FW119" s="826"/>
      <c r="FX119" s="826"/>
      <c r="FY119" s="826"/>
      <c r="FZ119" s="826"/>
      <c r="GA119" s="826"/>
      <c r="GB119" s="826"/>
      <c r="GC119" s="826"/>
      <c r="GD119" s="826"/>
      <c r="GE119" s="826"/>
      <c r="GF119" s="826"/>
      <c r="GG119" s="826"/>
      <c r="GH119" s="826"/>
      <c r="GI119" s="826"/>
      <c r="GJ119" s="826"/>
      <c r="GK119" s="826"/>
      <c r="GL119" s="826"/>
      <c r="GM119" s="826"/>
      <c r="GN119" s="826"/>
      <c r="GO119" s="826"/>
      <c r="GP119" s="826"/>
      <c r="GQ119" s="826"/>
      <c r="GR119" s="826"/>
      <c r="GS119" s="826"/>
      <c r="GT119" s="826"/>
      <c r="GU119" s="826"/>
      <c r="GV119" s="826"/>
      <c r="GW119" s="826"/>
      <c r="GX119" s="826"/>
      <c r="GY119" s="826"/>
      <c r="GZ119" s="826"/>
      <c r="HA119" s="826"/>
      <c r="HB119" s="826"/>
      <c r="HC119" s="826"/>
    </row>
    <row r="120" spans="1:16171" s="847" customFormat="1" ht="56.25" customHeight="1">
      <c r="A120" s="57">
        <v>117</v>
      </c>
      <c r="B120" s="846" t="s">
        <v>10308</v>
      </c>
      <c r="C120" s="59">
        <v>19373089</v>
      </c>
      <c r="D120" s="823" t="s">
        <v>9983</v>
      </c>
      <c r="E120" s="60"/>
      <c r="F120" s="63"/>
      <c r="G120" s="62"/>
      <c r="H120" s="117"/>
      <c r="I120" s="183"/>
      <c r="J120" s="169"/>
      <c r="K120" s="63"/>
      <c r="L120" s="182"/>
      <c r="M120" s="183"/>
      <c r="N120" s="183"/>
      <c r="O120" s="169"/>
      <c r="P120" s="63"/>
      <c r="Q120" s="182"/>
      <c r="R120" s="183"/>
      <c r="S120" s="183"/>
      <c r="T120" s="169"/>
      <c r="U120" s="63"/>
      <c r="V120" s="182"/>
      <c r="W120" s="183"/>
      <c r="X120" s="183"/>
      <c r="Y120" s="169"/>
      <c r="Z120" s="63"/>
      <c r="AA120" s="182"/>
      <c r="AB120" s="183"/>
      <c r="AC120" s="183"/>
      <c r="AD120" s="169"/>
      <c r="AE120" s="63"/>
      <c r="AF120" s="182"/>
      <c r="AG120" s="183"/>
      <c r="AH120" s="183"/>
      <c r="AI120" s="183"/>
      <c r="AJ120" s="63"/>
      <c r="AK120" s="182"/>
      <c r="AL120" s="183"/>
      <c r="AM120" s="183"/>
      <c r="AN120" s="183" t="s">
        <v>6487</v>
      </c>
      <c r="AO120" s="183" t="s">
        <v>2558</v>
      </c>
      <c r="AP120" s="848" t="s">
        <v>10309</v>
      </c>
      <c r="AQ120" s="183"/>
      <c r="AR120" s="169">
        <v>36355</v>
      </c>
      <c r="AS120" s="169">
        <v>40908</v>
      </c>
      <c r="AT120" s="183" t="s">
        <v>10310</v>
      </c>
      <c r="AU120" s="183" t="s">
        <v>69</v>
      </c>
      <c r="AV120" s="117" t="s">
        <v>2730</v>
      </c>
      <c r="AW120" s="60">
        <v>43004</v>
      </c>
      <c r="AX120" s="839"/>
      <c r="AY120" s="169"/>
      <c r="AZ120" s="171"/>
      <c r="BA120" s="117" t="s">
        <v>912</v>
      </c>
      <c r="BB120" s="117" t="s">
        <v>4478</v>
      </c>
      <c r="BC120" s="183"/>
      <c r="BD120" s="182"/>
      <c r="BE120" s="182"/>
      <c r="BF120" s="182"/>
      <c r="BG120" s="182"/>
      <c r="BH120" s="140"/>
      <c r="BI120" s="140"/>
      <c r="BJ120" s="184"/>
      <c r="BK120" s="169"/>
      <c r="BL120" s="63"/>
      <c r="BM120" s="549"/>
      <c r="BN120" s="183"/>
      <c r="BO120" s="182"/>
      <c r="BP120" s="182"/>
      <c r="BQ120" s="182"/>
      <c r="BR120" s="186"/>
      <c r="BS120" s="182"/>
      <c r="BT120" s="169"/>
      <c r="BU120" s="63"/>
      <c r="BV120" s="826"/>
      <c r="BW120" s="826"/>
      <c r="BX120" s="826"/>
      <c r="BY120" s="826"/>
      <c r="BZ120" s="826"/>
      <c r="CA120" s="826"/>
      <c r="CB120" s="826"/>
      <c r="CC120" s="826"/>
      <c r="CD120" s="826"/>
      <c r="CE120" s="826"/>
      <c r="CF120" s="826"/>
      <c r="CG120" s="826"/>
      <c r="CH120" s="826"/>
      <c r="CI120" s="826"/>
      <c r="CJ120" s="826"/>
      <c r="CK120" s="826"/>
      <c r="CL120" s="826"/>
      <c r="CM120" s="826"/>
      <c r="CN120" s="826"/>
      <c r="CO120" s="826"/>
      <c r="CP120" s="826"/>
      <c r="CQ120" s="826"/>
      <c r="CR120" s="826"/>
      <c r="CS120" s="826"/>
      <c r="CT120" s="826"/>
      <c r="CU120" s="826"/>
      <c r="CV120" s="826"/>
      <c r="CW120" s="826"/>
      <c r="CX120" s="826"/>
      <c r="CY120" s="826"/>
      <c r="CZ120" s="826"/>
      <c r="DA120" s="826"/>
      <c r="DB120" s="826"/>
      <c r="DC120" s="826"/>
      <c r="DD120" s="826"/>
      <c r="DE120" s="826"/>
      <c r="DF120" s="826"/>
      <c r="DG120" s="826"/>
      <c r="DH120" s="826"/>
      <c r="DI120" s="826"/>
      <c r="DJ120" s="826"/>
      <c r="DK120" s="826"/>
      <c r="DL120" s="826"/>
      <c r="DM120" s="826"/>
      <c r="DN120" s="826"/>
      <c r="DO120" s="826"/>
      <c r="DP120" s="826"/>
      <c r="DQ120" s="826"/>
      <c r="DR120" s="826"/>
      <c r="DS120" s="826"/>
      <c r="DT120" s="826"/>
      <c r="DU120" s="826"/>
      <c r="DV120" s="826"/>
      <c r="DW120" s="826"/>
      <c r="DX120" s="826"/>
      <c r="DY120" s="826"/>
      <c r="DZ120" s="826"/>
      <c r="EA120" s="826"/>
      <c r="EB120" s="826"/>
      <c r="EC120" s="826"/>
      <c r="ED120" s="826"/>
      <c r="EE120" s="826"/>
      <c r="EF120" s="826"/>
      <c r="EG120" s="826"/>
      <c r="EH120" s="826"/>
      <c r="EI120" s="826"/>
      <c r="EJ120" s="826"/>
      <c r="EK120" s="826"/>
      <c r="EL120" s="826"/>
      <c r="EM120" s="826"/>
      <c r="EN120" s="826"/>
      <c r="EO120" s="826"/>
      <c r="EP120" s="826"/>
      <c r="EQ120" s="826"/>
      <c r="ER120" s="826"/>
      <c r="ES120" s="826"/>
      <c r="ET120" s="826"/>
      <c r="EU120" s="826"/>
      <c r="EV120" s="826"/>
      <c r="EW120" s="826"/>
      <c r="EX120" s="826"/>
      <c r="EY120" s="826"/>
      <c r="EZ120" s="826"/>
      <c r="FA120" s="826"/>
      <c r="FB120" s="826"/>
      <c r="FC120" s="826"/>
      <c r="FD120" s="826"/>
      <c r="FE120" s="826"/>
      <c r="FF120" s="826"/>
      <c r="FG120" s="826"/>
      <c r="FH120" s="826"/>
      <c r="FI120" s="826"/>
      <c r="FJ120" s="826"/>
      <c r="FK120" s="826"/>
      <c r="FL120" s="826"/>
      <c r="FM120" s="826"/>
      <c r="FN120" s="826"/>
      <c r="FO120" s="826"/>
      <c r="FP120" s="826"/>
      <c r="FQ120" s="826"/>
      <c r="FR120" s="826"/>
      <c r="FS120" s="826"/>
      <c r="FT120" s="826"/>
      <c r="FU120" s="826"/>
      <c r="FV120" s="826"/>
      <c r="FW120" s="826"/>
      <c r="FX120" s="826"/>
      <c r="FY120" s="826"/>
      <c r="FZ120" s="826"/>
      <c r="GA120" s="826"/>
      <c r="GB120" s="826"/>
      <c r="GC120" s="826"/>
      <c r="GD120" s="826"/>
      <c r="GE120" s="826"/>
      <c r="GF120" s="826"/>
      <c r="GG120" s="826"/>
      <c r="GH120" s="826"/>
      <c r="GI120" s="826"/>
      <c r="GJ120" s="826"/>
      <c r="GK120" s="826"/>
      <c r="GL120" s="826"/>
      <c r="GM120" s="826"/>
      <c r="GN120" s="826"/>
      <c r="GO120" s="826"/>
      <c r="GP120" s="826"/>
      <c r="GQ120" s="826"/>
      <c r="GR120" s="826"/>
      <c r="GS120" s="826"/>
      <c r="GT120" s="826"/>
      <c r="GU120" s="826"/>
      <c r="GV120" s="826"/>
      <c r="GW120" s="826"/>
      <c r="GX120" s="826"/>
      <c r="GY120" s="826"/>
      <c r="GZ120" s="826"/>
      <c r="HA120" s="826"/>
      <c r="HB120" s="826"/>
      <c r="HC120" s="826"/>
    </row>
    <row r="121" spans="1:16171" s="847" customFormat="1" ht="56.25" customHeight="1">
      <c r="A121" s="57">
        <v>146</v>
      </c>
      <c r="B121" s="846" t="s">
        <v>4148</v>
      </c>
      <c r="C121" s="59">
        <v>79130530</v>
      </c>
      <c r="D121" s="823" t="s">
        <v>9983</v>
      </c>
      <c r="E121" s="60"/>
      <c r="F121" s="63"/>
      <c r="G121" s="62"/>
      <c r="H121" s="117"/>
      <c r="I121" s="183"/>
      <c r="J121" s="169"/>
      <c r="K121" s="63"/>
      <c r="L121" s="182"/>
      <c r="M121" s="183"/>
      <c r="N121" s="183"/>
      <c r="O121" s="169"/>
      <c r="P121" s="63"/>
      <c r="Q121" s="182"/>
      <c r="R121" s="183"/>
      <c r="S121" s="183"/>
      <c r="T121" s="169"/>
      <c r="U121" s="63"/>
      <c r="V121" s="182"/>
      <c r="W121" s="183"/>
      <c r="X121" s="183"/>
      <c r="Y121" s="169"/>
      <c r="Z121" s="63"/>
      <c r="AA121" s="182"/>
      <c r="AB121" s="183"/>
      <c r="AC121" s="183"/>
      <c r="AD121" s="169"/>
      <c r="AE121" s="63"/>
      <c r="AF121" s="182"/>
      <c r="AG121" s="183"/>
      <c r="AH121" s="183"/>
      <c r="AI121" s="183"/>
      <c r="AJ121" s="63"/>
      <c r="AK121" s="182"/>
      <c r="AL121" s="183"/>
      <c r="AM121" s="183"/>
      <c r="AN121" s="183" t="s">
        <v>6487</v>
      </c>
      <c r="AO121" s="183" t="s">
        <v>2558</v>
      </c>
      <c r="AP121" s="848" t="s">
        <v>10311</v>
      </c>
      <c r="AQ121" s="183"/>
      <c r="AR121" s="169">
        <v>33312</v>
      </c>
      <c r="AS121" s="169">
        <v>40908</v>
      </c>
      <c r="AT121" s="183"/>
      <c r="AU121" s="183" t="s">
        <v>69</v>
      </c>
      <c r="AV121" s="117" t="s">
        <v>10312</v>
      </c>
      <c r="AW121" s="60">
        <v>42516</v>
      </c>
      <c r="AX121" s="839"/>
      <c r="AY121" s="169"/>
      <c r="AZ121" s="171"/>
      <c r="BA121" s="117" t="s">
        <v>95</v>
      </c>
      <c r="BB121" s="117" t="s">
        <v>4478</v>
      </c>
      <c r="BC121" s="183"/>
      <c r="BD121" s="182"/>
      <c r="BE121" s="182"/>
      <c r="BF121" s="182"/>
      <c r="BG121" s="182"/>
      <c r="BH121" s="140"/>
      <c r="BI121" s="140"/>
      <c r="BJ121" s="184"/>
      <c r="BK121" s="169"/>
      <c r="BL121" s="63"/>
      <c r="BM121" s="549"/>
      <c r="BN121" s="183"/>
      <c r="BO121" s="182"/>
      <c r="BP121" s="182"/>
      <c r="BQ121" s="182"/>
      <c r="BR121" s="186"/>
      <c r="BS121" s="182"/>
      <c r="BT121" s="169"/>
      <c r="BU121" s="63"/>
      <c r="BV121" s="826"/>
      <c r="BW121" s="826"/>
      <c r="BX121" s="826"/>
      <c r="BY121" s="826"/>
      <c r="BZ121" s="826"/>
      <c r="CA121" s="826"/>
      <c r="CB121" s="826"/>
      <c r="CC121" s="826"/>
      <c r="CD121" s="826"/>
      <c r="CE121" s="826"/>
      <c r="CF121" s="826"/>
      <c r="CG121" s="826"/>
      <c r="CH121" s="826"/>
      <c r="CI121" s="826"/>
      <c r="CJ121" s="826"/>
      <c r="CK121" s="826"/>
      <c r="CL121" s="826"/>
      <c r="CM121" s="826"/>
      <c r="CN121" s="826"/>
      <c r="CO121" s="826"/>
      <c r="CP121" s="826"/>
      <c r="CQ121" s="826"/>
      <c r="CR121" s="826"/>
      <c r="CS121" s="826"/>
      <c r="CT121" s="826"/>
      <c r="CU121" s="826"/>
      <c r="CV121" s="826"/>
      <c r="CW121" s="826"/>
      <c r="CX121" s="826"/>
      <c r="CY121" s="826"/>
      <c r="CZ121" s="826"/>
      <c r="DA121" s="826"/>
      <c r="DB121" s="826"/>
      <c r="DC121" s="826"/>
      <c r="DD121" s="826"/>
      <c r="DE121" s="826"/>
      <c r="DF121" s="826"/>
      <c r="DG121" s="826"/>
      <c r="DH121" s="826"/>
      <c r="DI121" s="826"/>
      <c r="DJ121" s="826"/>
      <c r="DK121" s="826"/>
      <c r="DL121" s="826"/>
      <c r="DM121" s="826"/>
      <c r="DN121" s="826"/>
      <c r="DO121" s="826"/>
      <c r="DP121" s="826"/>
      <c r="DQ121" s="826"/>
      <c r="DR121" s="826"/>
      <c r="DS121" s="826"/>
      <c r="DT121" s="826"/>
      <c r="DU121" s="826"/>
      <c r="DV121" s="826"/>
      <c r="DW121" s="826"/>
      <c r="DX121" s="826"/>
      <c r="DY121" s="826"/>
      <c r="DZ121" s="826"/>
      <c r="EA121" s="826"/>
      <c r="EB121" s="826"/>
      <c r="EC121" s="826"/>
      <c r="ED121" s="826"/>
      <c r="EE121" s="826"/>
      <c r="EF121" s="826"/>
      <c r="EG121" s="826"/>
      <c r="EH121" s="826"/>
      <c r="EI121" s="826"/>
      <c r="EJ121" s="826"/>
      <c r="EK121" s="826"/>
      <c r="EL121" s="826"/>
      <c r="EM121" s="826"/>
      <c r="EN121" s="826"/>
      <c r="EO121" s="826"/>
      <c r="EP121" s="826"/>
      <c r="EQ121" s="826"/>
      <c r="ER121" s="826"/>
      <c r="ES121" s="826"/>
      <c r="ET121" s="826"/>
      <c r="EU121" s="826"/>
      <c r="EV121" s="826"/>
      <c r="EW121" s="826"/>
      <c r="EX121" s="826"/>
      <c r="EY121" s="826"/>
      <c r="EZ121" s="826"/>
      <c r="FA121" s="826"/>
      <c r="FB121" s="826"/>
      <c r="FC121" s="826"/>
      <c r="FD121" s="826"/>
      <c r="FE121" s="826"/>
      <c r="FF121" s="826"/>
      <c r="FG121" s="826"/>
      <c r="FH121" s="826"/>
      <c r="FI121" s="826"/>
      <c r="FJ121" s="826"/>
      <c r="FK121" s="826"/>
      <c r="FL121" s="826"/>
      <c r="FM121" s="826"/>
      <c r="FN121" s="826"/>
      <c r="FO121" s="826"/>
      <c r="FP121" s="826"/>
      <c r="FQ121" s="826"/>
      <c r="FR121" s="826"/>
      <c r="FS121" s="826"/>
      <c r="FT121" s="826"/>
      <c r="FU121" s="826"/>
      <c r="FV121" s="826"/>
      <c r="FW121" s="826"/>
      <c r="FX121" s="826"/>
      <c r="FY121" s="826"/>
      <c r="FZ121" s="826"/>
      <c r="GA121" s="826"/>
      <c r="GB121" s="826"/>
      <c r="GC121" s="826"/>
      <c r="GD121" s="826"/>
      <c r="GE121" s="826"/>
      <c r="GF121" s="826"/>
      <c r="GG121" s="826"/>
      <c r="GH121" s="826"/>
      <c r="GI121" s="826"/>
      <c r="GJ121" s="826"/>
      <c r="GK121" s="826"/>
      <c r="GL121" s="826"/>
      <c r="GM121" s="826"/>
      <c r="GN121" s="826"/>
      <c r="GO121" s="826"/>
      <c r="GP121" s="826"/>
      <c r="GQ121" s="826"/>
      <c r="GR121" s="826"/>
      <c r="GS121" s="826"/>
      <c r="GT121" s="826"/>
      <c r="GU121" s="826"/>
      <c r="GV121" s="826"/>
      <c r="GW121" s="826"/>
      <c r="GX121" s="826"/>
      <c r="GY121" s="826"/>
      <c r="GZ121" s="826"/>
      <c r="HA121" s="826"/>
      <c r="HB121" s="826"/>
      <c r="HC121" s="826"/>
    </row>
    <row r="122" spans="1:16171" s="847" customFormat="1" ht="56.25" customHeight="1">
      <c r="A122" s="57">
        <v>144</v>
      </c>
      <c r="B122" s="846" t="s">
        <v>8816</v>
      </c>
      <c r="C122" s="59">
        <v>70256673</v>
      </c>
      <c r="D122" s="823" t="s">
        <v>333</v>
      </c>
      <c r="E122" s="60"/>
      <c r="F122" s="63"/>
      <c r="G122" s="62"/>
      <c r="H122" s="117"/>
      <c r="I122" s="183"/>
      <c r="J122" s="169"/>
      <c r="K122" s="63"/>
      <c r="L122" s="182"/>
      <c r="M122" s="183"/>
      <c r="N122" s="183"/>
      <c r="O122" s="169"/>
      <c r="P122" s="63"/>
      <c r="Q122" s="182"/>
      <c r="R122" s="183"/>
      <c r="S122" s="183"/>
      <c r="T122" s="169"/>
      <c r="U122" s="63"/>
      <c r="V122" s="182"/>
      <c r="W122" s="183"/>
      <c r="X122" s="183"/>
      <c r="Y122" s="169"/>
      <c r="Z122" s="63"/>
      <c r="AA122" s="182"/>
      <c r="AB122" s="183"/>
      <c r="AC122" s="183"/>
      <c r="AD122" s="169"/>
      <c r="AE122" s="63"/>
      <c r="AF122" s="182"/>
      <c r="AG122" s="183"/>
      <c r="AH122" s="183"/>
      <c r="AI122" s="183"/>
      <c r="AJ122" s="63"/>
      <c r="AK122" s="182"/>
      <c r="AL122" s="183"/>
      <c r="AM122" s="183"/>
      <c r="AN122" s="183" t="s">
        <v>6487</v>
      </c>
      <c r="AO122" s="183" t="s">
        <v>2558</v>
      </c>
      <c r="AP122" s="848" t="s">
        <v>10313</v>
      </c>
      <c r="AQ122" s="183"/>
      <c r="AR122" s="169">
        <v>38356</v>
      </c>
      <c r="AS122" s="169">
        <v>39825</v>
      </c>
      <c r="AT122" s="183" t="s">
        <v>10314</v>
      </c>
      <c r="AU122" s="117" t="s">
        <v>92</v>
      </c>
      <c r="AV122" s="117" t="s">
        <v>10315</v>
      </c>
      <c r="AW122" s="60">
        <v>41416</v>
      </c>
      <c r="AX122" s="839"/>
      <c r="AY122" s="169"/>
      <c r="AZ122" s="171"/>
      <c r="BA122" s="117" t="s">
        <v>95</v>
      </c>
      <c r="BB122" s="117" t="s">
        <v>1792</v>
      </c>
      <c r="BC122" s="183"/>
      <c r="BD122" s="182"/>
      <c r="BE122" s="182"/>
      <c r="BF122" s="182"/>
      <c r="BG122" s="182"/>
      <c r="BH122" s="140"/>
      <c r="BI122" s="140"/>
      <c r="BJ122" s="184"/>
      <c r="BK122" s="169"/>
      <c r="BL122" s="63"/>
      <c r="BM122" s="549"/>
      <c r="BN122" s="183"/>
      <c r="BO122" s="182"/>
      <c r="BP122" s="182"/>
      <c r="BQ122" s="182"/>
      <c r="BR122" s="186"/>
      <c r="BS122" s="182"/>
      <c r="BT122" s="169"/>
      <c r="BU122" s="63"/>
      <c r="BV122" s="826"/>
      <c r="BW122" s="826"/>
      <c r="BX122" s="826"/>
      <c r="BY122" s="826"/>
      <c r="BZ122" s="826"/>
      <c r="CA122" s="826"/>
      <c r="CB122" s="826"/>
      <c r="CC122" s="826"/>
      <c r="CD122" s="826"/>
      <c r="CE122" s="826"/>
      <c r="CF122" s="826"/>
      <c r="CG122" s="826"/>
      <c r="CH122" s="826"/>
      <c r="CI122" s="826"/>
      <c r="CJ122" s="826"/>
      <c r="CK122" s="826"/>
      <c r="CL122" s="826"/>
      <c r="CM122" s="826"/>
      <c r="CN122" s="826"/>
      <c r="CO122" s="826"/>
      <c r="CP122" s="826"/>
      <c r="CQ122" s="826"/>
      <c r="CR122" s="826"/>
      <c r="CS122" s="826"/>
      <c r="CT122" s="826"/>
      <c r="CU122" s="826"/>
      <c r="CV122" s="826"/>
      <c r="CW122" s="826"/>
      <c r="CX122" s="826"/>
      <c r="CY122" s="826"/>
      <c r="CZ122" s="826"/>
      <c r="DA122" s="826"/>
      <c r="DB122" s="826"/>
      <c r="DC122" s="826"/>
      <c r="DD122" s="826"/>
      <c r="DE122" s="826"/>
      <c r="DF122" s="826"/>
      <c r="DG122" s="826"/>
      <c r="DH122" s="826"/>
      <c r="DI122" s="826"/>
      <c r="DJ122" s="826"/>
      <c r="DK122" s="826"/>
      <c r="DL122" s="826"/>
      <c r="DM122" s="826"/>
      <c r="DN122" s="826"/>
      <c r="DO122" s="826"/>
      <c r="DP122" s="826"/>
      <c r="DQ122" s="826"/>
      <c r="DR122" s="826"/>
      <c r="DS122" s="826"/>
      <c r="DT122" s="826"/>
      <c r="DU122" s="826"/>
      <c r="DV122" s="826"/>
      <c r="DW122" s="826"/>
      <c r="DX122" s="826"/>
      <c r="DY122" s="826"/>
      <c r="DZ122" s="826"/>
      <c r="EA122" s="826"/>
      <c r="EB122" s="826"/>
      <c r="EC122" s="826"/>
      <c r="ED122" s="826"/>
      <c r="EE122" s="826"/>
      <c r="EF122" s="826"/>
      <c r="EG122" s="826"/>
      <c r="EH122" s="826"/>
      <c r="EI122" s="826"/>
      <c r="EJ122" s="826"/>
      <c r="EK122" s="826"/>
      <c r="EL122" s="826"/>
      <c r="EM122" s="826"/>
      <c r="EN122" s="826"/>
      <c r="EO122" s="826"/>
      <c r="EP122" s="826"/>
      <c r="EQ122" s="826"/>
      <c r="ER122" s="826"/>
      <c r="ES122" s="826"/>
      <c r="ET122" s="826"/>
      <c r="EU122" s="826"/>
      <c r="EV122" s="826"/>
      <c r="EW122" s="826"/>
      <c r="EX122" s="826"/>
      <c r="EY122" s="826"/>
      <c r="EZ122" s="826"/>
      <c r="FA122" s="826"/>
      <c r="FB122" s="826"/>
      <c r="FC122" s="826"/>
      <c r="FD122" s="826"/>
      <c r="FE122" s="826"/>
      <c r="FF122" s="826"/>
      <c r="FG122" s="826"/>
      <c r="FH122" s="826"/>
      <c r="FI122" s="826"/>
      <c r="FJ122" s="826"/>
      <c r="FK122" s="826"/>
      <c r="FL122" s="826"/>
      <c r="FM122" s="826"/>
      <c r="FN122" s="826"/>
      <c r="FO122" s="826"/>
      <c r="FP122" s="826"/>
      <c r="FQ122" s="826"/>
      <c r="FR122" s="826"/>
      <c r="FS122" s="826"/>
      <c r="FT122" s="826"/>
      <c r="FU122" s="826"/>
      <c r="FV122" s="826"/>
      <c r="FW122" s="826"/>
      <c r="FX122" s="826"/>
      <c r="FY122" s="826"/>
      <c r="FZ122" s="826"/>
      <c r="GA122" s="826"/>
      <c r="GB122" s="826"/>
      <c r="GC122" s="826"/>
      <c r="GD122" s="826"/>
      <c r="GE122" s="826"/>
      <c r="GF122" s="826"/>
      <c r="GG122" s="826"/>
      <c r="GH122" s="826"/>
      <c r="GI122" s="826"/>
      <c r="GJ122" s="826"/>
      <c r="GK122" s="826"/>
      <c r="GL122" s="826"/>
      <c r="GM122" s="826"/>
      <c r="GN122" s="826"/>
      <c r="GO122" s="826"/>
      <c r="GP122" s="826"/>
      <c r="GQ122" s="826"/>
      <c r="GR122" s="826"/>
      <c r="GS122" s="826"/>
      <c r="GT122" s="826"/>
      <c r="GU122" s="826"/>
      <c r="GV122" s="826"/>
      <c r="GW122" s="826"/>
      <c r="GX122" s="826"/>
      <c r="GY122" s="826"/>
      <c r="GZ122" s="826"/>
      <c r="HA122" s="826"/>
      <c r="HB122" s="826"/>
      <c r="HC122" s="826"/>
    </row>
    <row r="123" spans="1:16171" s="847" customFormat="1" ht="56.25" customHeight="1">
      <c r="A123" s="57">
        <v>130</v>
      </c>
      <c r="B123" s="846" t="s">
        <v>8715</v>
      </c>
      <c r="C123" s="59">
        <v>63508317</v>
      </c>
      <c r="D123" s="823" t="s">
        <v>8737</v>
      </c>
      <c r="E123" s="60"/>
      <c r="F123" s="63"/>
      <c r="G123" s="62"/>
      <c r="H123" s="117"/>
      <c r="I123" s="183"/>
      <c r="J123" s="169"/>
      <c r="K123" s="63"/>
      <c r="L123" s="182"/>
      <c r="M123" s="183"/>
      <c r="N123" s="183"/>
      <c r="O123" s="169"/>
      <c r="P123" s="63"/>
      <c r="Q123" s="182"/>
      <c r="R123" s="183"/>
      <c r="S123" s="183"/>
      <c r="T123" s="169"/>
      <c r="U123" s="63"/>
      <c r="V123" s="182"/>
      <c r="W123" s="183"/>
      <c r="X123" s="183"/>
      <c r="Y123" s="169"/>
      <c r="Z123" s="63"/>
      <c r="AA123" s="182"/>
      <c r="AB123" s="183"/>
      <c r="AC123" s="183"/>
      <c r="AD123" s="169"/>
      <c r="AE123" s="63"/>
      <c r="AF123" s="182"/>
      <c r="AG123" s="183"/>
      <c r="AH123" s="183"/>
      <c r="AI123" s="183"/>
      <c r="AJ123" s="63"/>
      <c r="AK123" s="182"/>
      <c r="AL123" s="183"/>
      <c r="AM123" s="183"/>
      <c r="AN123" s="183" t="s">
        <v>6487</v>
      </c>
      <c r="AO123" s="183" t="s">
        <v>2558</v>
      </c>
      <c r="AP123" s="848" t="s">
        <v>10316</v>
      </c>
      <c r="AQ123" s="183"/>
      <c r="AR123" s="169">
        <v>38420</v>
      </c>
      <c r="AS123" s="169">
        <v>40862</v>
      </c>
      <c r="AT123" s="183" t="s">
        <v>10317</v>
      </c>
      <c r="AU123" s="183" t="s">
        <v>69</v>
      </c>
      <c r="AV123" s="117" t="s">
        <v>10318</v>
      </c>
      <c r="AW123" s="60">
        <v>41586</v>
      </c>
      <c r="AX123" s="839"/>
      <c r="AY123" s="169"/>
      <c r="AZ123" s="171"/>
      <c r="BA123" s="117" t="s">
        <v>95</v>
      </c>
      <c r="BB123" s="117" t="s">
        <v>1792</v>
      </c>
      <c r="BC123" s="183"/>
      <c r="BD123" s="182"/>
      <c r="BE123" s="182"/>
      <c r="BF123" s="182"/>
      <c r="BG123" s="182"/>
      <c r="BH123" s="140"/>
      <c r="BI123" s="140"/>
      <c r="BJ123" s="184"/>
      <c r="BK123" s="169"/>
      <c r="BL123" s="63"/>
      <c r="BM123" s="549"/>
      <c r="BN123" s="183"/>
      <c r="BO123" s="182"/>
      <c r="BP123" s="182"/>
      <c r="BQ123" s="182"/>
      <c r="BR123" s="186"/>
      <c r="BS123" s="182"/>
      <c r="BT123" s="169"/>
      <c r="BU123" s="63"/>
      <c r="BV123" s="826"/>
      <c r="BW123" s="826"/>
      <c r="BX123" s="826"/>
      <c r="BY123" s="826"/>
      <c r="BZ123" s="826"/>
      <c r="CA123" s="826"/>
      <c r="CB123" s="826"/>
      <c r="CC123" s="826"/>
      <c r="CD123" s="826"/>
      <c r="CE123" s="826"/>
      <c r="CF123" s="826"/>
      <c r="CG123" s="826"/>
      <c r="CH123" s="826"/>
      <c r="CI123" s="826"/>
      <c r="CJ123" s="826"/>
      <c r="CK123" s="826"/>
      <c r="CL123" s="826"/>
      <c r="CM123" s="826"/>
      <c r="CN123" s="826"/>
      <c r="CO123" s="826"/>
      <c r="CP123" s="826"/>
      <c r="CQ123" s="826"/>
      <c r="CR123" s="826"/>
      <c r="CS123" s="826"/>
      <c r="CT123" s="826"/>
      <c r="CU123" s="826"/>
      <c r="CV123" s="826"/>
      <c r="CW123" s="826"/>
      <c r="CX123" s="826"/>
      <c r="CY123" s="826"/>
      <c r="CZ123" s="826"/>
      <c r="DA123" s="826"/>
      <c r="DB123" s="826"/>
      <c r="DC123" s="826"/>
      <c r="DD123" s="826"/>
      <c r="DE123" s="826"/>
      <c r="DF123" s="826"/>
      <c r="DG123" s="826"/>
      <c r="DH123" s="826"/>
      <c r="DI123" s="826"/>
      <c r="DJ123" s="826"/>
      <c r="DK123" s="826"/>
      <c r="DL123" s="826"/>
      <c r="DM123" s="826"/>
      <c r="DN123" s="826"/>
      <c r="DO123" s="826"/>
      <c r="DP123" s="826"/>
      <c r="DQ123" s="826"/>
      <c r="DR123" s="826"/>
      <c r="DS123" s="826"/>
      <c r="DT123" s="826"/>
      <c r="DU123" s="826"/>
      <c r="DV123" s="826"/>
      <c r="DW123" s="826"/>
      <c r="DX123" s="826"/>
      <c r="DY123" s="826"/>
      <c r="DZ123" s="826"/>
      <c r="EA123" s="826"/>
      <c r="EB123" s="826"/>
      <c r="EC123" s="826"/>
      <c r="ED123" s="826"/>
      <c r="EE123" s="826"/>
      <c r="EF123" s="826"/>
      <c r="EG123" s="826"/>
      <c r="EH123" s="826"/>
      <c r="EI123" s="826"/>
      <c r="EJ123" s="826"/>
      <c r="EK123" s="826"/>
      <c r="EL123" s="826"/>
      <c r="EM123" s="826"/>
      <c r="EN123" s="826"/>
      <c r="EO123" s="826"/>
      <c r="EP123" s="826"/>
      <c r="EQ123" s="826"/>
      <c r="ER123" s="826"/>
      <c r="ES123" s="826"/>
      <c r="ET123" s="826"/>
      <c r="EU123" s="826"/>
      <c r="EV123" s="826"/>
      <c r="EW123" s="826"/>
      <c r="EX123" s="826"/>
      <c r="EY123" s="826"/>
      <c r="EZ123" s="826"/>
      <c r="FA123" s="826"/>
      <c r="FB123" s="826"/>
      <c r="FC123" s="826"/>
      <c r="FD123" s="826"/>
      <c r="FE123" s="826"/>
      <c r="FF123" s="826"/>
      <c r="FG123" s="826"/>
      <c r="FH123" s="826"/>
      <c r="FI123" s="826"/>
      <c r="FJ123" s="826"/>
      <c r="FK123" s="826"/>
      <c r="FL123" s="826"/>
      <c r="FM123" s="826"/>
      <c r="FN123" s="826"/>
      <c r="FO123" s="826"/>
      <c r="FP123" s="826"/>
      <c r="FQ123" s="826"/>
      <c r="FR123" s="826"/>
      <c r="FS123" s="826"/>
      <c r="FT123" s="826"/>
      <c r="FU123" s="826"/>
      <c r="FV123" s="826"/>
      <c r="FW123" s="826"/>
      <c r="FX123" s="826"/>
      <c r="FY123" s="826"/>
      <c r="FZ123" s="826"/>
      <c r="GA123" s="826"/>
      <c r="GB123" s="826"/>
      <c r="GC123" s="826"/>
      <c r="GD123" s="826"/>
      <c r="GE123" s="826"/>
      <c r="GF123" s="826"/>
      <c r="GG123" s="826"/>
      <c r="GH123" s="826"/>
      <c r="GI123" s="826"/>
      <c r="GJ123" s="826"/>
      <c r="GK123" s="826"/>
      <c r="GL123" s="826"/>
      <c r="GM123" s="826"/>
      <c r="GN123" s="826"/>
      <c r="GO123" s="826"/>
      <c r="GP123" s="826"/>
      <c r="GQ123" s="826"/>
      <c r="GR123" s="826"/>
      <c r="GS123" s="826"/>
      <c r="GT123" s="826"/>
      <c r="GU123" s="826"/>
      <c r="GV123" s="826"/>
      <c r="GW123" s="826"/>
      <c r="GX123" s="826"/>
      <c r="GY123" s="826"/>
      <c r="GZ123" s="826"/>
      <c r="HA123" s="826"/>
      <c r="HB123" s="826"/>
      <c r="HC123" s="826"/>
    </row>
    <row r="124" spans="1:16171" s="847" customFormat="1" ht="56.25" customHeight="1">
      <c r="A124" s="57">
        <v>133</v>
      </c>
      <c r="B124" s="846" t="s">
        <v>9354</v>
      </c>
      <c r="C124" s="59">
        <v>73167832</v>
      </c>
      <c r="D124" s="425"/>
      <c r="E124" s="60"/>
      <c r="F124" s="63"/>
      <c r="G124" s="62"/>
      <c r="H124" s="117"/>
      <c r="I124" s="183"/>
      <c r="J124" s="169"/>
      <c r="K124" s="63"/>
      <c r="L124" s="182"/>
      <c r="M124" s="183"/>
      <c r="N124" s="183"/>
      <c r="O124" s="169"/>
      <c r="P124" s="63"/>
      <c r="Q124" s="182"/>
      <c r="R124" s="183"/>
      <c r="S124" s="183"/>
      <c r="T124" s="169"/>
      <c r="U124" s="63"/>
      <c r="V124" s="182"/>
      <c r="W124" s="183"/>
      <c r="X124" s="183"/>
      <c r="Y124" s="169"/>
      <c r="Z124" s="63"/>
      <c r="AA124" s="182"/>
      <c r="AB124" s="183"/>
      <c r="AC124" s="183"/>
      <c r="AD124" s="169"/>
      <c r="AE124" s="63"/>
      <c r="AF124" s="182"/>
      <c r="AG124" s="183"/>
      <c r="AH124" s="183"/>
      <c r="AI124" s="183"/>
      <c r="AJ124" s="63"/>
      <c r="AK124" s="182"/>
      <c r="AL124" s="183"/>
      <c r="AM124" s="183"/>
      <c r="AN124" s="183" t="s">
        <v>6487</v>
      </c>
      <c r="AO124" s="183" t="s">
        <v>2558</v>
      </c>
      <c r="AP124" s="848" t="s">
        <v>10319</v>
      </c>
      <c r="AQ124" s="183"/>
      <c r="AR124" s="169">
        <v>38534</v>
      </c>
      <c r="AS124" s="169">
        <v>39813</v>
      </c>
      <c r="AT124" s="183"/>
      <c r="AU124" s="117" t="s">
        <v>92</v>
      </c>
      <c r="AV124" s="60" t="s">
        <v>10320</v>
      </c>
      <c r="AW124" s="60">
        <v>42864</v>
      </c>
      <c r="AX124" s="839"/>
      <c r="AY124" s="169"/>
      <c r="AZ124" s="171"/>
      <c r="BA124" s="117" t="s">
        <v>95</v>
      </c>
      <c r="BB124" s="117" t="s">
        <v>4478</v>
      </c>
      <c r="BC124" s="183"/>
      <c r="BD124" s="182"/>
      <c r="BE124" s="182"/>
      <c r="BF124" s="182"/>
      <c r="BG124" s="182"/>
      <c r="BH124" s="140"/>
      <c r="BI124" s="140"/>
      <c r="BJ124" s="184"/>
      <c r="BK124" s="169"/>
      <c r="BL124" s="63"/>
      <c r="BM124" s="549"/>
      <c r="BN124" s="183"/>
      <c r="BO124" s="182"/>
      <c r="BP124" s="182"/>
      <c r="BQ124" s="182"/>
      <c r="BR124" s="186"/>
      <c r="BS124" s="182"/>
      <c r="BT124" s="169"/>
      <c r="BU124" s="63"/>
      <c r="BV124" s="826"/>
      <c r="BW124" s="826"/>
      <c r="BX124" s="826"/>
      <c r="BY124" s="826"/>
      <c r="BZ124" s="826"/>
      <c r="CA124" s="826"/>
      <c r="CB124" s="826"/>
      <c r="CC124" s="826"/>
      <c r="CD124" s="826"/>
      <c r="CE124" s="826"/>
      <c r="CF124" s="826"/>
      <c r="CG124" s="826"/>
      <c r="CH124" s="826"/>
      <c r="CI124" s="826"/>
      <c r="CJ124" s="826"/>
      <c r="CK124" s="826"/>
      <c r="CL124" s="826"/>
      <c r="CM124" s="826"/>
      <c r="CN124" s="826"/>
      <c r="CO124" s="826"/>
      <c r="CP124" s="826"/>
      <c r="CQ124" s="826"/>
      <c r="CR124" s="826"/>
      <c r="CS124" s="826"/>
      <c r="CT124" s="826"/>
      <c r="CU124" s="826"/>
      <c r="CV124" s="826"/>
      <c r="CW124" s="826"/>
      <c r="CX124" s="826"/>
      <c r="CY124" s="826"/>
      <c r="CZ124" s="826"/>
      <c r="DA124" s="826"/>
      <c r="DB124" s="826"/>
      <c r="DC124" s="826"/>
      <c r="DD124" s="826"/>
      <c r="DE124" s="826"/>
      <c r="DF124" s="826"/>
      <c r="DG124" s="826"/>
      <c r="DH124" s="826"/>
      <c r="DI124" s="826"/>
      <c r="DJ124" s="826"/>
      <c r="DK124" s="826"/>
      <c r="DL124" s="826"/>
      <c r="DM124" s="826"/>
      <c r="DN124" s="826"/>
      <c r="DO124" s="826"/>
      <c r="DP124" s="826"/>
      <c r="DQ124" s="826"/>
      <c r="DR124" s="826"/>
      <c r="DS124" s="826"/>
      <c r="DT124" s="826"/>
      <c r="DU124" s="826"/>
      <c r="DV124" s="826"/>
      <c r="DW124" s="826"/>
      <c r="DX124" s="826"/>
      <c r="DY124" s="826"/>
      <c r="DZ124" s="826"/>
      <c r="EA124" s="826"/>
      <c r="EB124" s="826"/>
      <c r="EC124" s="826"/>
      <c r="ED124" s="826"/>
      <c r="EE124" s="826"/>
      <c r="EF124" s="826"/>
      <c r="EG124" s="826"/>
      <c r="EH124" s="826"/>
      <c r="EI124" s="826"/>
      <c r="EJ124" s="826"/>
      <c r="EK124" s="826"/>
      <c r="EL124" s="826"/>
      <c r="EM124" s="826"/>
      <c r="EN124" s="826"/>
      <c r="EO124" s="826"/>
      <c r="EP124" s="826"/>
      <c r="EQ124" s="826"/>
      <c r="ER124" s="826"/>
      <c r="ES124" s="826"/>
      <c r="ET124" s="826"/>
      <c r="EU124" s="826"/>
      <c r="EV124" s="826"/>
      <c r="EW124" s="826"/>
      <c r="EX124" s="826"/>
      <c r="EY124" s="826"/>
      <c r="EZ124" s="826"/>
      <c r="FA124" s="826"/>
      <c r="FB124" s="826"/>
      <c r="FC124" s="826"/>
      <c r="FD124" s="826"/>
      <c r="FE124" s="826"/>
      <c r="FF124" s="826"/>
      <c r="FG124" s="826"/>
      <c r="FH124" s="826"/>
      <c r="FI124" s="826"/>
      <c r="FJ124" s="826"/>
      <c r="FK124" s="826"/>
      <c r="FL124" s="826"/>
      <c r="FM124" s="826"/>
      <c r="FN124" s="826"/>
      <c r="FO124" s="826"/>
      <c r="FP124" s="826"/>
      <c r="FQ124" s="826"/>
      <c r="FR124" s="826"/>
      <c r="FS124" s="826"/>
      <c r="FT124" s="826"/>
      <c r="FU124" s="826"/>
      <c r="FV124" s="826"/>
      <c r="FW124" s="826"/>
      <c r="FX124" s="826"/>
      <c r="FY124" s="826"/>
      <c r="FZ124" s="826"/>
      <c r="GA124" s="826"/>
      <c r="GB124" s="826"/>
      <c r="GC124" s="826"/>
      <c r="GD124" s="826"/>
      <c r="GE124" s="826"/>
      <c r="GF124" s="826"/>
      <c r="GG124" s="826"/>
      <c r="GH124" s="826"/>
      <c r="GI124" s="826"/>
      <c r="GJ124" s="826"/>
      <c r="GK124" s="826"/>
      <c r="GL124" s="826"/>
      <c r="GM124" s="826"/>
      <c r="GN124" s="826"/>
      <c r="GO124" s="826"/>
      <c r="GP124" s="826"/>
      <c r="GQ124" s="826"/>
      <c r="GR124" s="826"/>
      <c r="GS124" s="826"/>
      <c r="GT124" s="826"/>
      <c r="GU124" s="826"/>
      <c r="GV124" s="826"/>
      <c r="GW124" s="826"/>
      <c r="GX124" s="826"/>
      <c r="GY124" s="826"/>
      <c r="GZ124" s="826"/>
      <c r="HA124" s="826"/>
      <c r="HB124" s="826"/>
      <c r="HC124" s="826"/>
    </row>
    <row r="125" spans="1:16171" s="847" customFormat="1" ht="56.25" customHeight="1">
      <c r="A125" s="57">
        <v>143</v>
      </c>
      <c r="B125" s="846" t="s">
        <v>7549</v>
      </c>
      <c r="C125" s="59">
        <v>5978992</v>
      </c>
      <c r="D125" s="823" t="s">
        <v>2446</v>
      </c>
      <c r="E125" s="60"/>
      <c r="F125" s="63"/>
      <c r="G125" s="62"/>
      <c r="H125" s="117"/>
      <c r="I125" s="183"/>
      <c r="J125" s="169"/>
      <c r="K125" s="63"/>
      <c r="L125" s="182"/>
      <c r="M125" s="183"/>
      <c r="N125" s="183"/>
      <c r="O125" s="169"/>
      <c r="P125" s="63"/>
      <c r="Q125" s="182"/>
      <c r="R125" s="183"/>
      <c r="S125" s="183"/>
      <c r="T125" s="169"/>
      <c r="U125" s="63"/>
      <c r="V125" s="182"/>
      <c r="W125" s="183"/>
      <c r="X125" s="183"/>
      <c r="Y125" s="169"/>
      <c r="Z125" s="63"/>
      <c r="AA125" s="182"/>
      <c r="AB125" s="183"/>
      <c r="AC125" s="183"/>
      <c r="AD125" s="169"/>
      <c r="AE125" s="63"/>
      <c r="AF125" s="182"/>
      <c r="AG125" s="183"/>
      <c r="AH125" s="183"/>
      <c r="AI125" s="183"/>
      <c r="AJ125" s="63"/>
      <c r="AK125" s="182"/>
      <c r="AL125" s="183"/>
      <c r="AM125" s="183"/>
      <c r="AN125" s="183" t="s">
        <v>6487</v>
      </c>
      <c r="AO125" s="183" t="s">
        <v>2558</v>
      </c>
      <c r="AP125" s="848" t="s">
        <v>10321</v>
      </c>
      <c r="AQ125" s="183"/>
      <c r="AR125" s="169">
        <v>38534</v>
      </c>
      <c r="AS125" s="169">
        <v>40862</v>
      </c>
      <c r="AT125" s="183" t="s">
        <v>10322</v>
      </c>
      <c r="AU125" s="183" t="s">
        <v>69</v>
      </c>
      <c r="AV125" s="117" t="s">
        <v>10323</v>
      </c>
      <c r="AW125" s="60">
        <v>42697</v>
      </c>
      <c r="AX125" s="839"/>
      <c r="AY125" s="169"/>
      <c r="AZ125" s="171"/>
      <c r="BA125" s="117" t="s">
        <v>95</v>
      </c>
      <c r="BB125" s="117" t="s">
        <v>4478</v>
      </c>
      <c r="BC125" s="183"/>
      <c r="BD125" s="182"/>
      <c r="BE125" s="182"/>
      <c r="BF125" s="182"/>
      <c r="BG125" s="182"/>
      <c r="BH125" s="140"/>
      <c r="BI125" s="140"/>
      <c r="BJ125" s="184"/>
      <c r="BK125" s="169"/>
      <c r="BL125" s="63"/>
      <c r="BM125" s="549"/>
      <c r="BN125" s="183"/>
      <c r="BO125" s="182"/>
      <c r="BP125" s="182"/>
      <c r="BQ125" s="182"/>
      <c r="BR125" s="186"/>
      <c r="BS125" s="182"/>
      <c r="BT125" s="169"/>
      <c r="BU125" s="63"/>
      <c r="BV125" s="826"/>
      <c r="BW125" s="826"/>
      <c r="BX125" s="826"/>
      <c r="BY125" s="826"/>
      <c r="BZ125" s="826"/>
      <c r="CA125" s="826"/>
      <c r="CB125" s="826"/>
      <c r="CC125" s="826"/>
      <c r="CD125" s="826"/>
      <c r="CE125" s="826"/>
      <c r="CF125" s="826"/>
      <c r="CG125" s="826"/>
      <c r="CH125" s="826"/>
      <c r="CI125" s="826"/>
      <c r="CJ125" s="826"/>
      <c r="CK125" s="826"/>
      <c r="CL125" s="826"/>
      <c r="CM125" s="826"/>
      <c r="CN125" s="826"/>
      <c r="CO125" s="826"/>
      <c r="CP125" s="826"/>
      <c r="CQ125" s="826"/>
      <c r="CR125" s="826"/>
      <c r="CS125" s="826"/>
      <c r="CT125" s="826"/>
      <c r="CU125" s="826"/>
      <c r="CV125" s="826"/>
      <c r="CW125" s="826"/>
      <c r="CX125" s="826"/>
      <c r="CY125" s="826"/>
      <c r="CZ125" s="826"/>
      <c r="DA125" s="826"/>
      <c r="DB125" s="826"/>
      <c r="DC125" s="826"/>
      <c r="DD125" s="826"/>
      <c r="DE125" s="826"/>
      <c r="DF125" s="826"/>
      <c r="DG125" s="826"/>
      <c r="DH125" s="826"/>
      <c r="DI125" s="826"/>
      <c r="DJ125" s="826"/>
      <c r="DK125" s="826"/>
      <c r="DL125" s="826"/>
      <c r="DM125" s="826"/>
      <c r="DN125" s="826"/>
      <c r="DO125" s="826"/>
      <c r="DP125" s="826"/>
      <c r="DQ125" s="826"/>
      <c r="DR125" s="826"/>
      <c r="DS125" s="826"/>
      <c r="DT125" s="826"/>
      <c r="DU125" s="826"/>
      <c r="DV125" s="826"/>
      <c r="DW125" s="826"/>
      <c r="DX125" s="826"/>
      <c r="DY125" s="826"/>
      <c r="DZ125" s="826"/>
      <c r="EA125" s="826"/>
      <c r="EB125" s="826"/>
      <c r="EC125" s="826"/>
      <c r="ED125" s="826"/>
      <c r="EE125" s="826"/>
      <c r="EF125" s="826"/>
      <c r="EG125" s="826"/>
      <c r="EH125" s="826"/>
      <c r="EI125" s="826"/>
      <c r="EJ125" s="826"/>
      <c r="EK125" s="826"/>
      <c r="EL125" s="826"/>
      <c r="EM125" s="826"/>
      <c r="EN125" s="826"/>
      <c r="EO125" s="826"/>
      <c r="EP125" s="826"/>
      <c r="EQ125" s="826"/>
      <c r="ER125" s="826"/>
      <c r="ES125" s="826"/>
      <c r="ET125" s="826"/>
      <c r="EU125" s="826"/>
      <c r="EV125" s="826"/>
      <c r="EW125" s="826"/>
      <c r="EX125" s="826"/>
      <c r="EY125" s="826"/>
      <c r="EZ125" s="826"/>
      <c r="FA125" s="826"/>
      <c r="FB125" s="826"/>
      <c r="FC125" s="826"/>
      <c r="FD125" s="826"/>
      <c r="FE125" s="826"/>
      <c r="FF125" s="826"/>
      <c r="FG125" s="826"/>
      <c r="FH125" s="826"/>
      <c r="FI125" s="826"/>
      <c r="FJ125" s="826"/>
      <c r="FK125" s="826"/>
      <c r="FL125" s="826"/>
      <c r="FM125" s="826"/>
      <c r="FN125" s="826"/>
      <c r="FO125" s="826"/>
      <c r="FP125" s="826"/>
      <c r="FQ125" s="826"/>
      <c r="FR125" s="826"/>
      <c r="FS125" s="826"/>
      <c r="FT125" s="826"/>
      <c r="FU125" s="826"/>
      <c r="FV125" s="826"/>
      <c r="FW125" s="826"/>
      <c r="FX125" s="826"/>
      <c r="FY125" s="826"/>
      <c r="FZ125" s="826"/>
      <c r="GA125" s="826"/>
      <c r="GB125" s="826"/>
      <c r="GC125" s="826"/>
      <c r="GD125" s="826"/>
      <c r="GE125" s="826"/>
      <c r="GF125" s="826"/>
      <c r="GG125" s="826"/>
      <c r="GH125" s="826"/>
      <c r="GI125" s="826"/>
      <c r="GJ125" s="826"/>
      <c r="GK125" s="826"/>
      <c r="GL125" s="826"/>
      <c r="GM125" s="826"/>
      <c r="GN125" s="826"/>
      <c r="GO125" s="826"/>
      <c r="GP125" s="826"/>
      <c r="GQ125" s="826"/>
      <c r="GR125" s="826"/>
      <c r="GS125" s="826"/>
      <c r="GT125" s="826"/>
      <c r="GU125" s="826"/>
      <c r="GV125" s="826"/>
      <c r="GW125" s="826"/>
      <c r="GX125" s="826"/>
      <c r="GY125" s="826"/>
      <c r="GZ125" s="826"/>
      <c r="HA125" s="826"/>
      <c r="HB125" s="826"/>
      <c r="HC125" s="826"/>
    </row>
    <row r="126" spans="1:16171" s="847" customFormat="1" ht="56.25" customHeight="1">
      <c r="A126" s="57">
        <v>115</v>
      </c>
      <c r="B126" s="846" t="s">
        <v>7242</v>
      </c>
      <c r="C126" s="59">
        <v>94450412</v>
      </c>
      <c r="D126" s="823" t="s">
        <v>10159</v>
      </c>
      <c r="E126" s="60"/>
      <c r="F126" s="63"/>
      <c r="G126" s="62"/>
      <c r="H126" s="117"/>
      <c r="I126" s="183"/>
      <c r="J126" s="169"/>
      <c r="K126" s="63"/>
      <c r="L126" s="182"/>
      <c r="M126" s="183"/>
      <c r="N126" s="183"/>
      <c r="O126" s="169"/>
      <c r="P126" s="63"/>
      <c r="Q126" s="182"/>
      <c r="R126" s="183"/>
      <c r="S126" s="183"/>
      <c r="T126" s="169"/>
      <c r="U126" s="63"/>
      <c r="V126" s="182"/>
      <c r="W126" s="183"/>
      <c r="X126" s="183"/>
      <c r="Y126" s="169"/>
      <c r="Z126" s="63"/>
      <c r="AA126" s="182"/>
      <c r="AB126" s="183"/>
      <c r="AC126" s="183"/>
      <c r="AD126" s="169"/>
      <c r="AE126" s="63"/>
      <c r="AF126" s="182"/>
      <c r="AG126" s="183"/>
      <c r="AH126" s="183"/>
      <c r="AI126" s="183"/>
      <c r="AJ126" s="63"/>
      <c r="AK126" s="182"/>
      <c r="AL126" s="183"/>
      <c r="AM126" s="183"/>
      <c r="AN126" s="183" t="s">
        <v>6487</v>
      </c>
      <c r="AO126" s="183" t="s">
        <v>2558</v>
      </c>
      <c r="AP126" s="848" t="s">
        <v>7244</v>
      </c>
      <c r="AQ126" s="183"/>
      <c r="AR126" s="169">
        <v>37073</v>
      </c>
      <c r="AS126" s="169">
        <v>40847</v>
      </c>
      <c r="AT126" s="183" t="s">
        <v>10324</v>
      </c>
      <c r="AU126" s="183" t="s">
        <v>69</v>
      </c>
      <c r="AV126" s="117" t="s">
        <v>10325</v>
      </c>
      <c r="AW126" s="60">
        <v>41879</v>
      </c>
      <c r="AX126" s="839"/>
      <c r="AY126" s="169"/>
      <c r="AZ126" s="171"/>
      <c r="BA126" s="117" t="s">
        <v>95</v>
      </c>
      <c r="BB126" s="117" t="s">
        <v>4478</v>
      </c>
      <c r="BC126" s="183"/>
      <c r="BD126" s="182"/>
      <c r="BE126" s="182"/>
      <c r="BF126" s="182"/>
      <c r="BG126" s="182"/>
      <c r="BH126" s="140"/>
      <c r="BI126" s="140"/>
      <c r="BJ126" s="184"/>
      <c r="BK126" s="169"/>
      <c r="BL126" s="63"/>
      <c r="BM126" s="549"/>
      <c r="BN126" s="183"/>
      <c r="BO126" s="182"/>
      <c r="BP126" s="182"/>
      <c r="BQ126" s="182"/>
      <c r="BR126" s="186"/>
      <c r="BS126" s="182"/>
      <c r="BT126" s="169"/>
      <c r="BU126" s="63"/>
      <c r="BV126" s="826"/>
      <c r="BW126" s="826"/>
      <c r="BX126" s="826"/>
      <c r="BY126" s="826"/>
      <c r="BZ126" s="826"/>
      <c r="CA126" s="826"/>
      <c r="CB126" s="826"/>
      <c r="CC126" s="826"/>
      <c r="CD126" s="826"/>
      <c r="CE126" s="826"/>
      <c r="CF126" s="826"/>
      <c r="CG126" s="826"/>
      <c r="CH126" s="826"/>
      <c r="CI126" s="826"/>
      <c r="CJ126" s="826"/>
      <c r="CK126" s="826"/>
      <c r="CL126" s="826"/>
      <c r="CM126" s="826"/>
      <c r="CN126" s="826"/>
      <c r="CO126" s="826"/>
      <c r="CP126" s="826"/>
      <c r="CQ126" s="826"/>
      <c r="CR126" s="826"/>
      <c r="CS126" s="826"/>
      <c r="CT126" s="826"/>
      <c r="CU126" s="826"/>
      <c r="CV126" s="826"/>
      <c r="CW126" s="826"/>
      <c r="CX126" s="826"/>
      <c r="CY126" s="826"/>
      <c r="CZ126" s="826"/>
      <c r="DA126" s="826"/>
      <c r="DB126" s="826"/>
      <c r="DC126" s="826"/>
      <c r="DD126" s="826"/>
      <c r="DE126" s="826"/>
      <c r="DF126" s="826"/>
      <c r="DG126" s="826"/>
      <c r="DH126" s="826"/>
      <c r="DI126" s="826"/>
      <c r="DJ126" s="826"/>
      <c r="DK126" s="826"/>
      <c r="DL126" s="826"/>
      <c r="DM126" s="826"/>
      <c r="DN126" s="826"/>
      <c r="DO126" s="826"/>
      <c r="DP126" s="826"/>
      <c r="DQ126" s="826"/>
      <c r="DR126" s="826"/>
      <c r="DS126" s="826"/>
      <c r="DT126" s="826"/>
      <c r="DU126" s="826"/>
      <c r="DV126" s="826"/>
      <c r="DW126" s="826"/>
      <c r="DX126" s="826"/>
      <c r="DY126" s="826"/>
      <c r="DZ126" s="826"/>
      <c r="EA126" s="826"/>
      <c r="EB126" s="826"/>
      <c r="EC126" s="826"/>
      <c r="ED126" s="826"/>
      <c r="EE126" s="826"/>
      <c r="EF126" s="826"/>
      <c r="EG126" s="826"/>
      <c r="EH126" s="826"/>
      <c r="EI126" s="826"/>
      <c r="EJ126" s="826"/>
      <c r="EK126" s="826"/>
      <c r="EL126" s="826"/>
      <c r="EM126" s="826"/>
      <c r="EN126" s="826"/>
      <c r="EO126" s="826"/>
      <c r="EP126" s="826"/>
      <c r="EQ126" s="826"/>
      <c r="ER126" s="826"/>
      <c r="ES126" s="826"/>
      <c r="ET126" s="826"/>
      <c r="EU126" s="826"/>
      <c r="EV126" s="826"/>
      <c r="EW126" s="826"/>
      <c r="EX126" s="826"/>
      <c r="EY126" s="826"/>
      <c r="EZ126" s="826"/>
      <c r="FA126" s="826"/>
      <c r="FB126" s="826"/>
      <c r="FC126" s="826"/>
      <c r="FD126" s="826"/>
      <c r="FE126" s="826"/>
      <c r="FF126" s="826"/>
      <c r="FG126" s="826"/>
      <c r="FH126" s="826"/>
      <c r="FI126" s="826"/>
      <c r="FJ126" s="826"/>
      <c r="FK126" s="826"/>
      <c r="FL126" s="826"/>
      <c r="FM126" s="826"/>
      <c r="FN126" s="826"/>
      <c r="FO126" s="826"/>
      <c r="FP126" s="826"/>
      <c r="FQ126" s="826"/>
      <c r="FR126" s="826"/>
      <c r="FS126" s="826"/>
      <c r="FT126" s="826"/>
      <c r="FU126" s="826"/>
      <c r="FV126" s="826"/>
      <c r="FW126" s="826"/>
      <c r="FX126" s="826"/>
      <c r="FY126" s="826"/>
      <c r="FZ126" s="826"/>
      <c r="GA126" s="826"/>
      <c r="GB126" s="826"/>
      <c r="GC126" s="826"/>
      <c r="GD126" s="826"/>
      <c r="GE126" s="826"/>
      <c r="GF126" s="826"/>
      <c r="GG126" s="826"/>
      <c r="GH126" s="826"/>
      <c r="GI126" s="826"/>
      <c r="GJ126" s="826"/>
      <c r="GK126" s="826"/>
      <c r="GL126" s="826"/>
      <c r="GM126" s="826"/>
      <c r="GN126" s="826"/>
      <c r="GO126" s="826"/>
      <c r="GP126" s="826"/>
      <c r="GQ126" s="826"/>
      <c r="GR126" s="826"/>
      <c r="GS126" s="826"/>
      <c r="GT126" s="826"/>
      <c r="GU126" s="826"/>
      <c r="GV126" s="826"/>
      <c r="GW126" s="826"/>
      <c r="GX126" s="826"/>
      <c r="GY126" s="826"/>
      <c r="GZ126" s="826"/>
      <c r="HA126" s="826"/>
      <c r="HB126" s="826"/>
      <c r="HC126" s="826"/>
    </row>
    <row r="127" spans="1:16171" s="847" customFormat="1" ht="56.25" customHeight="1">
      <c r="A127" s="96"/>
      <c r="B127" s="424" t="s">
        <v>10122</v>
      </c>
      <c r="C127" s="419">
        <v>53062736</v>
      </c>
      <c r="D127" s="828" t="s">
        <v>906</v>
      </c>
      <c r="E127" s="147">
        <v>43360</v>
      </c>
      <c r="F127" s="21">
        <v>43360</v>
      </c>
      <c r="G127" s="26" t="s">
        <v>10326</v>
      </c>
      <c r="H127" s="237" t="s">
        <v>208</v>
      </c>
      <c r="I127" s="26" t="s">
        <v>2161</v>
      </c>
      <c r="J127" s="233"/>
      <c r="K127" s="234"/>
      <c r="L127" s="235"/>
      <c r="M127" s="237"/>
      <c r="N127" s="237"/>
      <c r="O127" s="233"/>
      <c r="P127" s="234"/>
      <c r="Q127" s="235"/>
      <c r="R127" s="237"/>
      <c r="S127" s="237"/>
      <c r="T127" s="233"/>
      <c r="U127" s="234"/>
      <c r="V127" s="235"/>
      <c r="W127" s="237"/>
      <c r="X127" s="237"/>
      <c r="Y127" s="233"/>
      <c r="Z127" s="234"/>
      <c r="AA127" s="235"/>
      <c r="AB127" s="237"/>
      <c r="AC127" s="237"/>
      <c r="AD127" s="233"/>
      <c r="AE127" s="234"/>
      <c r="AF127" s="235"/>
      <c r="AG127" s="237"/>
      <c r="AH127" s="237"/>
      <c r="AI127" s="237"/>
      <c r="AJ127" s="234"/>
      <c r="AK127" s="235"/>
      <c r="AL127" s="237"/>
      <c r="AM127" s="237"/>
      <c r="AN127" s="253"/>
      <c r="AO127" s="849"/>
      <c r="AP127" s="427" t="s">
        <v>10327</v>
      </c>
      <c r="AQ127" s="237"/>
      <c r="AR127" s="233"/>
      <c r="AS127" s="233"/>
      <c r="AT127" s="424" t="s">
        <v>10328</v>
      </c>
      <c r="AU127" s="237"/>
      <c r="AV127" s="833"/>
      <c r="AW127" s="233"/>
      <c r="AX127" s="237"/>
      <c r="AY127" s="233"/>
      <c r="AZ127" s="250"/>
      <c r="BA127" s="833"/>
      <c r="BB127" s="833"/>
      <c r="BC127" s="237"/>
      <c r="BD127" s="235"/>
      <c r="BE127" s="235"/>
      <c r="BF127" s="235"/>
      <c r="BG127" s="235"/>
      <c r="BH127" s="241"/>
      <c r="BI127" s="241"/>
      <c r="BJ127" s="242"/>
      <c r="BK127" s="233"/>
      <c r="BL127" s="234"/>
      <c r="BM127" s="850"/>
      <c r="BN127" s="235"/>
      <c r="BO127" s="235"/>
      <c r="BP127" s="235"/>
      <c r="BQ127" s="235"/>
      <c r="BR127" s="244"/>
      <c r="BS127" s="235"/>
      <c r="BT127" s="233"/>
      <c r="BU127" s="234"/>
      <c r="BV127" s="826"/>
      <c r="BW127" s="826"/>
      <c r="BX127" s="826"/>
      <c r="BY127" s="826"/>
      <c r="BZ127" s="826"/>
      <c r="CA127" s="826"/>
      <c r="CB127" s="826"/>
      <c r="CC127" s="826"/>
      <c r="CD127" s="826"/>
      <c r="CE127" s="826"/>
      <c r="CF127" s="826"/>
      <c r="CG127" s="826"/>
      <c r="CH127" s="826"/>
      <c r="CI127" s="826"/>
      <c r="CJ127" s="826"/>
      <c r="CK127" s="826"/>
      <c r="CL127" s="826"/>
      <c r="CM127" s="826"/>
      <c r="CN127" s="826"/>
      <c r="CO127" s="826"/>
      <c r="CP127" s="826"/>
      <c r="CQ127" s="826"/>
      <c r="CR127" s="826"/>
      <c r="CS127" s="826"/>
      <c r="CT127" s="826"/>
      <c r="CU127" s="826"/>
      <c r="CV127" s="826"/>
      <c r="CW127" s="826"/>
      <c r="CX127" s="826"/>
      <c r="CY127" s="826"/>
      <c r="CZ127" s="826"/>
      <c r="DA127" s="826"/>
      <c r="DB127" s="826"/>
      <c r="DC127" s="826"/>
      <c r="DD127" s="826"/>
      <c r="DE127" s="826"/>
      <c r="DF127" s="826"/>
      <c r="DG127" s="826"/>
      <c r="DH127" s="826"/>
      <c r="DI127" s="826"/>
      <c r="DJ127" s="826"/>
      <c r="DK127" s="826"/>
      <c r="DL127" s="826"/>
      <c r="DM127" s="826"/>
      <c r="DN127" s="826"/>
      <c r="DO127" s="826"/>
      <c r="DP127" s="826"/>
      <c r="DQ127" s="826"/>
      <c r="DR127" s="826"/>
      <c r="DS127" s="826"/>
      <c r="DT127" s="826"/>
      <c r="DU127" s="826"/>
      <c r="DV127" s="826"/>
      <c r="DW127" s="826"/>
      <c r="DX127" s="826"/>
      <c r="DY127" s="826"/>
      <c r="DZ127" s="826"/>
      <c r="EA127" s="826"/>
      <c r="EB127" s="826"/>
      <c r="EC127" s="826"/>
      <c r="ED127" s="826"/>
      <c r="EE127" s="826"/>
      <c r="EF127" s="826"/>
      <c r="EG127" s="826"/>
      <c r="EH127" s="826"/>
      <c r="EI127" s="826"/>
      <c r="EJ127" s="826"/>
      <c r="EK127" s="826"/>
      <c r="EL127" s="826"/>
      <c r="EM127" s="826"/>
      <c r="EN127" s="826"/>
      <c r="EO127" s="826"/>
      <c r="EP127" s="826"/>
      <c r="EQ127" s="826"/>
      <c r="ER127" s="826"/>
      <c r="ES127" s="826"/>
      <c r="ET127" s="826"/>
      <c r="EU127" s="826"/>
      <c r="EV127" s="826"/>
      <c r="EW127" s="826"/>
      <c r="EX127" s="826"/>
      <c r="EY127" s="826"/>
      <c r="EZ127" s="826"/>
      <c r="FA127" s="826"/>
      <c r="FB127" s="826"/>
      <c r="FC127" s="826"/>
      <c r="FD127" s="826"/>
      <c r="FE127" s="826"/>
      <c r="FF127" s="826"/>
      <c r="FG127" s="826"/>
      <c r="FH127" s="826"/>
      <c r="FI127" s="826"/>
      <c r="FJ127" s="826"/>
      <c r="FK127" s="826"/>
      <c r="FL127" s="826"/>
      <c r="FM127" s="826"/>
      <c r="FN127" s="826"/>
      <c r="FO127" s="826"/>
      <c r="FP127" s="826"/>
      <c r="FQ127" s="826"/>
      <c r="FR127" s="826"/>
      <c r="FS127" s="826"/>
      <c r="FT127" s="826"/>
      <c r="FU127" s="826"/>
      <c r="FV127" s="826"/>
      <c r="FW127" s="826"/>
      <c r="FX127" s="826"/>
      <c r="FY127" s="826"/>
      <c r="FZ127" s="826"/>
      <c r="GA127" s="826"/>
      <c r="GB127" s="826"/>
      <c r="GC127" s="826"/>
      <c r="GD127" s="826"/>
      <c r="GE127" s="826"/>
      <c r="GF127" s="826"/>
      <c r="GG127" s="826"/>
      <c r="GH127" s="826"/>
      <c r="GI127" s="826"/>
      <c r="GJ127" s="826"/>
      <c r="GK127" s="826"/>
      <c r="GL127" s="826"/>
      <c r="GM127" s="826"/>
      <c r="GN127" s="826"/>
      <c r="GO127" s="826"/>
      <c r="GP127" s="826"/>
      <c r="GQ127" s="826"/>
      <c r="GR127" s="826"/>
      <c r="GS127" s="826"/>
      <c r="GT127" s="826"/>
      <c r="GU127" s="826"/>
      <c r="GV127" s="826"/>
      <c r="GW127" s="826"/>
      <c r="GX127" s="826"/>
      <c r="GY127" s="826"/>
      <c r="GZ127" s="826"/>
      <c r="HA127" s="826"/>
      <c r="HB127" s="826"/>
      <c r="HC127" s="826"/>
    </row>
    <row r="128" spans="1:16171" s="851" customFormat="1" ht="94.5">
      <c r="A128" s="57">
        <v>490</v>
      </c>
      <c r="B128" s="117" t="s">
        <v>9290</v>
      </c>
      <c r="C128" s="59">
        <v>91320693</v>
      </c>
      <c r="D128" s="823" t="s">
        <v>3988</v>
      </c>
      <c r="E128" s="60">
        <v>42808</v>
      </c>
      <c r="F128" s="61">
        <v>42795</v>
      </c>
      <c r="G128" s="62" t="s">
        <v>6940</v>
      </c>
      <c r="H128" s="117" t="s">
        <v>171</v>
      </c>
      <c r="I128" s="117" t="s">
        <v>183</v>
      </c>
      <c r="J128" s="60"/>
      <c r="K128" s="61"/>
      <c r="L128" s="62"/>
      <c r="M128" s="117"/>
      <c r="N128" s="117"/>
      <c r="O128" s="60"/>
      <c r="P128" s="63"/>
      <c r="Q128" s="62"/>
      <c r="R128" s="117"/>
      <c r="S128" s="117"/>
      <c r="T128" s="60"/>
      <c r="U128" s="61"/>
      <c r="V128" s="62"/>
      <c r="W128" s="117"/>
      <c r="X128" s="117"/>
      <c r="Y128" s="60"/>
      <c r="Z128" s="61"/>
      <c r="AA128" s="62"/>
      <c r="AB128" s="117"/>
      <c r="AC128" s="117"/>
      <c r="AD128" s="60"/>
      <c r="AE128" s="61"/>
      <c r="AF128" s="62"/>
      <c r="AG128" s="117"/>
      <c r="AH128" s="117"/>
      <c r="AI128" s="117"/>
      <c r="AJ128" s="61"/>
      <c r="AK128" s="62"/>
      <c r="AL128" s="117"/>
      <c r="AM128" s="117"/>
      <c r="AN128" s="117" t="s">
        <v>2414</v>
      </c>
      <c r="AO128" s="117"/>
      <c r="AP128" s="62" t="s">
        <v>10329</v>
      </c>
      <c r="AQ128" s="117" t="s">
        <v>161</v>
      </c>
      <c r="AR128" s="60" t="s">
        <v>579</v>
      </c>
      <c r="AS128" s="60" t="s">
        <v>579</v>
      </c>
      <c r="AT128" s="117" t="s">
        <v>10330</v>
      </c>
      <c r="AU128" s="117" t="s">
        <v>69</v>
      </c>
      <c r="AV128" s="117" t="s">
        <v>4258</v>
      </c>
      <c r="AW128" s="60">
        <v>42786</v>
      </c>
      <c r="AX128" s="117"/>
      <c r="AY128" s="60"/>
      <c r="AZ128" s="27"/>
      <c r="BA128" s="117" t="s">
        <v>95</v>
      </c>
      <c r="BB128" s="117"/>
      <c r="BC128" s="117"/>
      <c r="BD128" s="62"/>
      <c r="BE128" s="62"/>
      <c r="BF128" s="62"/>
      <c r="BG128" s="62"/>
      <c r="BH128" s="67">
        <v>65000000</v>
      </c>
      <c r="BI128" s="67"/>
      <c r="BJ128" s="68"/>
      <c r="BK128" s="60"/>
      <c r="BL128" s="61"/>
      <c r="BM128" s="425"/>
      <c r="BN128" s="62"/>
      <c r="BO128" s="62"/>
      <c r="BP128" s="62"/>
      <c r="BQ128" s="62"/>
      <c r="BR128" s="71"/>
      <c r="BS128" s="66"/>
      <c r="BT128" s="60"/>
      <c r="BU128" s="61"/>
      <c r="BV128" s="826"/>
      <c r="BW128" s="826"/>
      <c r="BX128" s="826"/>
      <c r="BY128" s="826"/>
      <c r="BZ128" s="826"/>
      <c r="CA128" s="826"/>
      <c r="CB128" s="826"/>
      <c r="CC128" s="826"/>
      <c r="CD128" s="826"/>
      <c r="CE128" s="826"/>
      <c r="CF128" s="826"/>
      <c r="CG128" s="826"/>
      <c r="CH128" s="826"/>
      <c r="CI128" s="826"/>
      <c r="CJ128" s="826"/>
      <c r="CK128" s="826"/>
      <c r="CL128" s="826"/>
      <c r="CM128" s="826"/>
      <c r="CN128" s="826"/>
      <c r="CO128" s="826"/>
      <c r="CP128" s="826"/>
      <c r="CQ128" s="826"/>
      <c r="CR128" s="826"/>
      <c r="CS128" s="826"/>
      <c r="CT128" s="826"/>
      <c r="CU128" s="826"/>
      <c r="CV128" s="826"/>
      <c r="CW128" s="826"/>
      <c r="CX128" s="826"/>
      <c r="CY128" s="826"/>
      <c r="CZ128" s="826"/>
      <c r="DA128" s="826"/>
      <c r="DB128" s="826"/>
      <c r="DC128" s="826"/>
      <c r="DD128" s="826"/>
      <c r="DE128" s="826"/>
      <c r="DF128" s="826"/>
      <c r="DG128" s="826"/>
      <c r="DH128" s="826"/>
      <c r="DI128" s="826"/>
      <c r="DJ128" s="826"/>
      <c r="DK128" s="826"/>
      <c r="DL128" s="826"/>
      <c r="DM128" s="826"/>
      <c r="DN128" s="826"/>
      <c r="DO128" s="826"/>
      <c r="DP128" s="826"/>
      <c r="DQ128" s="826"/>
      <c r="DR128" s="826"/>
      <c r="DS128" s="826"/>
      <c r="DT128" s="826"/>
      <c r="DU128" s="826"/>
      <c r="DV128" s="826"/>
      <c r="DW128" s="826"/>
      <c r="DX128" s="826"/>
      <c r="DY128" s="826"/>
      <c r="DZ128" s="826"/>
      <c r="EA128" s="826"/>
      <c r="EB128" s="826"/>
      <c r="EC128" s="826"/>
      <c r="ED128" s="826"/>
      <c r="EE128" s="826"/>
      <c r="EF128" s="826"/>
      <c r="EG128" s="826"/>
      <c r="EH128" s="826"/>
      <c r="EI128" s="826"/>
      <c r="EJ128" s="826"/>
      <c r="EK128" s="826"/>
      <c r="EL128" s="826"/>
      <c r="EM128" s="826"/>
      <c r="EN128" s="826"/>
      <c r="EO128" s="826"/>
      <c r="EP128" s="826"/>
      <c r="EQ128" s="826"/>
      <c r="ER128" s="826"/>
      <c r="ES128" s="826"/>
      <c r="ET128" s="826"/>
      <c r="EU128" s="826"/>
      <c r="EV128" s="826"/>
      <c r="EW128" s="826"/>
      <c r="EX128" s="826"/>
      <c r="EY128" s="826"/>
      <c r="EZ128" s="826"/>
      <c r="FA128" s="826"/>
      <c r="FB128" s="826"/>
      <c r="FC128" s="826"/>
      <c r="FD128" s="826"/>
      <c r="FE128" s="826"/>
      <c r="FF128" s="826"/>
      <c r="FG128" s="826"/>
      <c r="FH128" s="826"/>
      <c r="FI128" s="826"/>
      <c r="FJ128" s="826"/>
      <c r="FK128" s="826"/>
      <c r="FL128" s="826"/>
      <c r="FM128" s="826"/>
      <c r="FN128" s="826"/>
      <c r="FO128" s="826"/>
      <c r="FP128" s="826"/>
      <c r="FQ128" s="826"/>
      <c r="FR128" s="826"/>
      <c r="FS128" s="826"/>
      <c r="FT128" s="826"/>
      <c r="FU128" s="826"/>
      <c r="FV128" s="826"/>
      <c r="FW128" s="826"/>
      <c r="FX128" s="826"/>
      <c r="FY128" s="826"/>
      <c r="FZ128" s="826"/>
      <c r="GA128" s="826"/>
      <c r="GB128" s="826"/>
      <c r="GC128" s="826"/>
      <c r="GD128" s="826"/>
      <c r="GE128" s="826"/>
      <c r="GF128" s="826"/>
      <c r="GG128" s="826"/>
      <c r="GH128" s="826"/>
      <c r="GI128" s="826"/>
      <c r="GJ128" s="826"/>
      <c r="GK128" s="826"/>
      <c r="GL128" s="826"/>
      <c r="GM128" s="826"/>
      <c r="GN128" s="826"/>
      <c r="GO128" s="826"/>
      <c r="GP128" s="826"/>
      <c r="GQ128" s="826"/>
      <c r="GR128" s="826"/>
      <c r="GS128" s="826"/>
      <c r="GT128" s="826"/>
      <c r="GU128" s="826"/>
      <c r="GV128" s="826"/>
      <c r="GW128" s="826"/>
      <c r="GX128" s="826"/>
      <c r="GY128" s="826"/>
      <c r="GZ128" s="826"/>
      <c r="HA128" s="826"/>
      <c r="HB128" s="826"/>
      <c r="HC128" s="826"/>
      <c r="HD128" s="826"/>
      <c r="HE128" s="826"/>
      <c r="HF128" s="826"/>
      <c r="HG128" s="826"/>
      <c r="HH128" s="826"/>
      <c r="HI128" s="826"/>
      <c r="HJ128" s="826"/>
      <c r="HK128" s="826"/>
      <c r="HL128" s="826"/>
      <c r="HM128" s="826"/>
      <c r="HN128" s="826"/>
      <c r="HO128" s="826"/>
      <c r="HP128" s="826"/>
      <c r="HQ128" s="826"/>
      <c r="HR128" s="826"/>
      <c r="HS128" s="826"/>
      <c r="HT128" s="826"/>
      <c r="HU128" s="826"/>
      <c r="HV128" s="826"/>
      <c r="HW128" s="826"/>
      <c r="HX128" s="826"/>
      <c r="HY128" s="826"/>
      <c r="HZ128" s="826"/>
      <c r="IA128" s="826"/>
      <c r="IB128" s="826"/>
      <c r="IC128" s="826"/>
      <c r="ID128" s="826"/>
      <c r="IE128" s="827"/>
      <c r="IF128" s="827"/>
      <c r="IG128" s="827"/>
      <c r="IH128" s="827"/>
      <c r="II128" s="827"/>
      <c r="IJ128" s="827"/>
      <c r="IK128" s="827"/>
      <c r="IL128" s="827"/>
      <c r="IM128" s="827"/>
      <c r="IN128" s="827"/>
      <c r="IO128" s="827"/>
      <c r="IP128" s="827"/>
      <c r="IQ128" s="827"/>
      <c r="IR128" s="827"/>
      <c r="IS128" s="827"/>
      <c r="IT128" s="827"/>
      <c r="IU128" s="827"/>
      <c r="IV128" s="827"/>
      <c r="IW128" s="827"/>
      <c r="IX128" s="827"/>
      <c r="IY128" s="827"/>
      <c r="IZ128" s="827"/>
      <c r="JA128" s="827"/>
      <c r="JB128" s="827"/>
      <c r="JC128" s="827"/>
      <c r="JD128" s="827"/>
      <c r="JE128" s="827"/>
      <c r="JF128" s="827"/>
      <c r="JG128" s="827"/>
      <c r="JH128" s="827"/>
      <c r="JI128" s="827"/>
      <c r="JJ128" s="827"/>
      <c r="JK128" s="827"/>
      <c r="JL128" s="827"/>
      <c r="JM128" s="827"/>
      <c r="JN128" s="827"/>
      <c r="JO128" s="827"/>
      <c r="JP128" s="827"/>
      <c r="JQ128" s="827"/>
      <c r="JR128" s="827"/>
      <c r="JS128" s="827"/>
      <c r="JT128" s="827"/>
      <c r="JU128" s="827"/>
      <c r="JV128" s="827"/>
      <c r="JW128" s="827"/>
      <c r="JX128" s="827"/>
      <c r="JY128" s="827"/>
      <c r="JZ128" s="827"/>
      <c r="KA128" s="827"/>
      <c r="KB128" s="827"/>
      <c r="KC128" s="827"/>
      <c r="KD128" s="827"/>
      <c r="KE128" s="827"/>
      <c r="KF128" s="827"/>
      <c r="KG128" s="827"/>
      <c r="KH128" s="827"/>
      <c r="KI128" s="827"/>
      <c r="KJ128" s="827"/>
      <c r="KK128" s="827"/>
      <c r="KL128" s="827"/>
      <c r="KM128" s="827"/>
      <c r="KN128" s="827"/>
      <c r="KO128" s="827"/>
      <c r="KP128" s="827"/>
      <c r="KQ128" s="827"/>
      <c r="KR128" s="827"/>
      <c r="KS128" s="827"/>
      <c r="KT128" s="827"/>
      <c r="KU128" s="827"/>
      <c r="KV128" s="827"/>
      <c r="KW128" s="827"/>
      <c r="KX128" s="827"/>
      <c r="KY128" s="827"/>
      <c r="KZ128" s="827"/>
      <c r="LA128" s="827"/>
      <c r="LB128" s="827"/>
      <c r="LC128" s="827"/>
      <c r="LD128" s="827"/>
      <c r="LE128" s="827"/>
      <c r="LF128" s="827"/>
      <c r="LG128" s="827"/>
      <c r="LH128" s="827"/>
      <c r="LI128" s="827"/>
      <c r="LJ128" s="827"/>
      <c r="LK128" s="827"/>
      <c r="LL128" s="827"/>
      <c r="LM128" s="827"/>
      <c r="LN128" s="827"/>
      <c r="LO128" s="827"/>
      <c r="LP128" s="827"/>
      <c r="LQ128" s="827"/>
      <c r="LR128" s="827"/>
      <c r="LS128" s="827"/>
      <c r="LT128" s="827"/>
      <c r="LU128" s="827"/>
      <c r="LV128" s="827"/>
      <c r="LW128" s="827"/>
      <c r="LX128" s="827"/>
      <c r="LY128" s="827"/>
      <c r="LZ128" s="827"/>
      <c r="MA128" s="827"/>
      <c r="MB128" s="827"/>
      <c r="MC128" s="827"/>
      <c r="MD128" s="827"/>
      <c r="ME128" s="827"/>
      <c r="MF128" s="827"/>
      <c r="MG128" s="827"/>
      <c r="MH128" s="827"/>
      <c r="MI128" s="827"/>
      <c r="MJ128" s="827"/>
      <c r="MK128" s="827"/>
      <c r="ML128" s="827"/>
      <c r="MM128" s="827"/>
      <c r="MN128" s="827"/>
      <c r="MO128" s="827"/>
      <c r="MP128" s="827"/>
      <c r="MQ128" s="827"/>
      <c r="MR128" s="827"/>
      <c r="MS128" s="827"/>
      <c r="MT128" s="827"/>
      <c r="MU128" s="827"/>
      <c r="MV128" s="827"/>
      <c r="MW128" s="827"/>
      <c r="MX128" s="827"/>
      <c r="MY128" s="827"/>
      <c r="MZ128" s="827"/>
      <c r="NA128" s="827"/>
      <c r="NB128" s="827"/>
      <c r="NC128" s="827"/>
      <c r="ND128" s="827"/>
      <c r="NE128" s="827"/>
      <c r="NF128" s="827"/>
      <c r="NG128" s="827"/>
      <c r="NH128" s="827"/>
      <c r="NI128" s="827"/>
      <c r="NJ128" s="827"/>
      <c r="NK128" s="827"/>
      <c r="NL128" s="827"/>
      <c r="NM128" s="827"/>
      <c r="NN128" s="827"/>
      <c r="NO128" s="827"/>
      <c r="NP128" s="827"/>
      <c r="NQ128" s="827"/>
      <c r="NR128" s="827"/>
      <c r="NS128" s="827"/>
      <c r="NT128" s="827"/>
      <c r="NU128" s="827"/>
      <c r="NV128" s="827"/>
      <c r="NW128" s="827"/>
      <c r="NX128" s="827"/>
      <c r="NY128" s="827"/>
      <c r="NZ128" s="827"/>
      <c r="OA128" s="827"/>
      <c r="OB128" s="827"/>
      <c r="OC128" s="827"/>
      <c r="OD128" s="827"/>
      <c r="OE128" s="827"/>
      <c r="OF128" s="827"/>
      <c r="OG128" s="827"/>
      <c r="OH128" s="827"/>
      <c r="OI128" s="827"/>
      <c r="OJ128" s="827"/>
      <c r="OK128" s="827"/>
      <c r="OL128" s="827"/>
      <c r="OM128" s="827"/>
      <c r="ON128" s="827"/>
      <c r="OO128" s="827"/>
      <c r="OP128" s="827"/>
      <c r="OQ128" s="827"/>
      <c r="OR128" s="827"/>
      <c r="OS128" s="827"/>
      <c r="OT128" s="827"/>
      <c r="OU128" s="827"/>
      <c r="OV128" s="827"/>
      <c r="OW128" s="827"/>
      <c r="OX128" s="827"/>
      <c r="OY128" s="827"/>
      <c r="OZ128" s="827"/>
      <c r="PA128" s="827"/>
      <c r="PB128" s="827"/>
      <c r="PC128" s="827"/>
      <c r="PD128" s="827"/>
      <c r="PE128" s="827"/>
      <c r="PF128" s="827"/>
      <c r="PG128" s="827"/>
      <c r="PH128" s="827"/>
      <c r="PI128" s="827"/>
      <c r="PJ128" s="827"/>
      <c r="PK128" s="827"/>
      <c r="PL128" s="827"/>
      <c r="PM128" s="827"/>
      <c r="PN128" s="827"/>
      <c r="PO128" s="827"/>
      <c r="PP128" s="827"/>
      <c r="PQ128" s="827"/>
      <c r="PR128" s="827"/>
      <c r="PS128" s="827"/>
      <c r="PT128" s="827"/>
      <c r="PU128" s="827"/>
      <c r="PV128" s="827"/>
      <c r="PW128" s="827"/>
      <c r="PX128" s="827"/>
      <c r="PY128" s="827"/>
      <c r="PZ128" s="827"/>
      <c r="QA128" s="827"/>
      <c r="QB128" s="827"/>
      <c r="QC128" s="827"/>
      <c r="QD128" s="827"/>
      <c r="QE128" s="827"/>
      <c r="QF128" s="827"/>
      <c r="QG128" s="827"/>
      <c r="QH128" s="827"/>
      <c r="QI128" s="827"/>
      <c r="QJ128" s="827"/>
      <c r="QK128" s="827"/>
      <c r="QL128" s="827"/>
      <c r="QM128" s="827"/>
      <c r="QN128" s="827"/>
      <c r="QO128" s="827"/>
      <c r="QP128" s="827"/>
      <c r="QQ128" s="827"/>
      <c r="QR128" s="827"/>
      <c r="QS128" s="827"/>
      <c r="QT128" s="827"/>
      <c r="QU128" s="827"/>
      <c r="QV128" s="827"/>
      <c r="QW128" s="827"/>
      <c r="QX128" s="827"/>
      <c r="QY128" s="827"/>
      <c r="QZ128" s="827"/>
      <c r="RA128" s="827"/>
      <c r="RB128" s="827"/>
      <c r="RC128" s="827"/>
      <c r="RD128" s="827"/>
      <c r="RE128" s="827"/>
      <c r="RF128" s="827"/>
      <c r="RG128" s="827"/>
      <c r="RH128" s="827"/>
      <c r="RI128" s="827"/>
      <c r="RJ128" s="827"/>
      <c r="RK128" s="827"/>
      <c r="RL128" s="827"/>
      <c r="RM128" s="827"/>
      <c r="RN128" s="827"/>
      <c r="RO128" s="827"/>
      <c r="RP128" s="827"/>
      <c r="RQ128" s="827"/>
      <c r="RR128" s="827"/>
      <c r="RS128" s="827"/>
      <c r="RT128" s="827"/>
      <c r="RU128" s="827"/>
      <c r="RV128" s="827"/>
      <c r="RW128" s="827"/>
      <c r="RX128" s="827"/>
      <c r="RY128" s="827"/>
      <c r="RZ128" s="827"/>
      <c r="SA128" s="827"/>
      <c r="SB128" s="827"/>
      <c r="SC128" s="827"/>
      <c r="SD128" s="827"/>
      <c r="SE128" s="827"/>
      <c r="SF128" s="827"/>
      <c r="SG128" s="827"/>
      <c r="SH128" s="827"/>
      <c r="SI128" s="827"/>
      <c r="SJ128" s="827"/>
      <c r="SK128" s="827"/>
      <c r="SL128" s="827"/>
      <c r="SM128" s="827"/>
      <c r="SN128" s="827"/>
      <c r="SO128" s="827"/>
      <c r="SP128" s="827"/>
      <c r="SQ128" s="827"/>
      <c r="SR128" s="827"/>
      <c r="SS128" s="827"/>
      <c r="ST128" s="827"/>
      <c r="SU128" s="827"/>
      <c r="SV128" s="827"/>
      <c r="SW128" s="827"/>
      <c r="SX128" s="827"/>
      <c r="SY128" s="827"/>
      <c r="SZ128" s="827"/>
      <c r="TA128" s="827"/>
      <c r="TB128" s="827"/>
      <c r="TC128" s="827"/>
      <c r="TD128" s="827"/>
      <c r="TE128" s="827"/>
      <c r="TF128" s="827"/>
      <c r="TG128" s="827"/>
      <c r="TH128" s="827"/>
      <c r="TI128" s="827"/>
      <c r="TJ128" s="827"/>
      <c r="TK128" s="827"/>
      <c r="TL128" s="827"/>
      <c r="TM128" s="827"/>
      <c r="TN128" s="827"/>
      <c r="TO128" s="827"/>
      <c r="TP128" s="827"/>
      <c r="TQ128" s="827"/>
      <c r="TR128" s="827"/>
      <c r="TS128" s="827"/>
      <c r="TT128" s="827"/>
      <c r="TU128" s="827"/>
      <c r="TV128" s="827"/>
      <c r="TW128" s="827"/>
      <c r="TX128" s="827"/>
      <c r="TY128" s="827"/>
      <c r="TZ128" s="827"/>
      <c r="UA128" s="827"/>
      <c r="UB128" s="827"/>
      <c r="UC128" s="827"/>
      <c r="UD128" s="827"/>
      <c r="UE128" s="827"/>
      <c r="UF128" s="827"/>
      <c r="UG128" s="827"/>
      <c r="UH128" s="827"/>
      <c r="UI128" s="827"/>
      <c r="UJ128" s="827"/>
      <c r="UK128" s="827"/>
      <c r="UL128" s="827"/>
      <c r="UM128" s="827"/>
      <c r="UN128" s="827"/>
      <c r="UO128" s="827"/>
      <c r="UP128" s="827"/>
      <c r="UQ128" s="827"/>
      <c r="UR128" s="827"/>
      <c r="US128" s="827"/>
      <c r="UT128" s="827"/>
      <c r="UU128" s="827"/>
      <c r="UV128" s="827"/>
      <c r="UW128" s="827"/>
      <c r="UX128" s="827"/>
      <c r="UY128" s="827"/>
      <c r="UZ128" s="827"/>
      <c r="VA128" s="827"/>
      <c r="VB128" s="827"/>
      <c r="VC128" s="827"/>
      <c r="VD128" s="827"/>
      <c r="VE128" s="827"/>
      <c r="VF128" s="827"/>
      <c r="VG128" s="827"/>
      <c r="VH128" s="827"/>
      <c r="VI128" s="827"/>
      <c r="VJ128" s="827"/>
      <c r="VK128" s="827"/>
      <c r="VL128" s="827"/>
      <c r="VM128" s="827"/>
      <c r="VN128" s="827"/>
      <c r="VO128" s="827"/>
      <c r="VP128" s="827"/>
      <c r="VQ128" s="827"/>
      <c r="VR128" s="827"/>
      <c r="VS128" s="827"/>
      <c r="VT128" s="827"/>
      <c r="VU128" s="827"/>
      <c r="VV128" s="827"/>
      <c r="VW128" s="827"/>
      <c r="VX128" s="827"/>
      <c r="VY128" s="827"/>
      <c r="VZ128" s="827"/>
      <c r="WA128" s="827"/>
      <c r="WB128" s="827"/>
      <c r="WC128" s="827"/>
      <c r="WD128" s="827"/>
      <c r="WE128" s="827"/>
      <c r="WF128" s="827"/>
      <c r="WG128" s="827"/>
      <c r="WH128" s="827"/>
      <c r="WI128" s="827"/>
      <c r="WJ128" s="827"/>
      <c r="WK128" s="827"/>
      <c r="WL128" s="827"/>
      <c r="WM128" s="827"/>
      <c r="WN128" s="827"/>
      <c r="WO128" s="827"/>
      <c r="WP128" s="827"/>
      <c r="WQ128" s="827"/>
      <c r="WR128" s="827"/>
      <c r="WS128" s="827"/>
      <c r="WT128" s="827"/>
      <c r="WU128" s="827"/>
      <c r="WV128" s="827"/>
      <c r="WW128" s="827"/>
      <c r="WX128" s="827"/>
      <c r="WY128" s="827"/>
      <c r="WZ128" s="827"/>
      <c r="XA128" s="827"/>
      <c r="XB128" s="827"/>
      <c r="XC128" s="827"/>
      <c r="XD128" s="827"/>
      <c r="XE128" s="827"/>
      <c r="XF128" s="827"/>
      <c r="XG128" s="827"/>
      <c r="XH128" s="827"/>
      <c r="XI128" s="827"/>
      <c r="XJ128" s="827"/>
      <c r="XK128" s="827"/>
      <c r="XL128" s="827"/>
      <c r="XM128" s="827"/>
      <c r="XN128" s="827"/>
      <c r="XO128" s="827"/>
      <c r="XP128" s="827"/>
      <c r="XQ128" s="827"/>
      <c r="XR128" s="827"/>
      <c r="XS128" s="827"/>
      <c r="XT128" s="827"/>
      <c r="XU128" s="827"/>
      <c r="XV128" s="827"/>
      <c r="XW128" s="827"/>
      <c r="XX128" s="827"/>
      <c r="XY128" s="827"/>
      <c r="XZ128" s="827"/>
      <c r="YA128" s="827"/>
      <c r="YB128" s="827"/>
      <c r="YC128" s="827"/>
      <c r="YD128" s="827"/>
      <c r="YE128" s="827"/>
      <c r="YF128" s="827"/>
      <c r="YG128" s="827"/>
      <c r="YH128" s="827"/>
      <c r="YI128" s="827"/>
      <c r="YJ128" s="827"/>
      <c r="YK128" s="827"/>
      <c r="YL128" s="827"/>
      <c r="YM128" s="827"/>
      <c r="YN128" s="827"/>
      <c r="YO128" s="827"/>
      <c r="YP128" s="827"/>
      <c r="YQ128" s="827"/>
      <c r="YR128" s="827"/>
      <c r="YS128" s="827"/>
      <c r="YT128" s="827"/>
      <c r="YU128" s="827"/>
      <c r="YV128" s="827"/>
      <c r="YW128" s="827"/>
      <c r="YX128" s="827"/>
      <c r="YY128" s="827"/>
      <c r="YZ128" s="827"/>
      <c r="ZA128" s="827"/>
      <c r="ZB128" s="827"/>
      <c r="ZC128" s="827"/>
      <c r="ZD128" s="827"/>
      <c r="ZE128" s="827"/>
      <c r="ZF128" s="827"/>
      <c r="ZG128" s="827"/>
      <c r="ZH128" s="827"/>
      <c r="ZI128" s="827"/>
      <c r="ZJ128" s="827"/>
      <c r="ZK128" s="827"/>
      <c r="ZL128" s="827"/>
      <c r="ZM128" s="827"/>
      <c r="ZN128" s="827"/>
      <c r="ZO128" s="827"/>
      <c r="ZP128" s="827"/>
      <c r="ZQ128" s="827"/>
      <c r="ZR128" s="827"/>
      <c r="ZS128" s="827"/>
      <c r="ZT128" s="827"/>
      <c r="ZU128" s="827"/>
      <c r="ZV128" s="827"/>
      <c r="ZW128" s="827"/>
      <c r="ZX128" s="827"/>
      <c r="ZY128" s="827"/>
      <c r="ZZ128" s="827"/>
      <c r="AAA128" s="827"/>
      <c r="AAB128" s="827"/>
      <c r="AAC128" s="827"/>
      <c r="AAD128" s="827"/>
      <c r="AAE128" s="827"/>
      <c r="AAF128" s="827"/>
      <c r="AAG128" s="827"/>
      <c r="AAH128" s="827"/>
      <c r="AAI128" s="827"/>
      <c r="AAJ128" s="827"/>
      <c r="AAK128" s="827"/>
      <c r="AAL128" s="827"/>
      <c r="AAM128" s="827"/>
      <c r="AAN128" s="827"/>
      <c r="AAO128" s="827"/>
      <c r="AAP128" s="827"/>
      <c r="AAQ128" s="827"/>
      <c r="AAR128" s="827"/>
      <c r="AAS128" s="827"/>
      <c r="AAT128" s="827"/>
      <c r="AAU128" s="827"/>
      <c r="AAV128" s="827"/>
      <c r="AAW128" s="827"/>
      <c r="AAX128" s="827"/>
      <c r="AAY128" s="827"/>
      <c r="AAZ128" s="827"/>
      <c r="ABA128" s="827"/>
      <c r="ABB128" s="827"/>
      <c r="ABC128" s="827"/>
      <c r="ABD128" s="827"/>
      <c r="ABE128" s="827"/>
      <c r="ABF128" s="827"/>
      <c r="ABG128" s="827"/>
      <c r="ABH128" s="827"/>
      <c r="ABI128" s="827"/>
      <c r="ABJ128" s="827"/>
      <c r="ABK128" s="827"/>
      <c r="ABL128" s="827"/>
      <c r="ABM128" s="827"/>
      <c r="ABN128" s="827"/>
      <c r="ABO128" s="827"/>
      <c r="ABP128" s="827"/>
      <c r="ABQ128" s="827"/>
      <c r="ABR128" s="827"/>
      <c r="ABS128" s="827"/>
      <c r="ABT128" s="827"/>
      <c r="ABU128" s="827"/>
      <c r="ABV128" s="827"/>
      <c r="ABW128" s="827"/>
      <c r="ABX128" s="827"/>
      <c r="ABY128" s="827"/>
      <c r="ABZ128" s="827"/>
      <c r="ACA128" s="827"/>
      <c r="ACB128" s="827"/>
      <c r="ACC128" s="827"/>
      <c r="ACD128" s="827"/>
      <c r="ACE128" s="827"/>
      <c r="ACF128" s="827"/>
      <c r="ACG128" s="827"/>
      <c r="ACH128" s="827"/>
      <c r="ACI128" s="827"/>
      <c r="ACJ128" s="827"/>
      <c r="ACK128" s="827"/>
      <c r="ACL128" s="827"/>
      <c r="ACM128" s="827"/>
      <c r="ACN128" s="827"/>
      <c r="ACO128" s="827"/>
      <c r="ACP128" s="827"/>
      <c r="ACQ128" s="827"/>
      <c r="ACR128" s="827"/>
      <c r="ACS128" s="827"/>
      <c r="ACT128" s="827"/>
      <c r="ACU128" s="827"/>
      <c r="ACV128" s="827"/>
      <c r="ACW128" s="827"/>
      <c r="ACX128" s="827"/>
      <c r="ACY128" s="827"/>
      <c r="ACZ128" s="827"/>
      <c r="ADA128" s="827"/>
      <c r="ADB128" s="827"/>
      <c r="ADC128" s="827"/>
      <c r="ADD128" s="827"/>
      <c r="ADE128" s="827"/>
      <c r="ADF128" s="827"/>
      <c r="ADG128" s="827"/>
      <c r="ADH128" s="827"/>
      <c r="ADI128" s="827"/>
      <c r="ADJ128" s="827"/>
      <c r="ADK128" s="827"/>
      <c r="ADL128" s="827"/>
      <c r="ADM128" s="827"/>
      <c r="ADN128" s="827"/>
      <c r="ADO128" s="827"/>
      <c r="ADP128" s="827"/>
      <c r="ADQ128" s="827"/>
      <c r="ADR128" s="827"/>
      <c r="ADS128" s="827"/>
      <c r="ADT128" s="827"/>
      <c r="ADU128" s="827"/>
      <c r="ADV128" s="827"/>
      <c r="ADW128" s="827"/>
      <c r="ADX128" s="827"/>
      <c r="ADY128" s="827"/>
      <c r="ADZ128" s="827"/>
      <c r="AEA128" s="827"/>
      <c r="AEB128" s="827"/>
      <c r="AEC128" s="827"/>
      <c r="AED128" s="827"/>
      <c r="AEE128" s="827"/>
      <c r="AEF128" s="827"/>
      <c r="AEG128" s="827"/>
      <c r="AEH128" s="827"/>
      <c r="AEI128" s="827"/>
      <c r="AEJ128" s="827"/>
      <c r="AEK128" s="827"/>
      <c r="AEL128" s="827"/>
      <c r="AEM128" s="827"/>
      <c r="AEN128" s="827"/>
      <c r="AEO128" s="827"/>
      <c r="AEP128" s="827"/>
      <c r="AEQ128" s="827"/>
      <c r="AER128" s="827"/>
      <c r="AES128" s="827"/>
      <c r="AET128" s="827"/>
      <c r="AEU128" s="827"/>
      <c r="AEV128" s="827"/>
      <c r="AEW128" s="827"/>
      <c r="AEX128" s="827"/>
      <c r="AEY128" s="827"/>
      <c r="AEZ128" s="827"/>
      <c r="AFA128" s="827"/>
      <c r="AFB128" s="827"/>
      <c r="AFC128" s="827"/>
      <c r="AFD128" s="827"/>
      <c r="AFE128" s="827"/>
      <c r="AFF128" s="827"/>
      <c r="AFG128" s="827"/>
      <c r="AFH128" s="827"/>
      <c r="AFI128" s="827"/>
      <c r="AFJ128" s="827"/>
      <c r="AFK128" s="827"/>
      <c r="AFL128" s="827"/>
      <c r="AFM128" s="827"/>
      <c r="AFN128" s="827"/>
      <c r="AFO128" s="827"/>
      <c r="AFP128" s="827"/>
      <c r="AFQ128" s="827"/>
      <c r="AFR128" s="827"/>
      <c r="AFS128" s="827"/>
      <c r="AFT128" s="827"/>
      <c r="AFU128" s="827"/>
      <c r="AFV128" s="827"/>
      <c r="AFW128" s="827"/>
      <c r="AFX128" s="827"/>
      <c r="AFY128" s="827"/>
      <c r="AFZ128" s="827"/>
      <c r="AGA128" s="827"/>
      <c r="AGB128" s="827"/>
      <c r="AGC128" s="827"/>
      <c r="AGD128" s="827"/>
      <c r="AGE128" s="827"/>
      <c r="AGF128" s="827"/>
      <c r="AGG128" s="827"/>
      <c r="AGH128" s="827"/>
      <c r="AGI128" s="827"/>
      <c r="AGJ128" s="827"/>
      <c r="AGK128" s="827"/>
      <c r="AGL128" s="827"/>
      <c r="AGM128" s="827"/>
      <c r="AGN128" s="827"/>
      <c r="AGO128" s="827"/>
      <c r="AGP128" s="827"/>
      <c r="AGQ128" s="827"/>
      <c r="AGR128" s="827"/>
      <c r="AGS128" s="827"/>
      <c r="AGT128" s="827"/>
      <c r="AGU128" s="827"/>
      <c r="AGV128" s="827"/>
      <c r="AGW128" s="827"/>
      <c r="AGX128" s="827"/>
      <c r="AGY128" s="827"/>
      <c r="AGZ128" s="827"/>
      <c r="AHA128" s="827"/>
      <c r="AHB128" s="827"/>
      <c r="AHC128" s="827"/>
      <c r="AHD128" s="827"/>
      <c r="AHE128" s="827"/>
      <c r="AHF128" s="827"/>
      <c r="AHG128" s="827"/>
      <c r="AHH128" s="827"/>
      <c r="AHI128" s="827"/>
      <c r="AHJ128" s="827"/>
      <c r="AHK128" s="827"/>
      <c r="AHL128" s="827"/>
      <c r="AHM128" s="827"/>
      <c r="AHN128" s="827"/>
      <c r="AHO128" s="827"/>
      <c r="AHP128" s="827"/>
      <c r="AHQ128" s="827"/>
      <c r="AHR128" s="827"/>
      <c r="AHS128" s="827"/>
      <c r="AHT128" s="827"/>
      <c r="AHU128" s="827"/>
      <c r="AHV128" s="827"/>
      <c r="AHW128" s="827"/>
      <c r="AHX128" s="827"/>
      <c r="AHY128" s="827"/>
      <c r="AHZ128" s="827"/>
      <c r="AIA128" s="827"/>
      <c r="AIB128" s="827"/>
      <c r="AIC128" s="827"/>
      <c r="AID128" s="827"/>
      <c r="AIE128" s="827"/>
      <c r="AIF128" s="827"/>
      <c r="AIG128" s="827"/>
      <c r="AIH128" s="827"/>
      <c r="AII128" s="827"/>
      <c r="AIJ128" s="827"/>
      <c r="AIK128" s="827"/>
      <c r="AIL128" s="827"/>
      <c r="AIM128" s="827"/>
      <c r="AIN128" s="827"/>
      <c r="AIO128" s="827"/>
      <c r="AIP128" s="827"/>
      <c r="AIQ128" s="827"/>
      <c r="AIR128" s="827"/>
      <c r="AIS128" s="827"/>
      <c r="AIT128" s="827"/>
      <c r="AIU128" s="827"/>
      <c r="AIV128" s="827"/>
      <c r="AIW128" s="827"/>
      <c r="AIX128" s="827"/>
      <c r="AIY128" s="827"/>
      <c r="AIZ128" s="827"/>
      <c r="AJA128" s="827"/>
      <c r="AJB128" s="827"/>
      <c r="AJC128" s="827"/>
      <c r="AJD128" s="827"/>
      <c r="AJE128" s="827"/>
      <c r="AJF128" s="827"/>
      <c r="AJG128" s="827"/>
      <c r="AJH128" s="827"/>
      <c r="AJI128" s="827"/>
      <c r="AJJ128" s="827"/>
      <c r="AJK128" s="827"/>
      <c r="AJL128" s="827"/>
      <c r="AJM128" s="827"/>
      <c r="AJN128" s="827"/>
      <c r="AJO128" s="827"/>
      <c r="AJP128" s="827"/>
      <c r="AJQ128" s="827"/>
      <c r="AJR128" s="827"/>
      <c r="AJS128" s="827"/>
      <c r="AJT128" s="827"/>
      <c r="AJU128" s="827"/>
      <c r="AJV128" s="827"/>
      <c r="AJW128" s="827"/>
      <c r="AJX128" s="827"/>
      <c r="AJY128" s="827"/>
      <c r="AJZ128" s="827"/>
      <c r="AKA128" s="827"/>
      <c r="AKB128" s="827"/>
      <c r="AKC128" s="827"/>
      <c r="AKD128" s="827"/>
      <c r="AKE128" s="827"/>
      <c r="AKF128" s="827"/>
      <c r="AKG128" s="827"/>
      <c r="AKH128" s="827"/>
      <c r="AKI128" s="827"/>
      <c r="AKJ128" s="827"/>
      <c r="AKK128" s="827"/>
      <c r="AKL128" s="827"/>
      <c r="AKM128" s="827"/>
      <c r="AKN128" s="827"/>
      <c r="AKO128" s="827"/>
      <c r="AKP128" s="827"/>
      <c r="AKQ128" s="827"/>
      <c r="AKR128" s="827"/>
      <c r="AKS128" s="827"/>
      <c r="AKT128" s="827"/>
      <c r="AKU128" s="827"/>
      <c r="AKV128" s="827"/>
      <c r="AKW128" s="827"/>
      <c r="AKX128" s="827"/>
      <c r="AKY128" s="827"/>
      <c r="AKZ128" s="827"/>
      <c r="ALA128" s="827"/>
      <c r="ALB128" s="827"/>
      <c r="ALC128" s="827"/>
      <c r="ALD128" s="827"/>
      <c r="ALE128" s="827"/>
      <c r="ALF128" s="827"/>
      <c r="ALG128" s="827"/>
      <c r="ALH128" s="827"/>
      <c r="ALI128" s="827"/>
      <c r="ALJ128" s="827"/>
      <c r="ALK128" s="827"/>
      <c r="ALL128" s="827"/>
      <c r="ALM128" s="827"/>
      <c r="ALN128" s="827"/>
      <c r="ALO128" s="827"/>
      <c r="ALP128" s="827"/>
      <c r="ALQ128" s="827"/>
      <c r="ALR128" s="827"/>
      <c r="ALS128" s="827"/>
      <c r="ALT128" s="827"/>
      <c r="ALU128" s="827"/>
      <c r="ALV128" s="827"/>
      <c r="ALW128" s="827"/>
      <c r="ALX128" s="827"/>
      <c r="ALY128" s="827"/>
      <c r="ALZ128" s="827"/>
      <c r="AMA128" s="827"/>
      <c r="AMB128" s="827"/>
      <c r="AMC128" s="827"/>
      <c r="AMD128" s="827"/>
      <c r="AME128" s="827"/>
      <c r="AMF128" s="827"/>
      <c r="AMG128" s="827"/>
      <c r="AMH128" s="827"/>
      <c r="AMI128" s="827"/>
      <c r="AMJ128" s="827"/>
      <c r="AMK128" s="827"/>
      <c r="AML128" s="827"/>
      <c r="AMM128" s="827"/>
      <c r="AMN128" s="827"/>
      <c r="AMO128" s="827"/>
      <c r="AMP128" s="827"/>
      <c r="AMQ128" s="827"/>
      <c r="AMR128" s="827"/>
      <c r="AMS128" s="827"/>
      <c r="AMT128" s="827"/>
      <c r="AMU128" s="827"/>
      <c r="AMV128" s="827"/>
      <c r="AMW128" s="827"/>
      <c r="AMX128" s="827"/>
      <c r="AMY128" s="827"/>
      <c r="AMZ128" s="827"/>
      <c r="ANA128" s="827"/>
      <c r="ANB128" s="827"/>
      <c r="ANC128" s="827"/>
      <c r="AND128" s="827"/>
      <c r="ANE128" s="827"/>
      <c r="ANF128" s="827"/>
      <c r="ANG128" s="827"/>
      <c r="ANH128" s="827"/>
      <c r="ANI128" s="827"/>
      <c r="ANJ128" s="827"/>
      <c r="ANK128" s="827"/>
      <c r="ANL128" s="827"/>
      <c r="ANM128" s="827"/>
      <c r="ANN128" s="827"/>
      <c r="ANO128" s="827"/>
      <c r="ANP128" s="827"/>
      <c r="ANQ128" s="827"/>
      <c r="ANR128" s="827"/>
      <c r="ANS128" s="827"/>
      <c r="ANT128" s="827"/>
      <c r="ANU128" s="827"/>
      <c r="ANV128" s="827"/>
      <c r="ANW128" s="827"/>
      <c r="ANX128" s="827"/>
      <c r="ANY128" s="827"/>
      <c r="ANZ128" s="827"/>
      <c r="AOA128" s="827"/>
      <c r="AOB128" s="827"/>
      <c r="AOC128" s="827"/>
      <c r="AOD128" s="827"/>
      <c r="AOE128" s="827"/>
      <c r="AOF128" s="827"/>
      <c r="AOG128" s="827"/>
      <c r="AOH128" s="827"/>
      <c r="AOI128" s="827"/>
      <c r="AOJ128" s="827"/>
      <c r="AOK128" s="827"/>
      <c r="AOL128" s="827"/>
      <c r="AOM128" s="827"/>
      <c r="AON128" s="827"/>
      <c r="AOO128" s="827"/>
      <c r="AOP128" s="827"/>
      <c r="AOQ128" s="827"/>
      <c r="AOR128" s="827"/>
      <c r="AOS128" s="827"/>
      <c r="AOT128" s="827"/>
      <c r="AOU128" s="827"/>
      <c r="AOV128" s="827"/>
      <c r="AOW128" s="827"/>
      <c r="AOX128" s="827"/>
      <c r="AOY128" s="827"/>
      <c r="AOZ128" s="827"/>
      <c r="APA128" s="827"/>
      <c r="APB128" s="827"/>
      <c r="APC128" s="827"/>
      <c r="APD128" s="827"/>
      <c r="APE128" s="827"/>
      <c r="APF128" s="827"/>
      <c r="APG128" s="827"/>
      <c r="APH128" s="827"/>
      <c r="API128" s="827"/>
      <c r="APJ128" s="827"/>
      <c r="APK128" s="827"/>
      <c r="APL128" s="827"/>
      <c r="APM128" s="827"/>
      <c r="APN128" s="827"/>
      <c r="APO128" s="827"/>
      <c r="APP128" s="827"/>
      <c r="APQ128" s="827"/>
      <c r="APR128" s="827"/>
      <c r="APS128" s="827"/>
      <c r="APT128" s="827"/>
      <c r="APU128" s="827"/>
      <c r="APV128" s="827"/>
      <c r="APW128" s="827"/>
      <c r="APX128" s="827"/>
      <c r="APY128" s="827"/>
      <c r="APZ128" s="827"/>
      <c r="AQA128" s="827"/>
      <c r="AQB128" s="827"/>
      <c r="AQC128" s="827"/>
      <c r="AQD128" s="827"/>
      <c r="AQE128" s="827"/>
      <c r="AQF128" s="827"/>
      <c r="AQG128" s="827"/>
      <c r="AQH128" s="827"/>
      <c r="AQI128" s="827"/>
      <c r="AQJ128" s="827"/>
      <c r="AQK128" s="827"/>
      <c r="AQL128" s="827"/>
      <c r="AQM128" s="827"/>
      <c r="AQN128" s="827"/>
      <c r="AQO128" s="827"/>
      <c r="AQP128" s="827"/>
      <c r="AQQ128" s="827"/>
      <c r="AQR128" s="827"/>
      <c r="AQS128" s="827"/>
      <c r="AQT128" s="827"/>
      <c r="AQU128" s="827"/>
      <c r="AQV128" s="827"/>
      <c r="AQW128" s="827"/>
      <c r="AQX128" s="827"/>
      <c r="AQY128" s="827"/>
      <c r="AQZ128" s="827"/>
      <c r="ARA128" s="827"/>
      <c r="ARB128" s="827"/>
      <c r="ARC128" s="827"/>
      <c r="ARD128" s="827"/>
      <c r="ARE128" s="827"/>
      <c r="ARF128" s="827"/>
      <c r="ARG128" s="827"/>
      <c r="ARH128" s="827"/>
      <c r="ARI128" s="827"/>
      <c r="ARJ128" s="827"/>
      <c r="ARK128" s="827"/>
      <c r="ARL128" s="827"/>
      <c r="ARM128" s="827"/>
      <c r="ARN128" s="827"/>
      <c r="ARO128" s="827"/>
      <c r="ARP128" s="827"/>
      <c r="ARQ128" s="827"/>
      <c r="ARR128" s="827"/>
      <c r="ARS128" s="827"/>
      <c r="ART128" s="827"/>
      <c r="ARU128" s="827"/>
      <c r="ARV128" s="827"/>
      <c r="ARW128" s="827"/>
      <c r="ARX128" s="827"/>
      <c r="ARY128" s="827"/>
      <c r="ARZ128" s="827"/>
      <c r="ASA128" s="827"/>
      <c r="ASB128" s="827"/>
      <c r="ASC128" s="827"/>
      <c r="ASD128" s="827"/>
      <c r="ASE128" s="827"/>
      <c r="ASF128" s="827"/>
      <c r="ASG128" s="827"/>
      <c r="ASH128" s="827"/>
      <c r="ASI128" s="827"/>
      <c r="ASJ128" s="827"/>
      <c r="ASK128" s="827"/>
      <c r="ASL128" s="827"/>
      <c r="ASM128" s="827"/>
      <c r="ASN128" s="827"/>
      <c r="ASO128" s="827"/>
      <c r="ASP128" s="827"/>
      <c r="ASQ128" s="827"/>
      <c r="ASR128" s="827"/>
      <c r="ASS128" s="827"/>
      <c r="AST128" s="827"/>
      <c r="ASU128" s="827"/>
      <c r="ASV128" s="827"/>
      <c r="ASW128" s="827"/>
      <c r="ASX128" s="827"/>
      <c r="ASY128" s="827"/>
      <c r="ASZ128" s="827"/>
      <c r="ATA128" s="827"/>
      <c r="ATB128" s="827"/>
      <c r="ATC128" s="827"/>
      <c r="ATD128" s="827"/>
      <c r="ATE128" s="827"/>
      <c r="ATF128" s="827"/>
      <c r="ATG128" s="827"/>
      <c r="ATH128" s="827"/>
      <c r="ATI128" s="827"/>
      <c r="ATJ128" s="827"/>
      <c r="ATK128" s="827"/>
      <c r="ATL128" s="827"/>
      <c r="ATM128" s="827"/>
      <c r="ATN128" s="827"/>
      <c r="ATO128" s="827"/>
      <c r="ATP128" s="827"/>
      <c r="ATQ128" s="827"/>
      <c r="ATR128" s="827"/>
      <c r="ATS128" s="827"/>
      <c r="ATT128" s="827"/>
      <c r="ATU128" s="827"/>
      <c r="ATV128" s="827"/>
      <c r="ATW128" s="827"/>
      <c r="ATX128" s="827"/>
      <c r="ATY128" s="827"/>
      <c r="ATZ128" s="827"/>
      <c r="AUA128" s="827"/>
      <c r="AUB128" s="827"/>
      <c r="AUC128" s="827"/>
      <c r="AUD128" s="827"/>
      <c r="AUE128" s="827"/>
      <c r="AUF128" s="827"/>
      <c r="AUG128" s="827"/>
      <c r="AUH128" s="827"/>
      <c r="AUI128" s="827"/>
      <c r="AUJ128" s="827"/>
      <c r="AUK128" s="827"/>
      <c r="AUL128" s="827"/>
      <c r="AUM128" s="827"/>
      <c r="AUN128" s="827"/>
      <c r="AUO128" s="827"/>
      <c r="AUP128" s="827"/>
      <c r="AUQ128" s="827"/>
      <c r="AUR128" s="827"/>
      <c r="AUS128" s="827"/>
      <c r="AUT128" s="827"/>
      <c r="AUU128" s="827"/>
      <c r="AUV128" s="827"/>
      <c r="AUW128" s="827"/>
      <c r="AUX128" s="827"/>
      <c r="AUY128" s="827"/>
      <c r="AUZ128" s="827"/>
      <c r="AVA128" s="827"/>
      <c r="AVB128" s="827"/>
      <c r="AVC128" s="827"/>
      <c r="AVD128" s="827"/>
      <c r="AVE128" s="827"/>
      <c r="AVF128" s="827"/>
      <c r="AVG128" s="827"/>
      <c r="AVH128" s="827"/>
      <c r="AVI128" s="827"/>
      <c r="AVJ128" s="827"/>
      <c r="AVK128" s="827"/>
      <c r="AVL128" s="827"/>
      <c r="AVM128" s="827"/>
      <c r="AVN128" s="827"/>
      <c r="AVO128" s="827"/>
      <c r="AVP128" s="827"/>
      <c r="AVQ128" s="827"/>
      <c r="AVR128" s="827"/>
      <c r="AVS128" s="827"/>
      <c r="AVT128" s="827"/>
      <c r="AVU128" s="827"/>
      <c r="AVV128" s="827"/>
      <c r="AVW128" s="827"/>
      <c r="AVX128" s="827"/>
      <c r="AVY128" s="827"/>
      <c r="AVZ128" s="827"/>
      <c r="AWA128" s="827"/>
      <c r="AWB128" s="827"/>
      <c r="AWC128" s="827"/>
      <c r="AWD128" s="827"/>
      <c r="AWE128" s="827"/>
      <c r="AWF128" s="827"/>
      <c r="AWG128" s="827"/>
      <c r="AWH128" s="827"/>
      <c r="AWI128" s="827"/>
      <c r="AWJ128" s="827"/>
      <c r="AWK128" s="827"/>
      <c r="AWL128" s="827"/>
      <c r="AWM128" s="827"/>
      <c r="AWN128" s="827"/>
      <c r="AWO128" s="827"/>
      <c r="AWP128" s="827"/>
      <c r="AWQ128" s="827"/>
      <c r="AWR128" s="827"/>
      <c r="AWS128" s="827"/>
      <c r="AWT128" s="827"/>
      <c r="AWU128" s="827"/>
      <c r="AWV128" s="827"/>
      <c r="AWW128" s="827"/>
      <c r="AWX128" s="827"/>
      <c r="AWY128" s="827"/>
      <c r="AWZ128" s="827"/>
      <c r="AXA128" s="827"/>
      <c r="AXB128" s="827"/>
      <c r="AXC128" s="827"/>
      <c r="AXD128" s="827"/>
      <c r="AXE128" s="827"/>
      <c r="AXF128" s="827"/>
      <c r="AXG128" s="827"/>
      <c r="AXH128" s="827"/>
      <c r="AXI128" s="827"/>
      <c r="AXJ128" s="827"/>
      <c r="AXK128" s="827"/>
      <c r="AXL128" s="827"/>
      <c r="AXM128" s="827"/>
      <c r="AXN128" s="827"/>
      <c r="AXO128" s="827"/>
      <c r="AXP128" s="827"/>
      <c r="AXQ128" s="827"/>
      <c r="AXR128" s="827"/>
      <c r="AXS128" s="827"/>
      <c r="AXT128" s="827"/>
      <c r="AXU128" s="827"/>
      <c r="AXV128" s="827"/>
      <c r="AXW128" s="827"/>
      <c r="AXX128" s="827"/>
      <c r="AXY128" s="827"/>
      <c r="AXZ128" s="827"/>
      <c r="AYA128" s="827"/>
      <c r="AYB128" s="827"/>
      <c r="AYC128" s="827"/>
      <c r="AYD128" s="827"/>
      <c r="AYE128" s="827"/>
      <c r="AYF128" s="827"/>
      <c r="AYG128" s="827"/>
      <c r="AYH128" s="827"/>
      <c r="AYI128" s="827"/>
      <c r="AYJ128" s="827"/>
      <c r="AYK128" s="827"/>
      <c r="AYL128" s="827"/>
      <c r="AYM128" s="827"/>
      <c r="AYN128" s="827"/>
      <c r="AYO128" s="827"/>
      <c r="AYP128" s="827"/>
      <c r="AYQ128" s="827"/>
      <c r="AYR128" s="827"/>
      <c r="AYS128" s="827"/>
      <c r="AYT128" s="827"/>
      <c r="AYU128" s="827"/>
      <c r="AYV128" s="827"/>
      <c r="AYW128" s="827"/>
      <c r="AYX128" s="827"/>
      <c r="AYY128" s="827"/>
      <c r="AYZ128" s="827"/>
      <c r="AZA128" s="827"/>
      <c r="AZB128" s="827"/>
      <c r="AZC128" s="827"/>
      <c r="AZD128" s="827"/>
      <c r="AZE128" s="827"/>
      <c r="AZF128" s="827"/>
      <c r="AZG128" s="827"/>
      <c r="AZH128" s="827"/>
      <c r="AZI128" s="827"/>
      <c r="AZJ128" s="827"/>
      <c r="AZK128" s="827"/>
      <c r="AZL128" s="827"/>
      <c r="AZM128" s="827"/>
      <c r="AZN128" s="827"/>
      <c r="AZO128" s="827"/>
      <c r="AZP128" s="827"/>
      <c r="AZQ128" s="827"/>
      <c r="AZR128" s="827"/>
      <c r="AZS128" s="827"/>
      <c r="AZT128" s="827"/>
      <c r="AZU128" s="827"/>
      <c r="AZV128" s="827"/>
      <c r="AZW128" s="827"/>
      <c r="AZX128" s="827"/>
      <c r="AZY128" s="827"/>
      <c r="AZZ128" s="827"/>
      <c r="BAA128" s="827"/>
      <c r="BAB128" s="827"/>
      <c r="BAC128" s="827"/>
      <c r="BAD128" s="827"/>
      <c r="BAE128" s="827"/>
      <c r="BAF128" s="827"/>
      <c r="BAG128" s="827"/>
      <c r="BAH128" s="827"/>
      <c r="BAI128" s="827"/>
      <c r="BAJ128" s="827"/>
      <c r="BAK128" s="827"/>
      <c r="BAL128" s="827"/>
      <c r="BAM128" s="827"/>
      <c r="BAN128" s="827"/>
      <c r="BAO128" s="827"/>
      <c r="BAP128" s="827"/>
      <c r="BAQ128" s="827"/>
      <c r="BAR128" s="827"/>
      <c r="BAS128" s="827"/>
      <c r="BAT128" s="827"/>
      <c r="BAU128" s="827"/>
      <c r="BAV128" s="827"/>
      <c r="BAW128" s="827"/>
      <c r="BAX128" s="827"/>
      <c r="BAY128" s="827"/>
      <c r="BAZ128" s="827"/>
      <c r="BBA128" s="827"/>
      <c r="BBB128" s="827"/>
      <c r="BBC128" s="827"/>
      <c r="BBD128" s="827"/>
      <c r="BBE128" s="827"/>
      <c r="BBF128" s="827"/>
      <c r="BBG128" s="827"/>
      <c r="BBH128" s="827"/>
      <c r="BBI128" s="827"/>
      <c r="BBJ128" s="827"/>
      <c r="BBK128" s="827"/>
      <c r="BBL128" s="827"/>
      <c r="BBM128" s="827"/>
      <c r="BBN128" s="827"/>
      <c r="BBO128" s="827"/>
      <c r="BBP128" s="827"/>
      <c r="BBQ128" s="827"/>
      <c r="BBR128" s="827"/>
      <c r="BBS128" s="827"/>
      <c r="BBT128" s="827"/>
      <c r="BBU128" s="827"/>
      <c r="BBV128" s="827"/>
      <c r="BBW128" s="827"/>
      <c r="BBX128" s="827"/>
      <c r="BBY128" s="827"/>
      <c r="BBZ128" s="827"/>
      <c r="BCA128" s="827"/>
      <c r="BCB128" s="827"/>
      <c r="BCC128" s="827"/>
      <c r="BCD128" s="827"/>
      <c r="BCE128" s="827"/>
      <c r="BCF128" s="827"/>
      <c r="BCG128" s="827"/>
      <c r="BCH128" s="827"/>
      <c r="BCI128" s="827"/>
      <c r="BCJ128" s="827"/>
      <c r="BCK128" s="827"/>
      <c r="BCL128" s="827"/>
      <c r="BCM128" s="827"/>
      <c r="BCN128" s="827"/>
      <c r="BCO128" s="827"/>
      <c r="BCP128" s="827"/>
      <c r="BCQ128" s="827"/>
      <c r="BCR128" s="827"/>
      <c r="BCS128" s="827"/>
      <c r="BCT128" s="827"/>
      <c r="BCU128" s="827"/>
      <c r="BCV128" s="827"/>
      <c r="BCW128" s="827"/>
      <c r="BCX128" s="827"/>
      <c r="BCY128" s="827"/>
      <c r="BCZ128" s="827"/>
      <c r="BDA128" s="827"/>
      <c r="BDB128" s="827"/>
      <c r="BDC128" s="827"/>
      <c r="BDD128" s="827"/>
      <c r="BDE128" s="827"/>
      <c r="BDF128" s="827"/>
      <c r="BDG128" s="827"/>
      <c r="BDH128" s="827"/>
      <c r="BDI128" s="827"/>
      <c r="BDJ128" s="827"/>
      <c r="BDK128" s="827"/>
      <c r="BDL128" s="827"/>
      <c r="BDM128" s="827"/>
      <c r="BDN128" s="827"/>
      <c r="BDO128" s="827"/>
      <c r="BDP128" s="827"/>
      <c r="BDQ128" s="827"/>
      <c r="BDR128" s="827"/>
      <c r="BDS128" s="827"/>
      <c r="BDT128" s="827"/>
      <c r="BDU128" s="827"/>
      <c r="BDV128" s="827"/>
      <c r="BDW128" s="827"/>
      <c r="BDX128" s="827"/>
      <c r="BDY128" s="827"/>
      <c r="BDZ128" s="827"/>
      <c r="BEA128" s="827"/>
      <c r="BEB128" s="827"/>
      <c r="BEC128" s="827"/>
      <c r="BED128" s="827"/>
      <c r="BEE128" s="827"/>
      <c r="BEF128" s="827"/>
      <c r="BEG128" s="827"/>
      <c r="BEH128" s="827"/>
      <c r="BEI128" s="827"/>
      <c r="BEJ128" s="827"/>
      <c r="BEK128" s="827"/>
      <c r="BEL128" s="827"/>
      <c r="BEM128" s="827"/>
      <c r="BEN128" s="827"/>
      <c r="BEO128" s="827"/>
      <c r="BEP128" s="827"/>
      <c r="BEQ128" s="827"/>
      <c r="BER128" s="827"/>
      <c r="BES128" s="827"/>
      <c r="BET128" s="827"/>
      <c r="BEU128" s="827"/>
      <c r="BEV128" s="827"/>
      <c r="BEW128" s="827"/>
      <c r="BEX128" s="827"/>
      <c r="BEY128" s="827"/>
      <c r="BEZ128" s="827"/>
      <c r="BFA128" s="827"/>
      <c r="BFB128" s="827"/>
      <c r="BFC128" s="827"/>
      <c r="BFD128" s="827"/>
      <c r="BFE128" s="827"/>
      <c r="BFF128" s="827"/>
      <c r="BFG128" s="827"/>
      <c r="BFH128" s="827"/>
      <c r="BFI128" s="827"/>
      <c r="BFJ128" s="827"/>
      <c r="BFK128" s="827"/>
      <c r="BFL128" s="827"/>
      <c r="BFM128" s="827"/>
      <c r="BFN128" s="827"/>
      <c r="BFO128" s="827"/>
      <c r="BFP128" s="827"/>
      <c r="BFQ128" s="827"/>
      <c r="BFR128" s="827"/>
      <c r="BFS128" s="827"/>
      <c r="BFT128" s="827"/>
      <c r="BFU128" s="827"/>
      <c r="BFV128" s="827"/>
      <c r="BFW128" s="827"/>
      <c r="BFX128" s="827"/>
      <c r="BFY128" s="827"/>
      <c r="BFZ128" s="827"/>
      <c r="BGA128" s="827"/>
      <c r="BGB128" s="827"/>
      <c r="BGC128" s="827"/>
      <c r="BGD128" s="827"/>
      <c r="BGE128" s="827"/>
      <c r="BGF128" s="827"/>
      <c r="BGG128" s="827"/>
      <c r="BGH128" s="827"/>
      <c r="BGI128" s="827"/>
      <c r="BGJ128" s="827"/>
      <c r="BGK128" s="827"/>
      <c r="BGL128" s="827"/>
      <c r="BGM128" s="827"/>
      <c r="BGN128" s="827"/>
      <c r="BGO128" s="827"/>
      <c r="BGP128" s="827"/>
      <c r="BGQ128" s="827"/>
      <c r="BGR128" s="827"/>
      <c r="BGS128" s="827"/>
      <c r="BGT128" s="827"/>
      <c r="BGU128" s="827"/>
      <c r="BGV128" s="827"/>
      <c r="BGW128" s="827"/>
      <c r="BGX128" s="827"/>
      <c r="BGY128" s="827"/>
      <c r="BGZ128" s="827"/>
      <c r="BHA128" s="827"/>
      <c r="BHB128" s="827"/>
      <c r="BHC128" s="827"/>
      <c r="BHD128" s="827"/>
      <c r="BHE128" s="827"/>
      <c r="BHF128" s="827"/>
      <c r="BHG128" s="827"/>
      <c r="BHH128" s="827"/>
      <c r="BHI128" s="827"/>
      <c r="BHJ128" s="827"/>
      <c r="BHK128" s="827"/>
      <c r="BHL128" s="827"/>
      <c r="BHM128" s="827"/>
      <c r="BHN128" s="827"/>
      <c r="BHO128" s="827"/>
      <c r="BHP128" s="827"/>
      <c r="BHQ128" s="827"/>
      <c r="BHR128" s="827"/>
      <c r="BHS128" s="827"/>
      <c r="BHT128" s="827"/>
      <c r="BHU128" s="827"/>
      <c r="BHV128" s="827"/>
      <c r="BHW128" s="827"/>
      <c r="BHX128" s="827"/>
      <c r="BHY128" s="827"/>
      <c r="BHZ128" s="827"/>
      <c r="BIA128" s="827"/>
      <c r="BIB128" s="827"/>
      <c r="BIC128" s="827"/>
      <c r="BID128" s="827"/>
      <c r="BIE128" s="827"/>
      <c r="BIF128" s="827"/>
      <c r="BIG128" s="827"/>
      <c r="BIH128" s="827"/>
      <c r="BII128" s="827"/>
      <c r="BIJ128" s="827"/>
      <c r="BIK128" s="827"/>
      <c r="BIL128" s="827"/>
      <c r="BIM128" s="827"/>
      <c r="BIN128" s="827"/>
      <c r="BIO128" s="827"/>
      <c r="BIP128" s="827"/>
      <c r="BIQ128" s="827"/>
      <c r="BIR128" s="827"/>
      <c r="BIS128" s="827"/>
      <c r="BIT128" s="827"/>
      <c r="BIU128" s="827"/>
      <c r="BIV128" s="827"/>
      <c r="BIW128" s="827"/>
      <c r="BIX128" s="827"/>
      <c r="BIY128" s="827"/>
      <c r="BIZ128" s="827"/>
      <c r="BJA128" s="827"/>
      <c r="BJB128" s="827"/>
      <c r="BJC128" s="827"/>
      <c r="BJD128" s="827"/>
      <c r="BJE128" s="827"/>
      <c r="BJF128" s="827"/>
      <c r="BJG128" s="827"/>
      <c r="BJH128" s="827"/>
      <c r="BJI128" s="827"/>
      <c r="BJJ128" s="827"/>
      <c r="BJK128" s="827"/>
      <c r="BJL128" s="827"/>
      <c r="BJM128" s="827"/>
      <c r="BJN128" s="827"/>
      <c r="BJO128" s="827"/>
      <c r="BJP128" s="827"/>
      <c r="BJQ128" s="827"/>
      <c r="BJR128" s="827"/>
      <c r="BJS128" s="827"/>
      <c r="BJT128" s="827"/>
      <c r="BJU128" s="827"/>
      <c r="BJV128" s="827"/>
      <c r="BJW128" s="827"/>
      <c r="BJX128" s="827"/>
      <c r="BJY128" s="827"/>
      <c r="BJZ128" s="827"/>
      <c r="BKA128" s="827"/>
      <c r="BKB128" s="827"/>
      <c r="BKC128" s="827"/>
      <c r="BKD128" s="827"/>
      <c r="BKE128" s="827"/>
      <c r="BKF128" s="827"/>
      <c r="BKG128" s="827"/>
      <c r="BKH128" s="827"/>
      <c r="BKI128" s="827"/>
      <c r="BKJ128" s="827"/>
      <c r="BKK128" s="827"/>
      <c r="BKL128" s="827"/>
      <c r="BKM128" s="827"/>
      <c r="BKN128" s="827"/>
      <c r="BKO128" s="827"/>
      <c r="BKP128" s="827"/>
      <c r="BKQ128" s="827"/>
      <c r="BKR128" s="827"/>
      <c r="BKS128" s="827"/>
      <c r="BKT128" s="827"/>
      <c r="BKU128" s="827"/>
      <c r="BKV128" s="827"/>
      <c r="BKW128" s="827"/>
      <c r="BKX128" s="827"/>
      <c r="BKY128" s="827"/>
      <c r="BKZ128" s="827"/>
      <c r="BLA128" s="827"/>
      <c r="BLB128" s="827"/>
      <c r="BLC128" s="827"/>
      <c r="BLD128" s="827"/>
      <c r="BLE128" s="827"/>
      <c r="BLF128" s="827"/>
      <c r="BLG128" s="827"/>
      <c r="BLH128" s="827"/>
      <c r="BLI128" s="827"/>
      <c r="BLJ128" s="827"/>
      <c r="BLK128" s="827"/>
      <c r="BLL128" s="827"/>
      <c r="BLM128" s="827"/>
      <c r="BLN128" s="827"/>
      <c r="BLO128" s="827"/>
      <c r="BLP128" s="827"/>
      <c r="BLQ128" s="827"/>
      <c r="BLR128" s="827"/>
      <c r="BLS128" s="827"/>
      <c r="BLT128" s="827"/>
      <c r="BLU128" s="827"/>
      <c r="BLV128" s="827"/>
      <c r="BLW128" s="827"/>
      <c r="BLX128" s="827"/>
      <c r="BLY128" s="827"/>
      <c r="BLZ128" s="827"/>
      <c r="BMA128" s="827"/>
      <c r="BMB128" s="827"/>
      <c r="BMC128" s="827"/>
      <c r="BMD128" s="827"/>
      <c r="BME128" s="827"/>
      <c r="BMF128" s="827"/>
      <c r="BMG128" s="827"/>
      <c r="BMH128" s="827"/>
      <c r="BMI128" s="827"/>
      <c r="BMJ128" s="827"/>
      <c r="BMK128" s="827"/>
      <c r="BML128" s="827"/>
      <c r="BMM128" s="827"/>
      <c r="BMN128" s="827"/>
      <c r="BMO128" s="827"/>
      <c r="BMP128" s="827"/>
      <c r="BMQ128" s="827"/>
      <c r="BMR128" s="827"/>
      <c r="BMS128" s="827"/>
      <c r="BMT128" s="827"/>
      <c r="BMU128" s="827"/>
      <c r="BMV128" s="827"/>
      <c r="BMW128" s="827"/>
      <c r="BMX128" s="827"/>
      <c r="BMY128" s="827"/>
      <c r="BMZ128" s="827"/>
      <c r="BNA128" s="827"/>
      <c r="BNB128" s="827"/>
      <c r="BNC128" s="827"/>
      <c r="BND128" s="827"/>
      <c r="BNE128" s="827"/>
      <c r="BNF128" s="827"/>
      <c r="BNG128" s="827"/>
      <c r="BNH128" s="827"/>
      <c r="BNI128" s="827"/>
      <c r="BNJ128" s="827"/>
      <c r="BNK128" s="827"/>
      <c r="BNL128" s="827"/>
      <c r="BNM128" s="827"/>
      <c r="BNN128" s="827"/>
      <c r="BNO128" s="827"/>
      <c r="BNP128" s="827"/>
      <c r="BNQ128" s="827"/>
      <c r="BNR128" s="827"/>
      <c r="BNS128" s="827"/>
      <c r="BNT128" s="827"/>
      <c r="BNU128" s="827"/>
      <c r="BNV128" s="827"/>
      <c r="BNW128" s="827"/>
      <c r="BNX128" s="827"/>
      <c r="BNY128" s="827"/>
      <c r="BNZ128" s="827"/>
      <c r="BOA128" s="827"/>
      <c r="BOB128" s="827"/>
      <c r="BOC128" s="827"/>
      <c r="BOD128" s="827"/>
      <c r="BOE128" s="827"/>
      <c r="BOF128" s="827"/>
      <c r="BOG128" s="827"/>
      <c r="BOH128" s="827"/>
      <c r="BOI128" s="827"/>
      <c r="BOJ128" s="827"/>
      <c r="BOK128" s="827"/>
      <c r="BOL128" s="827"/>
      <c r="BOM128" s="827"/>
      <c r="BON128" s="827"/>
      <c r="BOO128" s="827"/>
      <c r="BOP128" s="827"/>
      <c r="BOQ128" s="827"/>
      <c r="BOR128" s="827"/>
      <c r="BOS128" s="827"/>
      <c r="BOT128" s="827"/>
      <c r="BOU128" s="827"/>
      <c r="BOV128" s="827"/>
      <c r="BOW128" s="827"/>
      <c r="BOX128" s="827"/>
      <c r="BOY128" s="827"/>
      <c r="BOZ128" s="827"/>
      <c r="BPA128" s="827"/>
      <c r="BPB128" s="827"/>
      <c r="BPC128" s="827"/>
      <c r="BPD128" s="827"/>
      <c r="BPE128" s="827"/>
      <c r="BPF128" s="827"/>
      <c r="BPG128" s="827"/>
      <c r="BPH128" s="827"/>
      <c r="BPI128" s="827"/>
      <c r="BPJ128" s="827"/>
      <c r="BPK128" s="827"/>
      <c r="BPL128" s="827"/>
      <c r="BPM128" s="827"/>
      <c r="BPN128" s="827"/>
      <c r="BPO128" s="827"/>
      <c r="BPP128" s="827"/>
      <c r="BPQ128" s="827"/>
      <c r="BPR128" s="827"/>
      <c r="BPS128" s="827"/>
      <c r="BPT128" s="827"/>
      <c r="BPU128" s="827"/>
      <c r="BPV128" s="827"/>
      <c r="BPW128" s="827"/>
      <c r="BPX128" s="827"/>
      <c r="BPY128" s="827"/>
      <c r="BPZ128" s="827"/>
      <c r="BQA128" s="827"/>
      <c r="BQB128" s="827"/>
      <c r="BQC128" s="827"/>
      <c r="BQD128" s="827"/>
      <c r="BQE128" s="827"/>
      <c r="BQF128" s="827"/>
      <c r="BQG128" s="827"/>
      <c r="BQH128" s="827"/>
      <c r="BQI128" s="827"/>
      <c r="BQJ128" s="827"/>
      <c r="BQK128" s="827"/>
      <c r="BQL128" s="827"/>
      <c r="BQM128" s="827"/>
      <c r="BQN128" s="827"/>
      <c r="BQO128" s="827"/>
      <c r="BQP128" s="827"/>
      <c r="BQQ128" s="827"/>
      <c r="BQR128" s="827"/>
      <c r="BQS128" s="827"/>
      <c r="BQT128" s="827"/>
      <c r="BQU128" s="827"/>
      <c r="BQV128" s="827"/>
      <c r="BQW128" s="827"/>
      <c r="BQX128" s="827"/>
      <c r="BQY128" s="827"/>
      <c r="BQZ128" s="827"/>
      <c r="BRA128" s="827"/>
      <c r="BRB128" s="827"/>
      <c r="BRC128" s="827"/>
      <c r="BRD128" s="827"/>
      <c r="BRE128" s="827"/>
      <c r="BRF128" s="827"/>
      <c r="BRG128" s="827"/>
      <c r="BRH128" s="827"/>
      <c r="BRI128" s="827"/>
      <c r="BRJ128" s="827"/>
      <c r="BRK128" s="827"/>
      <c r="BRL128" s="827"/>
      <c r="BRM128" s="827"/>
      <c r="BRN128" s="827"/>
      <c r="BRO128" s="827"/>
      <c r="BRP128" s="827"/>
      <c r="BRQ128" s="827"/>
      <c r="BRR128" s="827"/>
      <c r="BRS128" s="827"/>
      <c r="BRT128" s="827"/>
      <c r="BRU128" s="827"/>
      <c r="BRV128" s="827"/>
      <c r="BRW128" s="827"/>
      <c r="BRX128" s="827"/>
      <c r="BRY128" s="827"/>
      <c r="BRZ128" s="827"/>
      <c r="BSA128" s="827"/>
      <c r="BSB128" s="827"/>
      <c r="BSC128" s="827"/>
      <c r="BSD128" s="827"/>
      <c r="BSE128" s="827"/>
      <c r="BSF128" s="827"/>
      <c r="BSG128" s="827"/>
      <c r="BSH128" s="827"/>
      <c r="BSI128" s="827"/>
      <c r="BSJ128" s="827"/>
      <c r="BSK128" s="827"/>
      <c r="BSL128" s="827"/>
      <c r="BSM128" s="827"/>
      <c r="BSN128" s="827"/>
      <c r="BSO128" s="827"/>
      <c r="BSP128" s="827"/>
      <c r="BSQ128" s="827"/>
      <c r="BSR128" s="827"/>
      <c r="BSS128" s="827"/>
      <c r="BST128" s="827"/>
      <c r="BSU128" s="827"/>
      <c r="BSV128" s="827"/>
      <c r="BSW128" s="827"/>
      <c r="BSX128" s="827"/>
      <c r="BSY128" s="827"/>
      <c r="BSZ128" s="827"/>
      <c r="BTA128" s="827"/>
      <c r="BTB128" s="827"/>
      <c r="BTC128" s="827"/>
      <c r="BTD128" s="827"/>
      <c r="BTE128" s="827"/>
      <c r="BTF128" s="827"/>
      <c r="BTG128" s="827"/>
      <c r="BTH128" s="827"/>
      <c r="BTI128" s="827"/>
      <c r="BTJ128" s="827"/>
      <c r="BTK128" s="827"/>
      <c r="BTL128" s="827"/>
      <c r="BTM128" s="827"/>
      <c r="BTN128" s="827"/>
      <c r="BTO128" s="827"/>
      <c r="BTP128" s="827"/>
      <c r="BTQ128" s="827"/>
      <c r="BTR128" s="827"/>
      <c r="BTS128" s="827"/>
      <c r="BTT128" s="827"/>
      <c r="BTU128" s="827"/>
      <c r="BTV128" s="827"/>
      <c r="BTW128" s="827"/>
      <c r="BTX128" s="827"/>
      <c r="BTY128" s="827"/>
      <c r="BTZ128" s="827"/>
      <c r="BUA128" s="827"/>
      <c r="BUB128" s="827"/>
      <c r="BUC128" s="827"/>
      <c r="BUD128" s="827"/>
      <c r="BUE128" s="827"/>
      <c r="BUF128" s="827"/>
      <c r="BUG128" s="827"/>
      <c r="BUH128" s="827"/>
      <c r="BUI128" s="827"/>
      <c r="BUJ128" s="827"/>
      <c r="BUK128" s="827"/>
      <c r="BUL128" s="827"/>
      <c r="BUM128" s="827"/>
      <c r="BUN128" s="827"/>
      <c r="BUO128" s="827"/>
      <c r="BUP128" s="827"/>
      <c r="BUQ128" s="827"/>
      <c r="BUR128" s="827"/>
      <c r="BUS128" s="827"/>
      <c r="BUT128" s="827"/>
      <c r="BUU128" s="827"/>
      <c r="BUV128" s="827"/>
      <c r="BUW128" s="827"/>
      <c r="BUX128" s="827"/>
      <c r="BUY128" s="827"/>
      <c r="BUZ128" s="827"/>
      <c r="BVA128" s="827"/>
      <c r="BVB128" s="827"/>
      <c r="BVC128" s="827"/>
      <c r="BVD128" s="827"/>
      <c r="BVE128" s="827"/>
      <c r="BVF128" s="827"/>
      <c r="BVG128" s="827"/>
      <c r="BVH128" s="827"/>
      <c r="BVI128" s="827"/>
      <c r="BVJ128" s="827"/>
      <c r="BVK128" s="827"/>
      <c r="BVL128" s="827"/>
      <c r="BVM128" s="827"/>
      <c r="BVN128" s="827"/>
      <c r="BVO128" s="827"/>
      <c r="BVP128" s="827"/>
      <c r="BVQ128" s="827"/>
      <c r="BVR128" s="827"/>
      <c r="BVS128" s="827"/>
      <c r="BVT128" s="827"/>
      <c r="BVU128" s="827"/>
      <c r="BVV128" s="827"/>
      <c r="BVW128" s="827"/>
      <c r="BVX128" s="827"/>
      <c r="BVY128" s="827"/>
      <c r="BVZ128" s="827"/>
      <c r="BWA128" s="827"/>
      <c r="BWB128" s="827"/>
      <c r="BWC128" s="827"/>
      <c r="BWD128" s="827"/>
      <c r="BWE128" s="827"/>
      <c r="BWF128" s="827"/>
      <c r="BWG128" s="827"/>
      <c r="BWH128" s="827"/>
      <c r="BWI128" s="827"/>
      <c r="BWJ128" s="827"/>
      <c r="BWK128" s="827"/>
      <c r="BWL128" s="827"/>
      <c r="BWM128" s="827"/>
      <c r="BWN128" s="827"/>
      <c r="BWO128" s="827"/>
      <c r="BWP128" s="827"/>
      <c r="BWQ128" s="827"/>
      <c r="BWR128" s="827"/>
      <c r="BWS128" s="827"/>
      <c r="BWT128" s="827"/>
      <c r="BWU128" s="827"/>
      <c r="BWV128" s="827"/>
      <c r="BWW128" s="827"/>
      <c r="BWX128" s="827"/>
      <c r="BWY128" s="827"/>
      <c r="BWZ128" s="827"/>
      <c r="BXA128" s="827"/>
      <c r="BXB128" s="827"/>
      <c r="BXC128" s="827"/>
      <c r="BXD128" s="827"/>
      <c r="BXE128" s="827"/>
      <c r="BXF128" s="827"/>
      <c r="BXG128" s="827"/>
      <c r="BXH128" s="827"/>
      <c r="BXI128" s="827"/>
      <c r="BXJ128" s="827"/>
      <c r="BXK128" s="827"/>
      <c r="BXL128" s="827"/>
      <c r="BXM128" s="827"/>
      <c r="BXN128" s="827"/>
      <c r="BXO128" s="827"/>
      <c r="BXP128" s="827"/>
      <c r="BXQ128" s="827"/>
      <c r="BXR128" s="827"/>
      <c r="BXS128" s="827"/>
      <c r="BXT128" s="827"/>
      <c r="BXU128" s="827"/>
      <c r="BXV128" s="827"/>
      <c r="BXW128" s="827"/>
      <c r="BXX128" s="827"/>
      <c r="BXY128" s="827"/>
      <c r="BXZ128" s="827"/>
      <c r="BYA128" s="827"/>
      <c r="BYB128" s="827"/>
      <c r="BYC128" s="827"/>
      <c r="BYD128" s="827"/>
      <c r="BYE128" s="827"/>
      <c r="BYF128" s="827"/>
      <c r="BYG128" s="827"/>
      <c r="BYH128" s="827"/>
      <c r="BYI128" s="827"/>
      <c r="BYJ128" s="827"/>
      <c r="BYK128" s="827"/>
      <c r="BYL128" s="827"/>
      <c r="BYM128" s="827"/>
      <c r="BYN128" s="827"/>
      <c r="BYO128" s="827"/>
      <c r="BYP128" s="827"/>
      <c r="BYQ128" s="827"/>
      <c r="BYR128" s="827"/>
      <c r="BYS128" s="827"/>
      <c r="BYT128" s="827"/>
      <c r="BYU128" s="827"/>
      <c r="BYV128" s="827"/>
      <c r="BYW128" s="827"/>
      <c r="BYX128" s="827"/>
      <c r="BYY128" s="827"/>
      <c r="BYZ128" s="827"/>
      <c r="BZA128" s="827"/>
      <c r="BZB128" s="827"/>
      <c r="BZC128" s="827"/>
      <c r="BZD128" s="827"/>
      <c r="BZE128" s="827"/>
      <c r="BZF128" s="827"/>
      <c r="BZG128" s="827"/>
      <c r="BZH128" s="827"/>
      <c r="BZI128" s="827"/>
      <c r="BZJ128" s="827"/>
      <c r="BZK128" s="827"/>
      <c r="BZL128" s="827"/>
      <c r="BZM128" s="827"/>
      <c r="BZN128" s="827"/>
      <c r="BZO128" s="827"/>
      <c r="BZP128" s="827"/>
      <c r="BZQ128" s="827"/>
      <c r="BZR128" s="827"/>
      <c r="BZS128" s="827"/>
      <c r="BZT128" s="827"/>
      <c r="BZU128" s="827"/>
      <c r="BZV128" s="827"/>
      <c r="BZW128" s="827"/>
      <c r="BZX128" s="827"/>
      <c r="BZY128" s="827"/>
      <c r="BZZ128" s="827"/>
      <c r="CAA128" s="827"/>
      <c r="CAB128" s="827"/>
      <c r="CAC128" s="827"/>
      <c r="CAD128" s="827"/>
      <c r="CAE128" s="827"/>
      <c r="CAF128" s="827"/>
      <c r="CAG128" s="827"/>
      <c r="CAH128" s="827"/>
      <c r="CAI128" s="827"/>
      <c r="CAJ128" s="827"/>
      <c r="CAK128" s="827"/>
      <c r="CAL128" s="827"/>
      <c r="CAM128" s="827"/>
      <c r="CAN128" s="827"/>
      <c r="CAO128" s="827"/>
      <c r="CAP128" s="827"/>
      <c r="CAQ128" s="827"/>
      <c r="CAR128" s="827"/>
      <c r="CAS128" s="827"/>
      <c r="CAT128" s="827"/>
      <c r="CAU128" s="827"/>
      <c r="CAV128" s="827"/>
      <c r="CAW128" s="827"/>
      <c r="CAX128" s="827"/>
      <c r="CAY128" s="827"/>
      <c r="CAZ128" s="827"/>
      <c r="CBA128" s="827"/>
      <c r="CBB128" s="827"/>
      <c r="CBC128" s="827"/>
      <c r="CBD128" s="827"/>
      <c r="CBE128" s="827"/>
      <c r="CBF128" s="827"/>
      <c r="CBG128" s="827"/>
      <c r="CBH128" s="827"/>
      <c r="CBI128" s="827"/>
      <c r="CBJ128" s="827"/>
      <c r="CBK128" s="827"/>
      <c r="CBL128" s="827"/>
      <c r="CBM128" s="827"/>
      <c r="CBN128" s="827"/>
      <c r="CBO128" s="827"/>
      <c r="CBP128" s="827"/>
      <c r="CBQ128" s="827"/>
      <c r="CBR128" s="827"/>
      <c r="CBS128" s="827"/>
      <c r="CBT128" s="827"/>
      <c r="CBU128" s="827"/>
      <c r="CBV128" s="827"/>
      <c r="CBW128" s="827"/>
      <c r="CBX128" s="827"/>
      <c r="CBY128" s="827"/>
      <c r="CBZ128" s="827"/>
      <c r="CCA128" s="827"/>
      <c r="CCB128" s="827"/>
      <c r="CCC128" s="827"/>
      <c r="CCD128" s="827"/>
      <c r="CCE128" s="827"/>
      <c r="CCF128" s="827"/>
      <c r="CCG128" s="827"/>
      <c r="CCH128" s="827"/>
      <c r="CCI128" s="827"/>
      <c r="CCJ128" s="827"/>
      <c r="CCK128" s="827"/>
      <c r="CCL128" s="827"/>
      <c r="CCM128" s="827"/>
      <c r="CCN128" s="827"/>
      <c r="CCO128" s="827"/>
      <c r="CCP128" s="827"/>
      <c r="CCQ128" s="827"/>
      <c r="CCR128" s="827"/>
      <c r="CCS128" s="827"/>
      <c r="CCT128" s="827"/>
      <c r="CCU128" s="827"/>
      <c r="CCV128" s="827"/>
      <c r="CCW128" s="827"/>
      <c r="CCX128" s="827"/>
      <c r="CCY128" s="827"/>
      <c r="CCZ128" s="827"/>
      <c r="CDA128" s="827"/>
      <c r="CDB128" s="827"/>
      <c r="CDC128" s="827"/>
      <c r="CDD128" s="827"/>
      <c r="CDE128" s="827"/>
      <c r="CDF128" s="827"/>
      <c r="CDG128" s="827"/>
      <c r="CDH128" s="827"/>
      <c r="CDI128" s="827"/>
      <c r="CDJ128" s="827"/>
      <c r="CDK128" s="827"/>
      <c r="CDL128" s="827"/>
      <c r="CDM128" s="827"/>
      <c r="CDN128" s="827"/>
      <c r="CDO128" s="827"/>
      <c r="CDP128" s="827"/>
      <c r="CDQ128" s="827"/>
      <c r="CDR128" s="827"/>
      <c r="CDS128" s="827"/>
      <c r="CDT128" s="827"/>
      <c r="CDU128" s="827"/>
      <c r="CDV128" s="827"/>
      <c r="CDW128" s="827"/>
      <c r="CDX128" s="827"/>
      <c r="CDY128" s="827"/>
      <c r="CDZ128" s="827"/>
      <c r="CEA128" s="827"/>
      <c r="CEB128" s="827"/>
      <c r="CEC128" s="827"/>
      <c r="CED128" s="827"/>
      <c r="CEE128" s="827"/>
      <c r="CEF128" s="827"/>
      <c r="CEG128" s="827"/>
      <c r="CEH128" s="827"/>
      <c r="CEI128" s="827"/>
      <c r="CEJ128" s="827"/>
      <c r="CEK128" s="827"/>
      <c r="CEL128" s="827"/>
      <c r="CEM128" s="827"/>
      <c r="CEN128" s="827"/>
      <c r="CEO128" s="827"/>
      <c r="CEP128" s="827"/>
      <c r="CEQ128" s="827"/>
      <c r="CER128" s="827"/>
      <c r="CES128" s="827"/>
      <c r="CET128" s="827"/>
      <c r="CEU128" s="827"/>
      <c r="CEV128" s="827"/>
      <c r="CEW128" s="827"/>
      <c r="CEX128" s="827"/>
      <c r="CEY128" s="827"/>
      <c r="CEZ128" s="827"/>
      <c r="CFA128" s="827"/>
      <c r="CFB128" s="827"/>
      <c r="CFC128" s="827"/>
      <c r="CFD128" s="827"/>
      <c r="CFE128" s="827"/>
      <c r="CFF128" s="827"/>
      <c r="CFG128" s="827"/>
      <c r="CFH128" s="827"/>
      <c r="CFI128" s="827"/>
      <c r="CFJ128" s="827"/>
      <c r="CFK128" s="827"/>
      <c r="CFL128" s="827"/>
      <c r="CFM128" s="827"/>
      <c r="CFN128" s="827"/>
      <c r="CFO128" s="827"/>
      <c r="CFP128" s="827"/>
      <c r="CFQ128" s="827"/>
      <c r="CFR128" s="827"/>
      <c r="CFS128" s="827"/>
      <c r="CFT128" s="827"/>
      <c r="CFU128" s="827"/>
      <c r="CFV128" s="827"/>
      <c r="CFW128" s="827"/>
      <c r="CFX128" s="827"/>
      <c r="CFY128" s="827"/>
      <c r="CFZ128" s="827"/>
      <c r="CGA128" s="827"/>
      <c r="CGB128" s="827"/>
      <c r="CGC128" s="827"/>
      <c r="CGD128" s="827"/>
      <c r="CGE128" s="827"/>
      <c r="CGF128" s="827"/>
      <c r="CGG128" s="827"/>
      <c r="CGH128" s="827"/>
      <c r="CGI128" s="827"/>
      <c r="CGJ128" s="827"/>
      <c r="CGK128" s="827"/>
      <c r="CGL128" s="827"/>
      <c r="CGM128" s="827"/>
      <c r="CGN128" s="827"/>
      <c r="CGO128" s="827"/>
      <c r="CGP128" s="827"/>
      <c r="CGQ128" s="827"/>
      <c r="CGR128" s="827"/>
      <c r="CGS128" s="827"/>
      <c r="CGT128" s="827"/>
      <c r="CGU128" s="827"/>
      <c r="CGV128" s="827"/>
      <c r="CGW128" s="827"/>
      <c r="CGX128" s="827"/>
      <c r="CGY128" s="827"/>
      <c r="CGZ128" s="827"/>
      <c r="CHA128" s="827"/>
      <c r="CHB128" s="827"/>
      <c r="CHC128" s="827"/>
      <c r="CHD128" s="827"/>
      <c r="CHE128" s="827"/>
      <c r="CHF128" s="827"/>
      <c r="CHG128" s="827"/>
      <c r="CHH128" s="827"/>
      <c r="CHI128" s="827"/>
      <c r="CHJ128" s="827"/>
      <c r="CHK128" s="827"/>
      <c r="CHL128" s="827"/>
      <c r="CHM128" s="827"/>
      <c r="CHN128" s="827"/>
      <c r="CHO128" s="827"/>
      <c r="CHP128" s="827"/>
      <c r="CHQ128" s="827"/>
      <c r="CHR128" s="827"/>
      <c r="CHS128" s="827"/>
      <c r="CHT128" s="827"/>
      <c r="CHU128" s="827"/>
      <c r="CHV128" s="827"/>
      <c r="CHW128" s="827"/>
      <c r="CHX128" s="827"/>
      <c r="CHY128" s="827"/>
      <c r="CHZ128" s="827"/>
      <c r="CIA128" s="827"/>
      <c r="CIB128" s="827"/>
      <c r="CIC128" s="827"/>
      <c r="CID128" s="827"/>
      <c r="CIE128" s="827"/>
      <c r="CIF128" s="827"/>
      <c r="CIG128" s="827"/>
      <c r="CIH128" s="827"/>
      <c r="CII128" s="827"/>
      <c r="CIJ128" s="827"/>
      <c r="CIK128" s="827"/>
      <c r="CIL128" s="827"/>
      <c r="CIM128" s="827"/>
      <c r="CIN128" s="827"/>
      <c r="CIO128" s="827"/>
      <c r="CIP128" s="827"/>
      <c r="CIQ128" s="827"/>
      <c r="CIR128" s="827"/>
      <c r="CIS128" s="827"/>
      <c r="CIT128" s="827"/>
      <c r="CIU128" s="827"/>
      <c r="CIV128" s="827"/>
      <c r="CIW128" s="827"/>
      <c r="CIX128" s="827"/>
      <c r="CIY128" s="827"/>
      <c r="CIZ128" s="827"/>
      <c r="CJA128" s="827"/>
      <c r="CJB128" s="827"/>
      <c r="CJC128" s="827"/>
      <c r="CJD128" s="827"/>
      <c r="CJE128" s="827"/>
      <c r="CJF128" s="827"/>
      <c r="CJG128" s="827"/>
      <c r="CJH128" s="827"/>
      <c r="CJI128" s="827"/>
      <c r="CJJ128" s="827"/>
      <c r="CJK128" s="827"/>
      <c r="CJL128" s="827"/>
      <c r="CJM128" s="827"/>
      <c r="CJN128" s="827"/>
      <c r="CJO128" s="827"/>
      <c r="CJP128" s="827"/>
      <c r="CJQ128" s="827"/>
      <c r="CJR128" s="827"/>
      <c r="CJS128" s="827"/>
      <c r="CJT128" s="827"/>
      <c r="CJU128" s="827"/>
      <c r="CJV128" s="827"/>
      <c r="CJW128" s="827"/>
      <c r="CJX128" s="827"/>
      <c r="CJY128" s="827"/>
      <c r="CJZ128" s="827"/>
      <c r="CKA128" s="827"/>
      <c r="CKB128" s="827"/>
      <c r="CKC128" s="827"/>
      <c r="CKD128" s="827"/>
      <c r="CKE128" s="827"/>
      <c r="CKF128" s="827"/>
      <c r="CKG128" s="827"/>
      <c r="CKH128" s="827"/>
      <c r="CKI128" s="827"/>
      <c r="CKJ128" s="827"/>
      <c r="CKK128" s="827"/>
      <c r="CKL128" s="827"/>
      <c r="CKM128" s="827"/>
      <c r="CKN128" s="827"/>
      <c r="CKO128" s="827"/>
      <c r="CKP128" s="827"/>
      <c r="CKQ128" s="827"/>
      <c r="CKR128" s="827"/>
      <c r="CKS128" s="827"/>
      <c r="CKT128" s="827"/>
      <c r="CKU128" s="827"/>
      <c r="CKV128" s="827"/>
      <c r="CKW128" s="827"/>
      <c r="CKX128" s="827"/>
      <c r="CKY128" s="827"/>
      <c r="CKZ128" s="827"/>
      <c r="CLA128" s="827"/>
      <c r="CLB128" s="827"/>
      <c r="CLC128" s="827"/>
      <c r="CLD128" s="827"/>
      <c r="CLE128" s="827"/>
      <c r="CLF128" s="827"/>
      <c r="CLG128" s="827"/>
      <c r="CLH128" s="827"/>
      <c r="CLI128" s="827"/>
      <c r="CLJ128" s="827"/>
      <c r="CLK128" s="827"/>
      <c r="CLL128" s="827"/>
      <c r="CLM128" s="827"/>
      <c r="CLN128" s="827"/>
      <c r="CLO128" s="827"/>
      <c r="CLP128" s="827"/>
      <c r="CLQ128" s="827"/>
      <c r="CLR128" s="827"/>
      <c r="CLS128" s="827"/>
      <c r="CLT128" s="827"/>
      <c r="CLU128" s="827"/>
      <c r="CLV128" s="827"/>
      <c r="CLW128" s="827"/>
      <c r="CLX128" s="827"/>
      <c r="CLY128" s="827"/>
      <c r="CLZ128" s="827"/>
      <c r="CMA128" s="827"/>
      <c r="CMB128" s="827"/>
      <c r="CMC128" s="827"/>
      <c r="CMD128" s="827"/>
      <c r="CME128" s="827"/>
      <c r="CMF128" s="827"/>
      <c r="CMG128" s="827"/>
      <c r="CMH128" s="827"/>
      <c r="CMI128" s="827"/>
      <c r="CMJ128" s="827"/>
      <c r="CMK128" s="827"/>
      <c r="CML128" s="827"/>
      <c r="CMM128" s="827"/>
      <c r="CMN128" s="827"/>
      <c r="CMO128" s="827"/>
      <c r="CMP128" s="827"/>
      <c r="CMQ128" s="827"/>
      <c r="CMR128" s="827"/>
      <c r="CMS128" s="827"/>
      <c r="CMT128" s="827"/>
      <c r="CMU128" s="827"/>
      <c r="CMV128" s="827"/>
      <c r="CMW128" s="827"/>
      <c r="CMX128" s="827"/>
      <c r="CMY128" s="827"/>
      <c r="CMZ128" s="827"/>
      <c r="CNA128" s="827"/>
      <c r="CNB128" s="827"/>
      <c r="CNC128" s="827"/>
      <c r="CND128" s="827"/>
      <c r="CNE128" s="827"/>
      <c r="CNF128" s="827"/>
      <c r="CNG128" s="827"/>
      <c r="CNH128" s="827"/>
      <c r="CNI128" s="827"/>
      <c r="CNJ128" s="827"/>
      <c r="CNK128" s="827"/>
      <c r="CNL128" s="827"/>
      <c r="CNM128" s="827"/>
      <c r="CNN128" s="827"/>
      <c r="CNO128" s="827"/>
      <c r="CNP128" s="827"/>
      <c r="CNQ128" s="827"/>
      <c r="CNR128" s="827"/>
      <c r="CNS128" s="827"/>
      <c r="CNT128" s="827"/>
      <c r="CNU128" s="827"/>
      <c r="CNV128" s="827"/>
      <c r="CNW128" s="827"/>
      <c r="CNX128" s="827"/>
      <c r="CNY128" s="827"/>
      <c r="CNZ128" s="827"/>
      <c r="COA128" s="827"/>
      <c r="COB128" s="827"/>
      <c r="COC128" s="827"/>
      <c r="COD128" s="827"/>
      <c r="COE128" s="827"/>
      <c r="COF128" s="827"/>
      <c r="COG128" s="827"/>
      <c r="COH128" s="827"/>
      <c r="COI128" s="827"/>
      <c r="COJ128" s="827"/>
      <c r="COK128" s="827"/>
      <c r="COL128" s="827"/>
      <c r="COM128" s="827"/>
      <c r="CON128" s="827"/>
      <c r="COO128" s="827"/>
      <c r="COP128" s="827"/>
      <c r="COQ128" s="827"/>
      <c r="COR128" s="827"/>
      <c r="COS128" s="827"/>
      <c r="COT128" s="827"/>
      <c r="COU128" s="827"/>
      <c r="COV128" s="827"/>
      <c r="COW128" s="827"/>
      <c r="COX128" s="827"/>
      <c r="COY128" s="827"/>
      <c r="COZ128" s="827"/>
      <c r="CPA128" s="827"/>
      <c r="CPB128" s="827"/>
      <c r="CPC128" s="827"/>
      <c r="CPD128" s="827"/>
      <c r="CPE128" s="827"/>
      <c r="CPF128" s="827"/>
      <c r="CPG128" s="827"/>
      <c r="CPH128" s="827"/>
      <c r="CPI128" s="827"/>
      <c r="CPJ128" s="827"/>
      <c r="CPK128" s="827"/>
      <c r="CPL128" s="827"/>
      <c r="CPM128" s="827"/>
      <c r="CPN128" s="827"/>
      <c r="CPO128" s="827"/>
      <c r="CPP128" s="827"/>
      <c r="CPQ128" s="827"/>
      <c r="CPR128" s="827"/>
      <c r="CPS128" s="827"/>
      <c r="CPT128" s="827"/>
      <c r="CPU128" s="827"/>
      <c r="CPV128" s="827"/>
      <c r="CPW128" s="827"/>
      <c r="CPX128" s="827"/>
      <c r="CPY128" s="827"/>
      <c r="CPZ128" s="827"/>
      <c r="CQA128" s="827"/>
      <c r="CQB128" s="827"/>
      <c r="CQC128" s="827"/>
      <c r="CQD128" s="827"/>
      <c r="CQE128" s="827"/>
      <c r="CQF128" s="827"/>
      <c r="CQG128" s="827"/>
      <c r="CQH128" s="827"/>
      <c r="CQI128" s="827"/>
      <c r="CQJ128" s="827"/>
      <c r="CQK128" s="827"/>
      <c r="CQL128" s="827"/>
      <c r="CQM128" s="827"/>
      <c r="CQN128" s="827"/>
      <c r="CQO128" s="827"/>
      <c r="CQP128" s="827"/>
      <c r="CQQ128" s="827"/>
      <c r="CQR128" s="827"/>
      <c r="CQS128" s="827"/>
      <c r="CQT128" s="827"/>
      <c r="CQU128" s="827"/>
      <c r="CQV128" s="827"/>
      <c r="CQW128" s="827"/>
      <c r="CQX128" s="827"/>
      <c r="CQY128" s="827"/>
      <c r="CQZ128" s="827"/>
      <c r="CRA128" s="827"/>
      <c r="CRB128" s="827"/>
      <c r="CRC128" s="827"/>
      <c r="CRD128" s="827"/>
      <c r="CRE128" s="827"/>
      <c r="CRF128" s="827"/>
      <c r="CRG128" s="827"/>
      <c r="CRH128" s="827"/>
      <c r="CRI128" s="827"/>
      <c r="CRJ128" s="827"/>
      <c r="CRK128" s="827"/>
      <c r="CRL128" s="827"/>
      <c r="CRM128" s="827"/>
      <c r="CRN128" s="827"/>
      <c r="CRO128" s="827"/>
      <c r="CRP128" s="827"/>
      <c r="CRQ128" s="827"/>
      <c r="CRR128" s="827"/>
      <c r="CRS128" s="827"/>
      <c r="CRT128" s="827"/>
      <c r="CRU128" s="827"/>
      <c r="CRV128" s="827"/>
      <c r="CRW128" s="827"/>
      <c r="CRX128" s="827"/>
      <c r="CRY128" s="827"/>
      <c r="CRZ128" s="827"/>
      <c r="CSA128" s="827"/>
      <c r="CSB128" s="827"/>
      <c r="CSC128" s="827"/>
      <c r="CSD128" s="827"/>
      <c r="CSE128" s="827"/>
      <c r="CSF128" s="827"/>
      <c r="CSG128" s="827"/>
      <c r="CSH128" s="827"/>
      <c r="CSI128" s="827"/>
      <c r="CSJ128" s="827"/>
      <c r="CSK128" s="827"/>
      <c r="CSL128" s="827"/>
      <c r="CSM128" s="827"/>
      <c r="CSN128" s="827"/>
      <c r="CSO128" s="827"/>
      <c r="CSP128" s="827"/>
      <c r="CSQ128" s="827"/>
      <c r="CSR128" s="827"/>
      <c r="CSS128" s="827"/>
      <c r="CST128" s="827"/>
      <c r="CSU128" s="827"/>
      <c r="CSV128" s="827"/>
      <c r="CSW128" s="827"/>
      <c r="CSX128" s="827"/>
      <c r="CSY128" s="827"/>
      <c r="CSZ128" s="827"/>
      <c r="CTA128" s="827"/>
      <c r="CTB128" s="827"/>
      <c r="CTC128" s="827"/>
      <c r="CTD128" s="827"/>
      <c r="CTE128" s="827"/>
      <c r="CTF128" s="827"/>
      <c r="CTG128" s="827"/>
      <c r="CTH128" s="827"/>
      <c r="CTI128" s="827"/>
      <c r="CTJ128" s="827"/>
      <c r="CTK128" s="827"/>
      <c r="CTL128" s="827"/>
      <c r="CTM128" s="827"/>
      <c r="CTN128" s="827"/>
      <c r="CTO128" s="827"/>
      <c r="CTP128" s="827"/>
      <c r="CTQ128" s="827"/>
      <c r="CTR128" s="827"/>
      <c r="CTS128" s="827"/>
      <c r="CTT128" s="827"/>
      <c r="CTU128" s="827"/>
      <c r="CTV128" s="827"/>
      <c r="CTW128" s="827"/>
      <c r="CTX128" s="827"/>
      <c r="CTY128" s="827"/>
      <c r="CTZ128" s="827"/>
      <c r="CUA128" s="827"/>
      <c r="CUB128" s="827"/>
      <c r="CUC128" s="827"/>
      <c r="CUD128" s="827"/>
      <c r="CUE128" s="827"/>
      <c r="CUF128" s="827"/>
      <c r="CUG128" s="827"/>
      <c r="CUH128" s="827"/>
      <c r="CUI128" s="827"/>
      <c r="CUJ128" s="827"/>
      <c r="CUK128" s="827"/>
      <c r="CUL128" s="827"/>
      <c r="CUM128" s="827"/>
      <c r="CUN128" s="827"/>
      <c r="CUO128" s="827"/>
      <c r="CUP128" s="827"/>
      <c r="CUQ128" s="827"/>
      <c r="CUR128" s="827"/>
      <c r="CUS128" s="827"/>
      <c r="CUT128" s="827"/>
      <c r="CUU128" s="827"/>
      <c r="CUV128" s="827"/>
      <c r="CUW128" s="827"/>
      <c r="CUX128" s="827"/>
      <c r="CUY128" s="827"/>
      <c r="CUZ128" s="827"/>
      <c r="CVA128" s="827"/>
      <c r="CVB128" s="827"/>
      <c r="CVC128" s="827"/>
      <c r="CVD128" s="827"/>
      <c r="CVE128" s="827"/>
      <c r="CVF128" s="827"/>
      <c r="CVG128" s="827"/>
      <c r="CVH128" s="827"/>
      <c r="CVI128" s="827"/>
      <c r="CVJ128" s="827"/>
      <c r="CVK128" s="827"/>
      <c r="CVL128" s="827"/>
      <c r="CVM128" s="827"/>
      <c r="CVN128" s="827"/>
      <c r="CVO128" s="827"/>
      <c r="CVP128" s="827"/>
      <c r="CVQ128" s="827"/>
      <c r="CVR128" s="827"/>
      <c r="CVS128" s="827"/>
      <c r="CVT128" s="827"/>
      <c r="CVU128" s="827"/>
      <c r="CVV128" s="827"/>
      <c r="CVW128" s="827"/>
      <c r="CVX128" s="827"/>
      <c r="CVY128" s="827"/>
      <c r="CVZ128" s="827"/>
      <c r="CWA128" s="827"/>
      <c r="CWB128" s="827"/>
      <c r="CWC128" s="827"/>
      <c r="CWD128" s="827"/>
      <c r="CWE128" s="827"/>
      <c r="CWF128" s="827"/>
      <c r="CWG128" s="827"/>
      <c r="CWH128" s="827"/>
      <c r="CWI128" s="827"/>
      <c r="CWJ128" s="827"/>
      <c r="CWK128" s="827"/>
      <c r="CWL128" s="827"/>
      <c r="CWM128" s="827"/>
      <c r="CWN128" s="827"/>
      <c r="CWO128" s="827"/>
      <c r="CWP128" s="827"/>
      <c r="CWQ128" s="827"/>
      <c r="CWR128" s="827"/>
      <c r="CWS128" s="827"/>
      <c r="CWT128" s="827"/>
      <c r="CWU128" s="827"/>
      <c r="CWV128" s="827"/>
      <c r="CWW128" s="827"/>
      <c r="CWX128" s="827"/>
      <c r="CWY128" s="827"/>
      <c r="CWZ128" s="827"/>
      <c r="CXA128" s="827"/>
      <c r="CXB128" s="827"/>
      <c r="CXC128" s="827"/>
      <c r="CXD128" s="827"/>
      <c r="CXE128" s="827"/>
      <c r="CXF128" s="827"/>
      <c r="CXG128" s="827"/>
      <c r="CXH128" s="827"/>
      <c r="CXI128" s="827"/>
      <c r="CXJ128" s="827"/>
      <c r="CXK128" s="827"/>
      <c r="CXL128" s="827"/>
      <c r="CXM128" s="827"/>
      <c r="CXN128" s="827"/>
      <c r="CXO128" s="827"/>
      <c r="CXP128" s="827"/>
      <c r="CXQ128" s="827"/>
      <c r="CXR128" s="827"/>
      <c r="CXS128" s="827"/>
      <c r="CXT128" s="827"/>
      <c r="CXU128" s="827"/>
      <c r="CXV128" s="827"/>
      <c r="CXW128" s="827"/>
      <c r="CXX128" s="827"/>
      <c r="CXY128" s="827"/>
      <c r="CXZ128" s="827"/>
      <c r="CYA128" s="827"/>
      <c r="CYB128" s="827"/>
      <c r="CYC128" s="827"/>
      <c r="CYD128" s="827"/>
      <c r="CYE128" s="827"/>
      <c r="CYF128" s="827"/>
      <c r="CYG128" s="827"/>
      <c r="CYH128" s="827"/>
      <c r="CYI128" s="827"/>
      <c r="CYJ128" s="827"/>
      <c r="CYK128" s="827"/>
      <c r="CYL128" s="827"/>
      <c r="CYM128" s="827"/>
      <c r="CYN128" s="827"/>
      <c r="CYO128" s="827"/>
      <c r="CYP128" s="827"/>
      <c r="CYQ128" s="827"/>
      <c r="CYR128" s="827"/>
      <c r="CYS128" s="827"/>
      <c r="CYT128" s="827"/>
      <c r="CYU128" s="827"/>
      <c r="CYV128" s="827"/>
      <c r="CYW128" s="827"/>
      <c r="CYX128" s="827"/>
      <c r="CYY128" s="827"/>
      <c r="CYZ128" s="827"/>
      <c r="CZA128" s="827"/>
      <c r="CZB128" s="827"/>
      <c r="CZC128" s="827"/>
      <c r="CZD128" s="827"/>
      <c r="CZE128" s="827"/>
      <c r="CZF128" s="827"/>
      <c r="CZG128" s="827"/>
      <c r="CZH128" s="827"/>
      <c r="CZI128" s="827"/>
      <c r="CZJ128" s="827"/>
      <c r="CZK128" s="827"/>
      <c r="CZL128" s="827"/>
      <c r="CZM128" s="827"/>
      <c r="CZN128" s="827"/>
      <c r="CZO128" s="827"/>
      <c r="CZP128" s="827"/>
      <c r="CZQ128" s="827"/>
      <c r="CZR128" s="827"/>
      <c r="CZS128" s="827"/>
      <c r="CZT128" s="827"/>
      <c r="CZU128" s="827"/>
      <c r="CZV128" s="827"/>
      <c r="CZW128" s="827"/>
      <c r="CZX128" s="827"/>
      <c r="CZY128" s="827"/>
      <c r="CZZ128" s="827"/>
      <c r="DAA128" s="827"/>
      <c r="DAB128" s="827"/>
      <c r="DAC128" s="827"/>
      <c r="DAD128" s="827"/>
      <c r="DAE128" s="827"/>
      <c r="DAF128" s="827"/>
      <c r="DAG128" s="827"/>
      <c r="DAH128" s="827"/>
      <c r="DAI128" s="827"/>
      <c r="DAJ128" s="827"/>
      <c r="DAK128" s="827"/>
      <c r="DAL128" s="827"/>
      <c r="DAM128" s="827"/>
      <c r="DAN128" s="827"/>
      <c r="DAO128" s="827"/>
      <c r="DAP128" s="827"/>
      <c r="DAQ128" s="827"/>
      <c r="DAR128" s="827"/>
      <c r="DAS128" s="827"/>
      <c r="DAT128" s="827"/>
      <c r="DAU128" s="827"/>
      <c r="DAV128" s="827"/>
      <c r="DAW128" s="827"/>
      <c r="DAX128" s="827"/>
      <c r="DAY128" s="827"/>
      <c r="DAZ128" s="827"/>
      <c r="DBA128" s="827"/>
      <c r="DBB128" s="827"/>
      <c r="DBC128" s="827"/>
      <c r="DBD128" s="827"/>
      <c r="DBE128" s="827"/>
      <c r="DBF128" s="827"/>
      <c r="DBG128" s="827"/>
      <c r="DBH128" s="827"/>
      <c r="DBI128" s="827"/>
      <c r="DBJ128" s="827"/>
      <c r="DBK128" s="827"/>
      <c r="DBL128" s="827"/>
      <c r="DBM128" s="827"/>
      <c r="DBN128" s="827"/>
      <c r="DBO128" s="827"/>
      <c r="DBP128" s="827"/>
      <c r="DBQ128" s="827"/>
      <c r="DBR128" s="827"/>
      <c r="DBS128" s="827"/>
      <c r="DBT128" s="827"/>
      <c r="DBU128" s="827"/>
      <c r="DBV128" s="827"/>
      <c r="DBW128" s="827"/>
      <c r="DBX128" s="827"/>
      <c r="DBY128" s="827"/>
      <c r="DBZ128" s="827"/>
      <c r="DCA128" s="827"/>
      <c r="DCB128" s="827"/>
      <c r="DCC128" s="827"/>
      <c r="DCD128" s="827"/>
      <c r="DCE128" s="827"/>
      <c r="DCF128" s="827"/>
      <c r="DCG128" s="827"/>
      <c r="DCH128" s="827"/>
      <c r="DCI128" s="827"/>
      <c r="DCJ128" s="827"/>
      <c r="DCK128" s="827"/>
      <c r="DCL128" s="827"/>
      <c r="DCM128" s="827"/>
      <c r="DCN128" s="827"/>
      <c r="DCO128" s="827"/>
      <c r="DCP128" s="827"/>
      <c r="DCQ128" s="827"/>
      <c r="DCR128" s="827"/>
      <c r="DCS128" s="827"/>
      <c r="DCT128" s="827"/>
      <c r="DCU128" s="827"/>
      <c r="DCV128" s="827"/>
      <c r="DCW128" s="827"/>
      <c r="DCX128" s="827"/>
      <c r="DCY128" s="827"/>
      <c r="DCZ128" s="827"/>
      <c r="DDA128" s="827"/>
      <c r="DDB128" s="827"/>
      <c r="DDC128" s="827"/>
      <c r="DDD128" s="827"/>
      <c r="DDE128" s="827"/>
      <c r="DDF128" s="827"/>
      <c r="DDG128" s="827"/>
      <c r="DDH128" s="827"/>
      <c r="DDI128" s="827"/>
      <c r="DDJ128" s="827"/>
      <c r="DDK128" s="827"/>
      <c r="DDL128" s="827"/>
      <c r="DDM128" s="827"/>
      <c r="DDN128" s="827"/>
      <c r="DDO128" s="827"/>
      <c r="DDP128" s="827"/>
      <c r="DDQ128" s="827"/>
      <c r="DDR128" s="827"/>
      <c r="DDS128" s="827"/>
      <c r="DDT128" s="827"/>
      <c r="DDU128" s="827"/>
      <c r="DDV128" s="827"/>
      <c r="DDW128" s="827"/>
      <c r="DDX128" s="827"/>
      <c r="DDY128" s="827"/>
      <c r="DDZ128" s="827"/>
      <c r="DEA128" s="827"/>
      <c r="DEB128" s="827"/>
      <c r="DEC128" s="827"/>
      <c r="DED128" s="827"/>
      <c r="DEE128" s="827"/>
      <c r="DEF128" s="827"/>
      <c r="DEG128" s="827"/>
      <c r="DEH128" s="827"/>
      <c r="DEI128" s="827"/>
      <c r="DEJ128" s="827"/>
      <c r="DEK128" s="827"/>
      <c r="DEL128" s="827"/>
      <c r="DEM128" s="827"/>
      <c r="DEN128" s="827"/>
      <c r="DEO128" s="827"/>
      <c r="DEP128" s="827"/>
      <c r="DEQ128" s="827"/>
      <c r="DER128" s="827"/>
      <c r="DES128" s="827"/>
      <c r="DET128" s="827"/>
      <c r="DEU128" s="827"/>
      <c r="DEV128" s="827"/>
      <c r="DEW128" s="827"/>
      <c r="DEX128" s="827"/>
      <c r="DEY128" s="827"/>
      <c r="DEZ128" s="827"/>
      <c r="DFA128" s="827"/>
      <c r="DFB128" s="827"/>
      <c r="DFC128" s="827"/>
      <c r="DFD128" s="827"/>
      <c r="DFE128" s="827"/>
      <c r="DFF128" s="827"/>
      <c r="DFG128" s="827"/>
      <c r="DFH128" s="827"/>
      <c r="DFI128" s="827"/>
      <c r="DFJ128" s="827"/>
      <c r="DFK128" s="827"/>
      <c r="DFL128" s="827"/>
      <c r="DFM128" s="827"/>
      <c r="DFN128" s="827"/>
      <c r="DFO128" s="827"/>
      <c r="DFP128" s="827"/>
      <c r="DFQ128" s="827"/>
      <c r="DFR128" s="827"/>
      <c r="DFS128" s="827"/>
      <c r="DFT128" s="827"/>
      <c r="DFU128" s="827"/>
      <c r="DFV128" s="827"/>
      <c r="DFW128" s="827"/>
      <c r="DFX128" s="827"/>
      <c r="DFY128" s="827"/>
      <c r="DFZ128" s="827"/>
      <c r="DGA128" s="827"/>
      <c r="DGB128" s="827"/>
      <c r="DGC128" s="827"/>
      <c r="DGD128" s="827"/>
      <c r="DGE128" s="827"/>
      <c r="DGF128" s="827"/>
      <c r="DGG128" s="827"/>
      <c r="DGH128" s="827"/>
      <c r="DGI128" s="827"/>
      <c r="DGJ128" s="827"/>
      <c r="DGK128" s="827"/>
      <c r="DGL128" s="827"/>
      <c r="DGM128" s="827"/>
      <c r="DGN128" s="827"/>
      <c r="DGO128" s="827"/>
      <c r="DGP128" s="827"/>
      <c r="DGQ128" s="827"/>
      <c r="DGR128" s="827"/>
      <c r="DGS128" s="827"/>
      <c r="DGT128" s="827"/>
      <c r="DGU128" s="827"/>
      <c r="DGV128" s="827"/>
      <c r="DGW128" s="827"/>
      <c r="DGX128" s="827"/>
      <c r="DGY128" s="827"/>
      <c r="DGZ128" s="827"/>
      <c r="DHA128" s="827"/>
      <c r="DHB128" s="827"/>
      <c r="DHC128" s="827"/>
      <c r="DHD128" s="827"/>
      <c r="DHE128" s="827"/>
      <c r="DHF128" s="827"/>
      <c r="DHG128" s="827"/>
      <c r="DHH128" s="827"/>
      <c r="DHI128" s="827"/>
      <c r="DHJ128" s="827"/>
      <c r="DHK128" s="827"/>
      <c r="DHL128" s="827"/>
      <c r="DHM128" s="827"/>
      <c r="DHN128" s="827"/>
      <c r="DHO128" s="827"/>
      <c r="DHP128" s="827"/>
      <c r="DHQ128" s="827"/>
      <c r="DHR128" s="827"/>
      <c r="DHS128" s="827"/>
      <c r="DHT128" s="827"/>
      <c r="DHU128" s="827"/>
      <c r="DHV128" s="827"/>
      <c r="DHW128" s="827"/>
      <c r="DHX128" s="827"/>
      <c r="DHY128" s="827"/>
      <c r="DHZ128" s="827"/>
      <c r="DIA128" s="827"/>
      <c r="DIB128" s="827"/>
      <c r="DIC128" s="827"/>
      <c r="DID128" s="827"/>
      <c r="DIE128" s="827"/>
      <c r="DIF128" s="827"/>
      <c r="DIG128" s="827"/>
      <c r="DIH128" s="827"/>
      <c r="DII128" s="827"/>
      <c r="DIJ128" s="827"/>
      <c r="DIK128" s="827"/>
      <c r="DIL128" s="827"/>
      <c r="DIM128" s="827"/>
      <c r="DIN128" s="827"/>
      <c r="DIO128" s="827"/>
      <c r="DIP128" s="827"/>
      <c r="DIQ128" s="827"/>
      <c r="DIR128" s="827"/>
      <c r="DIS128" s="827"/>
      <c r="DIT128" s="827"/>
      <c r="DIU128" s="827"/>
      <c r="DIV128" s="827"/>
      <c r="DIW128" s="827"/>
      <c r="DIX128" s="827"/>
      <c r="DIY128" s="827"/>
      <c r="DIZ128" s="827"/>
      <c r="DJA128" s="827"/>
      <c r="DJB128" s="827"/>
      <c r="DJC128" s="827"/>
      <c r="DJD128" s="827"/>
      <c r="DJE128" s="827"/>
      <c r="DJF128" s="827"/>
      <c r="DJG128" s="827"/>
      <c r="DJH128" s="827"/>
      <c r="DJI128" s="827"/>
      <c r="DJJ128" s="827"/>
      <c r="DJK128" s="827"/>
      <c r="DJL128" s="827"/>
      <c r="DJM128" s="827"/>
      <c r="DJN128" s="827"/>
      <c r="DJO128" s="827"/>
      <c r="DJP128" s="827"/>
      <c r="DJQ128" s="827"/>
      <c r="DJR128" s="827"/>
      <c r="DJS128" s="827"/>
      <c r="DJT128" s="827"/>
      <c r="DJU128" s="827"/>
      <c r="DJV128" s="827"/>
      <c r="DJW128" s="827"/>
      <c r="DJX128" s="827"/>
      <c r="DJY128" s="827"/>
      <c r="DJZ128" s="827"/>
      <c r="DKA128" s="827"/>
      <c r="DKB128" s="827"/>
      <c r="DKC128" s="827"/>
      <c r="DKD128" s="827"/>
      <c r="DKE128" s="827"/>
      <c r="DKF128" s="827"/>
      <c r="DKG128" s="827"/>
      <c r="DKH128" s="827"/>
      <c r="DKI128" s="827"/>
      <c r="DKJ128" s="827"/>
      <c r="DKK128" s="827"/>
      <c r="DKL128" s="827"/>
      <c r="DKM128" s="827"/>
      <c r="DKN128" s="827"/>
      <c r="DKO128" s="827"/>
      <c r="DKP128" s="827"/>
      <c r="DKQ128" s="827"/>
      <c r="DKR128" s="827"/>
      <c r="DKS128" s="827"/>
      <c r="DKT128" s="827"/>
      <c r="DKU128" s="827"/>
      <c r="DKV128" s="827"/>
      <c r="DKW128" s="827"/>
      <c r="DKX128" s="827"/>
      <c r="DKY128" s="827"/>
      <c r="DKZ128" s="827"/>
      <c r="DLA128" s="827"/>
      <c r="DLB128" s="827"/>
      <c r="DLC128" s="827"/>
      <c r="DLD128" s="827"/>
      <c r="DLE128" s="827"/>
      <c r="DLF128" s="827"/>
      <c r="DLG128" s="827"/>
      <c r="DLH128" s="827"/>
      <c r="DLI128" s="827"/>
      <c r="DLJ128" s="827"/>
      <c r="DLK128" s="827"/>
      <c r="DLL128" s="827"/>
      <c r="DLM128" s="827"/>
      <c r="DLN128" s="827"/>
      <c r="DLO128" s="827"/>
      <c r="DLP128" s="827"/>
      <c r="DLQ128" s="827"/>
      <c r="DLR128" s="827"/>
      <c r="DLS128" s="827"/>
      <c r="DLT128" s="827"/>
      <c r="DLU128" s="827"/>
      <c r="DLV128" s="827"/>
      <c r="DLW128" s="827"/>
      <c r="DLX128" s="827"/>
      <c r="DLY128" s="827"/>
      <c r="DLZ128" s="827"/>
      <c r="DMA128" s="827"/>
      <c r="DMB128" s="827"/>
      <c r="DMC128" s="827"/>
      <c r="DMD128" s="827"/>
      <c r="DME128" s="827"/>
      <c r="DMF128" s="827"/>
      <c r="DMG128" s="827"/>
      <c r="DMH128" s="827"/>
      <c r="DMI128" s="827"/>
      <c r="DMJ128" s="827"/>
      <c r="DMK128" s="827"/>
      <c r="DML128" s="827"/>
      <c r="DMM128" s="827"/>
      <c r="DMN128" s="827"/>
      <c r="DMO128" s="827"/>
      <c r="DMP128" s="827"/>
      <c r="DMQ128" s="827"/>
      <c r="DMR128" s="827"/>
      <c r="DMS128" s="827"/>
      <c r="DMT128" s="827"/>
      <c r="DMU128" s="827"/>
      <c r="DMV128" s="827"/>
      <c r="DMW128" s="827"/>
      <c r="DMX128" s="827"/>
      <c r="DMY128" s="827"/>
      <c r="DMZ128" s="827"/>
      <c r="DNA128" s="827"/>
      <c r="DNB128" s="827"/>
      <c r="DNC128" s="827"/>
      <c r="DND128" s="827"/>
      <c r="DNE128" s="827"/>
      <c r="DNF128" s="827"/>
      <c r="DNG128" s="827"/>
      <c r="DNH128" s="827"/>
      <c r="DNI128" s="827"/>
      <c r="DNJ128" s="827"/>
      <c r="DNK128" s="827"/>
      <c r="DNL128" s="827"/>
      <c r="DNM128" s="827"/>
      <c r="DNN128" s="827"/>
      <c r="DNO128" s="827"/>
      <c r="DNP128" s="827"/>
      <c r="DNQ128" s="827"/>
      <c r="DNR128" s="827"/>
      <c r="DNS128" s="827"/>
      <c r="DNT128" s="827"/>
      <c r="DNU128" s="827"/>
      <c r="DNV128" s="827"/>
      <c r="DNW128" s="827"/>
      <c r="DNX128" s="827"/>
      <c r="DNY128" s="827"/>
      <c r="DNZ128" s="827"/>
      <c r="DOA128" s="827"/>
      <c r="DOB128" s="827"/>
      <c r="DOC128" s="827"/>
      <c r="DOD128" s="827"/>
      <c r="DOE128" s="827"/>
      <c r="DOF128" s="827"/>
      <c r="DOG128" s="827"/>
      <c r="DOH128" s="827"/>
      <c r="DOI128" s="827"/>
      <c r="DOJ128" s="827"/>
      <c r="DOK128" s="827"/>
      <c r="DOL128" s="827"/>
      <c r="DOM128" s="827"/>
      <c r="DON128" s="827"/>
      <c r="DOO128" s="827"/>
      <c r="DOP128" s="827"/>
      <c r="DOQ128" s="827"/>
      <c r="DOR128" s="827"/>
      <c r="DOS128" s="827"/>
      <c r="DOT128" s="827"/>
      <c r="DOU128" s="827"/>
      <c r="DOV128" s="827"/>
      <c r="DOW128" s="827"/>
      <c r="DOX128" s="827"/>
      <c r="DOY128" s="827"/>
      <c r="DOZ128" s="827"/>
      <c r="DPA128" s="827"/>
      <c r="DPB128" s="827"/>
      <c r="DPC128" s="827"/>
      <c r="DPD128" s="827"/>
      <c r="DPE128" s="827"/>
      <c r="DPF128" s="827"/>
      <c r="DPG128" s="827"/>
      <c r="DPH128" s="827"/>
      <c r="DPI128" s="827"/>
      <c r="DPJ128" s="827"/>
      <c r="DPK128" s="827"/>
      <c r="DPL128" s="827"/>
      <c r="DPM128" s="827"/>
      <c r="DPN128" s="827"/>
      <c r="DPO128" s="827"/>
      <c r="DPP128" s="827"/>
      <c r="DPQ128" s="827"/>
      <c r="DPR128" s="827"/>
      <c r="DPS128" s="827"/>
      <c r="DPT128" s="827"/>
      <c r="DPU128" s="827"/>
      <c r="DPV128" s="827"/>
      <c r="DPW128" s="827"/>
      <c r="DPX128" s="827"/>
      <c r="DPY128" s="827"/>
      <c r="DPZ128" s="827"/>
      <c r="DQA128" s="827"/>
      <c r="DQB128" s="827"/>
      <c r="DQC128" s="827"/>
      <c r="DQD128" s="827"/>
      <c r="DQE128" s="827"/>
      <c r="DQF128" s="827"/>
      <c r="DQG128" s="827"/>
      <c r="DQH128" s="827"/>
      <c r="DQI128" s="827"/>
      <c r="DQJ128" s="827"/>
      <c r="DQK128" s="827"/>
      <c r="DQL128" s="827"/>
      <c r="DQM128" s="827"/>
      <c r="DQN128" s="827"/>
      <c r="DQO128" s="827"/>
      <c r="DQP128" s="827"/>
      <c r="DQQ128" s="827"/>
      <c r="DQR128" s="827"/>
      <c r="DQS128" s="827"/>
      <c r="DQT128" s="827"/>
      <c r="DQU128" s="827"/>
      <c r="DQV128" s="827"/>
      <c r="DQW128" s="827"/>
      <c r="DQX128" s="827"/>
      <c r="DQY128" s="827"/>
      <c r="DQZ128" s="827"/>
      <c r="DRA128" s="827"/>
      <c r="DRB128" s="827"/>
      <c r="DRC128" s="827"/>
      <c r="DRD128" s="827"/>
      <c r="DRE128" s="827"/>
      <c r="DRF128" s="827"/>
      <c r="DRG128" s="827"/>
      <c r="DRH128" s="827"/>
      <c r="DRI128" s="827"/>
      <c r="DRJ128" s="827"/>
      <c r="DRK128" s="827"/>
      <c r="DRL128" s="827"/>
      <c r="DRM128" s="827"/>
      <c r="DRN128" s="827"/>
      <c r="DRO128" s="827"/>
      <c r="DRP128" s="827"/>
      <c r="DRQ128" s="827"/>
      <c r="DRR128" s="827"/>
      <c r="DRS128" s="827"/>
      <c r="DRT128" s="827"/>
      <c r="DRU128" s="827"/>
      <c r="DRV128" s="827"/>
      <c r="DRW128" s="827"/>
      <c r="DRX128" s="827"/>
      <c r="DRY128" s="827"/>
      <c r="DRZ128" s="827"/>
      <c r="DSA128" s="827"/>
      <c r="DSB128" s="827"/>
      <c r="DSC128" s="827"/>
      <c r="DSD128" s="827"/>
      <c r="DSE128" s="827"/>
      <c r="DSF128" s="827"/>
      <c r="DSG128" s="827"/>
      <c r="DSH128" s="827"/>
      <c r="DSI128" s="827"/>
      <c r="DSJ128" s="827"/>
      <c r="DSK128" s="827"/>
      <c r="DSL128" s="827"/>
      <c r="DSM128" s="827"/>
      <c r="DSN128" s="827"/>
      <c r="DSO128" s="827"/>
      <c r="DSP128" s="827"/>
      <c r="DSQ128" s="827"/>
      <c r="DSR128" s="827"/>
      <c r="DSS128" s="827"/>
      <c r="DST128" s="827"/>
      <c r="DSU128" s="827"/>
      <c r="DSV128" s="827"/>
      <c r="DSW128" s="827"/>
      <c r="DSX128" s="827"/>
      <c r="DSY128" s="827"/>
      <c r="DSZ128" s="827"/>
      <c r="DTA128" s="827"/>
      <c r="DTB128" s="827"/>
      <c r="DTC128" s="827"/>
      <c r="DTD128" s="827"/>
      <c r="DTE128" s="827"/>
      <c r="DTF128" s="827"/>
      <c r="DTG128" s="827"/>
      <c r="DTH128" s="827"/>
      <c r="DTI128" s="827"/>
      <c r="DTJ128" s="827"/>
      <c r="DTK128" s="827"/>
      <c r="DTL128" s="827"/>
      <c r="DTM128" s="827"/>
      <c r="DTN128" s="827"/>
      <c r="DTO128" s="827"/>
      <c r="DTP128" s="827"/>
      <c r="DTQ128" s="827"/>
      <c r="DTR128" s="827"/>
      <c r="DTS128" s="827"/>
      <c r="DTT128" s="827"/>
      <c r="DTU128" s="827"/>
      <c r="DTV128" s="827"/>
      <c r="DTW128" s="827"/>
      <c r="DTX128" s="827"/>
      <c r="DTY128" s="827"/>
      <c r="DTZ128" s="827"/>
      <c r="DUA128" s="827"/>
      <c r="DUB128" s="827"/>
      <c r="DUC128" s="827"/>
      <c r="DUD128" s="827"/>
      <c r="DUE128" s="827"/>
      <c r="DUF128" s="827"/>
      <c r="DUG128" s="827"/>
      <c r="DUH128" s="827"/>
      <c r="DUI128" s="827"/>
      <c r="DUJ128" s="827"/>
      <c r="DUK128" s="827"/>
      <c r="DUL128" s="827"/>
      <c r="DUM128" s="827"/>
      <c r="DUN128" s="827"/>
      <c r="DUO128" s="827"/>
      <c r="DUP128" s="827"/>
      <c r="DUQ128" s="827"/>
      <c r="DUR128" s="827"/>
      <c r="DUS128" s="827"/>
      <c r="DUT128" s="827"/>
      <c r="DUU128" s="827"/>
      <c r="DUV128" s="827"/>
      <c r="DUW128" s="827"/>
      <c r="DUX128" s="827"/>
      <c r="DUY128" s="827"/>
      <c r="DUZ128" s="827"/>
      <c r="DVA128" s="827"/>
      <c r="DVB128" s="827"/>
      <c r="DVC128" s="827"/>
      <c r="DVD128" s="827"/>
      <c r="DVE128" s="827"/>
      <c r="DVF128" s="827"/>
      <c r="DVG128" s="827"/>
      <c r="DVH128" s="827"/>
      <c r="DVI128" s="827"/>
      <c r="DVJ128" s="827"/>
      <c r="DVK128" s="827"/>
      <c r="DVL128" s="827"/>
      <c r="DVM128" s="827"/>
      <c r="DVN128" s="827"/>
      <c r="DVO128" s="827"/>
      <c r="DVP128" s="827"/>
      <c r="DVQ128" s="827"/>
      <c r="DVR128" s="827"/>
      <c r="DVS128" s="827"/>
      <c r="DVT128" s="827"/>
      <c r="DVU128" s="827"/>
      <c r="DVV128" s="827"/>
      <c r="DVW128" s="827"/>
      <c r="DVX128" s="827"/>
      <c r="DVY128" s="827"/>
      <c r="DVZ128" s="827"/>
      <c r="DWA128" s="827"/>
      <c r="DWB128" s="827"/>
      <c r="DWC128" s="827"/>
      <c r="DWD128" s="827"/>
      <c r="DWE128" s="827"/>
      <c r="DWF128" s="827"/>
      <c r="DWG128" s="827"/>
      <c r="DWH128" s="827"/>
      <c r="DWI128" s="827"/>
      <c r="DWJ128" s="827"/>
      <c r="DWK128" s="827"/>
      <c r="DWL128" s="827"/>
      <c r="DWM128" s="827"/>
      <c r="DWN128" s="827"/>
      <c r="DWO128" s="827"/>
      <c r="DWP128" s="827"/>
      <c r="DWQ128" s="827"/>
      <c r="DWR128" s="827"/>
      <c r="DWS128" s="827"/>
      <c r="DWT128" s="827"/>
      <c r="DWU128" s="827"/>
      <c r="DWV128" s="827"/>
      <c r="DWW128" s="827"/>
      <c r="DWX128" s="827"/>
      <c r="DWY128" s="827"/>
      <c r="DWZ128" s="827"/>
      <c r="DXA128" s="827"/>
      <c r="DXB128" s="827"/>
      <c r="DXC128" s="827"/>
      <c r="DXD128" s="827"/>
      <c r="DXE128" s="827"/>
      <c r="DXF128" s="827"/>
      <c r="DXG128" s="827"/>
      <c r="DXH128" s="827"/>
      <c r="DXI128" s="827"/>
      <c r="DXJ128" s="827"/>
      <c r="DXK128" s="827"/>
      <c r="DXL128" s="827"/>
      <c r="DXM128" s="827"/>
      <c r="DXN128" s="827"/>
      <c r="DXO128" s="827"/>
      <c r="DXP128" s="827"/>
      <c r="DXQ128" s="827"/>
      <c r="DXR128" s="827"/>
      <c r="DXS128" s="827"/>
      <c r="DXT128" s="827"/>
      <c r="DXU128" s="827"/>
      <c r="DXV128" s="827"/>
      <c r="DXW128" s="827"/>
      <c r="DXX128" s="827"/>
      <c r="DXY128" s="827"/>
      <c r="DXZ128" s="827"/>
      <c r="DYA128" s="827"/>
      <c r="DYB128" s="827"/>
      <c r="DYC128" s="827"/>
      <c r="DYD128" s="827"/>
      <c r="DYE128" s="827"/>
      <c r="DYF128" s="827"/>
      <c r="DYG128" s="827"/>
      <c r="DYH128" s="827"/>
      <c r="DYI128" s="827"/>
      <c r="DYJ128" s="827"/>
      <c r="DYK128" s="827"/>
      <c r="DYL128" s="827"/>
      <c r="DYM128" s="827"/>
      <c r="DYN128" s="827"/>
      <c r="DYO128" s="827"/>
      <c r="DYP128" s="827"/>
      <c r="DYQ128" s="827"/>
      <c r="DYR128" s="827"/>
      <c r="DYS128" s="827"/>
      <c r="DYT128" s="827"/>
      <c r="DYU128" s="827"/>
      <c r="DYV128" s="827"/>
      <c r="DYW128" s="827"/>
      <c r="DYX128" s="827"/>
      <c r="DYY128" s="827"/>
      <c r="DYZ128" s="827"/>
      <c r="DZA128" s="827"/>
      <c r="DZB128" s="827"/>
      <c r="DZC128" s="827"/>
      <c r="DZD128" s="827"/>
      <c r="DZE128" s="827"/>
      <c r="DZF128" s="827"/>
      <c r="DZG128" s="827"/>
      <c r="DZH128" s="827"/>
      <c r="DZI128" s="827"/>
      <c r="DZJ128" s="827"/>
      <c r="DZK128" s="827"/>
      <c r="DZL128" s="827"/>
      <c r="DZM128" s="827"/>
      <c r="DZN128" s="827"/>
      <c r="DZO128" s="827"/>
      <c r="DZP128" s="827"/>
      <c r="DZQ128" s="827"/>
      <c r="DZR128" s="827"/>
      <c r="DZS128" s="827"/>
      <c r="DZT128" s="827"/>
      <c r="DZU128" s="827"/>
      <c r="DZV128" s="827"/>
      <c r="DZW128" s="827"/>
      <c r="DZX128" s="827"/>
      <c r="DZY128" s="827"/>
      <c r="DZZ128" s="827"/>
      <c r="EAA128" s="827"/>
      <c r="EAB128" s="827"/>
      <c r="EAC128" s="827"/>
      <c r="EAD128" s="827"/>
      <c r="EAE128" s="827"/>
      <c r="EAF128" s="827"/>
      <c r="EAG128" s="827"/>
      <c r="EAH128" s="827"/>
      <c r="EAI128" s="827"/>
      <c r="EAJ128" s="827"/>
      <c r="EAK128" s="827"/>
      <c r="EAL128" s="827"/>
      <c r="EAM128" s="827"/>
      <c r="EAN128" s="827"/>
      <c r="EAO128" s="827"/>
      <c r="EAP128" s="827"/>
      <c r="EAQ128" s="827"/>
      <c r="EAR128" s="827"/>
      <c r="EAS128" s="827"/>
      <c r="EAT128" s="827"/>
      <c r="EAU128" s="827"/>
      <c r="EAV128" s="827"/>
      <c r="EAW128" s="827"/>
      <c r="EAX128" s="827"/>
      <c r="EAY128" s="827"/>
      <c r="EAZ128" s="827"/>
      <c r="EBA128" s="827"/>
      <c r="EBB128" s="827"/>
      <c r="EBC128" s="827"/>
      <c r="EBD128" s="827"/>
      <c r="EBE128" s="827"/>
      <c r="EBF128" s="827"/>
      <c r="EBG128" s="827"/>
      <c r="EBH128" s="827"/>
      <c r="EBI128" s="827"/>
      <c r="EBJ128" s="827"/>
      <c r="EBK128" s="827"/>
      <c r="EBL128" s="827"/>
      <c r="EBM128" s="827"/>
      <c r="EBN128" s="827"/>
      <c r="EBO128" s="827"/>
      <c r="EBP128" s="827"/>
      <c r="EBQ128" s="827"/>
      <c r="EBR128" s="827"/>
      <c r="EBS128" s="827"/>
      <c r="EBT128" s="827"/>
      <c r="EBU128" s="827"/>
      <c r="EBV128" s="827"/>
      <c r="EBW128" s="827"/>
      <c r="EBX128" s="827"/>
      <c r="EBY128" s="827"/>
      <c r="EBZ128" s="827"/>
      <c r="ECA128" s="827"/>
      <c r="ECB128" s="827"/>
      <c r="ECC128" s="827"/>
      <c r="ECD128" s="827"/>
      <c r="ECE128" s="827"/>
      <c r="ECF128" s="827"/>
      <c r="ECG128" s="827"/>
      <c r="ECH128" s="827"/>
      <c r="ECI128" s="827"/>
      <c r="ECJ128" s="827"/>
      <c r="ECK128" s="827"/>
      <c r="ECL128" s="827"/>
      <c r="ECM128" s="827"/>
      <c r="ECN128" s="827"/>
      <c r="ECO128" s="827"/>
      <c r="ECP128" s="827"/>
      <c r="ECQ128" s="827"/>
      <c r="ECR128" s="827"/>
      <c r="ECS128" s="827"/>
      <c r="ECT128" s="827"/>
      <c r="ECU128" s="827"/>
      <c r="ECV128" s="827"/>
      <c r="ECW128" s="827"/>
      <c r="ECX128" s="827"/>
      <c r="ECY128" s="827"/>
      <c r="ECZ128" s="827"/>
      <c r="EDA128" s="827"/>
      <c r="EDB128" s="827"/>
      <c r="EDC128" s="827"/>
      <c r="EDD128" s="827"/>
      <c r="EDE128" s="827"/>
      <c r="EDF128" s="827"/>
      <c r="EDG128" s="827"/>
      <c r="EDH128" s="827"/>
      <c r="EDI128" s="827"/>
      <c r="EDJ128" s="827"/>
      <c r="EDK128" s="827"/>
      <c r="EDL128" s="827"/>
      <c r="EDM128" s="827"/>
      <c r="EDN128" s="827"/>
      <c r="EDO128" s="827"/>
      <c r="EDP128" s="827"/>
      <c r="EDQ128" s="827"/>
      <c r="EDR128" s="827"/>
      <c r="EDS128" s="827"/>
      <c r="EDT128" s="827"/>
      <c r="EDU128" s="827"/>
      <c r="EDV128" s="827"/>
      <c r="EDW128" s="827"/>
      <c r="EDX128" s="827"/>
      <c r="EDY128" s="827"/>
      <c r="EDZ128" s="827"/>
      <c r="EEA128" s="827"/>
      <c r="EEB128" s="827"/>
      <c r="EEC128" s="827"/>
      <c r="EED128" s="827"/>
      <c r="EEE128" s="827"/>
      <c r="EEF128" s="827"/>
      <c r="EEG128" s="827"/>
      <c r="EEH128" s="827"/>
      <c r="EEI128" s="827"/>
      <c r="EEJ128" s="827"/>
      <c r="EEK128" s="827"/>
      <c r="EEL128" s="827"/>
      <c r="EEM128" s="827"/>
      <c r="EEN128" s="827"/>
      <c r="EEO128" s="827"/>
      <c r="EEP128" s="827"/>
      <c r="EEQ128" s="827"/>
      <c r="EER128" s="827"/>
      <c r="EES128" s="827"/>
      <c r="EET128" s="827"/>
      <c r="EEU128" s="827"/>
      <c r="EEV128" s="827"/>
      <c r="EEW128" s="827"/>
      <c r="EEX128" s="827"/>
      <c r="EEY128" s="827"/>
      <c r="EEZ128" s="827"/>
      <c r="EFA128" s="827"/>
      <c r="EFB128" s="827"/>
      <c r="EFC128" s="827"/>
      <c r="EFD128" s="827"/>
      <c r="EFE128" s="827"/>
      <c r="EFF128" s="827"/>
      <c r="EFG128" s="827"/>
      <c r="EFH128" s="827"/>
      <c r="EFI128" s="827"/>
      <c r="EFJ128" s="827"/>
      <c r="EFK128" s="827"/>
      <c r="EFL128" s="827"/>
      <c r="EFM128" s="827"/>
      <c r="EFN128" s="827"/>
      <c r="EFO128" s="827"/>
      <c r="EFP128" s="827"/>
      <c r="EFQ128" s="827"/>
      <c r="EFR128" s="827"/>
      <c r="EFS128" s="827"/>
      <c r="EFT128" s="827"/>
      <c r="EFU128" s="827"/>
      <c r="EFV128" s="827"/>
      <c r="EFW128" s="827"/>
      <c r="EFX128" s="827"/>
      <c r="EFY128" s="827"/>
      <c r="EFZ128" s="827"/>
      <c r="EGA128" s="827"/>
      <c r="EGB128" s="827"/>
      <c r="EGC128" s="827"/>
      <c r="EGD128" s="827"/>
      <c r="EGE128" s="827"/>
      <c r="EGF128" s="827"/>
      <c r="EGG128" s="827"/>
      <c r="EGH128" s="827"/>
      <c r="EGI128" s="827"/>
      <c r="EGJ128" s="827"/>
      <c r="EGK128" s="827"/>
      <c r="EGL128" s="827"/>
      <c r="EGM128" s="827"/>
      <c r="EGN128" s="827"/>
      <c r="EGO128" s="827"/>
      <c r="EGP128" s="827"/>
      <c r="EGQ128" s="827"/>
      <c r="EGR128" s="827"/>
      <c r="EGS128" s="827"/>
      <c r="EGT128" s="827"/>
      <c r="EGU128" s="827"/>
      <c r="EGV128" s="827"/>
      <c r="EGW128" s="827"/>
      <c r="EGX128" s="827"/>
      <c r="EGY128" s="827"/>
      <c r="EGZ128" s="827"/>
      <c r="EHA128" s="827"/>
      <c r="EHB128" s="827"/>
      <c r="EHC128" s="827"/>
      <c r="EHD128" s="827"/>
      <c r="EHE128" s="827"/>
      <c r="EHF128" s="827"/>
      <c r="EHG128" s="827"/>
      <c r="EHH128" s="827"/>
      <c r="EHI128" s="827"/>
      <c r="EHJ128" s="827"/>
      <c r="EHK128" s="827"/>
      <c r="EHL128" s="827"/>
      <c r="EHM128" s="827"/>
      <c r="EHN128" s="827"/>
      <c r="EHO128" s="827"/>
      <c r="EHP128" s="827"/>
      <c r="EHQ128" s="827"/>
      <c r="EHR128" s="827"/>
      <c r="EHS128" s="827"/>
      <c r="EHT128" s="827"/>
      <c r="EHU128" s="827"/>
      <c r="EHV128" s="827"/>
      <c r="EHW128" s="827"/>
      <c r="EHX128" s="827"/>
      <c r="EHY128" s="827"/>
      <c r="EHZ128" s="827"/>
      <c r="EIA128" s="827"/>
      <c r="EIB128" s="827"/>
      <c r="EIC128" s="827"/>
      <c r="EID128" s="827"/>
      <c r="EIE128" s="827"/>
      <c r="EIF128" s="827"/>
      <c r="EIG128" s="827"/>
      <c r="EIH128" s="827"/>
      <c r="EII128" s="827"/>
      <c r="EIJ128" s="827"/>
      <c r="EIK128" s="827"/>
      <c r="EIL128" s="827"/>
      <c r="EIM128" s="827"/>
      <c r="EIN128" s="827"/>
      <c r="EIO128" s="827"/>
      <c r="EIP128" s="827"/>
      <c r="EIQ128" s="827"/>
      <c r="EIR128" s="827"/>
      <c r="EIS128" s="827"/>
      <c r="EIT128" s="827"/>
      <c r="EIU128" s="827"/>
      <c r="EIV128" s="827"/>
      <c r="EIW128" s="827"/>
      <c r="EIX128" s="827"/>
      <c r="EIY128" s="827"/>
      <c r="EIZ128" s="827"/>
      <c r="EJA128" s="827"/>
      <c r="EJB128" s="827"/>
      <c r="EJC128" s="827"/>
      <c r="EJD128" s="827"/>
      <c r="EJE128" s="827"/>
      <c r="EJF128" s="827"/>
      <c r="EJG128" s="827"/>
      <c r="EJH128" s="827"/>
      <c r="EJI128" s="827"/>
      <c r="EJJ128" s="827"/>
      <c r="EJK128" s="827"/>
      <c r="EJL128" s="827"/>
      <c r="EJM128" s="827"/>
      <c r="EJN128" s="827"/>
      <c r="EJO128" s="827"/>
      <c r="EJP128" s="827"/>
      <c r="EJQ128" s="827"/>
      <c r="EJR128" s="827"/>
      <c r="EJS128" s="827"/>
      <c r="EJT128" s="827"/>
      <c r="EJU128" s="827"/>
      <c r="EJV128" s="827"/>
      <c r="EJW128" s="827"/>
      <c r="EJX128" s="827"/>
      <c r="EJY128" s="827"/>
      <c r="EJZ128" s="827"/>
      <c r="EKA128" s="827"/>
      <c r="EKB128" s="827"/>
      <c r="EKC128" s="827"/>
      <c r="EKD128" s="827"/>
      <c r="EKE128" s="827"/>
      <c r="EKF128" s="827"/>
      <c r="EKG128" s="827"/>
      <c r="EKH128" s="827"/>
      <c r="EKI128" s="827"/>
      <c r="EKJ128" s="827"/>
      <c r="EKK128" s="827"/>
      <c r="EKL128" s="827"/>
      <c r="EKM128" s="827"/>
      <c r="EKN128" s="827"/>
      <c r="EKO128" s="827"/>
      <c r="EKP128" s="827"/>
      <c r="EKQ128" s="827"/>
      <c r="EKR128" s="827"/>
      <c r="EKS128" s="827"/>
      <c r="EKT128" s="827"/>
      <c r="EKU128" s="827"/>
      <c r="EKV128" s="827"/>
      <c r="EKW128" s="827"/>
      <c r="EKX128" s="827"/>
      <c r="EKY128" s="827"/>
      <c r="EKZ128" s="827"/>
      <c r="ELA128" s="827"/>
      <c r="ELB128" s="827"/>
      <c r="ELC128" s="827"/>
      <c r="ELD128" s="827"/>
      <c r="ELE128" s="827"/>
      <c r="ELF128" s="827"/>
      <c r="ELG128" s="827"/>
      <c r="ELH128" s="827"/>
      <c r="ELI128" s="827"/>
      <c r="ELJ128" s="827"/>
      <c r="ELK128" s="827"/>
      <c r="ELL128" s="827"/>
      <c r="ELM128" s="827"/>
      <c r="ELN128" s="827"/>
      <c r="ELO128" s="827"/>
      <c r="ELP128" s="827"/>
      <c r="ELQ128" s="827"/>
      <c r="ELR128" s="827"/>
      <c r="ELS128" s="827"/>
      <c r="ELT128" s="827"/>
      <c r="ELU128" s="827"/>
      <c r="ELV128" s="827"/>
      <c r="ELW128" s="827"/>
      <c r="ELX128" s="827"/>
      <c r="ELY128" s="827"/>
      <c r="ELZ128" s="827"/>
      <c r="EMA128" s="827"/>
      <c r="EMB128" s="827"/>
      <c r="EMC128" s="827"/>
      <c r="EMD128" s="827"/>
      <c r="EME128" s="827"/>
      <c r="EMF128" s="827"/>
      <c r="EMG128" s="827"/>
      <c r="EMH128" s="827"/>
      <c r="EMI128" s="827"/>
      <c r="EMJ128" s="827"/>
      <c r="EMK128" s="827"/>
      <c r="EML128" s="827"/>
      <c r="EMM128" s="827"/>
      <c r="EMN128" s="827"/>
      <c r="EMO128" s="827"/>
      <c r="EMP128" s="827"/>
      <c r="EMQ128" s="827"/>
      <c r="EMR128" s="827"/>
      <c r="EMS128" s="827"/>
      <c r="EMT128" s="827"/>
      <c r="EMU128" s="827"/>
      <c r="EMV128" s="827"/>
      <c r="EMW128" s="827"/>
      <c r="EMX128" s="827"/>
      <c r="EMY128" s="827"/>
      <c r="EMZ128" s="827"/>
      <c r="ENA128" s="827"/>
      <c r="ENB128" s="827"/>
      <c r="ENC128" s="827"/>
      <c r="END128" s="827"/>
      <c r="ENE128" s="827"/>
      <c r="ENF128" s="827"/>
      <c r="ENG128" s="827"/>
      <c r="ENH128" s="827"/>
      <c r="ENI128" s="827"/>
      <c r="ENJ128" s="827"/>
      <c r="ENK128" s="827"/>
      <c r="ENL128" s="827"/>
      <c r="ENM128" s="827"/>
      <c r="ENN128" s="827"/>
      <c r="ENO128" s="827"/>
      <c r="ENP128" s="827"/>
      <c r="ENQ128" s="827"/>
      <c r="ENR128" s="827"/>
      <c r="ENS128" s="827"/>
      <c r="ENT128" s="827"/>
      <c r="ENU128" s="827"/>
      <c r="ENV128" s="827"/>
      <c r="ENW128" s="827"/>
      <c r="ENX128" s="827"/>
      <c r="ENY128" s="827"/>
      <c r="ENZ128" s="827"/>
      <c r="EOA128" s="827"/>
      <c r="EOB128" s="827"/>
      <c r="EOC128" s="827"/>
      <c r="EOD128" s="827"/>
      <c r="EOE128" s="827"/>
      <c r="EOF128" s="827"/>
      <c r="EOG128" s="827"/>
      <c r="EOH128" s="827"/>
      <c r="EOI128" s="827"/>
      <c r="EOJ128" s="827"/>
      <c r="EOK128" s="827"/>
      <c r="EOL128" s="827"/>
      <c r="EOM128" s="827"/>
      <c r="EON128" s="827"/>
      <c r="EOO128" s="827"/>
      <c r="EOP128" s="827"/>
      <c r="EOQ128" s="827"/>
      <c r="EOR128" s="827"/>
      <c r="EOS128" s="827"/>
      <c r="EOT128" s="827"/>
      <c r="EOU128" s="827"/>
      <c r="EOV128" s="827"/>
      <c r="EOW128" s="827"/>
      <c r="EOX128" s="827"/>
      <c r="EOY128" s="827"/>
      <c r="EOZ128" s="827"/>
      <c r="EPA128" s="827"/>
      <c r="EPB128" s="827"/>
      <c r="EPC128" s="827"/>
      <c r="EPD128" s="827"/>
      <c r="EPE128" s="827"/>
      <c r="EPF128" s="827"/>
      <c r="EPG128" s="827"/>
      <c r="EPH128" s="827"/>
      <c r="EPI128" s="827"/>
      <c r="EPJ128" s="827"/>
      <c r="EPK128" s="827"/>
      <c r="EPL128" s="827"/>
      <c r="EPM128" s="827"/>
      <c r="EPN128" s="827"/>
      <c r="EPO128" s="827"/>
      <c r="EPP128" s="827"/>
      <c r="EPQ128" s="827"/>
      <c r="EPR128" s="827"/>
      <c r="EPS128" s="827"/>
      <c r="EPT128" s="827"/>
      <c r="EPU128" s="827"/>
      <c r="EPV128" s="827"/>
      <c r="EPW128" s="827"/>
      <c r="EPX128" s="827"/>
      <c r="EPY128" s="827"/>
      <c r="EPZ128" s="827"/>
      <c r="EQA128" s="827"/>
      <c r="EQB128" s="827"/>
      <c r="EQC128" s="827"/>
      <c r="EQD128" s="827"/>
      <c r="EQE128" s="827"/>
      <c r="EQF128" s="827"/>
      <c r="EQG128" s="827"/>
      <c r="EQH128" s="827"/>
      <c r="EQI128" s="827"/>
      <c r="EQJ128" s="827"/>
      <c r="EQK128" s="827"/>
      <c r="EQL128" s="827"/>
      <c r="EQM128" s="827"/>
      <c r="EQN128" s="827"/>
      <c r="EQO128" s="827"/>
      <c r="EQP128" s="827"/>
      <c r="EQQ128" s="827"/>
      <c r="EQR128" s="827"/>
      <c r="EQS128" s="827"/>
      <c r="EQT128" s="827"/>
      <c r="EQU128" s="827"/>
      <c r="EQV128" s="827"/>
      <c r="EQW128" s="827"/>
      <c r="EQX128" s="827"/>
      <c r="EQY128" s="827"/>
      <c r="EQZ128" s="827"/>
      <c r="ERA128" s="827"/>
      <c r="ERB128" s="827"/>
      <c r="ERC128" s="827"/>
      <c r="ERD128" s="827"/>
      <c r="ERE128" s="827"/>
      <c r="ERF128" s="827"/>
      <c r="ERG128" s="827"/>
      <c r="ERH128" s="827"/>
      <c r="ERI128" s="827"/>
      <c r="ERJ128" s="827"/>
      <c r="ERK128" s="827"/>
      <c r="ERL128" s="827"/>
      <c r="ERM128" s="827"/>
      <c r="ERN128" s="827"/>
      <c r="ERO128" s="827"/>
      <c r="ERP128" s="827"/>
      <c r="ERQ128" s="827"/>
      <c r="ERR128" s="827"/>
      <c r="ERS128" s="827"/>
      <c r="ERT128" s="827"/>
      <c r="ERU128" s="827"/>
      <c r="ERV128" s="827"/>
      <c r="ERW128" s="827"/>
      <c r="ERX128" s="827"/>
      <c r="ERY128" s="827"/>
      <c r="ERZ128" s="827"/>
      <c r="ESA128" s="827"/>
      <c r="ESB128" s="827"/>
      <c r="ESC128" s="827"/>
      <c r="ESD128" s="827"/>
      <c r="ESE128" s="827"/>
      <c r="ESF128" s="827"/>
      <c r="ESG128" s="827"/>
      <c r="ESH128" s="827"/>
      <c r="ESI128" s="827"/>
      <c r="ESJ128" s="827"/>
      <c r="ESK128" s="827"/>
      <c r="ESL128" s="827"/>
      <c r="ESM128" s="827"/>
      <c r="ESN128" s="827"/>
      <c r="ESO128" s="827"/>
      <c r="ESP128" s="827"/>
      <c r="ESQ128" s="827"/>
      <c r="ESR128" s="827"/>
      <c r="ESS128" s="827"/>
      <c r="EST128" s="827"/>
      <c r="ESU128" s="827"/>
      <c r="ESV128" s="827"/>
      <c r="ESW128" s="827"/>
      <c r="ESX128" s="827"/>
      <c r="ESY128" s="827"/>
      <c r="ESZ128" s="827"/>
      <c r="ETA128" s="827"/>
      <c r="ETB128" s="827"/>
      <c r="ETC128" s="827"/>
      <c r="ETD128" s="827"/>
      <c r="ETE128" s="827"/>
      <c r="ETF128" s="827"/>
      <c r="ETG128" s="827"/>
      <c r="ETH128" s="827"/>
      <c r="ETI128" s="827"/>
      <c r="ETJ128" s="827"/>
      <c r="ETK128" s="827"/>
      <c r="ETL128" s="827"/>
      <c r="ETM128" s="827"/>
      <c r="ETN128" s="827"/>
      <c r="ETO128" s="827"/>
      <c r="ETP128" s="827"/>
      <c r="ETQ128" s="827"/>
      <c r="ETR128" s="827"/>
      <c r="ETS128" s="827"/>
      <c r="ETT128" s="827"/>
      <c r="ETU128" s="827"/>
      <c r="ETV128" s="827"/>
      <c r="ETW128" s="827"/>
      <c r="ETX128" s="827"/>
      <c r="ETY128" s="827"/>
      <c r="ETZ128" s="827"/>
      <c r="EUA128" s="827"/>
      <c r="EUB128" s="827"/>
      <c r="EUC128" s="827"/>
      <c r="EUD128" s="827"/>
      <c r="EUE128" s="827"/>
      <c r="EUF128" s="827"/>
      <c r="EUG128" s="827"/>
      <c r="EUH128" s="827"/>
      <c r="EUI128" s="827"/>
      <c r="EUJ128" s="827"/>
      <c r="EUK128" s="827"/>
      <c r="EUL128" s="827"/>
      <c r="EUM128" s="827"/>
      <c r="EUN128" s="827"/>
      <c r="EUO128" s="827"/>
      <c r="EUP128" s="827"/>
      <c r="EUQ128" s="827"/>
      <c r="EUR128" s="827"/>
      <c r="EUS128" s="827"/>
      <c r="EUT128" s="827"/>
      <c r="EUU128" s="827"/>
      <c r="EUV128" s="827"/>
      <c r="EUW128" s="827"/>
      <c r="EUX128" s="827"/>
      <c r="EUY128" s="827"/>
      <c r="EUZ128" s="827"/>
      <c r="EVA128" s="827"/>
      <c r="EVB128" s="827"/>
      <c r="EVC128" s="827"/>
      <c r="EVD128" s="827"/>
      <c r="EVE128" s="827"/>
      <c r="EVF128" s="827"/>
      <c r="EVG128" s="827"/>
      <c r="EVH128" s="827"/>
      <c r="EVI128" s="827"/>
      <c r="EVJ128" s="827"/>
      <c r="EVK128" s="827"/>
      <c r="EVL128" s="827"/>
      <c r="EVM128" s="827"/>
      <c r="EVN128" s="827"/>
      <c r="EVO128" s="827"/>
      <c r="EVP128" s="827"/>
      <c r="EVQ128" s="827"/>
      <c r="EVR128" s="827"/>
      <c r="EVS128" s="827"/>
      <c r="EVT128" s="827"/>
      <c r="EVU128" s="827"/>
      <c r="EVV128" s="827"/>
      <c r="EVW128" s="827"/>
      <c r="EVX128" s="827"/>
      <c r="EVY128" s="827"/>
      <c r="EVZ128" s="827"/>
      <c r="EWA128" s="827"/>
      <c r="EWB128" s="827"/>
      <c r="EWC128" s="827"/>
      <c r="EWD128" s="827"/>
      <c r="EWE128" s="827"/>
      <c r="EWF128" s="827"/>
      <c r="EWG128" s="827"/>
      <c r="EWH128" s="827"/>
      <c r="EWI128" s="827"/>
      <c r="EWJ128" s="827"/>
      <c r="EWK128" s="827"/>
      <c r="EWL128" s="827"/>
      <c r="EWM128" s="827"/>
      <c r="EWN128" s="827"/>
      <c r="EWO128" s="827"/>
      <c r="EWP128" s="827"/>
      <c r="EWQ128" s="827"/>
      <c r="EWR128" s="827"/>
      <c r="EWS128" s="827"/>
      <c r="EWT128" s="827"/>
      <c r="EWU128" s="827"/>
      <c r="EWV128" s="827"/>
      <c r="EWW128" s="827"/>
      <c r="EWX128" s="827"/>
      <c r="EWY128" s="827"/>
      <c r="EWZ128" s="827"/>
      <c r="EXA128" s="827"/>
      <c r="EXB128" s="827"/>
      <c r="EXC128" s="827"/>
      <c r="EXD128" s="827"/>
      <c r="EXE128" s="827"/>
      <c r="EXF128" s="827"/>
      <c r="EXG128" s="827"/>
      <c r="EXH128" s="827"/>
      <c r="EXI128" s="827"/>
      <c r="EXJ128" s="827"/>
      <c r="EXK128" s="827"/>
      <c r="EXL128" s="827"/>
      <c r="EXM128" s="827"/>
      <c r="EXN128" s="827"/>
      <c r="EXO128" s="827"/>
      <c r="EXP128" s="827"/>
      <c r="EXQ128" s="827"/>
      <c r="EXR128" s="827"/>
      <c r="EXS128" s="827"/>
      <c r="EXT128" s="827"/>
      <c r="EXU128" s="827"/>
      <c r="EXV128" s="827"/>
      <c r="EXW128" s="827"/>
      <c r="EXX128" s="827"/>
      <c r="EXY128" s="827"/>
      <c r="EXZ128" s="827"/>
      <c r="EYA128" s="827"/>
      <c r="EYB128" s="827"/>
      <c r="EYC128" s="827"/>
      <c r="EYD128" s="827"/>
      <c r="EYE128" s="827"/>
      <c r="EYF128" s="827"/>
      <c r="EYG128" s="827"/>
      <c r="EYH128" s="827"/>
      <c r="EYI128" s="827"/>
      <c r="EYJ128" s="827"/>
      <c r="EYK128" s="827"/>
      <c r="EYL128" s="827"/>
      <c r="EYM128" s="827"/>
      <c r="EYN128" s="827"/>
      <c r="EYO128" s="827"/>
      <c r="EYP128" s="827"/>
      <c r="EYQ128" s="827"/>
      <c r="EYR128" s="827"/>
      <c r="EYS128" s="827"/>
      <c r="EYT128" s="827"/>
      <c r="EYU128" s="827"/>
      <c r="EYV128" s="827"/>
      <c r="EYW128" s="827"/>
      <c r="EYX128" s="827"/>
      <c r="EYY128" s="827"/>
      <c r="EYZ128" s="827"/>
      <c r="EZA128" s="827"/>
      <c r="EZB128" s="827"/>
      <c r="EZC128" s="827"/>
      <c r="EZD128" s="827"/>
      <c r="EZE128" s="827"/>
      <c r="EZF128" s="827"/>
      <c r="EZG128" s="827"/>
      <c r="EZH128" s="827"/>
      <c r="EZI128" s="827"/>
      <c r="EZJ128" s="827"/>
      <c r="EZK128" s="827"/>
      <c r="EZL128" s="827"/>
      <c r="EZM128" s="827"/>
      <c r="EZN128" s="827"/>
      <c r="EZO128" s="827"/>
      <c r="EZP128" s="827"/>
      <c r="EZQ128" s="827"/>
      <c r="EZR128" s="827"/>
      <c r="EZS128" s="827"/>
      <c r="EZT128" s="827"/>
      <c r="EZU128" s="827"/>
      <c r="EZV128" s="827"/>
      <c r="EZW128" s="827"/>
      <c r="EZX128" s="827"/>
      <c r="EZY128" s="827"/>
      <c r="EZZ128" s="827"/>
      <c r="FAA128" s="827"/>
      <c r="FAB128" s="827"/>
      <c r="FAC128" s="827"/>
      <c r="FAD128" s="827"/>
      <c r="FAE128" s="827"/>
      <c r="FAF128" s="827"/>
      <c r="FAG128" s="827"/>
      <c r="FAH128" s="827"/>
      <c r="FAI128" s="827"/>
      <c r="FAJ128" s="827"/>
      <c r="FAK128" s="827"/>
      <c r="FAL128" s="827"/>
      <c r="FAM128" s="827"/>
      <c r="FAN128" s="827"/>
      <c r="FAO128" s="827"/>
      <c r="FAP128" s="827"/>
      <c r="FAQ128" s="827"/>
      <c r="FAR128" s="827"/>
      <c r="FAS128" s="827"/>
      <c r="FAT128" s="827"/>
      <c r="FAU128" s="827"/>
      <c r="FAV128" s="827"/>
      <c r="FAW128" s="827"/>
      <c r="FAX128" s="827"/>
      <c r="FAY128" s="827"/>
      <c r="FAZ128" s="827"/>
      <c r="FBA128" s="827"/>
      <c r="FBB128" s="827"/>
      <c r="FBC128" s="827"/>
      <c r="FBD128" s="827"/>
      <c r="FBE128" s="827"/>
      <c r="FBF128" s="827"/>
      <c r="FBG128" s="827"/>
      <c r="FBH128" s="827"/>
      <c r="FBI128" s="827"/>
      <c r="FBJ128" s="827"/>
      <c r="FBK128" s="827"/>
      <c r="FBL128" s="827"/>
      <c r="FBM128" s="827"/>
      <c r="FBN128" s="827"/>
      <c r="FBO128" s="827"/>
      <c r="FBP128" s="827"/>
      <c r="FBQ128" s="827"/>
      <c r="FBR128" s="827"/>
      <c r="FBS128" s="827"/>
      <c r="FBT128" s="827"/>
      <c r="FBU128" s="827"/>
      <c r="FBV128" s="827"/>
      <c r="FBW128" s="827"/>
      <c r="FBX128" s="827"/>
      <c r="FBY128" s="827"/>
      <c r="FBZ128" s="827"/>
      <c r="FCA128" s="827"/>
      <c r="FCB128" s="827"/>
      <c r="FCC128" s="827"/>
      <c r="FCD128" s="827"/>
      <c r="FCE128" s="827"/>
      <c r="FCF128" s="827"/>
      <c r="FCG128" s="827"/>
      <c r="FCH128" s="827"/>
      <c r="FCI128" s="827"/>
      <c r="FCJ128" s="827"/>
      <c r="FCK128" s="827"/>
      <c r="FCL128" s="827"/>
      <c r="FCM128" s="827"/>
      <c r="FCN128" s="827"/>
      <c r="FCO128" s="827"/>
      <c r="FCP128" s="827"/>
      <c r="FCQ128" s="827"/>
      <c r="FCR128" s="827"/>
      <c r="FCS128" s="827"/>
      <c r="FCT128" s="827"/>
      <c r="FCU128" s="827"/>
      <c r="FCV128" s="827"/>
      <c r="FCW128" s="827"/>
      <c r="FCX128" s="827"/>
      <c r="FCY128" s="827"/>
      <c r="FCZ128" s="827"/>
      <c r="FDA128" s="827"/>
      <c r="FDB128" s="827"/>
      <c r="FDC128" s="827"/>
      <c r="FDD128" s="827"/>
      <c r="FDE128" s="827"/>
      <c r="FDF128" s="827"/>
      <c r="FDG128" s="827"/>
      <c r="FDH128" s="827"/>
      <c r="FDI128" s="827"/>
      <c r="FDJ128" s="827"/>
      <c r="FDK128" s="827"/>
      <c r="FDL128" s="827"/>
      <c r="FDM128" s="827"/>
      <c r="FDN128" s="827"/>
      <c r="FDO128" s="827"/>
      <c r="FDP128" s="827"/>
      <c r="FDQ128" s="827"/>
      <c r="FDR128" s="827"/>
      <c r="FDS128" s="827"/>
      <c r="FDT128" s="827"/>
      <c r="FDU128" s="827"/>
      <c r="FDV128" s="827"/>
      <c r="FDW128" s="827"/>
      <c r="FDX128" s="827"/>
      <c r="FDY128" s="827"/>
      <c r="FDZ128" s="827"/>
      <c r="FEA128" s="827"/>
      <c r="FEB128" s="827"/>
      <c r="FEC128" s="827"/>
      <c r="FED128" s="827"/>
      <c r="FEE128" s="827"/>
      <c r="FEF128" s="827"/>
      <c r="FEG128" s="827"/>
      <c r="FEH128" s="827"/>
      <c r="FEI128" s="827"/>
      <c r="FEJ128" s="827"/>
      <c r="FEK128" s="827"/>
      <c r="FEL128" s="827"/>
      <c r="FEM128" s="827"/>
      <c r="FEN128" s="827"/>
      <c r="FEO128" s="827"/>
      <c r="FEP128" s="827"/>
      <c r="FEQ128" s="827"/>
      <c r="FER128" s="827"/>
      <c r="FES128" s="827"/>
      <c r="FET128" s="827"/>
      <c r="FEU128" s="827"/>
      <c r="FEV128" s="827"/>
      <c r="FEW128" s="827"/>
      <c r="FEX128" s="827"/>
      <c r="FEY128" s="827"/>
      <c r="FEZ128" s="827"/>
      <c r="FFA128" s="827"/>
      <c r="FFB128" s="827"/>
      <c r="FFC128" s="827"/>
      <c r="FFD128" s="827"/>
      <c r="FFE128" s="827"/>
      <c r="FFF128" s="827"/>
      <c r="FFG128" s="827"/>
      <c r="FFH128" s="827"/>
      <c r="FFI128" s="827"/>
      <c r="FFJ128" s="827"/>
      <c r="FFK128" s="827"/>
      <c r="FFL128" s="827"/>
      <c r="FFM128" s="827"/>
      <c r="FFN128" s="827"/>
      <c r="FFO128" s="827"/>
      <c r="FFP128" s="827"/>
      <c r="FFQ128" s="827"/>
      <c r="FFR128" s="827"/>
      <c r="FFS128" s="827"/>
      <c r="FFT128" s="827"/>
      <c r="FFU128" s="827"/>
      <c r="FFV128" s="827"/>
      <c r="FFW128" s="827"/>
      <c r="FFX128" s="827"/>
      <c r="FFY128" s="827"/>
      <c r="FFZ128" s="827"/>
      <c r="FGA128" s="827"/>
      <c r="FGB128" s="827"/>
      <c r="FGC128" s="827"/>
      <c r="FGD128" s="827"/>
      <c r="FGE128" s="827"/>
      <c r="FGF128" s="827"/>
      <c r="FGG128" s="827"/>
      <c r="FGH128" s="827"/>
      <c r="FGI128" s="827"/>
      <c r="FGJ128" s="827"/>
      <c r="FGK128" s="827"/>
      <c r="FGL128" s="827"/>
      <c r="FGM128" s="827"/>
      <c r="FGN128" s="827"/>
      <c r="FGO128" s="827"/>
      <c r="FGP128" s="827"/>
      <c r="FGQ128" s="827"/>
      <c r="FGR128" s="827"/>
      <c r="FGS128" s="827"/>
      <c r="FGT128" s="827"/>
      <c r="FGU128" s="827"/>
      <c r="FGV128" s="827"/>
      <c r="FGW128" s="827"/>
      <c r="FGX128" s="827"/>
      <c r="FGY128" s="827"/>
      <c r="FGZ128" s="827"/>
      <c r="FHA128" s="827"/>
      <c r="FHB128" s="827"/>
      <c r="FHC128" s="827"/>
      <c r="FHD128" s="827"/>
      <c r="FHE128" s="827"/>
      <c r="FHF128" s="827"/>
      <c r="FHG128" s="827"/>
      <c r="FHH128" s="827"/>
      <c r="FHI128" s="827"/>
      <c r="FHJ128" s="827"/>
      <c r="FHK128" s="827"/>
      <c r="FHL128" s="827"/>
      <c r="FHM128" s="827"/>
      <c r="FHN128" s="827"/>
      <c r="FHO128" s="827"/>
      <c r="FHP128" s="827"/>
      <c r="FHQ128" s="827"/>
      <c r="FHR128" s="827"/>
      <c r="FHS128" s="827"/>
      <c r="FHT128" s="827"/>
      <c r="FHU128" s="827"/>
      <c r="FHV128" s="827"/>
      <c r="FHW128" s="827"/>
      <c r="FHX128" s="827"/>
      <c r="FHY128" s="827"/>
      <c r="FHZ128" s="827"/>
      <c r="FIA128" s="827"/>
      <c r="FIB128" s="827"/>
      <c r="FIC128" s="827"/>
      <c r="FID128" s="827"/>
      <c r="FIE128" s="827"/>
      <c r="FIF128" s="827"/>
      <c r="FIG128" s="827"/>
      <c r="FIH128" s="827"/>
      <c r="FII128" s="827"/>
      <c r="FIJ128" s="827"/>
      <c r="FIK128" s="827"/>
      <c r="FIL128" s="827"/>
      <c r="FIM128" s="827"/>
      <c r="FIN128" s="827"/>
      <c r="FIO128" s="827"/>
      <c r="FIP128" s="827"/>
      <c r="FIQ128" s="827"/>
      <c r="FIR128" s="827"/>
      <c r="FIS128" s="827"/>
      <c r="FIT128" s="827"/>
      <c r="FIU128" s="827"/>
      <c r="FIV128" s="827"/>
      <c r="FIW128" s="827"/>
      <c r="FIX128" s="827"/>
      <c r="FIY128" s="827"/>
      <c r="FIZ128" s="827"/>
      <c r="FJA128" s="827"/>
      <c r="FJB128" s="827"/>
      <c r="FJC128" s="827"/>
      <c r="FJD128" s="827"/>
      <c r="FJE128" s="827"/>
      <c r="FJF128" s="827"/>
      <c r="FJG128" s="827"/>
      <c r="FJH128" s="827"/>
      <c r="FJI128" s="827"/>
      <c r="FJJ128" s="827"/>
      <c r="FJK128" s="827"/>
      <c r="FJL128" s="827"/>
      <c r="FJM128" s="827"/>
      <c r="FJN128" s="827"/>
      <c r="FJO128" s="827"/>
      <c r="FJP128" s="827"/>
      <c r="FJQ128" s="827"/>
      <c r="FJR128" s="827"/>
      <c r="FJS128" s="827"/>
      <c r="FJT128" s="827"/>
      <c r="FJU128" s="827"/>
      <c r="FJV128" s="827"/>
      <c r="FJW128" s="827"/>
      <c r="FJX128" s="827"/>
      <c r="FJY128" s="827"/>
      <c r="FJZ128" s="827"/>
      <c r="FKA128" s="827"/>
      <c r="FKB128" s="827"/>
      <c r="FKC128" s="827"/>
      <c r="FKD128" s="827"/>
      <c r="FKE128" s="827"/>
      <c r="FKF128" s="827"/>
      <c r="FKG128" s="827"/>
      <c r="FKH128" s="827"/>
      <c r="FKI128" s="827"/>
      <c r="FKJ128" s="827"/>
      <c r="FKK128" s="827"/>
      <c r="FKL128" s="827"/>
      <c r="FKM128" s="827"/>
      <c r="FKN128" s="827"/>
      <c r="FKO128" s="827"/>
      <c r="FKP128" s="827"/>
      <c r="FKQ128" s="827"/>
      <c r="FKR128" s="827"/>
      <c r="FKS128" s="827"/>
      <c r="FKT128" s="827"/>
      <c r="FKU128" s="827"/>
      <c r="FKV128" s="827"/>
      <c r="FKW128" s="827"/>
      <c r="FKX128" s="827"/>
      <c r="FKY128" s="827"/>
      <c r="FKZ128" s="827"/>
      <c r="FLA128" s="827"/>
      <c r="FLB128" s="827"/>
      <c r="FLC128" s="827"/>
      <c r="FLD128" s="827"/>
      <c r="FLE128" s="827"/>
      <c r="FLF128" s="827"/>
      <c r="FLG128" s="827"/>
      <c r="FLH128" s="827"/>
      <c r="FLI128" s="827"/>
      <c r="FLJ128" s="827"/>
      <c r="FLK128" s="827"/>
      <c r="FLL128" s="827"/>
      <c r="FLM128" s="827"/>
      <c r="FLN128" s="827"/>
      <c r="FLO128" s="827"/>
      <c r="FLP128" s="827"/>
      <c r="FLQ128" s="827"/>
      <c r="FLR128" s="827"/>
      <c r="FLS128" s="827"/>
      <c r="FLT128" s="827"/>
      <c r="FLU128" s="827"/>
      <c r="FLV128" s="827"/>
      <c r="FLW128" s="827"/>
      <c r="FLX128" s="827"/>
      <c r="FLY128" s="827"/>
      <c r="FLZ128" s="827"/>
      <c r="FMA128" s="827"/>
      <c r="FMB128" s="827"/>
      <c r="FMC128" s="827"/>
      <c r="FMD128" s="827"/>
      <c r="FME128" s="827"/>
      <c r="FMF128" s="827"/>
      <c r="FMG128" s="827"/>
      <c r="FMH128" s="827"/>
      <c r="FMI128" s="827"/>
      <c r="FMJ128" s="827"/>
      <c r="FMK128" s="827"/>
      <c r="FML128" s="827"/>
      <c r="FMM128" s="827"/>
      <c r="FMN128" s="827"/>
      <c r="FMO128" s="827"/>
      <c r="FMP128" s="827"/>
      <c r="FMQ128" s="827"/>
      <c r="FMR128" s="827"/>
      <c r="FMS128" s="827"/>
      <c r="FMT128" s="827"/>
      <c r="FMU128" s="827"/>
      <c r="FMV128" s="827"/>
      <c r="FMW128" s="827"/>
      <c r="FMX128" s="827"/>
      <c r="FMY128" s="827"/>
      <c r="FMZ128" s="827"/>
      <c r="FNA128" s="827"/>
      <c r="FNB128" s="827"/>
      <c r="FNC128" s="827"/>
      <c r="FND128" s="827"/>
      <c r="FNE128" s="827"/>
      <c r="FNF128" s="827"/>
      <c r="FNG128" s="827"/>
      <c r="FNH128" s="827"/>
      <c r="FNI128" s="827"/>
      <c r="FNJ128" s="827"/>
      <c r="FNK128" s="827"/>
      <c r="FNL128" s="827"/>
      <c r="FNM128" s="827"/>
      <c r="FNN128" s="827"/>
      <c r="FNO128" s="827"/>
      <c r="FNP128" s="827"/>
      <c r="FNQ128" s="827"/>
      <c r="FNR128" s="827"/>
      <c r="FNS128" s="827"/>
      <c r="FNT128" s="827"/>
      <c r="FNU128" s="827"/>
      <c r="FNV128" s="827"/>
      <c r="FNW128" s="827"/>
      <c r="FNX128" s="827"/>
      <c r="FNY128" s="827"/>
      <c r="FNZ128" s="827"/>
      <c r="FOA128" s="827"/>
      <c r="FOB128" s="827"/>
      <c r="FOC128" s="827"/>
      <c r="FOD128" s="827"/>
      <c r="FOE128" s="827"/>
      <c r="FOF128" s="827"/>
      <c r="FOG128" s="827"/>
      <c r="FOH128" s="827"/>
      <c r="FOI128" s="827"/>
      <c r="FOJ128" s="827"/>
      <c r="FOK128" s="827"/>
      <c r="FOL128" s="827"/>
      <c r="FOM128" s="827"/>
      <c r="FON128" s="827"/>
      <c r="FOO128" s="827"/>
      <c r="FOP128" s="827"/>
      <c r="FOQ128" s="827"/>
      <c r="FOR128" s="827"/>
      <c r="FOS128" s="827"/>
      <c r="FOT128" s="827"/>
      <c r="FOU128" s="827"/>
      <c r="FOV128" s="827"/>
      <c r="FOW128" s="827"/>
      <c r="FOX128" s="827"/>
      <c r="FOY128" s="827"/>
      <c r="FOZ128" s="827"/>
      <c r="FPA128" s="827"/>
      <c r="FPB128" s="827"/>
      <c r="FPC128" s="827"/>
      <c r="FPD128" s="827"/>
      <c r="FPE128" s="827"/>
      <c r="FPF128" s="827"/>
      <c r="FPG128" s="827"/>
      <c r="FPH128" s="827"/>
      <c r="FPI128" s="827"/>
      <c r="FPJ128" s="827"/>
      <c r="FPK128" s="827"/>
      <c r="FPL128" s="827"/>
      <c r="FPM128" s="827"/>
      <c r="FPN128" s="827"/>
      <c r="FPO128" s="827"/>
      <c r="FPP128" s="827"/>
      <c r="FPQ128" s="827"/>
      <c r="FPR128" s="827"/>
      <c r="FPS128" s="827"/>
      <c r="FPT128" s="827"/>
      <c r="FPU128" s="827"/>
      <c r="FPV128" s="827"/>
      <c r="FPW128" s="827"/>
      <c r="FPX128" s="827"/>
      <c r="FPY128" s="827"/>
      <c r="FPZ128" s="827"/>
      <c r="FQA128" s="827"/>
      <c r="FQB128" s="827"/>
      <c r="FQC128" s="827"/>
      <c r="FQD128" s="827"/>
      <c r="FQE128" s="827"/>
      <c r="FQF128" s="827"/>
      <c r="FQG128" s="827"/>
      <c r="FQH128" s="827"/>
      <c r="FQI128" s="827"/>
      <c r="FQJ128" s="827"/>
      <c r="FQK128" s="827"/>
      <c r="FQL128" s="827"/>
      <c r="FQM128" s="827"/>
      <c r="FQN128" s="827"/>
      <c r="FQO128" s="827"/>
      <c r="FQP128" s="827"/>
      <c r="FQQ128" s="827"/>
      <c r="FQR128" s="827"/>
      <c r="FQS128" s="827"/>
      <c r="FQT128" s="827"/>
      <c r="FQU128" s="827"/>
      <c r="FQV128" s="827"/>
      <c r="FQW128" s="827"/>
      <c r="FQX128" s="827"/>
      <c r="FQY128" s="827"/>
      <c r="FQZ128" s="827"/>
      <c r="FRA128" s="827"/>
      <c r="FRB128" s="827"/>
      <c r="FRC128" s="827"/>
      <c r="FRD128" s="827"/>
      <c r="FRE128" s="827"/>
      <c r="FRF128" s="827"/>
      <c r="FRG128" s="827"/>
      <c r="FRH128" s="827"/>
      <c r="FRI128" s="827"/>
      <c r="FRJ128" s="827"/>
      <c r="FRK128" s="827"/>
      <c r="FRL128" s="827"/>
      <c r="FRM128" s="827"/>
      <c r="FRN128" s="827"/>
      <c r="FRO128" s="827"/>
      <c r="FRP128" s="827"/>
      <c r="FRQ128" s="827"/>
      <c r="FRR128" s="827"/>
      <c r="FRS128" s="827"/>
      <c r="FRT128" s="827"/>
      <c r="FRU128" s="827"/>
      <c r="FRV128" s="827"/>
      <c r="FRW128" s="827"/>
      <c r="FRX128" s="827"/>
      <c r="FRY128" s="827"/>
      <c r="FRZ128" s="827"/>
      <c r="FSA128" s="827"/>
      <c r="FSB128" s="827"/>
      <c r="FSC128" s="827"/>
      <c r="FSD128" s="827"/>
      <c r="FSE128" s="827"/>
      <c r="FSF128" s="827"/>
      <c r="FSG128" s="827"/>
      <c r="FSH128" s="827"/>
      <c r="FSI128" s="827"/>
      <c r="FSJ128" s="827"/>
      <c r="FSK128" s="827"/>
      <c r="FSL128" s="827"/>
      <c r="FSM128" s="827"/>
      <c r="FSN128" s="827"/>
      <c r="FSO128" s="827"/>
      <c r="FSP128" s="827"/>
      <c r="FSQ128" s="827"/>
      <c r="FSR128" s="827"/>
      <c r="FSS128" s="827"/>
      <c r="FST128" s="827"/>
      <c r="FSU128" s="827"/>
      <c r="FSV128" s="827"/>
      <c r="FSW128" s="827"/>
      <c r="FSX128" s="827"/>
      <c r="FSY128" s="827"/>
      <c r="FSZ128" s="827"/>
      <c r="FTA128" s="827"/>
      <c r="FTB128" s="827"/>
      <c r="FTC128" s="827"/>
      <c r="FTD128" s="827"/>
      <c r="FTE128" s="827"/>
      <c r="FTF128" s="827"/>
      <c r="FTG128" s="827"/>
      <c r="FTH128" s="827"/>
      <c r="FTI128" s="827"/>
      <c r="FTJ128" s="827"/>
      <c r="FTK128" s="827"/>
      <c r="FTL128" s="827"/>
      <c r="FTM128" s="827"/>
      <c r="FTN128" s="827"/>
      <c r="FTO128" s="827"/>
      <c r="FTP128" s="827"/>
      <c r="FTQ128" s="827"/>
      <c r="FTR128" s="827"/>
      <c r="FTS128" s="827"/>
      <c r="FTT128" s="827"/>
      <c r="FTU128" s="827"/>
      <c r="FTV128" s="827"/>
      <c r="FTW128" s="827"/>
      <c r="FTX128" s="827"/>
      <c r="FTY128" s="827"/>
      <c r="FTZ128" s="827"/>
      <c r="FUA128" s="827"/>
      <c r="FUB128" s="827"/>
      <c r="FUC128" s="827"/>
      <c r="FUD128" s="827"/>
      <c r="FUE128" s="827"/>
      <c r="FUF128" s="827"/>
      <c r="FUG128" s="827"/>
      <c r="FUH128" s="827"/>
      <c r="FUI128" s="827"/>
      <c r="FUJ128" s="827"/>
      <c r="FUK128" s="827"/>
      <c r="FUL128" s="827"/>
      <c r="FUM128" s="827"/>
      <c r="FUN128" s="827"/>
      <c r="FUO128" s="827"/>
      <c r="FUP128" s="827"/>
      <c r="FUQ128" s="827"/>
      <c r="FUR128" s="827"/>
      <c r="FUS128" s="827"/>
      <c r="FUT128" s="827"/>
      <c r="FUU128" s="827"/>
      <c r="FUV128" s="827"/>
      <c r="FUW128" s="827"/>
      <c r="FUX128" s="827"/>
      <c r="FUY128" s="827"/>
      <c r="FUZ128" s="827"/>
      <c r="FVA128" s="827"/>
      <c r="FVB128" s="827"/>
      <c r="FVC128" s="827"/>
      <c r="FVD128" s="827"/>
      <c r="FVE128" s="827"/>
      <c r="FVF128" s="827"/>
      <c r="FVG128" s="827"/>
      <c r="FVH128" s="827"/>
      <c r="FVI128" s="827"/>
      <c r="FVJ128" s="827"/>
      <c r="FVK128" s="827"/>
      <c r="FVL128" s="827"/>
      <c r="FVM128" s="827"/>
      <c r="FVN128" s="827"/>
      <c r="FVO128" s="827"/>
      <c r="FVP128" s="827"/>
      <c r="FVQ128" s="827"/>
      <c r="FVR128" s="827"/>
      <c r="FVS128" s="827"/>
      <c r="FVT128" s="827"/>
      <c r="FVU128" s="827"/>
      <c r="FVV128" s="827"/>
      <c r="FVW128" s="827"/>
      <c r="FVX128" s="827"/>
      <c r="FVY128" s="827"/>
      <c r="FVZ128" s="827"/>
      <c r="FWA128" s="827"/>
      <c r="FWB128" s="827"/>
      <c r="FWC128" s="827"/>
      <c r="FWD128" s="827"/>
      <c r="FWE128" s="827"/>
      <c r="FWF128" s="827"/>
      <c r="FWG128" s="827"/>
      <c r="FWH128" s="827"/>
      <c r="FWI128" s="827"/>
      <c r="FWJ128" s="827"/>
      <c r="FWK128" s="827"/>
      <c r="FWL128" s="827"/>
      <c r="FWM128" s="827"/>
      <c r="FWN128" s="827"/>
      <c r="FWO128" s="827"/>
      <c r="FWP128" s="827"/>
      <c r="FWQ128" s="827"/>
      <c r="FWR128" s="827"/>
      <c r="FWS128" s="827"/>
      <c r="FWT128" s="827"/>
      <c r="FWU128" s="827"/>
      <c r="FWV128" s="827"/>
      <c r="FWW128" s="827"/>
      <c r="FWX128" s="827"/>
      <c r="FWY128" s="827"/>
      <c r="FWZ128" s="827"/>
      <c r="FXA128" s="827"/>
      <c r="FXB128" s="827"/>
      <c r="FXC128" s="827"/>
      <c r="FXD128" s="827"/>
      <c r="FXE128" s="827"/>
      <c r="FXF128" s="827"/>
      <c r="FXG128" s="827"/>
      <c r="FXH128" s="827"/>
      <c r="FXI128" s="827"/>
      <c r="FXJ128" s="827"/>
      <c r="FXK128" s="827"/>
      <c r="FXL128" s="827"/>
      <c r="FXM128" s="827"/>
      <c r="FXN128" s="827"/>
      <c r="FXO128" s="827"/>
      <c r="FXP128" s="827"/>
      <c r="FXQ128" s="827"/>
      <c r="FXR128" s="827"/>
      <c r="FXS128" s="827"/>
      <c r="FXT128" s="827"/>
      <c r="FXU128" s="827"/>
      <c r="FXV128" s="827"/>
      <c r="FXW128" s="827"/>
      <c r="FXX128" s="827"/>
      <c r="FXY128" s="827"/>
      <c r="FXZ128" s="827"/>
      <c r="FYA128" s="827"/>
      <c r="FYB128" s="827"/>
      <c r="FYC128" s="827"/>
      <c r="FYD128" s="827"/>
      <c r="FYE128" s="827"/>
      <c r="FYF128" s="827"/>
      <c r="FYG128" s="827"/>
      <c r="FYH128" s="827"/>
      <c r="FYI128" s="827"/>
      <c r="FYJ128" s="827"/>
      <c r="FYK128" s="827"/>
      <c r="FYL128" s="827"/>
      <c r="FYM128" s="827"/>
      <c r="FYN128" s="827"/>
      <c r="FYO128" s="827"/>
      <c r="FYP128" s="827"/>
      <c r="FYQ128" s="827"/>
      <c r="FYR128" s="827"/>
      <c r="FYS128" s="827"/>
      <c r="FYT128" s="827"/>
      <c r="FYU128" s="827"/>
      <c r="FYV128" s="827"/>
      <c r="FYW128" s="827"/>
      <c r="FYX128" s="827"/>
      <c r="FYY128" s="827"/>
      <c r="FYZ128" s="827"/>
      <c r="FZA128" s="827"/>
      <c r="FZB128" s="827"/>
      <c r="FZC128" s="827"/>
      <c r="FZD128" s="827"/>
      <c r="FZE128" s="827"/>
      <c r="FZF128" s="827"/>
      <c r="FZG128" s="827"/>
      <c r="FZH128" s="827"/>
      <c r="FZI128" s="827"/>
      <c r="FZJ128" s="827"/>
      <c r="FZK128" s="827"/>
      <c r="FZL128" s="827"/>
      <c r="FZM128" s="827"/>
      <c r="FZN128" s="827"/>
      <c r="FZO128" s="827"/>
      <c r="FZP128" s="827"/>
      <c r="FZQ128" s="827"/>
      <c r="FZR128" s="827"/>
      <c r="FZS128" s="827"/>
      <c r="FZT128" s="827"/>
      <c r="FZU128" s="827"/>
      <c r="FZV128" s="827"/>
      <c r="FZW128" s="827"/>
      <c r="FZX128" s="827"/>
      <c r="FZY128" s="827"/>
      <c r="FZZ128" s="827"/>
      <c r="GAA128" s="827"/>
      <c r="GAB128" s="827"/>
      <c r="GAC128" s="827"/>
      <c r="GAD128" s="827"/>
      <c r="GAE128" s="827"/>
      <c r="GAF128" s="827"/>
      <c r="GAG128" s="827"/>
      <c r="GAH128" s="827"/>
      <c r="GAI128" s="827"/>
      <c r="GAJ128" s="827"/>
      <c r="GAK128" s="827"/>
      <c r="GAL128" s="827"/>
      <c r="GAM128" s="827"/>
      <c r="GAN128" s="827"/>
      <c r="GAO128" s="827"/>
      <c r="GAP128" s="827"/>
      <c r="GAQ128" s="827"/>
      <c r="GAR128" s="827"/>
      <c r="GAS128" s="827"/>
      <c r="GAT128" s="827"/>
      <c r="GAU128" s="827"/>
      <c r="GAV128" s="827"/>
      <c r="GAW128" s="827"/>
      <c r="GAX128" s="827"/>
      <c r="GAY128" s="827"/>
      <c r="GAZ128" s="827"/>
      <c r="GBA128" s="827"/>
      <c r="GBB128" s="827"/>
      <c r="GBC128" s="827"/>
      <c r="GBD128" s="827"/>
      <c r="GBE128" s="827"/>
      <c r="GBF128" s="827"/>
      <c r="GBG128" s="827"/>
      <c r="GBH128" s="827"/>
      <c r="GBI128" s="827"/>
      <c r="GBJ128" s="827"/>
      <c r="GBK128" s="827"/>
      <c r="GBL128" s="827"/>
      <c r="GBM128" s="827"/>
      <c r="GBN128" s="827"/>
      <c r="GBO128" s="827"/>
      <c r="GBP128" s="827"/>
      <c r="GBQ128" s="827"/>
      <c r="GBR128" s="827"/>
      <c r="GBS128" s="827"/>
      <c r="GBT128" s="827"/>
      <c r="GBU128" s="827"/>
      <c r="GBV128" s="827"/>
      <c r="GBW128" s="827"/>
      <c r="GBX128" s="827"/>
      <c r="GBY128" s="827"/>
      <c r="GBZ128" s="827"/>
      <c r="GCA128" s="827"/>
      <c r="GCB128" s="827"/>
      <c r="GCC128" s="827"/>
      <c r="GCD128" s="827"/>
      <c r="GCE128" s="827"/>
      <c r="GCF128" s="827"/>
      <c r="GCG128" s="827"/>
      <c r="GCH128" s="827"/>
      <c r="GCI128" s="827"/>
      <c r="GCJ128" s="827"/>
      <c r="GCK128" s="827"/>
      <c r="GCL128" s="827"/>
      <c r="GCM128" s="827"/>
      <c r="GCN128" s="827"/>
      <c r="GCO128" s="827"/>
      <c r="GCP128" s="827"/>
      <c r="GCQ128" s="827"/>
      <c r="GCR128" s="827"/>
      <c r="GCS128" s="827"/>
      <c r="GCT128" s="827"/>
      <c r="GCU128" s="827"/>
      <c r="GCV128" s="827"/>
      <c r="GCW128" s="827"/>
      <c r="GCX128" s="827"/>
      <c r="GCY128" s="827"/>
      <c r="GCZ128" s="827"/>
      <c r="GDA128" s="827"/>
      <c r="GDB128" s="827"/>
      <c r="GDC128" s="827"/>
      <c r="GDD128" s="827"/>
      <c r="GDE128" s="827"/>
      <c r="GDF128" s="827"/>
      <c r="GDG128" s="827"/>
      <c r="GDH128" s="827"/>
      <c r="GDI128" s="827"/>
      <c r="GDJ128" s="827"/>
      <c r="GDK128" s="827"/>
      <c r="GDL128" s="827"/>
      <c r="GDM128" s="827"/>
      <c r="GDN128" s="827"/>
      <c r="GDO128" s="827"/>
      <c r="GDP128" s="827"/>
      <c r="GDQ128" s="827"/>
      <c r="GDR128" s="827"/>
      <c r="GDS128" s="827"/>
      <c r="GDT128" s="827"/>
      <c r="GDU128" s="827"/>
      <c r="GDV128" s="827"/>
      <c r="GDW128" s="827"/>
      <c r="GDX128" s="827"/>
      <c r="GDY128" s="827"/>
      <c r="GDZ128" s="827"/>
      <c r="GEA128" s="827"/>
      <c r="GEB128" s="827"/>
      <c r="GEC128" s="827"/>
      <c r="GED128" s="827"/>
      <c r="GEE128" s="827"/>
      <c r="GEF128" s="827"/>
      <c r="GEG128" s="827"/>
      <c r="GEH128" s="827"/>
      <c r="GEI128" s="827"/>
      <c r="GEJ128" s="827"/>
      <c r="GEK128" s="827"/>
      <c r="GEL128" s="827"/>
      <c r="GEM128" s="827"/>
      <c r="GEN128" s="827"/>
      <c r="GEO128" s="827"/>
      <c r="GEP128" s="827"/>
      <c r="GEQ128" s="827"/>
      <c r="GER128" s="827"/>
      <c r="GES128" s="827"/>
      <c r="GET128" s="827"/>
      <c r="GEU128" s="827"/>
      <c r="GEV128" s="827"/>
      <c r="GEW128" s="827"/>
      <c r="GEX128" s="827"/>
      <c r="GEY128" s="827"/>
      <c r="GEZ128" s="827"/>
      <c r="GFA128" s="827"/>
      <c r="GFB128" s="827"/>
      <c r="GFC128" s="827"/>
      <c r="GFD128" s="827"/>
      <c r="GFE128" s="827"/>
      <c r="GFF128" s="827"/>
      <c r="GFG128" s="827"/>
      <c r="GFH128" s="827"/>
      <c r="GFI128" s="827"/>
      <c r="GFJ128" s="827"/>
      <c r="GFK128" s="827"/>
      <c r="GFL128" s="827"/>
      <c r="GFM128" s="827"/>
      <c r="GFN128" s="827"/>
      <c r="GFO128" s="827"/>
      <c r="GFP128" s="827"/>
      <c r="GFQ128" s="827"/>
      <c r="GFR128" s="827"/>
      <c r="GFS128" s="827"/>
      <c r="GFT128" s="827"/>
      <c r="GFU128" s="827"/>
      <c r="GFV128" s="827"/>
      <c r="GFW128" s="827"/>
      <c r="GFX128" s="827"/>
      <c r="GFY128" s="827"/>
      <c r="GFZ128" s="827"/>
      <c r="GGA128" s="827"/>
      <c r="GGB128" s="827"/>
      <c r="GGC128" s="827"/>
      <c r="GGD128" s="827"/>
      <c r="GGE128" s="827"/>
      <c r="GGF128" s="827"/>
      <c r="GGG128" s="827"/>
      <c r="GGH128" s="827"/>
      <c r="GGI128" s="827"/>
      <c r="GGJ128" s="827"/>
      <c r="GGK128" s="827"/>
      <c r="GGL128" s="827"/>
      <c r="GGM128" s="827"/>
      <c r="GGN128" s="827"/>
      <c r="GGO128" s="827"/>
      <c r="GGP128" s="827"/>
      <c r="GGQ128" s="827"/>
      <c r="GGR128" s="827"/>
      <c r="GGS128" s="827"/>
      <c r="GGT128" s="827"/>
      <c r="GGU128" s="827"/>
      <c r="GGV128" s="827"/>
      <c r="GGW128" s="827"/>
      <c r="GGX128" s="827"/>
      <c r="GGY128" s="827"/>
      <c r="GGZ128" s="827"/>
      <c r="GHA128" s="827"/>
      <c r="GHB128" s="827"/>
      <c r="GHC128" s="827"/>
      <c r="GHD128" s="827"/>
      <c r="GHE128" s="827"/>
      <c r="GHF128" s="827"/>
      <c r="GHG128" s="827"/>
      <c r="GHH128" s="827"/>
      <c r="GHI128" s="827"/>
      <c r="GHJ128" s="827"/>
      <c r="GHK128" s="827"/>
      <c r="GHL128" s="827"/>
      <c r="GHM128" s="827"/>
      <c r="GHN128" s="827"/>
      <c r="GHO128" s="827"/>
      <c r="GHP128" s="827"/>
      <c r="GHQ128" s="827"/>
      <c r="GHR128" s="827"/>
      <c r="GHS128" s="827"/>
      <c r="GHT128" s="827"/>
      <c r="GHU128" s="827"/>
      <c r="GHV128" s="827"/>
      <c r="GHW128" s="827"/>
      <c r="GHX128" s="827"/>
      <c r="GHY128" s="827"/>
      <c r="GHZ128" s="827"/>
      <c r="GIA128" s="827"/>
      <c r="GIB128" s="827"/>
      <c r="GIC128" s="827"/>
      <c r="GID128" s="827"/>
      <c r="GIE128" s="827"/>
      <c r="GIF128" s="827"/>
      <c r="GIG128" s="827"/>
      <c r="GIH128" s="827"/>
      <c r="GII128" s="827"/>
      <c r="GIJ128" s="827"/>
      <c r="GIK128" s="827"/>
      <c r="GIL128" s="827"/>
      <c r="GIM128" s="827"/>
      <c r="GIN128" s="827"/>
      <c r="GIO128" s="827"/>
      <c r="GIP128" s="827"/>
      <c r="GIQ128" s="827"/>
      <c r="GIR128" s="827"/>
      <c r="GIS128" s="827"/>
      <c r="GIT128" s="827"/>
      <c r="GIU128" s="827"/>
      <c r="GIV128" s="827"/>
      <c r="GIW128" s="827"/>
      <c r="GIX128" s="827"/>
      <c r="GIY128" s="827"/>
      <c r="GIZ128" s="827"/>
      <c r="GJA128" s="827"/>
      <c r="GJB128" s="827"/>
      <c r="GJC128" s="827"/>
      <c r="GJD128" s="827"/>
      <c r="GJE128" s="827"/>
      <c r="GJF128" s="827"/>
      <c r="GJG128" s="827"/>
      <c r="GJH128" s="827"/>
      <c r="GJI128" s="827"/>
      <c r="GJJ128" s="827"/>
      <c r="GJK128" s="827"/>
      <c r="GJL128" s="827"/>
      <c r="GJM128" s="827"/>
      <c r="GJN128" s="827"/>
      <c r="GJO128" s="827"/>
      <c r="GJP128" s="827"/>
      <c r="GJQ128" s="827"/>
      <c r="GJR128" s="827"/>
      <c r="GJS128" s="827"/>
      <c r="GJT128" s="827"/>
      <c r="GJU128" s="827"/>
      <c r="GJV128" s="827"/>
      <c r="GJW128" s="827"/>
      <c r="GJX128" s="827"/>
      <c r="GJY128" s="827"/>
      <c r="GJZ128" s="827"/>
      <c r="GKA128" s="827"/>
      <c r="GKB128" s="827"/>
      <c r="GKC128" s="827"/>
      <c r="GKD128" s="827"/>
      <c r="GKE128" s="827"/>
      <c r="GKF128" s="827"/>
      <c r="GKG128" s="827"/>
      <c r="GKH128" s="827"/>
      <c r="GKI128" s="827"/>
      <c r="GKJ128" s="827"/>
      <c r="GKK128" s="827"/>
      <c r="GKL128" s="827"/>
      <c r="GKM128" s="827"/>
      <c r="GKN128" s="827"/>
      <c r="GKO128" s="827"/>
      <c r="GKP128" s="827"/>
      <c r="GKQ128" s="827"/>
      <c r="GKR128" s="827"/>
      <c r="GKS128" s="827"/>
      <c r="GKT128" s="827"/>
      <c r="GKU128" s="827"/>
      <c r="GKV128" s="827"/>
      <c r="GKW128" s="827"/>
      <c r="GKX128" s="827"/>
      <c r="GKY128" s="827"/>
      <c r="GKZ128" s="827"/>
      <c r="GLA128" s="827"/>
      <c r="GLB128" s="827"/>
      <c r="GLC128" s="827"/>
      <c r="GLD128" s="827"/>
      <c r="GLE128" s="827"/>
      <c r="GLF128" s="827"/>
      <c r="GLG128" s="827"/>
      <c r="GLH128" s="827"/>
      <c r="GLI128" s="827"/>
      <c r="GLJ128" s="827"/>
      <c r="GLK128" s="827"/>
      <c r="GLL128" s="827"/>
      <c r="GLM128" s="827"/>
      <c r="GLN128" s="827"/>
      <c r="GLO128" s="827"/>
      <c r="GLP128" s="827"/>
      <c r="GLQ128" s="827"/>
      <c r="GLR128" s="827"/>
      <c r="GLS128" s="827"/>
      <c r="GLT128" s="827"/>
      <c r="GLU128" s="827"/>
      <c r="GLV128" s="827"/>
      <c r="GLW128" s="827"/>
      <c r="GLX128" s="827"/>
      <c r="GLY128" s="827"/>
      <c r="GLZ128" s="827"/>
      <c r="GMA128" s="827"/>
      <c r="GMB128" s="827"/>
      <c r="GMC128" s="827"/>
      <c r="GMD128" s="827"/>
      <c r="GME128" s="827"/>
      <c r="GMF128" s="827"/>
      <c r="GMG128" s="827"/>
      <c r="GMH128" s="827"/>
      <c r="GMI128" s="827"/>
      <c r="GMJ128" s="827"/>
      <c r="GMK128" s="827"/>
      <c r="GML128" s="827"/>
      <c r="GMM128" s="827"/>
      <c r="GMN128" s="827"/>
      <c r="GMO128" s="827"/>
      <c r="GMP128" s="827"/>
      <c r="GMQ128" s="827"/>
      <c r="GMR128" s="827"/>
      <c r="GMS128" s="827"/>
      <c r="GMT128" s="827"/>
      <c r="GMU128" s="827"/>
      <c r="GMV128" s="827"/>
      <c r="GMW128" s="827"/>
      <c r="GMX128" s="827"/>
      <c r="GMY128" s="827"/>
      <c r="GMZ128" s="827"/>
      <c r="GNA128" s="827"/>
      <c r="GNB128" s="827"/>
      <c r="GNC128" s="827"/>
      <c r="GND128" s="827"/>
      <c r="GNE128" s="827"/>
      <c r="GNF128" s="827"/>
      <c r="GNG128" s="827"/>
      <c r="GNH128" s="827"/>
      <c r="GNI128" s="827"/>
      <c r="GNJ128" s="827"/>
      <c r="GNK128" s="827"/>
      <c r="GNL128" s="827"/>
      <c r="GNM128" s="827"/>
      <c r="GNN128" s="827"/>
      <c r="GNO128" s="827"/>
      <c r="GNP128" s="827"/>
      <c r="GNQ128" s="827"/>
      <c r="GNR128" s="827"/>
      <c r="GNS128" s="827"/>
      <c r="GNT128" s="827"/>
      <c r="GNU128" s="827"/>
      <c r="GNV128" s="827"/>
      <c r="GNW128" s="827"/>
      <c r="GNX128" s="827"/>
      <c r="GNY128" s="827"/>
      <c r="GNZ128" s="827"/>
      <c r="GOA128" s="827"/>
      <c r="GOB128" s="827"/>
      <c r="GOC128" s="827"/>
      <c r="GOD128" s="827"/>
      <c r="GOE128" s="827"/>
      <c r="GOF128" s="827"/>
      <c r="GOG128" s="827"/>
      <c r="GOH128" s="827"/>
      <c r="GOI128" s="827"/>
      <c r="GOJ128" s="827"/>
      <c r="GOK128" s="827"/>
      <c r="GOL128" s="827"/>
      <c r="GOM128" s="827"/>
      <c r="GON128" s="827"/>
      <c r="GOO128" s="827"/>
      <c r="GOP128" s="827"/>
      <c r="GOQ128" s="827"/>
      <c r="GOR128" s="827"/>
      <c r="GOS128" s="827"/>
      <c r="GOT128" s="827"/>
      <c r="GOU128" s="827"/>
      <c r="GOV128" s="827"/>
      <c r="GOW128" s="827"/>
      <c r="GOX128" s="827"/>
      <c r="GOY128" s="827"/>
      <c r="GOZ128" s="827"/>
      <c r="GPA128" s="827"/>
      <c r="GPB128" s="827"/>
      <c r="GPC128" s="827"/>
      <c r="GPD128" s="827"/>
      <c r="GPE128" s="827"/>
      <c r="GPF128" s="827"/>
      <c r="GPG128" s="827"/>
      <c r="GPH128" s="827"/>
      <c r="GPI128" s="827"/>
      <c r="GPJ128" s="827"/>
      <c r="GPK128" s="827"/>
      <c r="GPL128" s="827"/>
      <c r="GPM128" s="827"/>
      <c r="GPN128" s="827"/>
      <c r="GPO128" s="827"/>
      <c r="GPP128" s="827"/>
      <c r="GPQ128" s="827"/>
      <c r="GPR128" s="827"/>
      <c r="GPS128" s="827"/>
      <c r="GPT128" s="827"/>
      <c r="GPU128" s="827"/>
      <c r="GPV128" s="827"/>
      <c r="GPW128" s="827"/>
      <c r="GPX128" s="827"/>
      <c r="GPY128" s="827"/>
      <c r="GPZ128" s="827"/>
      <c r="GQA128" s="827"/>
      <c r="GQB128" s="827"/>
      <c r="GQC128" s="827"/>
      <c r="GQD128" s="827"/>
      <c r="GQE128" s="827"/>
      <c r="GQF128" s="827"/>
      <c r="GQG128" s="827"/>
      <c r="GQH128" s="827"/>
      <c r="GQI128" s="827"/>
      <c r="GQJ128" s="827"/>
      <c r="GQK128" s="827"/>
      <c r="GQL128" s="827"/>
      <c r="GQM128" s="827"/>
      <c r="GQN128" s="827"/>
      <c r="GQO128" s="827"/>
      <c r="GQP128" s="827"/>
      <c r="GQQ128" s="827"/>
      <c r="GQR128" s="827"/>
      <c r="GQS128" s="827"/>
      <c r="GQT128" s="827"/>
      <c r="GQU128" s="827"/>
      <c r="GQV128" s="827"/>
      <c r="GQW128" s="827"/>
      <c r="GQX128" s="827"/>
      <c r="GQY128" s="827"/>
      <c r="GQZ128" s="827"/>
      <c r="GRA128" s="827"/>
      <c r="GRB128" s="827"/>
      <c r="GRC128" s="827"/>
      <c r="GRD128" s="827"/>
      <c r="GRE128" s="827"/>
      <c r="GRF128" s="827"/>
      <c r="GRG128" s="827"/>
      <c r="GRH128" s="827"/>
      <c r="GRI128" s="827"/>
      <c r="GRJ128" s="827"/>
      <c r="GRK128" s="827"/>
      <c r="GRL128" s="827"/>
      <c r="GRM128" s="827"/>
      <c r="GRN128" s="827"/>
      <c r="GRO128" s="827"/>
      <c r="GRP128" s="827"/>
      <c r="GRQ128" s="827"/>
      <c r="GRR128" s="827"/>
      <c r="GRS128" s="827"/>
      <c r="GRT128" s="827"/>
      <c r="GRU128" s="827"/>
      <c r="GRV128" s="827"/>
      <c r="GRW128" s="827"/>
      <c r="GRX128" s="827"/>
      <c r="GRY128" s="827"/>
      <c r="GRZ128" s="827"/>
      <c r="GSA128" s="827"/>
      <c r="GSB128" s="827"/>
      <c r="GSC128" s="827"/>
      <c r="GSD128" s="827"/>
      <c r="GSE128" s="827"/>
      <c r="GSF128" s="827"/>
      <c r="GSG128" s="827"/>
      <c r="GSH128" s="827"/>
      <c r="GSI128" s="827"/>
      <c r="GSJ128" s="827"/>
      <c r="GSK128" s="827"/>
      <c r="GSL128" s="827"/>
      <c r="GSM128" s="827"/>
      <c r="GSN128" s="827"/>
      <c r="GSO128" s="827"/>
      <c r="GSP128" s="827"/>
      <c r="GSQ128" s="827"/>
      <c r="GSR128" s="827"/>
      <c r="GSS128" s="827"/>
      <c r="GST128" s="827"/>
      <c r="GSU128" s="827"/>
      <c r="GSV128" s="827"/>
      <c r="GSW128" s="827"/>
      <c r="GSX128" s="827"/>
      <c r="GSY128" s="827"/>
      <c r="GSZ128" s="827"/>
      <c r="GTA128" s="827"/>
      <c r="GTB128" s="827"/>
      <c r="GTC128" s="827"/>
      <c r="GTD128" s="827"/>
      <c r="GTE128" s="827"/>
      <c r="GTF128" s="827"/>
      <c r="GTG128" s="827"/>
      <c r="GTH128" s="827"/>
      <c r="GTI128" s="827"/>
      <c r="GTJ128" s="827"/>
      <c r="GTK128" s="827"/>
      <c r="GTL128" s="827"/>
      <c r="GTM128" s="827"/>
      <c r="GTN128" s="827"/>
      <c r="GTO128" s="827"/>
      <c r="GTP128" s="827"/>
      <c r="GTQ128" s="827"/>
      <c r="GTR128" s="827"/>
      <c r="GTS128" s="827"/>
      <c r="GTT128" s="827"/>
      <c r="GTU128" s="827"/>
      <c r="GTV128" s="827"/>
      <c r="GTW128" s="827"/>
      <c r="GTX128" s="827"/>
      <c r="GTY128" s="827"/>
      <c r="GTZ128" s="827"/>
      <c r="GUA128" s="827"/>
      <c r="GUB128" s="827"/>
      <c r="GUC128" s="827"/>
      <c r="GUD128" s="827"/>
      <c r="GUE128" s="827"/>
      <c r="GUF128" s="827"/>
      <c r="GUG128" s="827"/>
      <c r="GUH128" s="827"/>
      <c r="GUI128" s="827"/>
      <c r="GUJ128" s="827"/>
      <c r="GUK128" s="827"/>
      <c r="GUL128" s="827"/>
      <c r="GUM128" s="827"/>
      <c r="GUN128" s="827"/>
      <c r="GUO128" s="827"/>
      <c r="GUP128" s="827"/>
      <c r="GUQ128" s="827"/>
      <c r="GUR128" s="827"/>
      <c r="GUS128" s="827"/>
      <c r="GUT128" s="827"/>
      <c r="GUU128" s="827"/>
      <c r="GUV128" s="827"/>
      <c r="GUW128" s="827"/>
      <c r="GUX128" s="827"/>
      <c r="GUY128" s="827"/>
      <c r="GUZ128" s="827"/>
      <c r="GVA128" s="827"/>
      <c r="GVB128" s="827"/>
      <c r="GVC128" s="827"/>
      <c r="GVD128" s="827"/>
      <c r="GVE128" s="827"/>
      <c r="GVF128" s="827"/>
      <c r="GVG128" s="827"/>
      <c r="GVH128" s="827"/>
      <c r="GVI128" s="827"/>
      <c r="GVJ128" s="827"/>
      <c r="GVK128" s="827"/>
      <c r="GVL128" s="827"/>
      <c r="GVM128" s="827"/>
      <c r="GVN128" s="827"/>
      <c r="GVO128" s="827"/>
      <c r="GVP128" s="827"/>
      <c r="GVQ128" s="827"/>
      <c r="GVR128" s="827"/>
      <c r="GVS128" s="827"/>
      <c r="GVT128" s="827"/>
      <c r="GVU128" s="827"/>
      <c r="GVV128" s="827"/>
      <c r="GVW128" s="827"/>
      <c r="GVX128" s="827"/>
      <c r="GVY128" s="827"/>
      <c r="GVZ128" s="827"/>
      <c r="GWA128" s="827"/>
      <c r="GWB128" s="827"/>
      <c r="GWC128" s="827"/>
      <c r="GWD128" s="827"/>
      <c r="GWE128" s="827"/>
      <c r="GWF128" s="827"/>
      <c r="GWG128" s="827"/>
      <c r="GWH128" s="827"/>
      <c r="GWI128" s="827"/>
      <c r="GWJ128" s="827"/>
      <c r="GWK128" s="827"/>
      <c r="GWL128" s="827"/>
      <c r="GWM128" s="827"/>
      <c r="GWN128" s="827"/>
      <c r="GWO128" s="827"/>
      <c r="GWP128" s="827"/>
      <c r="GWQ128" s="827"/>
      <c r="GWR128" s="827"/>
      <c r="GWS128" s="827"/>
      <c r="GWT128" s="827"/>
      <c r="GWU128" s="827"/>
      <c r="GWV128" s="827"/>
      <c r="GWW128" s="827"/>
      <c r="GWX128" s="827"/>
      <c r="GWY128" s="827"/>
      <c r="GWZ128" s="827"/>
      <c r="GXA128" s="827"/>
      <c r="GXB128" s="827"/>
      <c r="GXC128" s="827"/>
      <c r="GXD128" s="827"/>
      <c r="GXE128" s="827"/>
      <c r="GXF128" s="827"/>
      <c r="GXG128" s="827"/>
      <c r="GXH128" s="827"/>
      <c r="GXI128" s="827"/>
      <c r="GXJ128" s="827"/>
      <c r="GXK128" s="827"/>
      <c r="GXL128" s="827"/>
      <c r="GXM128" s="827"/>
      <c r="GXN128" s="827"/>
      <c r="GXO128" s="827"/>
      <c r="GXP128" s="827"/>
      <c r="GXQ128" s="827"/>
      <c r="GXR128" s="827"/>
      <c r="GXS128" s="827"/>
      <c r="GXT128" s="827"/>
      <c r="GXU128" s="827"/>
      <c r="GXV128" s="827"/>
      <c r="GXW128" s="827"/>
      <c r="GXX128" s="827"/>
      <c r="GXY128" s="827"/>
      <c r="GXZ128" s="827"/>
      <c r="GYA128" s="827"/>
      <c r="GYB128" s="827"/>
      <c r="GYC128" s="827"/>
      <c r="GYD128" s="827"/>
      <c r="GYE128" s="827"/>
      <c r="GYF128" s="827"/>
      <c r="GYG128" s="827"/>
      <c r="GYH128" s="827"/>
      <c r="GYI128" s="827"/>
      <c r="GYJ128" s="827"/>
      <c r="GYK128" s="827"/>
      <c r="GYL128" s="827"/>
      <c r="GYM128" s="827"/>
      <c r="GYN128" s="827"/>
      <c r="GYO128" s="827"/>
      <c r="GYP128" s="827"/>
      <c r="GYQ128" s="827"/>
      <c r="GYR128" s="827"/>
      <c r="GYS128" s="827"/>
      <c r="GYT128" s="827"/>
      <c r="GYU128" s="827"/>
      <c r="GYV128" s="827"/>
      <c r="GYW128" s="827"/>
      <c r="GYX128" s="827"/>
      <c r="GYY128" s="827"/>
      <c r="GYZ128" s="827"/>
      <c r="GZA128" s="827"/>
      <c r="GZB128" s="827"/>
      <c r="GZC128" s="827"/>
      <c r="GZD128" s="827"/>
      <c r="GZE128" s="827"/>
      <c r="GZF128" s="827"/>
      <c r="GZG128" s="827"/>
      <c r="GZH128" s="827"/>
      <c r="GZI128" s="827"/>
      <c r="GZJ128" s="827"/>
      <c r="GZK128" s="827"/>
      <c r="GZL128" s="827"/>
      <c r="GZM128" s="827"/>
      <c r="GZN128" s="827"/>
      <c r="GZO128" s="827"/>
      <c r="GZP128" s="827"/>
      <c r="GZQ128" s="827"/>
      <c r="GZR128" s="827"/>
      <c r="GZS128" s="827"/>
      <c r="GZT128" s="827"/>
      <c r="GZU128" s="827"/>
      <c r="GZV128" s="827"/>
      <c r="GZW128" s="827"/>
      <c r="GZX128" s="827"/>
      <c r="GZY128" s="827"/>
      <c r="GZZ128" s="827"/>
      <c r="HAA128" s="827"/>
      <c r="HAB128" s="827"/>
      <c r="HAC128" s="827"/>
      <c r="HAD128" s="827"/>
      <c r="HAE128" s="827"/>
      <c r="HAF128" s="827"/>
      <c r="HAG128" s="827"/>
      <c r="HAH128" s="827"/>
      <c r="HAI128" s="827"/>
      <c r="HAJ128" s="827"/>
      <c r="HAK128" s="827"/>
      <c r="HAL128" s="827"/>
      <c r="HAM128" s="827"/>
      <c r="HAN128" s="827"/>
      <c r="HAO128" s="827"/>
      <c r="HAP128" s="827"/>
      <c r="HAQ128" s="827"/>
      <c r="HAR128" s="827"/>
      <c r="HAS128" s="827"/>
      <c r="HAT128" s="827"/>
      <c r="HAU128" s="827"/>
      <c r="HAV128" s="827"/>
      <c r="HAW128" s="827"/>
      <c r="HAX128" s="827"/>
      <c r="HAY128" s="827"/>
      <c r="HAZ128" s="827"/>
      <c r="HBA128" s="827"/>
      <c r="HBB128" s="827"/>
      <c r="HBC128" s="827"/>
      <c r="HBD128" s="827"/>
      <c r="HBE128" s="827"/>
      <c r="HBF128" s="827"/>
      <c r="HBG128" s="827"/>
      <c r="HBH128" s="827"/>
      <c r="HBI128" s="827"/>
      <c r="HBJ128" s="827"/>
      <c r="HBK128" s="827"/>
      <c r="HBL128" s="827"/>
      <c r="HBM128" s="827"/>
      <c r="HBN128" s="827"/>
      <c r="HBO128" s="827"/>
      <c r="HBP128" s="827"/>
      <c r="HBQ128" s="827"/>
      <c r="HBR128" s="827"/>
      <c r="HBS128" s="827"/>
      <c r="HBT128" s="827"/>
      <c r="HBU128" s="827"/>
      <c r="HBV128" s="827"/>
      <c r="HBW128" s="827"/>
      <c r="HBX128" s="827"/>
      <c r="HBY128" s="827"/>
      <c r="HBZ128" s="827"/>
      <c r="HCA128" s="827"/>
      <c r="HCB128" s="827"/>
      <c r="HCC128" s="827"/>
      <c r="HCD128" s="827"/>
      <c r="HCE128" s="827"/>
      <c r="HCF128" s="827"/>
      <c r="HCG128" s="827"/>
      <c r="HCH128" s="827"/>
      <c r="HCI128" s="827"/>
      <c r="HCJ128" s="827"/>
      <c r="HCK128" s="827"/>
      <c r="HCL128" s="827"/>
      <c r="HCM128" s="827"/>
      <c r="HCN128" s="827"/>
      <c r="HCO128" s="827"/>
      <c r="HCP128" s="827"/>
      <c r="HCQ128" s="827"/>
      <c r="HCR128" s="827"/>
      <c r="HCS128" s="827"/>
      <c r="HCT128" s="827"/>
      <c r="HCU128" s="827"/>
      <c r="HCV128" s="827"/>
      <c r="HCW128" s="827"/>
      <c r="HCX128" s="827"/>
      <c r="HCY128" s="827"/>
      <c r="HCZ128" s="827"/>
      <c r="HDA128" s="827"/>
      <c r="HDB128" s="827"/>
      <c r="HDC128" s="827"/>
      <c r="HDD128" s="827"/>
      <c r="HDE128" s="827"/>
      <c r="HDF128" s="827"/>
      <c r="HDG128" s="827"/>
      <c r="HDH128" s="827"/>
      <c r="HDI128" s="827"/>
      <c r="HDJ128" s="827"/>
      <c r="HDK128" s="827"/>
      <c r="HDL128" s="827"/>
      <c r="HDM128" s="827"/>
      <c r="HDN128" s="827"/>
      <c r="HDO128" s="827"/>
      <c r="HDP128" s="827"/>
      <c r="HDQ128" s="827"/>
      <c r="HDR128" s="827"/>
      <c r="HDS128" s="827"/>
      <c r="HDT128" s="827"/>
      <c r="HDU128" s="827"/>
      <c r="HDV128" s="827"/>
      <c r="HDW128" s="827"/>
      <c r="HDX128" s="827"/>
      <c r="HDY128" s="827"/>
      <c r="HDZ128" s="827"/>
      <c r="HEA128" s="827"/>
      <c r="HEB128" s="827"/>
      <c r="HEC128" s="827"/>
      <c r="HED128" s="827"/>
      <c r="HEE128" s="827"/>
      <c r="HEF128" s="827"/>
      <c r="HEG128" s="827"/>
      <c r="HEH128" s="827"/>
      <c r="HEI128" s="827"/>
      <c r="HEJ128" s="827"/>
      <c r="HEK128" s="827"/>
      <c r="HEL128" s="827"/>
      <c r="HEM128" s="827"/>
      <c r="HEN128" s="827"/>
      <c r="HEO128" s="827"/>
      <c r="HEP128" s="827"/>
      <c r="HEQ128" s="827"/>
      <c r="HER128" s="827"/>
      <c r="HES128" s="827"/>
      <c r="HET128" s="827"/>
      <c r="HEU128" s="827"/>
      <c r="HEV128" s="827"/>
      <c r="HEW128" s="827"/>
      <c r="HEX128" s="827"/>
      <c r="HEY128" s="827"/>
      <c r="HEZ128" s="827"/>
      <c r="HFA128" s="827"/>
      <c r="HFB128" s="827"/>
      <c r="HFC128" s="827"/>
      <c r="HFD128" s="827"/>
      <c r="HFE128" s="827"/>
      <c r="HFF128" s="827"/>
      <c r="HFG128" s="827"/>
      <c r="HFH128" s="827"/>
      <c r="HFI128" s="827"/>
      <c r="HFJ128" s="827"/>
      <c r="HFK128" s="827"/>
      <c r="HFL128" s="827"/>
      <c r="HFM128" s="827"/>
      <c r="HFN128" s="827"/>
      <c r="HFO128" s="827"/>
      <c r="HFP128" s="827"/>
      <c r="HFQ128" s="827"/>
      <c r="HFR128" s="827"/>
      <c r="HFS128" s="827"/>
      <c r="HFT128" s="827"/>
      <c r="HFU128" s="827"/>
      <c r="HFV128" s="827"/>
      <c r="HFW128" s="827"/>
      <c r="HFX128" s="827"/>
      <c r="HFY128" s="827"/>
      <c r="HFZ128" s="827"/>
      <c r="HGA128" s="827"/>
      <c r="HGB128" s="827"/>
      <c r="HGC128" s="827"/>
      <c r="HGD128" s="827"/>
      <c r="HGE128" s="827"/>
      <c r="HGF128" s="827"/>
      <c r="HGG128" s="827"/>
      <c r="HGH128" s="827"/>
      <c r="HGI128" s="827"/>
      <c r="HGJ128" s="827"/>
      <c r="HGK128" s="827"/>
      <c r="HGL128" s="827"/>
      <c r="HGM128" s="827"/>
      <c r="HGN128" s="827"/>
      <c r="HGO128" s="827"/>
      <c r="HGP128" s="827"/>
      <c r="HGQ128" s="827"/>
      <c r="HGR128" s="827"/>
      <c r="HGS128" s="827"/>
      <c r="HGT128" s="827"/>
      <c r="HGU128" s="827"/>
      <c r="HGV128" s="827"/>
      <c r="HGW128" s="827"/>
      <c r="HGX128" s="827"/>
      <c r="HGY128" s="827"/>
      <c r="HGZ128" s="827"/>
      <c r="HHA128" s="827"/>
      <c r="HHB128" s="827"/>
      <c r="HHC128" s="827"/>
      <c r="HHD128" s="827"/>
      <c r="HHE128" s="827"/>
      <c r="HHF128" s="827"/>
      <c r="HHG128" s="827"/>
      <c r="HHH128" s="827"/>
      <c r="HHI128" s="827"/>
      <c r="HHJ128" s="827"/>
      <c r="HHK128" s="827"/>
      <c r="HHL128" s="827"/>
      <c r="HHM128" s="827"/>
      <c r="HHN128" s="827"/>
      <c r="HHO128" s="827"/>
      <c r="HHP128" s="827"/>
      <c r="HHQ128" s="827"/>
      <c r="HHR128" s="827"/>
      <c r="HHS128" s="827"/>
      <c r="HHT128" s="827"/>
      <c r="HHU128" s="827"/>
      <c r="HHV128" s="827"/>
      <c r="HHW128" s="827"/>
      <c r="HHX128" s="827"/>
      <c r="HHY128" s="827"/>
      <c r="HHZ128" s="827"/>
      <c r="HIA128" s="827"/>
      <c r="HIB128" s="827"/>
      <c r="HIC128" s="827"/>
      <c r="HID128" s="827"/>
      <c r="HIE128" s="827"/>
      <c r="HIF128" s="827"/>
      <c r="HIG128" s="827"/>
      <c r="HIH128" s="827"/>
      <c r="HII128" s="827"/>
      <c r="HIJ128" s="827"/>
      <c r="HIK128" s="827"/>
      <c r="HIL128" s="827"/>
      <c r="HIM128" s="827"/>
      <c r="HIN128" s="827"/>
      <c r="HIO128" s="827"/>
      <c r="HIP128" s="827"/>
      <c r="HIQ128" s="827"/>
      <c r="HIR128" s="827"/>
      <c r="HIS128" s="827"/>
      <c r="HIT128" s="827"/>
      <c r="HIU128" s="827"/>
      <c r="HIV128" s="827"/>
      <c r="HIW128" s="827"/>
      <c r="HIX128" s="827"/>
      <c r="HIY128" s="827"/>
      <c r="HIZ128" s="827"/>
      <c r="HJA128" s="827"/>
      <c r="HJB128" s="827"/>
      <c r="HJC128" s="827"/>
      <c r="HJD128" s="827"/>
      <c r="HJE128" s="827"/>
      <c r="HJF128" s="827"/>
      <c r="HJG128" s="827"/>
      <c r="HJH128" s="827"/>
      <c r="HJI128" s="827"/>
      <c r="HJJ128" s="827"/>
      <c r="HJK128" s="827"/>
      <c r="HJL128" s="827"/>
      <c r="HJM128" s="827"/>
      <c r="HJN128" s="827"/>
      <c r="HJO128" s="827"/>
      <c r="HJP128" s="827"/>
      <c r="HJQ128" s="827"/>
      <c r="HJR128" s="827"/>
      <c r="HJS128" s="827"/>
      <c r="HJT128" s="827"/>
      <c r="HJU128" s="827"/>
      <c r="HJV128" s="827"/>
      <c r="HJW128" s="827"/>
      <c r="HJX128" s="827"/>
      <c r="HJY128" s="827"/>
      <c r="HJZ128" s="827"/>
      <c r="HKA128" s="827"/>
      <c r="HKB128" s="827"/>
      <c r="HKC128" s="827"/>
      <c r="HKD128" s="827"/>
      <c r="HKE128" s="827"/>
      <c r="HKF128" s="827"/>
      <c r="HKG128" s="827"/>
      <c r="HKH128" s="827"/>
      <c r="HKI128" s="827"/>
      <c r="HKJ128" s="827"/>
      <c r="HKK128" s="827"/>
      <c r="HKL128" s="827"/>
      <c r="HKM128" s="827"/>
      <c r="HKN128" s="827"/>
      <c r="HKO128" s="827"/>
      <c r="HKP128" s="827"/>
      <c r="HKQ128" s="827"/>
      <c r="HKR128" s="827"/>
      <c r="HKS128" s="827"/>
      <c r="HKT128" s="827"/>
      <c r="HKU128" s="827"/>
      <c r="HKV128" s="827"/>
      <c r="HKW128" s="827"/>
      <c r="HKX128" s="827"/>
      <c r="HKY128" s="827"/>
      <c r="HKZ128" s="827"/>
      <c r="HLA128" s="827"/>
      <c r="HLB128" s="827"/>
      <c r="HLC128" s="827"/>
      <c r="HLD128" s="827"/>
      <c r="HLE128" s="827"/>
      <c r="HLF128" s="827"/>
      <c r="HLG128" s="827"/>
      <c r="HLH128" s="827"/>
      <c r="HLI128" s="827"/>
      <c r="HLJ128" s="827"/>
      <c r="HLK128" s="827"/>
      <c r="HLL128" s="827"/>
      <c r="HLM128" s="827"/>
      <c r="HLN128" s="827"/>
      <c r="HLO128" s="827"/>
      <c r="HLP128" s="827"/>
      <c r="HLQ128" s="827"/>
      <c r="HLR128" s="827"/>
      <c r="HLS128" s="827"/>
      <c r="HLT128" s="827"/>
      <c r="HLU128" s="827"/>
      <c r="HLV128" s="827"/>
      <c r="HLW128" s="827"/>
      <c r="HLX128" s="827"/>
      <c r="HLY128" s="827"/>
      <c r="HLZ128" s="827"/>
      <c r="HMA128" s="827"/>
      <c r="HMB128" s="827"/>
      <c r="HMC128" s="827"/>
      <c r="HMD128" s="827"/>
      <c r="HME128" s="827"/>
      <c r="HMF128" s="827"/>
      <c r="HMG128" s="827"/>
      <c r="HMH128" s="827"/>
      <c r="HMI128" s="827"/>
      <c r="HMJ128" s="827"/>
      <c r="HMK128" s="827"/>
      <c r="HML128" s="827"/>
      <c r="HMM128" s="827"/>
      <c r="HMN128" s="827"/>
      <c r="HMO128" s="827"/>
      <c r="HMP128" s="827"/>
      <c r="HMQ128" s="827"/>
      <c r="HMR128" s="827"/>
      <c r="HMS128" s="827"/>
      <c r="HMT128" s="827"/>
      <c r="HMU128" s="827"/>
      <c r="HMV128" s="827"/>
      <c r="HMW128" s="827"/>
      <c r="HMX128" s="827"/>
      <c r="HMY128" s="827"/>
      <c r="HMZ128" s="827"/>
      <c r="HNA128" s="827"/>
      <c r="HNB128" s="827"/>
      <c r="HNC128" s="827"/>
      <c r="HND128" s="827"/>
      <c r="HNE128" s="827"/>
      <c r="HNF128" s="827"/>
      <c r="HNG128" s="827"/>
      <c r="HNH128" s="827"/>
      <c r="HNI128" s="827"/>
      <c r="HNJ128" s="827"/>
      <c r="HNK128" s="827"/>
      <c r="HNL128" s="827"/>
      <c r="HNM128" s="827"/>
      <c r="HNN128" s="827"/>
      <c r="HNO128" s="827"/>
      <c r="HNP128" s="827"/>
      <c r="HNQ128" s="827"/>
      <c r="HNR128" s="827"/>
      <c r="HNS128" s="827"/>
      <c r="HNT128" s="827"/>
      <c r="HNU128" s="827"/>
      <c r="HNV128" s="827"/>
      <c r="HNW128" s="827"/>
      <c r="HNX128" s="827"/>
      <c r="HNY128" s="827"/>
      <c r="HNZ128" s="827"/>
      <c r="HOA128" s="827"/>
      <c r="HOB128" s="827"/>
      <c r="HOC128" s="827"/>
      <c r="HOD128" s="827"/>
      <c r="HOE128" s="827"/>
      <c r="HOF128" s="827"/>
      <c r="HOG128" s="827"/>
      <c r="HOH128" s="827"/>
      <c r="HOI128" s="827"/>
      <c r="HOJ128" s="827"/>
      <c r="HOK128" s="827"/>
      <c r="HOL128" s="827"/>
      <c r="HOM128" s="827"/>
      <c r="HON128" s="827"/>
      <c r="HOO128" s="827"/>
      <c r="HOP128" s="827"/>
      <c r="HOQ128" s="827"/>
      <c r="HOR128" s="827"/>
      <c r="HOS128" s="827"/>
      <c r="HOT128" s="827"/>
      <c r="HOU128" s="827"/>
      <c r="HOV128" s="827"/>
      <c r="HOW128" s="827"/>
      <c r="HOX128" s="827"/>
      <c r="HOY128" s="827"/>
      <c r="HOZ128" s="827"/>
      <c r="HPA128" s="827"/>
      <c r="HPB128" s="827"/>
      <c r="HPC128" s="827"/>
      <c r="HPD128" s="827"/>
      <c r="HPE128" s="827"/>
      <c r="HPF128" s="827"/>
      <c r="HPG128" s="827"/>
      <c r="HPH128" s="827"/>
      <c r="HPI128" s="827"/>
      <c r="HPJ128" s="827"/>
      <c r="HPK128" s="827"/>
      <c r="HPL128" s="827"/>
      <c r="HPM128" s="827"/>
      <c r="HPN128" s="827"/>
      <c r="HPO128" s="827"/>
      <c r="HPP128" s="827"/>
      <c r="HPQ128" s="827"/>
      <c r="HPR128" s="827"/>
      <c r="HPS128" s="827"/>
      <c r="HPT128" s="827"/>
      <c r="HPU128" s="827"/>
      <c r="HPV128" s="827"/>
      <c r="HPW128" s="827"/>
      <c r="HPX128" s="827"/>
      <c r="HPY128" s="827"/>
      <c r="HPZ128" s="827"/>
      <c r="HQA128" s="827"/>
      <c r="HQB128" s="827"/>
      <c r="HQC128" s="827"/>
      <c r="HQD128" s="827"/>
      <c r="HQE128" s="827"/>
      <c r="HQF128" s="827"/>
      <c r="HQG128" s="827"/>
      <c r="HQH128" s="827"/>
      <c r="HQI128" s="827"/>
      <c r="HQJ128" s="827"/>
      <c r="HQK128" s="827"/>
      <c r="HQL128" s="827"/>
      <c r="HQM128" s="827"/>
      <c r="HQN128" s="827"/>
      <c r="HQO128" s="827"/>
      <c r="HQP128" s="827"/>
      <c r="HQQ128" s="827"/>
      <c r="HQR128" s="827"/>
      <c r="HQS128" s="827"/>
      <c r="HQT128" s="827"/>
      <c r="HQU128" s="827"/>
      <c r="HQV128" s="827"/>
      <c r="HQW128" s="827"/>
      <c r="HQX128" s="827"/>
      <c r="HQY128" s="827"/>
      <c r="HQZ128" s="827"/>
      <c r="HRA128" s="827"/>
      <c r="HRB128" s="827"/>
      <c r="HRC128" s="827"/>
      <c r="HRD128" s="827"/>
      <c r="HRE128" s="827"/>
      <c r="HRF128" s="827"/>
      <c r="HRG128" s="827"/>
      <c r="HRH128" s="827"/>
      <c r="HRI128" s="827"/>
      <c r="HRJ128" s="827"/>
      <c r="HRK128" s="827"/>
      <c r="HRL128" s="827"/>
      <c r="HRM128" s="827"/>
      <c r="HRN128" s="827"/>
      <c r="HRO128" s="827"/>
      <c r="HRP128" s="827"/>
      <c r="HRQ128" s="827"/>
      <c r="HRR128" s="827"/>
      <c r="HRS128" s="827"/>
      <c r="HRT128" s="827"/>
      <c r="HRU128" s="827"/>
      <c r="HRV128" s="827"/>
      <c r="HRW128" s="827"/>
      <c r="HRX128" s="827"/>
      <c r="HRY128" s="827"/>
      <c r="HRZ128" s="827"/>
      <c r="HSA128" s="827"/>
      <c r="HSB128" s="827"/>
      <c r="HSC128" s="827"/>
      <c r="HSD128" s="827"/>
      <c r="HSE128" s="827"/>
      <c r="HSF128" s="827"/>
      <c r="HSG128" s="827"/>
      <c r="HSH128" s="827"/>
      <c r="HSI128" s="827"/>
      <c r="HSJ128" s="827"/>
      <c r="HSK128" s="827"/>
      <c r="HSL128" s="827"/>
      <c r="HSM128" s="827"/>
      <c r="HSN128" s="827"/>
      <c r="HSO128" s="827"/>
      <c r="HSP128" s="827"/>
      <c r="HSQ128" s="827"/>
      <c r="HSR128" s="827"/>
      <c r="HSS128" s="827"/>
      <c r="HST128" s="827"/>
      <c r="HSU128" s="827"/>
      <c r="HSV128" s="827"/>
      <c r="HSW128" s="827"/>
      <c r="HSX128" s="827"/>
      <c r="HSY128" s="827"/>
      <c r="HSZ128" s="827"/>
      <c r="HTA128" s="827"/>
      <c r="HTB128" s="827"/>
      <c r="HTC128" s="827"/>
      <c r="HTD128" s="827"/>
      <c r="HTE128" s="827"/>
      <c r="HTF128" s="827"/>
      <c r="HTG128" s="827"/>
      <c r="HTH128" s="827"/>
      <c r="HTI128" s="827"/>
      <c r="HTJ128" s="827"/>
      <c r="HTK128" s="827"/>
      <c r="HTL128" s="827"/>
      <c r="HTM128" s="827"/>
      <c r="HTN128" s="827"/>
      <c r="HTO128" s="827"/>
      <c r="HTP128" s="827"/>
      <c r="HTQ128" s="827"/>
      <c r="HTR128" s="827"/>
      <c r="HTS128" s="827"/>
      <c r="HTT128" s="827"/>
      <c r="HTU128" s="827"/>
      <c r="HTV128" s="827"/>
      <c r="HTW128" s="827"/>
      <c r="HTX128" s="827"/>
      <c r="HTY128" s="827"/>
      <c r="HTZ128" s="827"/>
      <c r="HUA128" s="827"/>
      <c r="HUB128" s="827"/>
      <c r="HUC128" s="827"/>
      <c r="HUD128" s="827"/>
      <c r="HUE128" s="827"/>
      <c r="HUF128" s="827"/>
      <c r="HUG128" s="827"/>
      <c r="HUH128" s="827"/>
      <c r="HUI128" s="827"/>
      <c r="HUJ128" s="827"/>
      <c r="HUK128" s="827"/>
      <c r="HUL128" s="827"/>
      <c r="HUM128" s="827"/>
      <c r="HUN128" s="827"/>
      <c r="HUO128" s="827"/>
      <c r="HUP128" s="827"/>
      <c r="HUQ128" s="827"/>
      <c r="HUR128" s="827"/>
      <c r="HUS128" s="827"/>
      <c r="HUT128" s="827"/>
      <c r="HUU128" s="827"/>
      <c r="HUV128" s="827"/>
      <c r="HUW128" s="827"/>
      <c r="HUX128" s="827"/>
      <c r="HUY128" s="827"/>
      <c r="HUZ128" s="827"/>
      <c r="HVA128" s="827"/>
      <c r="HVB128" s="827"/>
      <c r="HVC128" s="827"/>
      <c r="HVD128" s="827"/>
      <c r="HVE128" s="827"/>
      <c r="HVF128" s="827"/>
      <c r="HVG128" s="827"/>
      <c r="HVH128" s="827"/>
      <c r="HVI128" s="827"/>
      <c r="HVJ128" s="827"/>
      <c r="HVK128" s="827"/>
      <c r="HVL128" s="827"/>
      <c r="HVM128" s="827"/>
      <c r="HVN128" s="827"/>
      <c r="HVO128" s="827"/>
      <c r="HVP128" s="827"/>
      <c r="HVQ128" s="827"/>
      <c r="HVR128" s="827"/>
      <c r="HVS128" s="827"/>
      <c r="HVT128" s="827"/>
      <c r="HVU128" s="827"/>
      <c r="HVV128" s="827"/>
      <c r="HVW128" s="827"/>
      <c r="HVX128" s="827"/>
      <c r="HVY128" s="827"/>
      <c r="HVZ128" s="827"/>
      <c r="HWA128" s="827"/>
      <c r="HWB128" s="827"/>
      <c r="HWC128" s="827"/>
      <c r="HWD128" s="827"/>
      <c r="HWE128" s="827"/>
      <c r="HWF128" s="827"/>
      <c r="HWG128" s="827"/>
      <c r="HWH128" s="827"/>
      <c r="HWI128" s="827"/>
      <c r="HWJ128" s="827"/>
      <c r="HWK128" s="827"/>
      <c r="HWL128" s="827"/>
      <c r="HWM128" s="827"/>
      <c r="HWN128" s="827"/>
      <c r="HWO128" s="827"/>
      <c r="HWP128" s="827"/>
      <c r="HWQ128" s="827"/>
      <c r="HWR128" s="827"/>
      <c r="HWS128" s="827"/>
      <c r="HWT128" s="827"/>
      <c r="HWU128" s="827"/>
      <c r="HWV128" s="827"/>
      <c r="HWW128" s="827"/>
      <c r="HWX128" s="827"/>
      <c r="HWY128" s="827"/>
      <c r="HWZ128" s="827"/>
      <c r="HXA128" s="827"/>
      <c r="HXB128" s="827"/>
      <c r="HXC128" s="827"/>
      <c r="HXD128" s="827"/>
      <c r="HXE128" s="827"/>
      <c r="HXF128" s="827"/>
      <c r="HXG128" s="827"/>
      <c r="HXH128" s="827"/>
      <c r="HXI128" s="827"/>
      <c r="HXJ128" s="827"/>
      <c r="HXK128" s="827"/>
      <c r="HXL128" s="827"/>
      <c r="HXM128" s="827"/>
      <c r="HXN128" s="827"/>
      <c r="HXO128" s="827"/>
      <c r="HXP128" s="827"/>
      <c r="HXQ128" s="827"/>
      <c r="HXR128" s="827"/>
      <c r="HXS128" s="827"/>
      <c r="HXT128" s="827"/>
      <c r="HXU128" s="827"/>
      <c r="HXV128" s="827"/>
      <c r="HXW128" s="827"/>
      <c r="HXX128" s="827"/>
      <c r="HXY128" s="827"/>
      <c r="HXZ128" s="827"/>
      <c r="HYA128" s="827"/>
      <c r="HYB128" s="827"/>
      <c r="HYC128" s="827"/>
      <c r="HYD128" s="827"/>
      <c r="HYE128" s="827"/>
      <c r="HYF128" s="827"/>
      <c r="HYG128" s="827"/>
      <c r="HYH128" s="827"/>
      <c r="HYI128" s="827"/>
      <c r="HYJ128" s="827"/>
      <c r="HYK128" s="827"/>
      <c r="HYL128" s="827"/>
      <c r="HYM128" s="827"/>
      <c r="HYN128" s="827"/>
      <c r="HYO128" s="827"/>
      <c r="HYP128" s="827"/>
      <c r="HYQ128" s="827"/>
      <c r="HYR128" s="827"/>
      <c r="HYS128" s="827"/>
      <c r="HYT128" s="827"/>
      <c r="HYU128" s="827"/>
      <c r="HYV128" s="827"/>
      <c r="HYW128" s="827"/>
      <c r="HYX128" s="827"/>
      <c r="HYY128" s="827"/>
      <c r="HYZ128" s="827"/>
      <c r="HZA128" s="827"/>
      <c r="HZB128" s="827"/>
      <c r="HZC128" s="827"/>
      <c r="HZD128" s="827"/>
      <c r="HZE128" s="827"/>
      <c r="HZF128" s="827"/>
      <c r="HZG128" s="827"/>
      <c r="HZH128" s="827"/>
      <c r="HZI128" s="827"/>
      <c r="HZJ128" s="827"/>
      <c r="HZK128" s="827"/>
      <c r="HZL128" s="827"/>
      <c r="HZM128" s="827"/>
      <c r="HZN128" s="827"/>
      <c r="HZO128" s="827"/>
      <c r="HZP128" s="827"/>
      <c r="HZQ128" s="827"/>
      <c r="HZR128" s="827"/>
      <c r="HZS128" s="827"/>
      <c r="HZT128" s="827"/>
      <c r="HZU128" s="827"/>
      <c r="HZV128" s="827"/>
      <c r="HZW128" s="827"/>
      <c r="HZX128" s="827"/>
      <c r="HZY128" s="827"/>
      <c r="HZZ128" s="827"/>
      <c r="IAA128" s="827"/>
      <c r="IAB128" s="827"/>
      <c r="IAC128" s="827"/>
      <c r="IAD128" s="827"/>
      <c r="IAE128" s="827"/>
      <c r="IAF128" s="827"/>
      <c r="IAG128" s="827"/>
      <c r="IAH128" s="827"/>
      <c r="IAI128" s="827"/>
      <c r="IAJ128" s="827"/>
      <c r="IAK128" s="827"/>
      <c r="IAL128" s="827"/>
      <c r="IAM128" s="827"/>
      <c r="IAN128" s="827"/>
      <c r="IAO128" s="827"/>
      <c r="IAP128" s="827"/>
      <c r="IAQ128" s="827"/>
      <c r="IAR128" s="827"/>
      <c r="IAS128" s="827"/>
      <c r="IAT128" s="827"/>
      <c r="IAU128" s="827"/>
      <c r="IAV128" s="827"/>
      <c r="IAW128" s="827"/>
      <c r="IAX128" s="827"/>
      <c r="IAY128" s="827"/>
      <c r="IAZ128" s="827"/>
      <c r="IBA128" s="827"/>
      <c r="IBB128" s="827"/>
      <c r="IBC128" s="827"/>
      <c r="IBD128" s="827"/>
      <c r="IBE128" s="827"/>
      <c r="IBF128" s="827"/>
      <c r="IBG128" s="827"/>
      <c r="IBH128" s="827"/>
      <c r="IBI128" s="827"/>
      <c r="IBJ128" s="827"/>
      <c r="IBK128" s="827"/>
      <c r="IBL128" s="827"/>
      <c r="IBM128" s="827"/>
      <c r="IBN128" s="827"/>
      <c r="IBO128" s="827"/>
      <c r="IBP128" s="827"/>
      <c r="IBQ128" s="827"/>
      <c r="IBR128" s="827"/>
      <c r="IBS128" s="827"/>
      <c r="IBT128" s="827"/>
      <c r="IBU128" s="827"/>
      <c r="IBV128" s="827"/>
      <c r="IBW128" s="827"/>
      <c r="IBX128" s="827"/>
      <c r="IBY128" s="827"/>
      <c r="IBZ128" s="827"/>
      <c r="ICA128" s="827"/>
      <c r="ICB128" s="827"/>
      <c r="ICC128" s="827"/>
      <c r="ICD128" s="827"/>
      <c r="ICE128" s="827"/>
      <c r="ICF128" s="827"/>
      <c r="ICG128" s="827"/>
      <c r="ICH128" s="827"/>
      <c r="ICI128" s="827"/>
      <c r="ICJ128" s="827"/>
      <c r="ICK128" s="827"/>
      <c r="ICL128" s="827"/>
      <c r="ICM128" s="827"/>
      <c r="ICN128" s="827"/>
      <c r="ICO128" s="827"/>
      <c r="ICP128" s="827"/>
      <c r="ICQ128" s="827"/>
      <c r="ICR128" s="827"/>
      <c r="ICS128" s="827"/>
      <c r="ICT128" s="827"/>
      <c r="ICU128" s="827"/>
      <c r="ICV128" s="827"/>
      <c r="ICW128" s="827"/>
      <c r="ICX128" s="827"/>
      <c r="ICY128" s="827"/>
      <c r="ICZ128" s="827"/>
      <c r="IDA128" s="827"/>
      <c r="IDB128" s="827"/>
      <c r="IDC128" s="827"/>
      <c r="IDD128" s="827"/>
      <c r="IDE128" s="827"/>
      <c r="IDF128" s="827"/>
      <c r="IDG128" s="827"/>
      <c r="IDH128" s="827"/>
      <c r="IDI128" s="827"/>
      <c r="IDJ128" s="827"/>
      <c r="IDK128" s="827"/>
      <c r="IDL128" s="827"/>
      <c r="IDM128" s="827"/>
      <c r="IDN128" s="827"/>
      <c r="IDO128" s="827"/>
      <c r="IDP128" s="827"/>
      <c r="IDQ128" s="827"/>
      <c r="IDR128" s="827"/>
      <c r="IDS128" s="827"/>
      <c r="IDT128" s="827"/>
      <c r="IDU128" s="827"/>
      <c r="IDV128" s="827"/>
      <c r="IDW128" s="827"/>
      <c r="IDX128" s="827"/>
      <c r="IDY128" s="827"/>
      <c r="IDZ128" s="827"/>
      <c r="IEA128" s="827"/>
      <c r="IEB128" s="827"/>
      <c r="IEC128" s="827"/>
      <c r="IED128" s="827"/>
      <c r="IEE128" s="827"/>
      <c r="IEF128" s="827"/>
      <c r="IEG128" s="827"/>
      <c r="IEH128" s="827"/>
      <c r="IEI128" s="827"/>
      <c r="IEJ128" s="827"/>
      <c r="IEK128" s="827"/>
      <c r="IEL128" s="827"/>
      <c r="IEM128" s="827"/>
      <c r="IEN128" s="827"/>
      <c r="IEO128" s="827"/>
      <c r="IEP128" s="827"/>
      <c r="IEQ128" s="827"/>
      <c r="IER128" s="827"/>
      <c r="IES128" s="827"/>
      <c r="IET128" s="827"/>
      <c r="IEU128" s="827"/>
      <c r="IEV128" s="827"/>
      <c r="IEW128" s="827"/>
      <c r="IEX128" s="827"/>
      <c r="IEY128" s="827"/>
      <c r="IEZ128" s="827"/>
      <c r="IFA128" s="827"/>
      <c r="IFB128" s="827"/>
      <c r="IFC128" s="827"/>
      <c r="IFD128" s="827"/>
      <c r="IFE128" s="827"/>
      <c r="IFF128" s="827"/>
      <c r="IFG128" s="827"/>
      <c r="IFH128" s="827"/>
      <c r="IFI128" s="827"/>
      <c r="IFJ128" s="827"/>
      <c r="IFK128" s="827"/>
      <c r="IFL128" s="827"/>
      <c r="IFM128" s="827"/>
      <c r="IFN128" s="827"/>
      <c r="IFO128" s="827"/>
      <c r="IFP128" s="827"/>
      <c r="IFQ128" s="827"/>
      <c r="IFR128" s="827"/>
      <c r="IFS128" s="827"/>
      <c r="IFT128" s="827"/>
      <c r="IFU128" s="827"/>
      <c r="IFV128" s="827"/>
      <c r="IFW128" s="827"/>
      <c r="IFX128" s="827"/>
      <c r="IFY128" s="827"/>
      <c r="IFZ128" s="827"/>
      <c r="IGA128" s="827"/>
      <c r="IGB128" s="827"/>
      <c r="IGC128" s="827"/>
      <c r="IGD128" s="827"/>
      <c r="IGE128" s="827"/>
      <c r="IGF128" s="827"/>
      <c r="IGG128" s="827"/>
      <c r="IGH128" s="827"/>
      <c r="IGI128" s="827"/>
      <c r="IGJ128" s="827"/>
      <c r="IGK128" s="827"/>
      <c r="IGL128" s="827"/>
      <c r="IGM128" s="827"/>
      <c r="IGN128" s="827"/>
      <c r="IGO128" s="827"/>
      <c r="IGP128" s="827"/>
      <c r="IGQ128" s="827"/>
      <c r="IGR128" s="827"/>
      <c r="IGS128" s="827"/>
      <c r="IGT128" s="827"/>
      <c r="IGU128" s="827"/>
      <c r="IGV128" s="827"/>
      <c r="IGW128" s="827"/>
      <c r="IGX128" s="827"/>
      <c r="IGY128" s="827"/>
      <c r="IGZ128" s="827"/>
      <c r="IHA128" s="827"/>
      <c r="IHB128" s="827"/>
      <c r="IHC128" s="827"/>
      <c r="IHD128" s="827"/>
      <c r="IHE128" s="827"/>
      <c r="IHF128" s="827"/>
      <c r="IHG128" s="827"/>
      <c r="IHH128" s="827"/>
      <c r="IHI128" s="827"/>
      <c r="IHJ128" s="827"/>
      <c r="IHK128" s="827"/>
      <c r="IHL128" s="827"/>
      <c r="IHM128" s="827"/>
      <c r="IHN128" s="827"/>
      <c r="IHO128" s="827"/>
      <c r="IHP128" s="827"/>
      <c r="IHQ128" s="827"/>
      <c r="IHR128" s="827"/>
      <c r="IHS128" s="827"/>
      <c r="IHT128" s="827"/>
      <c r="IHU128" s="827"/>
      <c r="IHV128" s="827"/>
      <c r="IHW128" s="827"/>
      <c r="IHX128" s="827"/>
      <c r="IHY128" s="827"/>
      <c r="IHZ128" s="827"/>
      <c r="IIA128" s="827"/>
      <c r="IIB128" s="827"/>
      <c r="IIC128" s="827"/>
      <c r="IID128" s="827"/>
      <c r="IIE128" s="827"/>
      <c r="IIF128" s="827"/>
      <c r="IIG128" s="827"/>
      <c r="IIH128" s="827"/>
      <c r="III128" s="827"/>
      <c r="IIJ128" s="827"/>
      <c r="IIK128" s="827"/>
      <c r="IIL128" s="827"/>
      <c r="IIM128" s="827"/>
      <c r="IIN128" s="827"/>
      <c r="IIO128" s="827"/>
      <c r="IIP128" s="827"/>
      <c r="IIQ128" s="827"/>
      <c r="IIR128" s="827"/>
      <c r="IIS128" s="827"/>
      <c r="IIT128" s="827"/>
      <c r="IIU128" s="827"/>
      <c r="IIV128" s="827"/>
      <c r="IIW128" s="827"/>
      <c r="IIX128" s="827"/>
      <c r="IIY128" s="827"/>
      <c r="IIZ128" s="827"/>
      <c r="IJA128" s="827"/>
      <c r="IJB128" s="827"/>
      <c r="IJC128" s="827"/>
      <c r="IJD128" s="827"/>
      <c r="IJE128" s="827"/>
      <c r="IJF128" s="827"/>
      <c r="IJG128" s="827"/>
      <c r="IJH128" s="827"/>
      <c r="IJI128" s="827"/>
      <c r="IJJ128" s="827"/>
      <c r="IJK128" s="827"/>
      <c r="IJL128" s="827"/>
      <c r="IJM128" s="827"/>
      <c r="IJN128" s="827"/>
      <c r="IJO128" s="827"/>
      <c r="IJP128" s="827"/>
      <c r="IJQ128" s="827"/>
      <c r="IJR128" s="827"/>
      <c r="IJS128" s="827"/>
      <c r="IJT128" s="827"/>
      <c r="IJU128" s="827"/>
      <c r="IJV128" s="827"/>
      <c r="IJW128" s="827"/>
      <c r="IJX128" s="827"/>
      <c r="IJY128" s="827"/>
      <c r="IJZ128" s="827"/>
      <c r="IKA128" s="827"/>
      <c r="IKB128" s="827"/>
      <c r="IKC128" s="827"/>
      <c r="IKD128" s="827"/>
      <c r="IKE128" s="827"/>
      <c r="IKF128" s="827"/>
      <c r="IKG128" s="827"/>
      <c r="IKH128" s="827"/>
      <c r="IKI128" s="827"/>
      <c r="IKJ128" s="827"/>
      <c r="IKK128" s="827"/>
      <c r="IKL128" s="827"/>
      <c r="IKM128" s="827"/>
      <c r="IKN128" s="827"/>
      <c r="IKO128" s="827"/>
      <c r="IKP128" s="827"/>
      <c r="IKQ128" s="827"/>
      <c r="IKR128" s="827"/>
      <c r="IKS128" s="827"/>
      <c r="IKT128" s="827"/>
      <c r="IKU128" s="827"/>
      <c r="IKV128" s="827"/>
      <c r="IKW128" s="827"/>
      <c r="IKX128" s="827"/>
      <c r="IKY128" s="827"/>
      <c r="IKZ128" s="827"/>
      <c r="ILA128" s="827"/>
      <c r="ILB128" s="827"/>
      <c r="ILC128" s="827"/>
      <c r="ILD128" s="827"/>
      <c r="ILE128" s="827"/>
      <c r="ILF128" s="827"/>
      <c r="ILG128" s="827"/>
      <c r="ILH128" s="827"/>
      <c r="ILI128" s="827"/>
      <c r="ILJ128" s="827"/>
      <c r="ILK128" s="827"/>
      <c r="ILL128" s="827"/>
      <c r="ILM128" s="827"/>
      <c r="ILN128" s="827"/>
      <c r="ILO128" s="827"/>
      <c r="ILP128" s="827"/>
      <c r="ILQ128" s="827"/>
      <c r="ILR128" s="827"/>
      <c r="ILS128" s="827"/>
      <c r="ILT128" s="827"/>
      <c r="ILU128" s="827"/>
      <c r="ILV128" s="827"/>
      <c r="ILW128" s="827"/>
      <c r="ILX128" s="827"/>
      <c r="ILY128" s="827"/>
      <c r="ILZ128" s="827"/>
      <c r="IMA128" s="827"/>
      <c r="IMB128" s="827"/>
      <c r="IMC128" s="827"/>
      <c r="IMD128" s="827"/>
      <c r="IME128" s="827"/>
      <c r="IMF128" s="827"/>
      <c r="IMG128" s="827"/>
      <c r="IMH128" s="827"/>
      <c r="IMI128" s="827"/>
      <c r="IMJ128" s="827"/>
      <c r="IMK128" s="827"/>
      <c r="IML128" s="827"/>
      <c r="IMM128" s="827"/>
      <c r="IMN128" s="827"/>
      <c r="IMO128" s="827"/>
      <c r="IMP128" s="827"/>
      <c r="IMQ128" s="827"/>
      <c r="IMR128" s="827"/>
      <c r="IMS128" s="827"/>
      <c r="IMT128" s="827"/>
      <c r="IMU128" s="827"/>
      <c r="IMV128" s="827"/>
      <c r="IMW128" s="827"/>
      <c r="IMX128" s="827"/>
      <c r="IMY128" s="827"/>
      <c r="IMZ128" s="827"/>
      <c r="INA128" s="827"/>
      <c r="INB128" s="827"/>
      <c r="INC128" s="827"/>
      <c r="IND128" s="827"/>
      <c r="INE128" s="827"/>
      <c r="INF128" s="827"/>
      <c r="ING128" s="827"/>
      <c r="INH128" s="827"/>
      <c r="INI128" s="827"/>
      <c r="INJ128" s="827"/>
      <c r="INK128" s="827"/>
      <c r="INL128" s="827"/>
      <c r="INM128" s="827"/>
      <c r="INN128" s="827"/>
      <c r="INO128" s="827"/>
      <c r="INP128" s="827"/>
      <c r="INQ128" s="827"/>
      <c r="INR128" s="827"/>
      <c r="INS128" s="827"/>
      <c r="INT128" s="827"/>
      <c r="INU128" s="827"/>
      <c r="INV128" s="827"/>
      <c r="INW128" s="827"/>
      <c r="INX128" s="827"/>
      <c r="INY128" s="827"/>
      <c r="INZ128" s="827"/>
      <c r="IOA128" s="827"/>
      <c r="IOB128" s="827"/>
      <c r="IOC128" s="827"/>
      <c r="IOD128" s="827"/>
      <c r="IOE128" s="827"/>
      <c r="IOF128" s="827"/>
      <c r="IOG128" s="827"/>
      <c r="IOH128" s="827"/>
      <c r="IOI128" s="827"/>
      <c r="IOJ128" s="827"/>
      <c r="IOK128" s="827"/>
      <c r="IOL128" s="827"/>
      <c r="IOM128" s="827"/>
      <c r="ION128" s="827"/>
      <c r="IOO128" s="827"/>
      <c r="IOP128" s="827"/>
      <c r="IOQ128" s="827"/>
      <c r="IOR128" s="827"/>
      <c r="IOS128" s="827"/>
      <c r="IOT128" s="827"/>
      <c r="IOU128" s="827"/>
      <c r="IOV128" s="827"/>
      <c r="IOW128" s="827"/>
      <c r="IOX128" s="827"/>
      <c r="IOY128" s="827"/>
      <c r="IOZ128" s="827"/>
      <c r="IPA128" s="827"/>
      <c r="IPB128" s="827"/>
      <c r="IPC128" s="827"/>
      <c r="IPD128" s="827"/>
      <c r="IPE128" s="827"/>
      <c r="IPF128" s="827"/>
      <c r="IPG128" s="827"/>
      <c r="IPH128" s="827"/>
      <c r="IPI128" s="827"/>
      <c r="IPJ128" s="827"/>
      <c r="IPK128" s="827"/>
      <c r="IPL128" s="827"/>
      <c r="IPM128" s="827"/>
      <c r="IPN128" s="827"/>
      <c r="IPO128" s="827"/>
      <c r="IPP128" s="827"/>
      <c r="IPQ128" s="827"/>
      <c r="IPR128" s="827"/>
      <c r="IPS128" s="827"/>
      <c r="IPT128" s="827"/>
      <c r="IPU128" s="827"/>
      <c r="IPV128" s="827"/>
      <c r="IPW128" s="827"/>
      <c r="IPX128" s="827"/>
      <c r="IPY128" s="827"/>
      <c r="IPZ128" s="827"/>
      <c r="IQA128" s="827"/>
      <c r="IQB128" s="827"/>
      <c r="IQC128" s="827"/>
      <c r="IQD128" s="827"/>
      <c r="IQE128" s="827"/>
      <c r="IQF128" s="827"/>
      <c r="IQG128" s="827"/>
      <c r="IQH128" s="827"/>
      <c r="IQI128" s="827"/>
      <c r="IQJ128" s="827"/>
      <c r="IQK128" s="827"/>
      <c r="IQL128" s="827"/>
      <c r="IQM128" s="827"/>
      <c r="IQN128" s="827"/>
      <c r="IQO128" s="827"/>
      <c r="IQP128" s="827"/>
      <c r="IQQ128" s="827"/>
      <c r="IQR128" s="827"/>
      <c r="IQS128" s="827"/>
      <c r="IQT128" s="827"/>
      <c r="IQU128" s="827"/>
      <c r="IQV128" s="827"/>
      <c r="IQW128" s="827"/>
      <c r="IQX128" s="827"/>
      <c r="IQY128" s="827"/>
      <c r="IQZ128" s="827"/>
      <c r="IRA128" s="827"/>
      <c r="IRB128" s="827"/>
      <c r="IRC128" s="827"/>
      <c r="IRD128" s="827"/>
      <c r="IRE128" s="827"/>
      <c r="IRF128" s="827"/>
      <c r="IRG128" s="827"/>
      <c r="IRH128" s="827"/>
      <c r="IRI128" s="827"/>
      <c r="IRJ128" s="827"/>
      <c r="IRK128" s="827"/>
      <c r="IRL128" s="827"/>
      <c r="IRM128" s="827"/>
      <c r="IRN128" s="827"/>
      <c r="IRO128" s="827"/>
      <c r="IRP128" s="827"/>
      <c r="IRQ128" s="827"/>
      <c r="IRR128" s="827"/>
      <c r="IRS128" s="827"/>
      <c r="IRT128" s="827"/>
      <c r="IRU128" s="827"/>
      <c r="IRV128" s="827"/>
      <c r="IRW128" s="827"/>
      <c r="IRX128" s="827"/>
      <c r="IRY128" s="827"/>
      <c r="IRZ128" s="827"/>
      <c r="ISA128" s="827"/>
      <c r="ISB128" s="827"/>
      <c r="ISC128" s="827"/>
      <c r="ISD128" s="827"/>
      <c r="ISE128" s="827"/>
      <c r="ISF128" s="827"/>
      <c r="ISG128" s="827"/>
      <c r="ISH128" s="827"/>
      <c r="ISI128" s="827"/>
      <c r="ISJ128" s="827"/>
      <c r="ISK128" s="827"/>
      <c r="ISL128" s="827"/>
      <c r="ISM128" s="827"/>
      <c r="ISN128" s="827"/>
      <c r="ISO128" s="827"/>
      <c r="ISP128" s="827"/>
      <c r="ISQ128" s="827"/>
      <c r="ISR128" s="827"/>
      <c r="ISS128" s="827"/>
      <c r="IST128" s="827"/>
      <c r="ISU128" s="827"/>
      <c r="ISV128" s="827"/>
      <c r="ISW128" s="827"/>
      <c r="ISX128" s="827"/>
      <c r="ISY128" s="827"/>
      <c r="ISZ128" s="827"/>
      <c r="ITA128" s="827"/>
      <c r="ITB128" s="827"/>
      <c r="ITC128" s="827"/>
      <c r="ITD128" s="827"/>
      <c r="ITE128" s="827"/>
      <c r="ITF128" s="827"/>
      <c r="ITG128" s="827"/>
      <c r="ITH128" s="827"/>
      <c r="ITI128" s="827"/>
      <c r="ITJ128" s="827"/>
      <c r="ITK128" s="827"/>
      <c r="ITL128" s="827"/>
      <c r="ITM128" s="827"/>
      <c r="ITN128" s="827"/>
      <c r="ITO128" s="827"/>
      <c r="ITP128" s="827"/>
      <c r="ITQ128" s="827"/>
      <c r="ITR128" s="827"/>
      <c r="ITS128" s="827"/>
      <c r="ITT128" s="827"/>
      <c r="ITU128" s="827"/>
      <c r="ITV128" s="827"/>
      <c r="ITW128" s="827"/>
      <c r="ITX128" s="827"/>
      <c r="ITY128" s="827"/>
      <c r="ITZ128" s="827"/>
      <c r="IUA128" s="827"/>
      <c r="IUB128" s="827"/>
      <c r="IUC128" s="827"/>
      <c r="IUD128" s="827"/>
      <c r="IUE128" s="827"/>
      <c r="IUF128" s="827"/>
      <c r="IUG128" s="827"/>
      <c r="IUH128" s="827"/>
      <c r="IUI128" s="827"/>
      <c r="IUJ128" s="827"/>
      <c r="IUK128" s="827"/>
      <c r="IUL128" s="827"/>
      <c r="IUM128" s="827"/>
      <c r="IUN128" s="827"/>
      <c r="IUO128" s="827"/>
      <c r="IUP128" s="827"/>
      <c r="IUQ128" s="827"/>
      <c r="IUR128" s="827"/>
      <c r="IUS128" s="827"/>
      <c r="IUT128" s="827"/>
      <c r="IUU128" s="827"/>
      <c r="IUV128" s="827"/>
      <c r="IUW128" s="827"/>
      <c r="IUX128" s="827"/>
      <c r="IUY128" s="827"/>
      <c r="IUZ128" s="827"/>
      <c r="IVA128" s="827"/>
      <c r="IVB128" s="827"/>
      <c r="IVC128" s="827"/>
      <c r="IVD128" s="827"/>
      <c r="IVE128" s="827"/>
      <c r="IVF128" s="827"/>
      <c r="IVG128" s="827"/>
      <c r="IVH128" s="827"/>
      <c r="IVI128" s="827"/>
      <c r="IVJ128" s="827"/>
      <c r="IVK128" s="827"/>
      <c r="IVL128" s="827"/>
      <c r="IVM128" s="827"/>
      <c r="IVN128" s="827"/>
      <c r="IVO128" s="827"/>
      <c r="IVP128" s="827"/>
      <c r="IVQ128" s="827"/>
      <c r="IVR128" s="827"/>
      <c r="IVS128" s="827"/>
      <c r="IVT128" s="827"/>
      <c r="IVU128" s="827"/>
      <c r="IVV128" s="827"/>
      <c r="IVW128" s="827"/>
      <c r="IVX128" s="827"/>
      <c r="IVY128" s="827"/>
      <c r="IVZ128" s="827"/>
      <c r="IWA128" s="827"/>
      <c r="IWB128" s="827"/>
      <c r="IWC128" s="827"/>
      <c r="IWD128" s="827"/>
      <c r="IWE128" s="827"/>
      <c r="IWF128" s="827"/>
      <c r="IWG128" s="827"/>
      <c r="IWH128" s="827"/>
      <c r="IWI128" s="827"/>
      <c r="IWJ128" s="827"/>
      <c r="IWK128" s="827"/>
      <c r="IWL128" s="827"/>
      <c r="IWM128" s="827"/>
      <c r="IWN128" s="827"/>
      <c r="IWO128" s="827"/>
      <c r="IWP128" s="827"/>
      <c r="IWQ128" s="827"/>
      <c r="IWR128" s="827"/>
      <c r="IWS128" s="827"/>
      <c r="IWT128" s="827"/>
      <c r="IWU128" s="827"/>
      <c r="IWV128" s="827"/>
      <c r="IWW128" s="827"/>
      <c r="IWX128" s="827"/>
      <c r="IWY128" s="827"/>
      <c r="IWZ128" s="827"/>
      <c r="IXA128" s="827"/>
      <c r="IXB128" s="827"/>
      <c r="IXC128" s="827"/>
      <c r="IXD128" s="827"/>
      <c r="IXE128" s="827"/>
      <c r="IXF128" s="827"/>
      <c r="IXG128" s="827"/>
      <c r="IXH128" s="827"/>
      <c r="IXI128" s="827"/>
      <c r="IXJ128" s="827"/>
      <c r="IXK128" s="827"/>
      <c r="IXL128" s="827"/>
      <c r="IXM128" s="827"/>
      <c r="IXN128" s="827"/>
      <c r="IXO128" s="827"/>
      <c r="IXP128" s="827"/>
      <c r="IXQ128" s="827"/>
      <c r="IXR128" s="827"/>
      <c r="IXS128" s="827"/>
      <c r="IXT128" s="827"/>
      <c r="IXU128" s="827"/>
      <c r="IXV128" s="827"/>
      <c r="IXW128" s="827"/>
      <c r="IXX128" s="827"/>
      <c r="IXY128" s="827"/>
      <c r="IXZ128" s="827"/>
      <c r="IYA128" s="827"/>
      <c r="IYB128" s="827"/>
      <c r="IYC128" s="827"/>
      <c r="IYD128" s="827"/>
      <c r="IYE128" s="827"/>
      <c r="IYF128" s="827"/>
      <c r="IYG128" s="827"/>
      <c r="IYH128" s="827"/>
      <c r="IYI128" s="827"/>
      <c r="IYJ128" s="827"/>
      <c r="IYK128" s="827"/>
      <c r="IYL128" s="827"/>
      <c r="IYM128" s="827"/>
      <c r="IYN128" s="827"/>
      <c r="IYO128" s="827"/>
      <c r="IYP128" s="827"/>
      <c r="IYQ128" s="827"/>
      <c r="IYR128" s="827"/>
      <c r="IYS128" s="827"/>
      <c r="IYT128" s="827"/>
      <c r="IYU128" s="827"/>
      <c r="IYV128" s="827"/>
      <c r="IYW128" s="827"/>
      <c r="IYX128" s="827"/>
      <c r="IYY128" s="827"/>
      <c r="IYZ128" s="827"/>
      <c r="IZA128" s="827"/>
      <c r="IZB128" s="827"/>
      <c r="IZC128" s="827"/>
      <c r="IZD128" s="827"/>
      <c r="IZE128" s="827"/>
      <c r="IZF128" s="827"/>
      <c r="IZG128" s="827"/>
      <c r="IZH128" s="827"/>
      <c r="IZI128" s="827"/>
      <c r="IZJ128" s="827"/>
      <c r="IZK128" s="827"/>
      <c r="IZL128" s="827"/>
      <c r="IZM128" s="827"/>
      <c r="IZN128" s="827"/>
      <c r="IZO128" s="827"/>
      <c r="IZP128" s="827"/>
      <c r="IZQ128" s="827"/>
      <c r="IZR128" s="827"/>
      <c r="IZS128" s="827"/>
      <c r="IZT128" s="827"/>
      <c r="IZU128" s="827"/>
      <c r="IZV128" s="827"/>
      <c r="IZW128" s="827"/>
      <c r="IZX128" s="827"/>
      <c r="IZY128" s="827"/>
      <c r="IZZ128" s="827"/>
      <c r="JAA128" s="827"/>
      <c r="JAB128" s="827"/>
      <c r="JAC128" s="827"/>
      <c r="JAD128" s="827"/>
      <c r="JAE128" s="827"/>
      <c r="JAF128" s="827"/>
      <c r="JAG128" s="827"/>
      <c r="JAH128" s="827"/>
      <c r="JAI128" s="827"/>
      <c r="JAJ128" s="827"/>
      <c r="JAK128" s="827"/>
      <c r="JAL128" s="827"/>
      <c r="JAM128" s="827"/>
      <c r="JAN128" s="827"/>
      <c r="JAO128" s="827"/>
      <c r="JAP128" s="827"/>
      <c r="JAQ128" s="827"/>
      <c r="JAR128" s="827"/>
      <c r="JAS128" s="827"/>
      <c r="JAT128" s="827"/>
      <c r="JAU128" s="827"/>
      <c r="JAV128" s="827"/>
      <c r="JAW128" s="827"/>
      <c r="JAX128" s="827"/>
      <c r="JAY128" s="827"/>
      <c r="JAZ128" s="827"/>
      <c r="JBA128" s="827"/>
      <c r="JBB128" s="827"/>
      <c r="JBC128" s="827"/>
      <c r="JBD128" s="827"/>
      <c r="JBE128" s="827"/>
      <c r="JBF128" s="827"/>
      <c r="JBG128" s="827"/>
      <c r="JBH128" s="827"/>
      <c r="JBI128" s="827"/>
      <c r="JBJ128" s="827"/>
      <c r="JBK128" s="827"/>
      <c r="JBL128" s="827"/>
      <c r="JBM128" s="827"/>
      <c r="JBN128" s="827"/>
      <c r="JBO128" s="827"/>
      <c r="JBP128" s="827"/>
      <c r="JBQ128" s="827"/>
      <c r="JBR128" s="827"/>
      <c r="JBS128" s="827"/>
      <c r="JBT128" s="827"/>
      <c r="JBU128" s="827"/>
      <c r="JBV128" s="827"/>
      <c r="JBW128" s="827"/>
      <c r="JBX128" s="827"/>
      <c r="JBY128" s="827"/>
      <c r="JBZ128" s="827"/>
      <c r="JCA128" s="827"/>
      <c r="JCB128" s="827"/>
      <c r="JCC128" s="827"/>
      <c r="JCD128" s="827"/>
      <c r="JCE128" s="827"/>
      <c r="JCF128" s="827"/>
      <c r="JCG128" s="827"/>
      <c r="JCH128" s="827"/>
      <c r="JCI128" s="827"/>
      <c r="JCJ128" s="827"/>
      <c r="JCK128" s="827"/>
      <c r="JCL128" s="827"/>
      <c r="JCM128" s="827"/>
      <c r="JCN128" s="827"/>
      <c r="JCO128" s="827"/>
      <c r="JCP128" s="827"/>
      <c r="JCQ128" s="827"/>
      <c r="JCR128" s="827"/>
      <c r="JCS128" s="827"/>
      <c r="JCT128" s="827"/>
      <c r="JCU128" s="827"/>
      <c r="JCV128" s="827"/>
      <c r="JCW128" s="827"/>
      <c r="JCX128" s="827"/>
      <c r="JCY128" s="827"/>
      <c r="JCZ128" s="827"/>
      <c r="JDA128" s="827"/>
      <c r="JDB128" s="827"/>
      <c r="JDC128" s="827"/>
      <c r="JDD128" s="827"/>
      <c r="JDE128" s="827"/>
      <c r="JDF128" s="827"/>
      <c r="JDG128" s="827"/>
      <c r="JDH128" s="827"/>
      <c r="JDI128" s="827"/>
      <c r="JDJ128" s="827"/>
      <c r="JDK128" s="827"/>
      <c r="JDL128" s="827"/>
      <c r="JDM128" s="827"/>
      <c r="JDN128" s="827"/>
      <c r="JDO128" s="827"/>
      <c r="JDP128" s="827"/>
      <c r="JDQ128" s="827"/>
      <c r="JDR128" s="827"/>
      <c r="JDS128" s="827"/>
      <c r="JDT128" s="827"/>
      <c r="JDU128" s="827"/>
      <c r="JDV128" s="827"/>
      <c r="JDW128" s="827"/>
      <c r="JDX128" s="827"/>
      <c r="JDY128" s="827"/>
      <c r="JDZ128" s="827"/>
      <c r="JEA128" s="827"/>
      <c r="JEB128" s="827"/>
      <c r="JEC128" s="827"/>
      <c r="JED128" s="827"/>
      <c r="JEE128" s="827"/>
      <c r="JEF128" s="827"/>
      <c r="JEG128" s="827"/>
      <c r="JEH128" s="827"/>
      <c r="JEI128" s="827"/>
      <c r="JEJ128" s="827"/>
      <c r="JEK128" s="827"/>
      <c r="JEL128" s="827"/>
      <c r="JEM128" s="827"/>
      <c r="JEN128" s="827"/>
      <c r="JEO128" s="827"/>
      <c r="JEP128" s="827"/>
      <c r="JEQ128" s="827"/>
      <c r="JER128" s="827"/>
      <c r="JES128" s="827"/>
      <c r="JET128" s="827"/>
      <c r="JEU128" s="827"/>
      <c r="JEV128" s="827"/>
      <c r="JEW128" s="827"/>
      <c r="JEX128" s="827"/>
      <c r="JEY128" s="827"/>
      <c r="JEZ128" s="827"/>
      <c r="JFA128" s="827"/>
      <c r="JFB128" s="827"/>
      <c r="JFC128" s="827"/>
      <c r="JFD128" s="827"/>
      <c r="JFE128" s="827"/>
      <c r="JFF128" s="827"/>
      <c r="JFG128" s="827"/>
      <c r="JFH128" s="827"/>
      <c r="JFI128" s="827"/>
      <c r="JFJ128" s="827"/>
      <c r="JFK128" s="827"/>
      <c r="JFL128" s="827"/>
      <c r="JFM128" s="827"/>
      <c r="JFN128" s="827"/>
      <c r="JFO128" s="827"/>
      <c r="JFP128" s="827"/>
      <c r="JFQ128" s="827"/>
      <c r="JFR128" s="827"/>
      <c r="JFS128" s="827"/>
      <c r="JFT128" s="827"/>
      <c r="JFU128" s="827"/>
      <c r="JFV128" s="827"/>
      <c r="JFW128" s="827"/>
      <c r="JFX128" s="827"/>
      <c r="JFY128" s="827"/>
      <c r="JFZ128" s="827"/>
      <c r="JGA128" s="827"/>
      <c r="JGB128" s="827"/>
      <c r="JGC128" s="827"/>
      <c r="JGD128" s="827"/>
      <c r="JGE128" s="827"/>
      <c r="JGF128" s="827"/>
      <c r="JGG128" s="827"/>
      <c r="JGH128" s="827"/>
      <c r="JGI128" s="827"/>
      <c r="JGJ128" s="827"/>
      <c r="JGK128" s="827"/>
      <c r="JGL128" s="827"/>
      <c r="JGM128" s="827"/>
      <c r="JGN128" s="827"/>
      <c r="JGO128" s="827"/>
      <c r="JGP128" s="827"/>
      <c r="JGQ128" s="827"/>
      <c r="JGR128" s="827"/>
      <c r="JGS128" s="827"/>
      <c r="JGT128" s="827"/>
      <c r="JGU128" s="827"/>
      <c r="JGV128" s="827"/>
      <c r="JGW128" s="827"/>
      <c r="JGX128" s="827"/>
      <c r="JGY128" s="827"/>
      <c r="JGZ128" s="827"/>
      <c r="JHA128" s="827"/>
      <c r="JHB128" s="827"/>
      <c r="JHC128" s="827"/>
      <c r="JHD128" s="827"/>
      <c r="JHE128" s="827"/>
      <c r="JHF128" s="827"/>
      <c r="JHG128" s="827"/>
      <c r="JHH128" s="827"/>
      <c r="JHI128" s="827"/>
      <c r="JHJ128" s="827"/>
      <c r="JHK128" s="827"/>
      <c r="JHL128" s="827"/>
      <c r="JHM128" s="827"/>
      <c r="JHN128" s="827"/>
      <c r="JHO128" s="827"/>
      <c r="JHP128" s="827"/>
      <c r="JHQ128" s="827"/>
      <c r="JHR128" s="827"/>
      <c r="JHS128" s="827"/>
      <c r="JHT128" s="827"/>
      <c r="JHU128" s="827"/>
      <c r="JHV128" s="827"/>
      <c r="JHW128" s="827"/>
      <c r="JHX128" s="827"/>
      <c r="JHY128" s="827"/>
      <c r="JHZ128" s="827"/>
      <c r="JIA128" s="827"/>
      <c r="JIB128" s="827"/>
      <c r="JIC128" s="827"/>
      <c r="JID128" s="827"/>
      <c r="JIE128" s="827"/>
      <c r="JIF128" s="827"/>
      <c r="JIG128" s="827"/>
      <c r="JIH128" s="827"/>
      <c r="JII128" s="827"/>
      <c r="JIJ128" s="827"/>
      <c r="JIK128" s="827"/>
      <c r="JIL128" s="827"/>
      <c r="JIM128" s="827"/>
      <c r="JIN128" s="827"/>
      <c r="JIO128" s="827"/>
      <c r="JIP128" s="827"/>
      <c r="JIQ128" s="827"/>
      <c r="JIR128" s="827"/>
      <c r="JIS128" s="827"/>
      <c r="JIT128" s="827"/>
      <c r="JIU128" s="827"/>
      <c r="JIV128" s="827"/>
      <c r="JIW128" s="827"/>
      <c r="JIX128" s="827"/>
      <c r="JIY128" s="827"/>
      <c r="JIZ128" s="827"/>
      <c r="JJA128" s="827"/>
      <c r="JJB128" s="827"/>
      <c r="JJC128" s="827"/>
      <c r="JJD128" s="827"/>
      <c r="JJE128" s="827"/>
      <c r="JJF128" s="827"/>
      <c r="JJG128" s="827"/>
      <c r="JJH128" s="827"/>
      <c r="JJI128" s="827"/>
      <c r="JJJ128" s="827"/>
      <c r="JJK128" s="827"/>
      <c r="JJL128" s="827"/>
      <c r="JJM128" s="827"/>
      <c r="JJN128" s="827"/>
      <c r="JJO128" s="827"/>
      <c r="JJP128" s="827"/>
      <c r="JJQ128" s="827"/>
      <c r="JJR128" s="827"/>
      <c r="JJS128" s="827"/>
      <c r="JJT128" s="827"/>
      <c r="JJU128" s="827"/>
      <c r="JJV128" s="827"/>
      <c r="JJW128" s="827"/>
      <c r="JJX128" s="827"/>
      <c r="JJY128" s="827"/>
      <c r="JJZ128" s="827"/>
      <c r="JKA128" s="827"/>
      <c r="JKB128" s="827"/>
      <c r="JKC128" s="827"/>
      <c r="JKD128" s="827"/>
      <c r="JKE128" s="827"/>
      <c r="JKF128" s="827"/>
      <c r="JKG128" s="827"/>
      <c r="JKH128" s="827"/>
      <c r="JKI128" s="827"/>
      <c r="JKJ128" s="827"/>
      <c r="JKK128" s="827"/>
      <c r="JKL128" s="827"/>
      <c r="JKM128" s="827"/>
      <c r="JKN128" s="827"/>
      <c r="JKO128" s="827"/>
      <c r="JKP128" s="827"/>
      <c r="JKQ128" s="827"/>
      <c r="JKR128" s="827"/>
      <c r="JKS128" s="827"/>
      <c r="JKT128" s="827"/>
      <c r="JKU128" s="827"/>
      <c r="JKV128" s="827"/>
      <c r="JKW128" s="827"/>
      <c r="JKX128" s="827"/>
      <c r="JKY128" s="827"/>
      <c r="JKZ128" s="827"/>
      <c r="JLA128" s="827"/>
      <c r="JLB128" s="827"/>
      <c r="JLC128" s="827"/>
      <c r="JLD128" s="827"/>
      <c r="JLE128" s="827"/>
      <c r="JLF128" s="827"/>
      <c r="JLG128" s="827"/>
      <c r="JLH128" s="827"/>
      <c r="JLI128" s="827"/>
      <c r="JLJ128" s="827"/>
      <c r="JLK128" s="827"/>
      <c r="JLL128" s="827"/>
      <c r="JLM128" s="827"/>
      <c r="JLN128" s="827"/>
      <c r="JLO128" s="827"/>
      <c r="JLP128" s="827"/>
      <c r="JLQ128" s="827"/>
      <c r="JLR128" s="827"/>
      <c r="JLS128" s="827"/>
      <c r="JLT128" s="827"/>
      <c r="JLU128" s="827"/>
      <c r="JLV128" s="827"/>
      <c r="JLW128" s="827"/>
      <c r="JLX128" s="827"/>
      <c r="JLY128" s="827"/>
      <c r="JLZ128" s="827"/>
      <c r="JMA128" s="827"/>
      <c r="JMB128" s="827"/>
      <c r="JMC128" s="827"/>
      <c r="JMD128" s="827"/>
      <c r="JME128" s="827"/>
      <c r="JMF128" s="827"/>
      <c r="JMG128" s="827"/>
      <c r="JMH128" s="827"/>
      <c r="JMI128" s="827"/>
      <c r="JMJ128" s="827"/>
      <c r="JMK128" s="827"/>
      <c r="JML128" s="827"/>
      <c r="JMM128" s="827"/>
      <c r="JMN128" s="827"/>
      <c r="JMO128" s="827"/>
      <c r="JMP128" s="827"/>
      <c r="JMQ128" s="827"/>
      <c r="JMR128" s="827"/>
      <c r="JMS128" s="827"/>
      <c r="JMT128" s="827"/>
      <c r="JMU128" s="827"/>
      <c r="JMV128" s="827"/>
      <c r="JMW128" s="827"/>
      <c r="JMX128" s="827"/>
      <c r="JMY128" s="827"/>
      <c r="JMZ128" s="827"/>
      <c r="JNA128" s="827"/>
      <c r="JNB128" s="827"/>
      <c r="JNC128" s="827"/>
      <c r="JND128" s="827"/>
      <c r="JNE128" s="827"/>
      <c r="JNF128" s="827"/>
      <c r="JNG128" s="827"/>
      <c r="JNH128" s="827"/>
      <c r="JNI128" s="827"/>
      <c r="JNJ128" s="827"/>
      <c r="JNK128" s="827"/>
      <c r="JNL128" s="827"/>
      <c r="JNM128" s="827"/>
      <c r="JNN128" s="827"/>
      <c r="JNO128" s="827"/>
      <c r="JNP128" s="827"/>
      <c r="JNQ128" s="827"/>
      <c r="JNR128" s="827"/>
      <c r="JNS128" s="827"/>
      <c r="JNT128" s="827"/>
      <c r="JNU128" s="827"/>
      <c r="JNV128" s="827"/>
      <c r="JNW128" s="827"/>
      <c r="JNX128" s="827"/>
      <c r="JNY128" s="827"/>
      <c r="JNZ128" s="827"/>
      <c r="JOA128" s="827"/>
      <c r="JOB128" s="827"/>
      <c r="JOC128" s="827"/>
      <c r="JOD128" s="827"/>
      <c r="JOE128" s="827"/>
      <c r="JOF128" s="827"/>
      <c r="JOG128" s="827"/>
      <c r="JOH128" s="827"/>
      <c r="JOI128" s="827"/>
      <c r="JOJ128" s="827"/>
      <c r="JOK128" s="827"/>
      <c r="JOL128" s="827"/>
      <c r="JOM128" s="827"/>
      <c r="JON128" s="827"/>
      <c r="JOO128" s="827"/>
      <c r="JOP128" s="827"/>
      <c r="JOQ128" s="827"/>
      <c r="JOR128" s="827"/>
      <c r="JOS128" s="827"/>
      <c r="JOT128" s="827"/>
      <c r="JOU128" s="827"/>
      <c r="JOV128" s="827"/>
      <c r="JOW128" s="827"/>
      <c r="JOX128" s="827"/>
      <c r="JOY128" s="827"/>
      <c r="JOZ128" s="827"/>
      <c r="JPA128" s="827"/>
      <c r="JPB128" s="827"/>
      <c r="JPC128" s="827"/>
      <c r="JPD128" s="827"/>
      <c r="JPE128" s="827"/>
      <c r="JPF128" s="827"/>
      <c r="JPG128" s="827"/>
      <c r="JPH128" s="827"/>
      <c r="JPI128" s="827"/>
      <c r="JPJ128" s="827"/>
      <c r="JPK128" s="827"/>
      <c r="JPL128" s="827"/>
      <c r="JPM128" s="827"/>
      <c r="JPN128" s="827"/>
      <c r="JPO128" s="827"/>
      <c r="JPP128" s="827"/>
      <c r="JPQ128" s="827"/>
      <c r="JPR128" s="827"/>
      <c r="JPS128" s="827"/>
      <c r="JPT128" s="827"/>
      <c r="JPU128" s="827"/>
      <c r="JPV128" s="827"/>
      <c r="JPW128" s="827"/>
      <c r="JPX128" s="827"/>
      <c r="JPY128" s="827"/>
      <c r="JPZ128" s="827"/>
      <c r="JQA128" s="827"/>
      <c r="JQB128" s="827"/>
      <c r="JQC128" s="827"/>
      <c r="JQD128" s="827"/>
      <c r="JQE128" s="827"/>
      <c r="JQF128" s="827"/>
      <c r="JQG128" s="827"/>
      <c r="JQH128" s="827"/>
      <c r="JQI128" s="827"/>
      <c r="JQJ128" s="827"/>
      <c r="JQK128" s="827"/>
      <c r="JQL128" s="827"/>
      <c r="JQM128" s="827"/>
      <c r="JQN128" s="827"/>
      <c r="JQO128" s="827"/>
      <c r="JQP128" s="827"/>
      <c r="JQQ128" s="827"/>
      <c r="JQR128" s="827"/>
      <c r="JQS128" s="827"/>
      <c r="JQT128" s="827"/>
      <c r="JQU128" s="827"/>
      <c r="JQV128" s="827"/>
      <c r="JQW128" s="827"/>
      <c r="JQX128" s="827"/>
      <c r="JQY128" s="827"/>
      <c r="JQZ128" s="827"/>
      <c r="JRA128" s="827"/>
      <c r="JRB128" s="827"/>
      <c r="JRC128" s="827"/>
      <c r="JRD128" s="827"/>
      <c r="JRE128" s="827"/>
      <c r="JRF128" s="827"/>
      <c r="JRG128" s="827"/>
      <c r="JRH128" s="827"/>
      <c r="JRI128" s="827"/>
      <c r="JRJ128" s="827"/>
      <c r="JRK128" s="827"/>
      <c r="JRL128" s="827"/>
      <c r="JRM128" s="827"/>
      <c r="JRN128" s="827"/>
      <c r="JRO128" s="827"/>
      <c r="JRP128" s="827"/>
      <c r="JRQ128" s="827"/>
      <c r="JRR128" s="827"/>
      <c r="JRS128" s="827"/>
      <c r="JRT128" s="827"/>
      <c r="JRU128" s="827"/>
      <c r="JRV128" s="827"/>
      <c r="JRW128" s="827"/>
      <c r="JRX128" s="827"/>
      <c r="JRY128" s="827"/>
      <c r="JRZ128" s="827"/>
      <c r="JSA128" s="827"/>
      <c r="JSB128" s="827"/>
      <c r="JSC128" s="827"/>
      <c r="JSD128" s="827"/>
      <c r="JSE128" s="827"/>
      <c r="JSF128" s="827"/>
      <c r="JSG128" s="827"/>
      <c r="JSH128" s="827"/>
      <c r="JSI128" s="827"/>
      <c r="JSJ128" s="827"/>
      <c r="JSK128" s="827"/>
      <c r="JSL128" s="827"/>
      <c r="JSM128" s="827"/>
      <c r="JSN128" s="827"/>
      <c r="JSO128" s="827"/>
      <c r="JSP128" s="827"/>
      <c r="JSQ128" s="827"/>
      <c r="JSR128" s="827"/>
      <c r="JSS128" s="827"/>
      <c r="JST128" s="827"/>
      <c r="JSU128" s="827"/>
      <c r="JSV128" s="827"/>
      <c r="JSW128" s="827"/>
      <c r="JSX128" s="827"/>
      <c r="JSY128" s="827"/>
      <c r="JSZ128" s="827"/>
      <c r="JTA128" s="827"/>
      <c r="JTB128" s="827"/>
      <c r="JTC128" s="827"/>
      <c r="JTD128" s="827"/>
      <c r="JTE128" s="827"/>
      <c r="JTF128" s="827"/>
      <c r="JTG128" s="827"/>
      <c r="JTH128" s="827"/>
      <c r="JTI128" s="827"/>
      <c r="JTJ128" s="827"/>
      <c r="JTK128" s="827"/>
      <c r="JTL128" s="827"/>
      <c r="JTM128" s="827"/>
      <c r="JTN128" s="827"/>
      <c r="JTO128" s="827"/>
      <c r="JTP128" s="827"/>
      <c r="JTQ128" s="827"/>
      <c r="JTR128" s="827"/>
      <c r="JTS128" s="827"/>
      <c r="JTT128" s="827"/>
      <c r="JTU128" s="827"/>
      <c r="JTV128" s="827"/>
      <c r="JTW128" s="827"/>
      <c r="JTX128" s="827"/>
      <c r="JTY128" s="827"/>
      <c r="JTZ128" s="827"/>
      <c r="JUA128" s="827"/>
      <c r="JUB128" s="827"/>
      <c r="JUC128" s="827"/>
      <c r="JUD128" s="827"/>
      <c r="JUE128" s="827"/>
      <c r="JUF128" s="827"/>
      <c r="JUG128" s="827"/>
      <c r="JUH128" s="827"/>
      <c r="JUI128" s="827"/>
      <c r="JUJ128" s="827"/>
      <c r="JUK128" s="827"/>
      <c r="JUL128" s="827"/>
      <c r="JUM128" s="827"/>
      <c r="JUN128" s="827"/>
      <c r="JUO128" s="827"/>
      <c r="JUP128" s="827"/>
      <c r="JUQ128" s="827"/>
      <c r="JUR128" s="827"/>
      <c r="JUS128" s="827"/>
      <c r="JUT128" s="827"/>
      <c r="JUU128" s="827"/>
      <c r="JUV128" s="827"/>
      <c r="JUW128" s="827"/>
      <c r="JUX128" s="827"/>
      <c r="JUY128" s="827"/>
      <c r="JUZ128" s="827"/>
      <c r="JVA128" s="827"/>
      <c r="JVB128" s="827"/>
      <c r="JVC128" s="827"/>
      <c r="JVD128" s="827"/>
      <c r="JVE128" s="827"/>
      <c r="JVF128" s="827"/>
      <c r="JVG128" s="827"/>
      <c r="JVH128" s="827"/>
      <c r="JVI128" s="827"/>
      <c r="JVJ128" s="827"/>
      <c r="JVK128" s="827"/>
      <c r="JVL128" s="827"/>
      <c r="JVM128" s="827"/>
      <c r="JVN128" s="827"/>
      <c r="JVO128" s="827"/>
      <c r="JVP128" s="827"/>
      <c r="JVQ128" s="827"/>
      <c r="JVR128" s="827"/>
      <c r="JVS128" s="827"/>
      <c r="JVT128" s="827"/>
      <c r="JVU128" s="827"/>
      <c r="JVV128" s="827"/>
      <c r="JVW128" s="827"/>
      <c r="JVX128" s="827"/>
      <c r="JVY128" s="827"/>
      <c r="JVZ128" s="827"/>
      <c r="JWA128" s="827"/>
      <c r="JWB128" s="827"/>
      <c r="JWC128" s="827"/>
      <c r="JWD128" s="827"/>
      <c r="JWE128" s="827"/>
      <c r="JWF128" s="827"/>
      <c r="JWG128" s="827"/>
      <c r="JWH128" s="827"/>
      <c r="JWI128" s="827"/>
      <c r="JWJ128" s="827"/>
      <c r="JWK128" s="827"/>
      <c r="JWL128" s="827"/>
      <c r="JWM128" s="827"/>
      <c r="JWN128" s="827"/>
      <c r="JWO128" s="827"/>
      <c r="JWP128" s="827"/>
      <c r="JWQ128" s="827"/>
      <c r="JWR128" s="827"/>
      <c r="JWS128" s="827"/>
      <c r="JWT128" s="827"/>
      <c r="JWU128" s="827"/>
      <c r="JWV128" s="827"/>
      <c r="JWW128" s="827"/>
      <c r="JWX128" s="827"/>
      <c r="JWY128" s="827"/>
      <c r="JWZ128" s="827"/>
      <c r="JXA128" s="827"/>
      <c r="JXB128" s="827"/>
      <c r="JXC128" s="827"/>
      <c r="JXD128" s="827"/>
      <c r="JXE128" s="827"/>
      <c r="JXF128" s="827"/>
      <c r="JXG128" s="827"/>
      <c r="JXH128" s="827"/>
      <c r="JXI128" s="827"/>
      <c r="JXJ128" s="827"/>
      <c r="JXK128" s="827"/>
      <c r="JXL128" s="827"/>
      <c r="JXM128" s="827"/>
      <c r="JXN128" s="827"/>
      <c r="JXO128" s="827"/>
      <c r="JXP128" s="827"/>
      <c r="JXQ128" s="827"/>
      <c r="JXR128" s="827"/>
      <c r="JXS128" s="827"/>
      <c r="JXT128" s="827"/>
      <c r="JXU128" s="827"/>
      <c r="JXV128" s="827"/>
      <c r="JXW128" s="827"/>
      <c r="JXX128" s="827"/>
      <c r="JXY128" s="827"/>
      <c r="JXZ128" s="827"/>
      <c r="JYA128" s="827"/>
      <c r="JYB128" s="827"/>
      <c r="JYC128" s="827"/>
      <c r="JYD128" s="827"/>
      <c r="JYE128" s="827"/>
      <c r="JYF128" s="827"/>
      <c r="JYG128" s="827"/>
      <c r="JYH128" s="827"/>
      <c r="JYI128" s="827"/>
      <c r="JYJ128" s="827"/>
      <c r="JYK128" s="827"/>
      <c r="JYL128" s="827"/>
      <c r="JYM128" s="827"/>
      <c r="JYN128" s="827"/>
      <c r="JYO128" s="827"/>
      <c r="JYP128" s="827"/>
      <c r="JYQ128" s="827"/>
      <c r="JYR128" s="827"/>
      <c r="JYS128" s="827"/>
      <c r="JYT128" s="827"/>
      <c r="JYU128" s="827"/>
      <c r="JYV128" s="827"/>
      <c r="JYW128" s="827"/>
      <c r="JYX128" s="827"/>
      <c r="JYY128" s="827"/>
      <c r="JYZ128" s="827"/>
      <c r="JZA128" s="827"/>
      <c r="JZB128" s="827"/>
      <c r="JZC128" s="827"/>
      <c r="JZD128" s="827"/>
      <c r="JZE128" s="827"/>
      <c r="JZF128" s="827"/>
      <c r="JZG128" s="827"/>
      <c r="JZH128" s="827"/>
      <c r="JZI128" s="827"/>
      <c r="JZJ128" s="827"/>
      <c r="JZK128" s="827"/>
      <c r="JZL128" s="827"/>
      <c r="JZM128" s="827"/>
      <c r="JZN128" s="827"/>
      <c r="JZO128" s="827"/>
      <c r="JZP128" s="827"/>
      <c r="JZQ128" s="827"/>
      <c r="JZR128" s="827"/>
      <c r="JZS128" s="827"/>
      <c r="JZT128" s="827"/>
      <c r="JZU128" s="827"/>
      <c r="JZV128" s="827"/>
      <c r="JZW128" s="827"/>
      <c r="JZX128" s="827"/>
      <c r="JZY128" s="827"/>
      <c r="JZZ128" s="827"/>
      <c r="KAA128" s="827"/>
      <c r="KAB128" s="827"/>
      <c r="KAC128" s="827"/>
      <c r="KAD128" s="827"/>
      <c r="KAE128" s="827"/>
      <c r="KAF128" s="827"/>
      <c r="KAG128" s="827"/>
      <c r="KAH128" s="827"/>
      <c r="KAI128" s="827"/>
      <c r="KAJ128" s="827"/>
      <c r="KAK128" s="827"/>
      <c r="KAL128" s="827"/>
      <c r="KAM128" s="827"/>
      <c r="KAN128" s="827"/>
      <c r="KAO128" s="827"/>
      <c r="KAP128" s="827"/>
      <c r="KAQ128" s="827"/>
      <c r="KAR128" s="827"/>
      <c r="KAS128" s="827"/>
      <c r="KAT128" s="827"/>
      <c r="KAU128" s="827"/>
      <c r="KAV128" s="827"/>
      <c r="KAW128" s="827"/>
      <c r="KAX128" s="827"/>
      <c r="KAY128" s="827"/>
      <c r="KAZ128" s="827"/>
      <c r="KBA128" s="827"/>
      <c r="KBB128" s="827"/>
      <c r="KBC128" s="827"/>
      <c r="KBD128" s="827"/>
      <c r="KBE128" s="827"/>
      <c r="KBF128" s="827"/>
      <c r="KBG128" s="827"/>
      <c r="KBH128" s="827"/>
      <c r="KBI128" s="827"/>
      <c r="KBJ128" s="827"/>
      <c r="KBK128" s="827"/>
      <c r="KBL128" s="827"/>
      <c r="KBM128" s="827"/>
      <c r="KBN128" s="827"/>
      <c r="KBO128" s="827"/>
      <c r="KBP128" s="827"/>
      <c r="KBQ128" s="827"/>
      <c r="KBR128" s="827"/>
      <c r="KBS128" s="827"/>
      <c r="KBT128" s="827"/>
      <c r="KBU128" s="827"/>
      <c r="KBV128" s="827"/>
      <c r="KBW128" s="827"/>
      <c r="KBX128" s="827"/>
      <c r="KBY128" s="827"/>
      <c r="KBZ128" s="827"/>
      <c r="KCA128" s="827"/>
      <c r="KCB128" s="827"/>
      <c r="KCC128" s="827"/>
      <c r="KCD128" s="827"/>
      <c r="KCE128" s="827"/>
      <c r="KCF128" s="827"/>
      <c r="KCG128" s="827"/>
      <c r="KCH128" s="827"/>
      <c r="KCI128" s="827"/>
      <c r="KCJ128" s="827"/>
      <c r="KCK128" s="827"/>
      <c r="KCL128" s="827"/>
      <c r="KCM128" s="827"/>
      <c r="KCN128" s="827"/>
      <c r="KCO128" s="827"/>
      <c r="KCP128" s="827"/>
      <c r="KCQ128" s="827"/>
      <c r="KCR128" s="827"/>
      <c r="KCS128" s="827"/>
      <c r="KCT128" s="827"/>
      <c r="KCU128" s="827"/>
      <c r="KCV128" s="827"/>
      <c r="KCW128" s="827"/>
      <c r="KCX128" s="827"/>
      <c r="KCY128" s="827"/>
      <c r="KCZ128" s="827"/>
      <c r="KDA128" s="827"/>
      <c r="KDB128" s="827"/>
      <c r="KDC128" s="827"/>
      <c r="KDD128" s="827"/>
      <c r="KDE128" s="827"/>
      <c r="KDF128" s="827"/>
      <c r="KDG128" s="827"/>
      <c r="KDH128" s="827"/>
      <c r="KDI128" s="827"/>
      <c r="KDJ128" s="827"/>
      <c r="KDK128" s="827"/>
      <c r="KDL128" s="827"/>
      <c r="KDM128" s="827"/>
      <c r="KDN128" s="827"/>
      <c r="KDO128" s="827"/>
      <c r="KDP128" s="827"/>
      <c r="KDQ128" s="827"/>
      <c r="KDR128" s="827"/>
      <c r="KDS128" s="827"/>
      <c r="KDT128" s="827"/>
      <c r="KDU128" s="827"/>
      <c r="KDV128" s="827"/>
      <c r="KDW128" s="827"/>
      <c r="KDX128" s="827"/>
      <c r="KDY128" s="827"/>
      <c r="KDZ128" s="827"/>
      <c r="KEA128" s="827"/>
      <c r="KEB128" s="827"/>
      <c r="KEC128" s="827"/>
      <c r="KED128" s="827"/>
      <c r="KEE128" s="827"/>
      <c r="KEF128" s="827"/>
      <c r="KEG128" s="827"/>
      <c r="KEH128" s="827"/>
      <c r="KEI128" s="827"/>
      <c r="KEJ128" s="827"/>
      <c r="KEK128" s="827"/>
      <c r="KEL128" s="827"/>
      <c r="KEM128" s="827"/>
      <c r="KEN128" s="827"/>
      <c r="KEO128" s="827"/>
      <c r="KEP128" s="827"/>
      <c r="KEQ128" s="827"/>
      <c r="KER128" s="827"/>
      <c r="KES128" s="827"/>
      <c r="KET128" s="827"/>
      <c r="KEU128" s="827"/>
      <c r="KEV128" s="827"/>
      <c r="KEW128" s="827"/>
      <c r="KEX128" s="827"/>
      <c r="KEY128" s="827"/>
      <c r="KEZ128" s="827"/>
      <c r="KFA128" s="827"/>
      <c r="KFB128" s="827"/>
      <c r="KFC128" s="827"/>
      <c r="KFD128" s="827"/>
      <c r="KFE128" s="827"/>
      <c r="KFF128" s="827"/>
      <c r="KFG128" s="827"/>
      <c r="KFH128" s="827"/>
      <c r="KFI128" s="827"/>
      <c r="KFJ128" s="827"/>
      <c r="KFK128" s="827"/>
      <c r="KFL128" s="827"/>
      <c r="KFM128" s="827"/>
      <c r="KFN128" s="827"/>
      <c r="KFO128" s="827"/>
      <c r="KFP128" s="827"/>
      <c r="KFQ128" s="827"/>
      <c r="KFR128" s="827"/>
      <c r="KFS128" s="827"/>
      <c r="KFT128" s="827"/>
      <c r="KFU128" s="827"/>
      <c r="KFV128" s="827"/>
      <c r="KFW128" s="827"/>
      <c r="KFX128" s="827"/>
      <c r="KFY128" s="827"/>
      <c r="KFZ128" s="827"/>
      <c r="KGA128" s="827"/>
      <c r="KGB128" s="827"/>
      <c r="KGC128" s="827"/>
      <c r="KGD128" s="827"/>
      <c r="KGE128" s="827"/>
      <c r="KGF128" s="827"/>
      <c r="KGG128" s="827"/>
      <c r="KGH128" s="827"/>
      <c r="KGI128" s="827"/>
      <c r="KGJ128" s="827"/>
      <c r="KGK128" s="827"/>
      <c r="KGL128" s="827"/>
      <c r="KGM128" s="827"/>
      <c r="KGN128" s="827"/>
      <c r="KGO128" s="827"/>
      <c r="KGP128" s="827"/>
      <c r="KGQ128" s="827"/>
      <c r="KGR128" s="827"/>
      <c r="KGS128" s="827"/>
      <c r="KGT128" s="827"/>
      <c r="KGU128" s="827"/>
      <c r="KGV128" s="827"/>
      <c r="KGW128" s="827"/>
      <c r="KGX128" s="827"/>
      <c r="KGY128" s="827"/>
      <c r="KGZ128" s="827"/>
      <c r="KHA128" s="827"/>
      <c r="KHB128" s="827"/>
      <c r="KHC128" s="827"/>
      <c r="KHD128" s="827"/>
      <c r="KHE128" s="827"/>
      <c r="KHF128" s="827"/>
      <c r="KHG128" s="827"/>
      <c r="KHH128" s="827"/>
      <c r="KHI128" s="827"/>
      <c r="KHJ128" s="827"/>
      <c r="KHK128" s="827"/>
      <c r="KHL128" s="827"/>
      <c r="KHM128" s="827"/>
      <c r="KHN128" s="827"/>
      <c r="KHO128" s="827"/>
      <c r="KHP128" s="827"/>
      <c r="KHQ128" s="827"/>
      <c r="KHR128" s="827"/>
      <c r="KHS128" s="827"/>
      <c r="KHT128" s="827"/>
      <c r="KHU128" s="827"/>
      <c r="KHV128" s="827"/>
      <c r="KHW128" s="827"/>
      <c r="KHX128" s="827"/>
      <c r="KHY128" s="827"/>
      <c r="KHZ128" s="827"/>
      <c r="KIA128" s="827"/>
      <c r="KIB128" s="827"/>
      <c r="KIC128" s="827"/>
      <c r="KID128" s="827"/>
      <c r="KIE128" s="827"/>
      <c r="KIF128" s="827"/>
      <c r="KIG128" s="827"/>
      <c r="KIH128" s="827"/>
      <c r="KII128" s="827"/>
      <c r="KIJ128" s="827"/>
      <c r="KIK128" s="827"/>
      <c r="KIL128" s="827"/>
      <c r="KIM128" s="827"/>
      <c r="KIN128" s="827"/>
      <c r="KIO128" s="827"/>
      <c r="KIP128" s="827"/>
      <c r="KIQ128" s="827"/>
      <c r="KIR128" s="827"/>
      <c r="KIS128" s="827"/>
      <c r="KIT128" s="827"/>
      <c r="KIU128" s="827"/>
      <c r="KIV128" s="827"/>
      <c r="KIW128" s="827"/>
      <c r="KIX128" s="827"/>
      <c r="KIY128" s="827"/>
      <c r="KIZ128" s="827"/>
      <c r="KJA128" s="827"/>
      <c r="KJB128" s="827"/>
      <c r="KJC128" s="827"/>
      <c r="KJD128" s="827"/>
      <c r="KJE128" s="827"/>
      <c r="KJF128" s="827"/>
      <c r="KJG128" s="827"/>
      <c r="KJH128" s="827"/>
      <c r="KJI128" s="827"/>
      <c r="KJJ128" s="827"/>
      <c r="KJK128" s="827"/>
      <c r="KJL128" s="827"/>
      <c r="KJM128" s="827"/>
      <c r="KJN128" s="827"/>
      <c r="KJO128" s="827"/>
      <c r="KJP128" s="827"/>
      <c r="KJQ128" s="827"/>
      <c r="KJR128" s="827"/>
      <c r="KJS128" s="827"/>
      <c r="KJT128" s="827"/>
      <c r="KJU128" s="827"/>
      <c r="KJV128" s="827"/>
      <c r="KJW128" s="827"/>
      <c r="KJX128" s="827"/>
      <c r="KJY128" s="827"/>
      <c r="KJZ128" s="827"/>
      <c r="KKA128" s="827"/>
      <c r="KKB128" s="827"/>
      <c r="KKC128" s="827"/>
      <c r="KKD128" s="827"/>
      <c r="KKE128" s="827"/>
      <c r="KKF128" s="827"/>
      <c r="KKG128" s="827"/>
      <c r="KKH128" s="827"/>
      <c r="KKI128" s="827"/>
      <c r="KKJ128" s="827"/>
      <c r="KKK128" s="827"/>
      <c r="KKL128" s="827"/>
      <c r="KKM128" s="827"/>
      <c r="KKN128" s="827"/>
      <c r="KKO128" s="827"/>
      <c r="KKP128" s="827"/>
      <c r="KKQ128" s="827"/>
      <c r="KKR128" s="827"/>
      <c r="KKS128" s="827"/>
      <c r="KKT128" s="827"/>
      <c r="KKU128" s="827"/>
      <c r="KKV128" s="827"/>
      <c r="KKW128" s="827"/>
      <c r="KKX128" s="827"/>
      <c r="KKY128" s="827"/>
      <c r="KKZ128" s="827"/>
      <c r="KLA128" s="827"/>
      <c r="KLB128" s="827"/>
      <c r="KLC128" s="827"/>
      <c r="KLD128" s="827"/>
      <c r="KLE128" s="827"/>
      <c r="KLF128" s="827"/>
      <c r="KLG128" s="827"/>
      <c r="KLH128" s="827"/>
      <c r="KLI128" s="827"/>
      <c r="KLJ128" s="827"/>
      <c r="KLK128" s="827"/>
      <c r="KLL128" s="827"/>
      <c r="KLM128" s="827"/>
      <c r="KLN128" s="827"/>
      <c r="KLO128" s="827"/>
      <c r="KLP128" s="827"/>
      <c r="KLQ128" s="827"/>
      <c r="KLR128" s="827"/>
      <c r="KLS128" s="827"/>
      <c r="KLT128" s="827"/>
      <c r="KLU128" s="827"/>
      <c r="KLV128" s="827"/>
      <c r="KLW128" s="827"/>
      <c r="KLX128" s="827"/>
      <c r="KLY128" s="827"/>
      <c r="KLZ128" s="827"/>
      <c r="KMA128" s="827"/>
      <c r="KMB128" s="827"/>
      <c r="KMC128" s="827"/>
      <c r="KMD128" s="827"/>
      <c r="KME128" s="827"/>
      <c r="KMF128" s="827"/>
      <c r="KMG128" s="827"/>
      <c r="KMH128" s="827"/>
      <c r="KMI128" s="827"/>
      <c r="KMJ128" s="827"/>
      <c r="KMK128" s="827"/>
      <c r="KML128" s="827"/>
      <c r="KMM128" s="827"/>
      <c r="KMN128" s="827"/>
      <c r="KMO128" s="827"/>
      <c r="KMP128" s="827"/>
      <c r="KMQ128" s="827"/>
      <c r="KMR128" s="827"/>
      <c r="KMS128" s="827"/>
      <c r="KMT128" s="827"/>
      <c r="KMU128" s="827"/>
      <c r="KMV128" s="827"/>
      <c r="KMW128" s="827"/>
      <c r="KMX128" s="827"/>
      <c r="KMY128" s="827"/>
      <c r="KMZ128" s="827"/>
      <c r="KNA128" s="827"/>
      <c r="KNB128" s="827"/>
      <c r="KNC128" s="827"/>
      <c r="KND128" s="827"/>
      <c r="KNE128" s="827"/>
      <c r="KNF128" s="827"/>
      <c r="KNG128" s="827"/>
      <c r="KNH128" s="827"/>
      <c r="KNI128" s="827"/>
      <c r="KNJ128" s="827"/>
      <c r="KNK128" s="827"/>
      <c r="KNL128" s="827"/>
      <c r="KNM128" s="827"/>
      <c r="KNN128" s="827"/>
      <c r="KNO128" s="827"/>
      <c r="KNP128" s="827"/>
      <c r="KNQ128" s="827"/>
      <c r="KNR128" s="827"/>
      <c r="KNS128" s="827"/>
      <c r="KNT128" s="827"/>
      <c r="KNU128" s="827"/>
      <c r="KNV128" s="827"/>
      <c r="KNW128" s="827"/>
      <c r="KNX128" s="827"/>
      <c r="KNY128" s="827"/>
      <c r="KNZ128" s="827"/>
      <c r="KOA128" s="827"/>
      <c r="KOB128" s="827"/>
      <c r="KOC128" s="827"/>
      <c r="KOD128" s="827"/>
      <c r="KOE128" s="827"/>
      <c r="KOF128" s="827"/>
      <c r="KOG128" s="827"/>
      <c r="KOH128" s="827"/>
      <c r="KOI128" s="827"/>
      <c r="KOJ128" s="827"/>
      <c r="KOK128" s="827"/>
      <c r="KOL128" s="827"/>
      <c r="KOM128" s="827"/>
      <c r="KON128" s="827"/>
      <c r="KOO128" s="827"/>
      <c r="KOP128" s="827"/>
      <c r="KOQ128" s="827"/>
      <c r="KOR128" s="827"/>
      <c r="KOS128" s="827"/>
      <c r="KOT128" s="827"/>
      <c r="KOU128" s="827"/>
      <c r="KOV128" s="827"/>
      <c r="KOW128" s="827"/>
      <c r="KOX128" s="827"/>
      <c r="KOY128" s="827"/>
      <c r="KOZ128" s="827"/>
      <c r="KPA128" s="827"/>
      <c r="KPB128" s="827"/>
      <c r="KPC128" s="827"/>
      <c r="KPD128" s="827"/>
      <c r="KPE128" s="827"/>
      <c r="KPF128" s="827"/>
      <c r="KPG128" s="827"/>
      <c r="KPH128" s="827"/>
      <c r="KPI128" s="827"/>
      <c r="KPJ128" s="827"/>
      <c r="KPK128" s="827"/>
      <c r="KPL128" s="827"/>
      <c r="KPM128" s="827"/>
      <c r="KPN128" s="827"/>
      <c r="KPO128" s="827"/>
      <c r="KPP128" s="827"/>
      <c r="KPQ128" s="827"/>
      <c r="KPR128" s="827"/>
      <c r="KPS128" s="827"/>
      <c r="KPT128" s="827"/>
      <c r="KPU128" s="827"/>
      <c r="KPV128" s="827"/>
      <c r="KPW128" s="827"/>
      <c r="KPX128" s="827"/>
      <c r="KPY128" s="827"/>
      <c r="KPZ128" s="827"/>
      <c r="KQA128" s="827"/>
      <c r="KQB128" s="827"/>
      <c r="KQC128" s="827"/>
      <c r="KQD128" s="827"/>
      <c r="KQE128" s="827"/>
      <c r="KQF128" s="827"/>
      <c r="KQG128" s="827"/>
      <c r="KQH128" s="827"/>
      <c r="KQI128" s="827"/>
      <c r="KQJ128" s="827"/>
      <c r="KQK128" s="827"/>
      <c r="KQL128" s="827"/>
      <c r="KQM128" s="827"/>
      <c r="KQN128" s="827"/>
      <c r="KQO128" s="827"/>
      <c r="KQP128" s="827"/>
      <c r="KQQ128" s="827"/>
      <c r="KQR128" s="827"/>
      <c r="KQS128" s="827"/>
      <c r="KQT128" s="827"/>
      <c r="KQU128" s="827"/>
      <c r="KQV128" s="827"/>
      <c r="KQW128" s="827"/>
      <c r="KQX128" s="827"/>
      <c r="KQY128" s="827"/>
      <c r="KQZ128" s="827"/>
      <c r="KRA128" s="827"/>
      <c r="KRB128" s="827"/>
      <c r="KRC128" s="827"/>
      <c r="KRD128" s="827"/>
      <c r="KRE128" s="827"/>
      <c r="KRF128" s="827"/>
      <c r="KRG128" s="827"/>
      <c r="KRH128" s="827"/>
      <c r="KRI128" s="827"/>
      <c r="KRJ128" s="827"/>
      <c r="KRK128" s="827"/>
      <c r="KRL128" s="827"/>
      <c r="KRM128" s="827"/>
      <c r="KRN128" s="827"/>
      <c r="KRO128" s="827"/>
      <c r="KRP128" s="827"/>
      <c r="KRQ128" s="827"/>
      <c r="KRR128" s="827"/>
      <c r="KRS128" s="827"/>
      <c r="KRT128" s="827"/>
      <c r="KRU128" s="827"/>
      <c r="KRV128" s="827"/>
      <c r="KRW128" s="827"/>
      <c r="KRX128" s="827"/>
      <c r="KRY128" s="827"/>
      <c r="KRZ128" s="827"/>
      <c r="KSA128" s="827"/>
      <c r="KSB128" s="827"/>
      <c r="KSC128" s="827"/>
      <c r="KSD128" s="827"/>
      <c r="KSE128" s="827"/>
      <c r="KSF128" s="827"/>
      <c r="KSG128" s="827"/>
      <c r="KSH128" s="827"/>
      <c r="KSI128" s="827"/>
      <c r="KSJ128" s="827"/>
      <c r="KSK128" s="827"/>
      <c r="KSL128" s="827"/>
      <c r="KSM128" s="827"/>
      <c r="KSN128" s="827"/>
      <c r="KSO128" s="827"/>
      <c r="KSP128" s="827"/>
      <c r="KSQ128" s="827"/>
      <c r="KSR128" s="827"/>
      <c r="KSS128" s="827"/>
      <c r="KST128" s="827"/>
      <c r="KSU128" s="827"/>
      <c r="KSV128" s="827"/>
      <c r="KSW128" s="827"/>
      <c r="KSX128" s="827"/>
      <c r="KSY128" s="827"/>
      <c r="KSZ128" s="827"/>
      <c r="KTA128" s="827"/>
      <c r="KTB128" s="827"/>
      <c r="KTC128" s="827"/>
      <c r="KTD128" s="827"/>
      <c r="KTE128" s="827"/>
      <c r="KTF128" s="827"/>
      <c r="KTG128" s="827"/>
      <c r="KTH128" s="827"/>
      <c r="KTI128" s="827"/>
      <c r="KTJ128" s="827"/>
      <c r="KTK128" s="827"/>
      <c r="KTL128" s="827"/>
      <c r="KTM128" s="827"/>
      <c r="KTN128" s="827"/>
      <c r="KTO128" s="827"/>
      <c r="KTP128" s="827"/>
      <c r="KTQ128" s="827"/>
      <c r="KTR128" s="827"/>
      <c r="KTS128" s="827"/>
      <c r="KTT128" s="827"/>
      <c r="KTU128" s="827"/>
      <c r="KTV128" s="827"/>
      <c r="KTW128" s="827"/>
      <c r="KTX128" s="827"/>
      <c r="KTY128" s="827"/>
      <c r="KTZ128" s="827"/>
      <c r="KUA128" s="827"/>
      <c r="KUB128" s="827"/>
      <c r="KUC128" s="827"/>
      <c r="KUD128" s="827"/>
      <c r="KUE128" s="827"/>
      <c r="KUF128" s="827"/>
      <c r="KUG128" s="827"/>
      <c r="KUH128" s="827"/>
      <c r="KUI128" s="827"/>
      <c r="KUJ128" s="827"/>
      <c r="KUK128" s="827"/>
      <c r="KUL128" s="827"/>
      <c r="KUM128" s="827"/>
      <c r="KUN128" s="827"/>
      <c r="KUO128" s="827"/>
      <c r="KUP128" s="827"/>
      <c r="KUQ128" s="827"/>
      <c r="KUR128" s="827"/>
      <c r="KUS128" s="827"/>
      <c r="KUT128" s="827"/>
      <c r="KUU128" s="827"/>
      <c r="KUV128" s="827"/>
      <c r="KUW128" s="827"/>
      <c r="KUX128" s="827"/>
      <c r="KUY128" s="827"/>
      <c r="KUZ128" s="827"/>
      <c r="KVA128" s="827"/>
      <c r="KVB128" s="827"/>
      <c r="KVC128" s="827"/>
      <c r="KVD128" s="827"/>
      <c r="KVE128" s="827"/>
      <c r="KVF128" s="827"/>
      <c r="KVG128" s="827"/>
      <c r="KVH128" s="827"/>
      <c r="KVI128" s="827"/>
      <c r="KVJ128" s="827"/>
      <c r="KVK128" s="827"/>
      <c r="KVL128" s="827"/>
      <c r="KVM128" s="827"/>
      <c r="KVN128" s="827"/>
      <c r="KVO128" s="827"/>
      <c r="KVP128" s="827"/>
      <c r="KVQ128" s="827"/>
      <c r="KVR128" s="827"/>
      <c r="KVS128" s="827"/>
      <c r="KVT128" s="827"/>
      <c r="KVU128" s="827"/>
      <c r="KVV128" s="827"/>
      <c r="KVW128" s="827"/>
      <c r="KVX128" s="827"/>
      <c r="KVY128" s="827"/>
      <c r="KVZ128" s="827"/>
      <c r="KWA128" s="827"/>
      <c r="KWB128" s="827"/>
      <c r="KWC128" s="827"/>
      <c r="KWD128" s="827"/>
      <c r="KWE128" s="827"/>
      <c r="KWF128" s="827"/>
      <c r="KWG128" s="827"/>
      <c r="KWH128" s="827"/>
      <c r="KWI128" s="827"/>
      <c r="KWJ128" s="827"/>
      <c r="KWK128" s="827"/>
      <c r="KWL128" s="827"/>
      <c r="KWM128" s="827"/>
      <c r="KWN128" s="827"/>
      <c r="KWO128" s="827"/>
      <c r="KWP128" s="827"/>
      <c r="KWQ128" s="827"/>
      <c r="KWR128" s="827"/>
      <c r="KWS128" s="827"/>
      <c r="KWT128" s="827"/>
      <c r="KWU128" s="827"/>
      <c r="KWV128" s="827"/>
      <c r="KWW128" s="827"/>
      <c r="KWX128" s="827"/>
      <c r="KWY128" s="827"/>
      <c r="KWZ128" s="827"/>
      <c r="KXA128" s="827"/>
      <c r="KXB128" s="827"/>
      <c r="KXC128" s="827"/>
      <c r="KXD128" s="827"/>
      <c r="KXE128" s="827"/>
      <c r="KXF128" s="827"/>
      <c r="KXG128" s="827"/>
      <c r="KXH128" s="827"/>
      <c r="KXI128" s="827"/>
      <c r="KXJ128" s="827"/>
      <c r="KXK128" s="827"/>
      <c r="KXL128" s="827"/>
      <c r="KXM128" s="827"/>
      <c r="KXN128" s="827"/>
      <c r="KXO128" s="827"/>
      <c r="KXP128" s="827"/>
      <c r="KXQ128" s="827"/>
      <c r="KXR128" s="827"/>
      <c r="KXS128" s="827"/>
      <c r="KXT128" s="827"/>
      <c r="KXU128" s="827"/>
      <c r="KXV128" s="827"/>
      <c r="KXW128" s="827"/>
      <c r="KXX128" s="827"/>
      <c r="KXY128" s="827"/>
      <c r="KXZ128" s="827"/>
      <c r="KYA128" s="827"/>
      <c r="KYB128" s="827"/>
      <c r="KYC128" s="827"/>
      <c r="KYD128" s="827"/>
      <c r="KYE128" s="827"/>
      <c r="KYF128" s="827"/>
      <c r="KYG128" s="827"/>
      <c r="KYH128" s="827"/>
      <c r="KYI128" s="827"/>
      <c r="KYJ128" s="827"/>
      <c r="KYK128" s="827"/>
      <c r="KYL128" s="827"/>
      <c r="KYM128" s="827"/>
      <c r="KYN128" s="827"/>
      <c r="KYO128" s="827"/>
      <c r="KYP128" s="827"/>
      <c r="KYQ128" s="827"/>
      <c r="KYR128" s="827"/>
      <c r="KYS128" s="827"/>
      <c r="KYT128" s="827"/>
      <c r="KYU128" s="827"/>
      <c r="KYV128" s="827"/>
      <c r="KYW128" s="827"/>
      <c r="KYX128" s="827"/>
      <c r="KYY128" s="827"/>
      <c r="KYZ128" s="827"/>
      <c r="KZA128" s="827"/>
      <c r="KZB128" s="827"/>
      <c r="KZC128" s="827"/>
      <c r="KZD128" s="827"/>
      <c r="KZE128" s="827"/>
      <c r="KZF128" s="827"/>
      <c r="KZG128" s="827"/>
      <c r="KZH128" s="827"/>
      <c r="KZI128" s="827"/>
      <c r="KZJ128" s="827"/>
      <c r="KZK128" s="827"/>
      <c r="KZL128" s="827"/>
      <c r="KZM128" s="827"/>
      <c r="KZN128" s="827"/>
      <c r="KZO128" s="827"/>
      <c r="KZP128" s="827"/>
      <c r="KZQ128" s="827"/>
      <c r="KZR128" s="827"/>
      <c r="KZS128" s="827"/>
      <c r="KZT128" s="827"/>
      <c r="KZU128" s="827"/>
      <c r="KZV128" s="827"/>
      <c r="KZW128" s="827"/>
      <c r="KZX128" s="827"/>
      <c r="KZY128" s="827"/>
      <c r="KZZ128" s="827"/>
      <c r="LAA128" s="827"/>
      <c r="LAB128" s="827"/>
      <c r="LAC128" s="827"/>
      <c r="LAD128" s="827"/>
      <c r="LAE128" s="827"/>
      <c r="LAF128" s="827"/>
      <c r="LAG128" s="827"/>
      <c r="LAH128" s="827"/>
      <c r="LAI128" s="827"/>
      <c r="LAJ128" s="827"/>
      <c r="LAK128" s="827"/>
      <c r="LAL128" s="827"/>
      <c r="LAM128" s="827"/>
      <c r="LAN128" s="827"/>
      <c r="LAO128" s="827"/>
      <c r="LAP128" s="827"/>
      <c r="LAQ128" s="827"/>
      <c r="LAR128" s="827"/>
      <c r="LAS128" s="827"/>
      <c r="LAT128" s="827"/>
      <c r="LAU128" s="827"/>
      <c r="LAV128" s="827"/>
      <c r="LAW128" s="827"/>
      <c r="LAX128" s="827"/>
      <c r="LAY128" s="827"/>
      <c r="LAZ128" s="827"/>
      <c r="LBA128" s="827"/>
      <c r="LBB128" s="827"/>
      <c r="LBC128" s="827"/>
      <c r="LBD128" s="827"/>
      <c r="LBE128" s="827"/>
      <c r="LBF128" s="827"/>
      <c r="LBG128" s="827"/>
      <c r="LBH128" s="827"/>
      <c r="LBI128" s="827"/>
      <c r="LBJ128" s="827"/>
      <c r="LBK128" s="827"/>
      <c r="LBL128" s="827"/>
      <c r="LBM128" s="827"/>
      <c r="LBN128" s="827"/>
      <c r="LBO128" s="827"/>
      <c r="LBP128" s="827"/>
      <c r="LBQ128" s="827"/>
      <c r="LBR128" s="827"/>
      <c r="LBS128" s="827"/>
      <c r="LBT128" s="827"/>
      <c r="LBU128" s="827"/>
      <c r="LBV128" s="827"/>
      <c r="LBW128" s="827"/>
      <c r="LBX128" s="827"/>
      <c r="LBY128" s="827"/>
      <c r="LBZ128" s="827"/>
      <c r="LCA128" s="827"/>
      <c r="LCB128" s="827"/>
      <c r="LCC128" s="827"/>
      <c r="LCD128" s="827"/>
      <c r="LCE128" s="827"/>
      <c r="LCF128" s="827"/>
      <c r="LCG128" s="827"/>
      <c r="LCH128" s="827"/>
      <c r="LCI128" s="827"/>
      <c r="LCJ128" s="827"/>
      <c r="LCK128" s="827"/>
      <c r="LCL128" s="827"/>
      <c r="LCM128" s="827"/>
      <c r="LCN128" s="827"/>
      <c r="LCO128" s="827"/>
      <c r="LCP128" s="827"/>
      <c r="LCQ128" s="827"/>
      <c r="LCR128" s="827"/>
      <c r="LCS128" s="827"/>
      <c r="LCT128" s="827"/>
      <c r="LCU128" s="827"/>
      <c r="LCV128" s="827"/>
      <c r="LCW128" s="827"/>
      <c r="LCX128" s="827"/>
      <c r="LCY128" s="827"/>
      <c r="LCZ128" s="827"/>
      <c r="LDA128" s="827"/>
      <c r="LDB128" s="827"/>
      <c r="LDC128" s="827"/>
      <c r="LDD128" s="827"/>
      <c r="LDE128" s="827"/>
      <c r="LDF128" s="827"/>
      <c r="LDG128" s="827"/>
      <c r="LDH128" s="827"/>
      <c r="LDI128" s="827"/>
      <c r="LDJ128" s="827"/>
      <c r="LDK128" s="827"/>
      <c r="LDL128" s="827"/>
      <c r="LDM128" s="827"/>
      <c r="LDN128" s="827"/>
      <c r="LDO128" s="827"/>
      <c r="LDP128" s="827"/>
      <c r="LDQ128" s="827"/>
      <c r="LDR128" s="827"/>
      <c r="LDS128" s="827"/>
      <c r="LDT128" s="827"/>
      <c r="LDU128" s="827"/>
      <c r="LDV128" s="827"/>
      <c r="LDW128" s="827"/>
      <c r="LDX128" s="827"/>
      <c r="LDY128" s="827"/>
      <c r="LDZ128" s="827"/>
      <c r="LEA128" s="827"/>
      <c r="LEB128" s="827"/>
      <c r="LEC128" s="827"/>
      <c r="LED128" s="827"/>
      <c r="LEE128" s="827"/>
      <c r="LEF128" s="827"/>
      <c r="LEG128" s="827"/>
      <c r="LEH128" s="827"/>
      <c r="LEI128" s="827"/>
      <c r="LEJ128" s="827"/>
      <c r="LEK128" s="827"/>
      <c r="LEL128" s="827"/>
      <c r="LEM128" s="827"/>
      <c r="LEN128" s="827"/>
      <c r="LEO128" s="827"/>
      <c r="LEP128" s="827"/>
      <c r="LEQ128" s="827"/>
      <c r="LER128" s="827"/>
      <c r="LES128" s="827"/>
      <c r="LET128" s="827"/>
      <c r="LEU128" s="827"/>
      <c r="LEV128" s="827"/>
      <c r="LEW128" s="827"/>
      <c r="LEX128" s="827"/>
      <c r="LEY128" s="827"/>
      <c r="LEZ128" s="827"/>
      <c r="LFA128" s="827"/>
      <c r="LFB128" s="827"/>
      <c r="LFC128" s="827"/>
      <c r="LFD128" s="827"/>
      <c r="LFE128" s="827"/>
      <c r="LFF128" s="827"/>
      <c r="LFG128" s="827"/>
      <c r="LFH128" s="827"/>
      <c r="LFI128" s="827"/>
      <c r="LFJ128" s="827"/>
      <c r="LFK128" s="827"/>
      <c r="LFL128" s="827"/>
      <c r="LFM128" s="827"/>
      <c r="LFN128" s="827"/>
      <c r="LFO128" s="827"/>
      <c r="LFP128" s="827"/>
      <c r="LFQ128" s="827"/>
      <c r="LFR128" s="827"/>
      <c r="LFS128" s="827"/>
      <c r="LFT128" s="827"/>
      <c r="LFU128" s="827"/>
      <c r="LFV128" s="827"/>
      <c r="LFW128" s="827"/>
      <c r="LFX128" s="827"/>
      <c r="LFY128" s="827"/>
      <c r="LFZ128" s="827"/>
      <c r="LGA128" s="827"/>
      <c r="LGB128" s="827"/>
      <c r="LGC128" s="827"/>
      <c r="LGD128" s="827"/>
      <c r="LGE128" s="827"/>
      <c r="LGF128" s="827"/>
      <c r="LGG128" s="827"/>
      <c r="LGH128" s="827"/>
      <c r="LGI128" s="827"/>
      <c r="LGJ128" s="827"/>
      <c r="LGK128" s="827"/>
      <c r="LGL128" s="827"/>
      <c r="LGM128" s="827"/>
      <c r="LGN128" s="827"/>
      <c r="LGO128" s="827"/>
      <c r="LGP128" s="827"/>
      <c r="LGQ128" s="827"/>
      <c r="LGR128" s="827"/>
      <c r="LGS128" s="827"/>
      <c r="LGT128" s="827"/>
      <c r="LGU128" s="827"/>
      <c r="LGV128" s="827"/>
      <c r="LGW128" s="827"/>
      <c r="LGX128" s="827"/>
      <c r="LGY128" s="827"/>
      <c r="LGZ128" s="827"/>
      <c r="LHA128" s="827"/>
      <c r="LHB128" s="827"/>
      <c r="LHC128" s="827"/>
      <c r="LHD128" s="827"/>
      <c r="LHE128" s="827"/>
      <c r="LHF128" s="827"/>
      <c r="LHG128" s="827"/>
      <c r="LHH128" s="827"/>
      <c r="LHI128" s="827"/>
      <c r="LHJ128" s="827"/>
      <c r="LHK128" s="827"/>
      <c r="LHL128" s="827"/>
      <c r="LHM128" s="827"/>
      <c r="LHN128" s="827"/>
      <c r="LHO128" s="827"/>
      <c r="LHP128" s="827"/>
      <c r="LHQ128" s="827"/>
      <c r="LHR128" s="827"/>
      <c r="LHS128" s="827"/>
      <c r="LHT128" s="827"/>
      <c r="LHU128" s="827"/>
      <c r="LHV128" s="827"/>
      <c r="LHW128" s="827"/>
      <c r="LHX128" s="827"/>
      <c r="LHY128" s="827"/>
      <c r="LHZ128" s="827"/>
      <c r="LIA128" s="827"/>
      <c r="LIB128" s="827"/>
      <c r="LIC128" s="827"/>
      <c r="LID128" s="827"/>
      <c r="LIE128" s="827"/>
      <c r="LIF128" s="827"/>
      <c r="LIG128" s="827"/>
      <c r="LIH128" s="827"/>
      <c r="LII128" s="827"/>
      <c r="LIJ128" s="827"/>
      <c r="LIK128" s="827"/>
      <c r="LIL128" s="827"/>
      <c r="LIM128" s="827"/>
      <c r="LIN128" s="827"/>
      <c r="LIO128" s="827"/>
      <c r="LIP128" s="827"/>
      <c r="LIQ128" s="827"/>
      <c r="LIR128" s="827"/>
      <c r="LIS128" s="827"/>
      <c r="LIT128" s="827"/>
      <c r="LIU128" s="827"/>
      <c r="LIV128" s="827"/>
      <c r="LIW128" s="827"/>
      <c r="LIX128" s="827"/>
      <c r="LIY128" s="827"/>
      <c r="LIZ128" s="827"/>
      <c r="LJA128" s="827"/>
      <c r="LJB128" s="827"/>
      <c r="LJC128" s="827"/>
      <c r="LJD128" s="827"/>
      <c r="LJE128" s="827"/>
      <c r="LJF128" s="827"/>
      <c r="LJG128" s="827"/>
      <c r="LJH128" s="827"/>
      <c r="LJI128" s="827"/>
      <c r="LJJ128" s="827"/>
      <c r="LJK128" s="827"/>
      <c r="LJL128" s="827"/>
      <c r="LJM128" s="827"/>
      <c r="LJN128" s="827"/>
      <c r="LJO128" s="827"/>
      <c r="LJP128" s="827"/>
      <c r="LJQ128" s="827"/>
      <c r="LJR128" s="827"/>
      <c r="LJS128" s="827"/>
      <c r="LJT128" s="827"/>
      <c r="LJU128" s="827"/>
      <c r="LJV128" s="827"/>
      <c r="LJW128" s="827"/>
      <c r="LJX128" s="827"/>
      <c r="LJY128" s="827"/>
      <c r="LJZ128" s="827"/>
      <c r="LKA128" s="827"/>
      <c r="LKB128" s="827"/>
      <c r="LKC128" s="827"/>
      <c r="LKD128" s="827"/>
      <c r="LKE128" s="827"/>
      <c r="LKF128" s="827"/>
      <c r="LKG128" s="827"/>
      <c r="LKH128" s="827"/>
      <c r="LKI128" s="827"/>
      <c r="LKJ128" s="827"/>
      <c r="LKK128" s="827"/>
      <c r="LKL128" s="827"/>
      <c r="LKM128" s="827"/>
      <c r="LKN128" s="827"/>
      <c r="LKO128" s="827"/>
      <c r="LKP128" s="827"/>
      <c r="LKQ128" s="827"/>
      <c r="LKR128" s="827"/>
      <c r="LKS128" s="827"/>
      <c r="LKT128" s="827"/>
      <c r="LKU128" s="827"/>
      <c r="LKV128" s="827"/>
      <c r="LKW128" s="827"/>
      <c r="LKX128" s="827"/>
      <c r="LKY128" s="827"/>
      <c r="LKZ128" s="827"/>
      <c r="LLA128" s="827"/>
      <c r="LLB128" s="827"/>
      <c r="LLC128" s="827"/>
      <c r="LLD128" s="827"/>
      <c r="LLE128" s="827"/>
      <c r="LLF128" s="827"/>
      <c r="LLG128" s="827"/>
      <c r="LLH128" s="827"/>
      <c r="LLI128" s="827"/>
      <c r="LLJ128" s="827"/>
      <c r="LLK128" s="827"/>
      <c r="LLL128" s="827"/>
      <c r="LLM128" s="827"/>
      <c r="LLN128" s="827"/>
      <c r="LLO128" s="827"/>
      <c r="LLP128" s="827"/>
      <c r="LLQ128" s="827"/>
      <c r="LLR128" s="827"/>
      <c r="LLS128" s="827"/>
      <c r="LLT128" s="827"/>
      <c r="LLU128" s="827"/>
      <c r="LLV128" s="827"/>
      <c r="LLW128" s="827"/>
      <c r="LLX128" s="827"/>
      <c r="LLY128" s="827"/>
      <c r="LLZ128" s="827"/>
      <c r="LMA128" s="827"/>
      <c r="LMB128" s="827"/>
      <c r="LMC128" s="827"/>
      <c r="LMD128" s="827"/>
      <c r="LME128" s="827"/>
      <c r="LMF128" s="827"/>
      <c r="LMG128" s="827"/>
      <c r="LMH128" s="827"/>
      <c r="LMI128" s="827"/>
      <c r="LMJ128" s="827"/>
      <c r="LMK128" s="827"/>
      <c r="LML128" s="827"/>
      <c r="LMM128" s="827"/>
      <c r="LMN128" s="827"/>
      <c r="LMO128" s="827"/>
      <c r="LMP128" s="827"/>
      <c r="LMQ128" s="827"/>
      <c r="LMR128" s="827"/>
      <c r="LMS128" s="827"/>
      <c r="LMT128" s="827"/>
      <c r="LMU128" s="827"/>
      <c r="LMV128" s="827"/>
      <c r="LMW128" s="827"/>
      <c r="LMX128" s="827"/>
      <c r="LMY128" s="827"/>
      <c r="LMZ128" s="827"/>
      <c r="LNA128" s="827"/>
      <c r="LNB128" s="827"/>
      <c r="LNC128" s="827"/>
      <c r="LND128" s="827"/>
      <c r="LNE128" s="827"/>
      <c r="LNF128" s="827"/>
      <c r="LNG128" s="827"/>
      <c r="LNH128" s="827"/>
      <c r="LNI128" s="827"/>
      <c r="LNJ128" s="827"/>
      <c r="LNK128" s="827"/>
      <c r="LNL128" s="827"/>
      <c r="LNM128" s="827"/>
      <c r="LNN128" s="827"/>
      <c r="LNO128" s="827"/>
      <c r="LNP128" s="827"/>
      <c r="LNQ128" s="827"/>
      <c r="LNR128" s="827"/>
      <c r="LNS128" s="827"/>
      <c r="LNT128" s="827"/>
      <c r="LNU128" s="827"/>
      <c r="LNV128" s="827"/>
      <c r="LNW128" s="827"/>
      <c r="LNX128" s="827"/>
      <c r="LNY128" s="827"/>
      <c r="LNZ128" s="827"/>
      <c r="LOA128" s="827"/>
      <c r="LOB128" s="827"/>
      <c r="LOC128" s="827"/>
      <c r="LOD128" s="827"/>
      <c r="LOE128" s="827"/>
      <c r="LOF128" s="827"/>
      <c r="LOG128" s="827"/>
      <c r="LOH128" s="827"/>
      <c r="LOI128" s="827"/>
      <c r="LOJ128" s="827"/>
      <c r="LOK128" s="827"/>
      <c r="LOL128" s="827"/>
      <c r="LOM128" s="827"/>
      <c r="LON128" s="827"/>
      <c r="LOO128" s="827"/>
      <c r="LOP128" s="827"/>
      <c r="LOQ128" s="827"/>
      <c r="LOR128" s="827"/>
      <c r="LOS128" s="827"/>
      <c r="LOT128" s="827"/>
      <c r="LOU128" s="827"/>
      <c r="LOV128" s="827"/>
      <c r="LOW128" s="827"/>
      <c r="LOX128" s="827"/>
      <c r="LOY128" s="827"/>
      <c r="LOZ128" s="827"/>
      <c r="LPA128" s="827"/>
      <c r="LPB128" s="827"/>
      <c r="LPC128" s="827"/>
      <c r="LPD128" s="827"/>
      <c r="LPE128" s="827"/>
      <c r="LPF128" s="827"/>
      <c r="LPG128" s="827"/>
      <c r="LPH128" s="827"/>
      <c r="LPI128" s="827"/>
      <c r="LPJ128" s="827"/>
      <c r="LPK128" s="827"/>
      <c r="LPL128" s="827"/>
      <c r="LPM128" s="827"/>
      <c r="LPN128" s="827"/>
      <c r="LPO128" s="827"/>
      <c r="LPP128" s="827"/>
      <c r="LPQ128" s="827"/>
      <c r="LPR128" s="827"/>
      <c r="LPS128" s="827"/>
      <c r="LPT128" s="827"/>
      <c r="LPU128" s="827"/>
      <c r="LPV128" s="827"/>
      <c r="LPW128" s="827"/>
      <c r="LPX128" s="827"/>
      <c r="LPY128" s="827"/>
      <c r="LPZ128" s="827"/>
      <c r="LQA128" s="827"/>
      <c r="LQB128" s="827"/>
      <c r="LQC128" s="827"/>
      <c r="LQD128" s="827"/>
      <c r="LQE128" s="827"/>
      <c r="LQF128" s="827"/>
      <c r="LQG128" s="827"/>
      <c r="LQH128" s="827"/>
      <c r="LQI128" s="827"/>
      <c r="LQJ128" s="827"/>
      <c r="LQK128" s="827"/>
      <c r="LQL128" s="827"/>
      <c r="LQM128" s="827"/>
      <c r="LQN128" s="827"/>
      <c r="LQO128" s="827"/>
      <c r="LQP128" s="827"/>
      <c r="LQQ128" s="827"/>
      <c r="LQR128" s="827"/>
      <c r="LQS128" s="827"/>
      <c r="LQT128" s="827"/>
      <c r="LQU128" s="827"/>
      <c r="LQV128" s="827"/>
      <c r="LQW128" s="827"/>
      <c r="LQX128" s="827"/>
      <c r="LQY128" s="827"/>
      <c r="LQZ128" s="827"/>
      <c r="LRA128" s="827"/>
      <c r="LRB128" s="827"/>
      <c r="LRC128" s="827"/>
      <c r="LRD128" s="827"/>
      <c r="LRE128" s="827"/>
      <c r="LRF128" s="827"/>
      <c r="LRG128" s="827"/>
      <c r="LRH128" s="827"/>
      <c r="LRI128" s="827"/>
      <c r="LRJ128" s="827"/>
      <c r="LRK128" s="827"/>
      <c r="LRL128" s="827"/>
      <c r="LRM128" s="827"/>
      <c r="LRN128" s="827"/>
      <c r="LRO128" s="827"/>
      <c r="LRP128" s="827"/>
      <c r="LRQ128" s="827"/>
      <c r="LRR128" s="827"/>
      <c r="LRS128" s="827"/>
      <c r="LRT128" s="827"/>
      <c r="LRU128" s="827"/>
      <c r="LRV128" s="827"/>
      <c r="LRW128" s="827"/>
      <c r="LRX128" s="827"/>
      <c r="LRY128" s="827"/>
      <c r="LRZ128" s="827"/>
      <c r="LSA128" s="827"/>
      <c r="LSB128" s="827"/>
      <c r="LSC128" s="827"/>
      <c r="LSD128" s="827"/>
      <c r="LSE128" s="827"/>
      <c r="LSF128" s="827"/>
      <c r="LSG128" s="827"/>
      <c r="LSH128" s="827"/>
      <c r="LSI128" s="827"/>
      <c r="LSJ128" s="827"/>
      <c r="LSK128" s="827"/>
      <c r="LSL128" s="827"/>
      <c r="LSM128" s="827"/>
      <c r="LSN128" s="827"/>
      <c r="LSO128" s="827"/>
      <c r="LSP128" s="827"/>
      <c r="LSQ128" s="827"/>
      <c r="LSR128" s="827"/>
      <c r="LSS128" s="827"/>
      <c r="LST128" s="827"/>
      <c r="LSU128" s="827"/>
      <c r="LSV128" s="827"/>
      <c r="LSW128" s="827"/>
      <c r="LSX128" s="827"/>
      <c r="LSY128" s="827"/>
      <c r="LSZ128" s="827"/>
      <c r="LTA128" s="827"/>
      <c r="LTB128" s="827"/>
      <c r="LTC128" s="827"/>
      <c r="LTD128" s="827"/>
      <c r="LTE128" s="827"/>
      <c r="LTF128" s="827"/>
      <c r="LTG128" s="827"/>
      <c r="LTH128" s="827"/>
      <c r="LTI128" s="827"/>
      <c r="LTJ128" s="827"/>
      <c r="LTK128" s="827"/>
      <c r="LTL128" s="827"/>
      <c r="LTM128" s="827"/>
      <c r="LTN128" s="827"/>
      <c r="LTO128" s="827"/>
      <c r="LTP128" s="827"/>
      <c r="LTQ128" s="827"/>
      <c r="LTR128" s="827"/>
      <c r="LTS128" s="827"/>
      <c r="LTT128" s="827"/>
      <c r="LTU128" s="827"/>
      <c r="LTV128" s="827"/>
      <c r="LTW128" s="827"/>
      <c r="LTX128" s="827"/>
      <c r="LTY128" s="827"/>
      <c r="LTZ128" s="827"/>
      <c r="LUA128" s="827"/>
      <c r="LUB128" s="827"/>
      <c r="LUC128" s="827"/>
      <c r="LUD128" s="827"/>
      <c r="LUE128" s="827"/>
      <c r="LUF128" s="827"/>
      <c r="LUG128" s="827"/>
      <c r="LUH128" s="827"/>
      <c r="LUI128" s="827"/>
      <c r="LUJ128" s="827"/>
      <c r="LUK128" s="827"/>
      <c r="LUL128" s="827"/>
      <c r="LUM128" s="827"/>
      <c r="LUN128" s="827"/>
      <c r="LUO128" s="827"/>
      <c r="LUP128" s="827"/>
      <c r="LUQ128" s="827"/>
      <c r="LUR128" s="827"/>
      <c r="LUS128" s="827"/>
      <c r="LUT128" s="827"/>
      <c r="LUU128" s="827"/>
      <c r="LUV128" s="827"/>
      <c r="LUW128" s="827"/>
      <c r="LUX128" s="827"/>
      <c r="LUY128" s="827"/>
      <c r="LUZ128" s="827"/>
      <c r="LVA128" s="827"/>
      <c r="LVB128" s="827"/>
      <c r="LVC128" s="827"/>
      <c r="LVD128" s="827"/>
      <c r="LVE128" s="827"/>
      <c r="LVF128" s="827"/>
      <c r="LVG128" s="827"/>
      <c r="LVH128" s="827"/>
      <c r="LVI128" s="827"/>
      <c r="LVJ128" s="827"/>
      <c r="LVK128" s="827"/>
      <c r="LVL128" s="827"/>
      <c r="LVM128" s="827"/>
      <c r="LVN128" s="827"/>
      <c r="LVO128" s="827"/>
      <c r="LVP128" s="827"/>
      <c r="LVQ128" s="827"/>
      <c r="LVR128" s="827"/>
      <c r="LVS128" s="827"/>
      <c r="LVT128" s="827"/>
      <c r="LVU128" s="827"/>
      <c r="LVV128" s="827"/>
      <c r="LVW128" s="827"/>
      <c r="LVX128" s="827"/>
      <c r="LVY128" s="827"/>
      <c r="LVZ128" s="827"/>
      <c r="LWA128" s="827"/>
      <c r="LWB128" s="827"/>
      <c r="LWC128" s="827"/>
      <c r="LWD128" s="827"/>
      <c r="LWE128" s="827"/>
      <c r="LWF128" s="827"/>
      <c r="LWG128" s="827"/>
      <c r="LWH128" s="827"/>
      <c r="LWI128" s="827"/>
      <c r="LWJ128" s="827"/>
      <c r="LWK128" s="827"/>
      <c r="LWL128" s="827"/>
      <c r="LWM128" s="827"/>
      <c r="LWN128" s="827"/>
      <c r="LWO128" s="827"/>
      <c r="LWP128" s="827"/>
      <c r="LWQ128" s="827"/>
      <c r="LWR128" s="827"/>
      <c r="LWS128" s="827"/>
      <c r="LWT128" s="827"/>
      <c r="LWU128" s="827"/>
      <c r="LWV128" s="827"/>
      <c r="LWW128" s="827"/>
      <c r="LWX128" s="827"/>
      <c r="LWY128" s="827"/>
      <c r="LWZ128" s="827"/>
      <c r="LXA128" s="827"/>
      <c r="LXB128" s="827"/>
      <c r="LXC128" s="827"/>
      <c r="LXD128" s="827"/>
      <c r="LXE128" s="827"/>
      <c r="LXF128" s="827"/>
      <c r="LXG128" s="827"/>
      <c r="LXH128" s="827"/>
      <c r="LXI128" s="827"/>
      <c r="LXJ128" s="827"/>
      <c r="LXK128" s="827"/>
      <c r="LXL128" s="827"/>
      <c r="LXM128" s="827"/>
      <c r="LXN128" s="827"/>
      <c r="LXO128" s="827"/>
      <c r="LXP128" s="827"/>
      <c r="LXQ128" s="827"/>
      <c r="LXR128" s="827"/>
      <c r="LXS128" s="827"/>
      <c r="LXT128" s="827"/>
      <c r="LXU128" s="827"/>
      <c r="LXV128" s="827"/>
      <c r="LXW128" s="827"/>
      <c r="LXX128" s="827"/>
      <c r="LXY128" s="827"/>
      <c r="LXZ128" s="827"/>
      <c r="LYA128" s="827"/>
      <c r="LYB128" s="827"/>
      <c r="LYC128" s="827"/>
      <c r="LYD128" s="827"/>
      <c r="LYE128" s="827"/>
      <c r="LYF128" s="827"/>
      <c r="LYG128" s="827"/>
      <c r="LYH128" s="827"/>
      <c r="LYI128" s="827"/>
      <c r="LYJ128" s="827"/>
      <c r="LYK128" s="827"/>
      <c r="LYL128" s="827"/>
      <c r="LYM128" s="827"/>
      <c r="LYN128" s="827"/>
      <c r="LYO128" s="827"/>
      <c r="LYP128" s="827"/>
      <c r="LYQ128" s="827"/>
      <c r="LYR128" s="827"/>
      <c r="LYS128" s="827"/>
      <c r="LYT128" s="827"/>
      <c r="LYU128" s="827"/>
      <c r="LYV128" s="827"/>
      <c r="LYW128" s="827"/>
      <c r="LYX128" s="827"/>
      <c r="LYY128" s="827"/>
      <c r="LYZ128" s="827"/>
      <c r="LZA128" s="827"/>
      <c r="LZB128" s="827"/>
      <c r="LZC128" s="827"/>
      <c r="LZD128" s="827"/>
      <c r="LZE128" s="827"/>
      <c r="LZF128" s="827"/>
      <c r="LZG128" s="827"/>
      <c r="LZH128" s="827"/>
      <c r="LZI128" s="827"/>
      <c r="LZJ128" s="827"/>
      <c r="LZK128" s="827"/>
      <c r="LZL128" s="827"/>
      <c r="LZM128" s="827"/>
      <c r="LZN128" s="827"/>
      <c r="LZO128" s="827"/>
      <c r="LZP128" s="827"/>
      <c r="LZQ128" s="827"/>
      <c r="LZR128" s="827"/>
      <c r="LZS128" s="827"/>
      <c r="LZT128" s="827"/>
      <c r="LZU128" s="827"/>
      <c r="LZV128" s="827"/>
      <c r="LZW128" s="827"/>
      <c r="LZX128" s="827"/>
      <c r="LZY128" s="827"/>
      <c r="LZZ128" s="827"/>
      <c r="MAA128" s="827"/>
      <c r="MAB128" s="827"/>
      <c r="MAC128" s="827"/>
      <c r="MAD128" s="827"/>
      <c r="MAE128" s="827"/>
      <c r="MAF128" s="827"/>
      <c r="MAG128" s="827"/>
      <c r="MAH128" s="827"/>
      <c r="MAI128" s="827"/>
      <c r="MAJ128" s="827"/>
      <c r="MAK128" s="827"/>
      <c r="MAL128" s="827"/>
      <c r="MAM128" s="827"/>
      <c r="MAN128" s="827"/>
      <c r="MAO128" s="827"/>
      <c r="MAP128" s="827"/>
      <c r="MAQ128" s="827"/>
      <c r="MAR128" s="827"/>
      <c r="MAS128" s="827"/>
      <c r="MAT128" s="827"/>
      <c r="MAU128" s="827"/>
      <c r="MAV128" s="827"/>
      <c r="MAW128" s="827"/>
      <c r="MAX128" s="827"/>
      <c r="MAY128" s="827"/>
      <c r="MAZ128" s="827"/>
      <c r="MBA128" s="827"/>
      <c r="MBB128" s="827"/>
      <c r="MBC128" s="827"/>
      <c r="MBD128" s="827"/>
      <c r="MBE128" s="827"/>
      <c r="MBF128" s="827"/>
      <c r="MBG128" s="827"/>
      <c r="MBH128" s="827"/>
      <c r="MBI128" s="827"/>
      <c r="MBJ128" s="827"/>
      <c r="MBK128" s="827"/>
      <c r="MBL128" s="827"/>
      <c r="MBM128" s="827"/>
      <c r="MBN128" s="827"/>
      <c r="MBO128" s="827"/>
      <c r="MBP128" s="827"/>
      <c r="MBQ128" s="827"/>
      <c r="MBR128" s="827"/>
      <c r="MBS128" s="827"/>
      <c r="MBT128" s="827"/>
      <c r="MBU128" s="827"/>
      <c r="MBV128" s="827"/>
      <c r="MBW128" s="827"/>
      <c r="MBX128" s="827"/>
      <c r="MBY128" s="827"/>
      <c r="MBZ128" s="827"/>
      <c r="MCA128" s="827"/>
      <c r="MCB128" s="827"/>
      <c r="MCC128" s="827"/>
      <c r="MCD128" s="827"/>
      <c r="MCE128" s="827"/>
      <c r="MCF128" s="827"/>
      <c r="MCG128" s="827"/>
      <c r="MCH128" s="827"/>
      <c r="MCI128" s="827"/>
      <c r="MCJ128" s="827"/>
      <c r="MCK128" s="827"/>
      <c r="MCL128" s="827"/>
      <c r="MCM128" s="827"/>
      <c r="MCN128" s="827"/>
      <c r="MCO128" s="827"/>
      <c r="MCP128" s="827"/>
      <c r="MCQ128" s="827"/>
      <c r="MCR128" s="827"/>
      <c r="MCS128" s="827"/>
      <c r="MCT128" s="827"/>
      <c r="MCU128" s="827"/>
      <c r="MCV128" s="827"/>
      <c r="MCW128" s="827"/>
      <c r="MCX128" s="827"/>
      <c r="MCY128" s="827"/>
      <c r="MCZ128" s="827"/>
      <c r="MDA128" s="827"/>
      <c r="MDB128" s="827"/>
      <c r="MDC128" s="827"/>
      <c r="MDD128" s="827"/>
      <c r="MDE128" s="827"/>
      <c r="MDF128" s="827"/>
      <c r="MDG128" s="827"/>
      <c r="MDH128" s="827"/>
      <c r="MDI128" s="827"/>
      <c r="MDJ128" s="827"/>
      <c r="MDK128" s="827"/>
      <c r="MDL128" s="827"/>
      <c r="MDM128" s="827"/>
      <c r="MDN128" s="827"/>
      <c r="MDO128" s="827"/>
      <c r="MDP128" s="827"/>
      <c r="MDQ128" s="827"/>
      <c r="MDR128" s="827"/>
      <c r="MDS128" s="827"/>
      <c r="MDT128" s="827"/>
      <c r="MDU128" s="827"/>
      <c r="MDV128" s="827"/>
      <c r="MDW128" s="827"/>
      <c r="MDX128" s="827"/>
      <c r="MDY128" s="827"/>
      <c r="MDZ128" s="827"/>
      <c r="MEA128" s="827"/>
      <c r="MEB128" s="827"/>
      <c r="MEC128" s="827"/>
      <c r="MED128" s="827"/>
      <c r="MEE128" s="827"/>
      <c r="MEF128" s="827"/>
      <c r="MEG128" s="827"/>
      <c r="MEH128" s="827"/>
      <c r="MEI128" s="827"/>
      <c r="MEJ128" s="827"/>
      <c r="MEK128" s="827"/>
      <c r="MEL128" s="827"/>
      <c r="MEM128" s="827"/>
      <c r="MEN128" s="827"/>
      <c r="MEO128" s="827"/>
      <c r="MEP128" s="827"/>
      <c r="MEQ128" s="827"/>
      <c r="MER128" s="827"/>
      <c r="MES128" s="827"/>
      <c r="MET128" s="827"/>
      <c r="MEU128" s="827"/>
      <c r="MEV128" s="827"/>
      <c r="MEW128" s="827"/>
      <c r="MEX128" s="827"/>
      <c r="MEY128" s="827"/>
      <c r="MEZ128" s="827"/>
      <c r="MFA128" s="827"/>
      <c r="MFB128" s="827"/>
      <c r="MFC128" s="827"/>
      <c r="MFD128" s="827"/>
      <c r="MFE128" s="827"/>
      <c r="MFF128" s="827"/>
      <c r="MFG128" s="827"/>
      <c r="MFH128" s="827"/>
      <c r="MFI128" s="827"/>
      <c r="MFJ128" s="827"/>
      <c r="MFK128" s="827"/>
      <c r="MFL128" s="827"/>
      <c r="MFM128" s="827"/>
      <c r="MFN128" s="827"/>
      <c r="MFO128" s="827"/>
      <c r="MFP128" s="827"/>
      <c r="MFQ128" s="827"/>
      <c r="MFR128" s="827"/>
      <c r="MFS128" s="827"/>
      <c r="MFT128" s="827"/>
      <c r="MFU128" s="827"/>
      <c r="MFV128" s="827"/>
      <c r="MFW128" s="827"/>
      <c r="MFX128" s="827"/>
      <c r="MFY128" s="827"/>
      <c r="MFZ128" s="827"/>
      <c r="MGA128" s="827"/>
      <c r="MGB128" s="827"/>
      <c r="MGC128" s="827"/>
      <c r="MGD128" s="827"/>
      <c r="MGE128" s="827"/>
      <c r="MGF128" s="827"/>
      <c r="MGG128" s="827"/>
      <c r="MGH128" s="827"/>
      <c r="MGI128" s="827"/>
      <c r="MGJ128" s="827"/>
      <c r="MGK128" s="827"/>
      <c r="MGL128" s="827"/>
      <c r="MGM128" s="827"/>
      <c r="MGN128" s="827"/>
      <c r="MGO128" s="827"/>
      <c r="MGP128" s="827"/>
      <c r="MGQ128" s="827"/>
      <c r="MGR128" s="827"/>
      <c r="MGS128" s="827"/>
      <c r="MGT128" s="827"/>
      <c r="MGU128" s="827"/>
      <c r="MGV128" s="827"/>
      <c r="MGW128" s="827"/>
      <c r="MGX128" s="827"/>
      <c r="MGY128" s="827"/>
      <c r="MGZ128" s="827"/>
      <c r="MHA128" s="827"/>
      <c r="MHB128" s="827"/>
      <c r="MHC128" s="827"/>
      <c r="MHD128" s="827"/>
      <c r="MHE128" s="827"/>
      <c r="MHF128" s="827"/>
      <c r="MHG128" s="827"/>
      <c r="MHH128" s="827"/>
      <c r="MHI128" s="827"/>
      <c r="MHJ128" s="827"/>
      <c r="MHK128" s="827"/>
      <c r="MHL128" s="827"/>
      <c r="MHM128" s="827"/>
      <c r="MHN128" s="827"/>
      <c r="MHO128" s="827"/>
      <c r="MHP128" s="827"/>
      <c r="MHQ128" s="827"/>
      <c r="MHR128" s="827"/>
      <c r="MHS128" s="827"/>
      <c r="MHT128" s="827"/>
      <c r="MHU128" s="827"/>
      <c r="MHV128" s="827"/>
      <c r="MHW128" s="827"/>
      <c r="MHX128" s="827"/>
      <c r="MHY128" s="827"/>
      <c r="MHZ128" s="827"/>
      <c r="MIA128" s="827"/>
      <c r="MIB128" s="827"/>
      <c r="MIC128" s="827"/>
      <c r="MID128" s="827"/>
      <c r="MIE128" s="827"/>
      <c r="MIF128" s="827"/>
      <c r="MIG128" s="827"/>
      <c r="MIH128" s="827"/>
      <c r="MII128" s="827"/>
      <c r="MIJ128" s="827"/>
      <c r="MIK128" s="827"/>
      <c r="MIL128" s="827"/>
      <c r="MIM128" s="827"/>
      <c r="MIN128" s="827"/>
      <c r="MIO128" s="827"/>
      <c r="MIP128" s="827"/>
      <c r="MIQ128" s="827"/>
      <c r="MIR128" s="827"/>
      <c r="MIS128" s="827"/>
      <c r="MIT128" s="827"/>
      <c r="MIU128" s="827"/>
      <c r="MIV128" s="827"/>
      <c r="MIW128" s="827"/>
      <c r="MIX128" s="827"/>
      <c r="MIY128" s="827"/>
      <c r="MIZ128" s="827"/>
      <c r="MJA128" s="827"/>
      <c r="MJB128" s="827"/>
      <c r="MJC128" s="827"/>
      <c r="MJD128" s="827"/>
      <c r="MJE128" s="827"/>
      <c r="MJF128" s="827"/>
      <c r="MJG128" s="827"/>
      <c r="MJH128" s="827"/>
      <c r="MJI128" s="827"/>
      <c r="MJJ128" s="827"/>
      <c r="MJK128" s="827"/>
      <c r="MJL128" s="827"/>
      <c r="MJM128" s="827"/>
      <c r="MJN128" s="827"/>
      <c r="MJO128" s="827"/>
      <c r="MJP128" s="827"/>
      <c r="MJQ128" s="827"/>
      <c r="MJR128" s="827"/>
      <c r="MJS128" s="827"/>
      <c r="MJT128" s="827"/>
      <c r="MJU128" s="827"/>
      <c r="MJV128" s="827"/>
      <c r="MJW128" s="827"/>
      <c r="MJX128" s="827"/>
      <c r="MJY128" s="827"/>
      <c r="MJZ128" s="827"/>
      <c r="MKA128" s="827"/>
      <c r="MKB128" s="827"/>
      <c r="MKC128" s="827"/>
      <c r="MKD128" s="827"/>
      <c r="MKE128" s="827"/>
      <c r="MKF128" s="827"/>
      <c r="MKG128" s="827"/>
      <c r="MKH128" s="827"/>
      <c r="MKI128" s="827"/>
      <c r="MKJ128" s="827"/>
      <c r="MKK128" s="827"/>
      <c r="MKL128" s="827"/>
      <c r="MKM128" s="827"/>
      <c r="MKN128" s="827"/>
      <c r="MKO128" s="827"/>
      <c r="MKP128" s="827"/>
      <c r="MKQ128" s="827"/>
      <c r="MKR128" s="827"/>
      <c r="MKS128" s="827"/>
      <c r="MKT128" s="827"/>
      <c r="MKU128" s="827"/>
      <c r="MKV128" s="827"/>
      <c r="MKW128" s="827"/>
      <c r="MKX128" s="827"/>
      <c r="MKY128" s="827"/>
      <c r="MKZ128" s="827"/>
      <c r="MLA128" s="827"/>
      <c r="MLB128" s="827"/>
      <c r="MLC128" s="827"/>
      <c r="MLD128" s="827"/>
      <c r="MLE128" s="827"/>
      <c r="MLF128" s="827"/>
      <c r="MLG128" s="827"/>
      <c r="MLH128" s="827"/>
      <c r="MLI128" s="827"/>
      <c r="MLJ128" s="827"/>
      <c r="MLK128" s="827"/>
      <c r="MLL128" s="827"/>
      <c r="MLM128" s="827"/>
      <c r="MLN128" s="827"/>
      <c r="MLO128" s="827"/>
      <c r="MLP128" s="827"/>
      <c r="MLQ128" s="827"/>
      <c r="MLR128" s="827"/>
      <c r="MLS128" s="827"/>
      <c r="MLT128" s="827"/>
      <c r="MLU128" s="827"/>
      <c r="MLV128" s="827"/>
      <c r="MLW128" s="827"/>
      <c r="MLX128" s="827"/>
      <c r="MLY128" s="827"/>
      <c r="MLZ128" s="827"/>
      <c r="MMA128" s="827"/>
      <c r="MMB128" s="827"/>
      <c r="MMC128" s="827"/>
      <c r="MMD128" s="827"/>
      <c r="MME128" s="827"/>
      <c r="MMF128" s="827"/>
      <c r="MMG128" s="827"/>
      <c r="MMH128" s="827"/>
      <c r="MMI128" s="827"/>
      <c r="MMJ128" s="827"/>
      <c r="MMK128" s="827"/>
      <c r="MML128" s="827"/>
      <c r="MMM128" s="827"/>
      <c r="MMN128" s="827"/>
      <c r="MMO128" s="827"/>
      <c r="MMP128" s="827"/>
      <c r="MMQ128" s="827"/>
      <c r="MMR128" s="827"/>
      <c r="MMS128" s="827"/>
      <c r="MMT128" s="827"/>
      <c r="MMU128" s="827"/>
      <c r="MMV128" s="827"/>
      <c r="MMW128" s="827"/>
      <c r="MMX128" s="827"/>
      <c r="MMY128" s="827"/>
      <c r="MMZ128" s="827"/>
      <c r="MNA128" s="827"/>
      <c r="MNB128" s="827"/>
      <c r="MNC128" s="827"/>
      <c r="MND128" s="827"/>
      <c r="MNE128" s="827"/>
      <c r="MNF128" s="827"/>
      <c r="MNG128" s="827"/>
      <c r="MNH128" s="827"/>
      <c r="MNI128" s="827"/>
      <c r="MNJ128" s="827"/>
      <c r="MNK128" s="827"/>
      <c r="MNL128" s="827"/>
      <c r="MNM128" s="827"/>
      <c r="MNN128" s="827"/>
      <c r="MNO128" s="827"/>
      <c r="MNP128" s="827"/>
      <c r="MNQ128" s="827"/>
      <c r="MNR128" s="827"/>
      <c r="MNS128" s="827"/>
      <c r="MNT128" s="827"/>
      <c r="MNU128" s="827"/>
      <c r="MNV128" s="827"/>
      <c r="MNW128" s="827"/>
      <c r="MNX128" s="827"/>
      <c r="MNY128" s="827"/>
      <c r="MNZ128" s="827"/>
      <c r="MOA128" s="827"/>
      <c r="MOB128" s="827"/>
      <c r="MOC128" s="827"/>
      <c r="MOD128" s="827"/>
      <c r="MOE128" s="827"/>
      <c r="MOF128" s="827"/>
      <c r="MOG128" s="827"/>
      <c r="MOH128" s="827"/>
      <c r="MOI128" s="827"/>
      <c r="MOJ128" s="827"/>
      <c r="MOK128" s="827"/>
      <c r="MOL128" s="827"/>
      <c r="MOM128" s="827"/>
      <c r="MON128" s="827"/>
      <c r="MOO128" s="827"/>
      <c r="MOP128" s="827"/>
      <c r="MOQ128" s="827"/>
      <c r="MOR128" s="827"/>
      <c r="MOS128" s="827"/>
      <c r="MOT128" s="827"/>
      <c r="MOU128" s="827"/>
      <c r="MOV128" s="827"/>
      <c r="MOW128" s="827"/>
      <c r="MOX128" s="827"/>
      <c r="MOY128" s="827"/>
      <c r="MOZ128" s="827"/>
      <c r="MPA128" s="827"/>
      <c r="MPB128" s="827"/>
      <c r="MPC128" s="827"/>
      <c r="MPD128" s="827"/>
      <c r="MPE128" s="827"/>
      <c r="MPF128" s="827"/>
      <c r="MPG128" s="827"/>
      <c r="MPH128" s="827"/>
      <c r="MPI128" s="827"/>
      <c r="MPJ128" s="827"/>
      <c r="MPK128" s="827"/>
      <c r="MPL128" s="827"/>
      <c r="MPM128" s="827"/>
      <c r="MPN128" s="827"/>
      <c r="MPO128" s="827"/>
      <c r="MPP128" s="827"/>
      <c r="MPQ128" s="827"/>
      <c r="MPR128" s="827"/>
      <c r="MPS128" s="827"/>
      <c r="MPT128" s="827"/>
      <c r="MPU128" s="827"/>
      <c r="MPV128" s="827"/>
      <c r="MPW128" s="827"/>
      <c r="MPX128" s="827"/>
      <c r="MPY128" s="827"/>
      <c r="MPZ128" s="827"/>
      <c r="MQA128" s="827"/>
      <c r="MQB128" s="827"/>
      <c r="MQC128" s="827"/>
      <c r="MQD128" s="827"/>
      <c r="MQE128" s="827"/>
      <c r="MQF128" s="827"/>
      <c r="MQG128" s="827"/>
      <c r="MQH128" s="827"/>
      <c r="MQI128" s="827"/>
      <c r="MQJ128" s="827"/>
      <c r="MQK128" s="827"/>
      <c r="MQL128" s="827"/>
      <c r="MQM128" s="827"/>
      <c r="MQN128" s="827"/>
      <c r="MQO128" s="827"/>
      <c r="MQP128" s="827"/>
      <c r="MQQ128" s="827"/>
      <c r="MQR128" s="827"/>
      <c r="MQS128" s="827"/>
      <c r="MQT128" s="827"/>
      <c r="MQU128" s="827"/>
      <c r="MQV128" s="827"/>
      <c r="MQW128" s="827"/>
      <c r="MQX128" s="827"/>
      <c r="MQY128" s="827"/>
      <c r="MQZ128" s="827"/>
      <c r="MRA128" s="827"/>
      <c r="MRB128" s="827"/>
      <c r="MRC128" s="827"/>
      <c r="MRD128" s="827"/>
      <c r="MRE128" s="827"/>
      <c r="MRF128" s="827"/>
      <c r="MRG128" s="827"/>
      <c r="MRH128" s="827"/>
      <c r="MRI128" s="827"/>
      <c r="MRJ128" s="827"/>
      <c r="MRK128" s="827"/>
      <c r="MRL128" s="827"/>
      <c r="MRM128" s="827"/>
      <c r="MRN128" s="827"/>
      <c r="MRO128" s="827"/>
      <c r="MRP128" s="827"/>
      <c r="MRQ128" s="827"/>
      <c r="MRR128" s="827"/>
      <c r="MRS128" s="827"/>
      <c r="MRT128" s="827"/>
      <c r="MRU128" s="827"/>
      <c r="MRV128" s="827"/>
      <c r="MRW128" s="827"/>
      <c r="MRX128" s="827"/>
      <c r="MRY128" s="827"/>
      <c r="MRZ128" s="827"/>
      <c r="MSA128" s="827"/>
      <c r="MSB128" s="827"/>
      <c r="MSC128" s="827"/>
      <c r="MSD128" s="827"/>
      <c r="MSE128" s="827"/>
      <c r="MSF128" s="827"/>
      <c r="MSG128" s="827"/>
      <c r="MSH128" s="827"/>
      <c r="MSI128" s="827"/>
      <c r="MSJ128" s="827"/>
      <c r="MSK128" s="827"/>
      <c r="MSL128" s="827"/>
      <c r="MSM128" s="827"/>
      <c r="MSN128" s="827"/>
      <c r="MSO128" s="827"/>
      <c r="MSP128" s="827"/>
      <c r="MSQ128" s="827"/>
      <c r="MSR128" s="827"/>
      <c r="MSS128" s="827"/>
      <c r="MST128" s="827"/>
      <c r="MSU128" s="827"/>
      <c r="MSV128" s="827"/>
      <c r="MSW128" s="827"/>
      <c r="MSX128" s="827"/>
      <c r="MSY128" s="827"/>
      <c r="MSZ128" s="827"/>
      <c r="MTA128" s="827"/>
      <c r="MTB128" s="827"/>
      <c r="MTC128" s="827"/>
      <c r="MTD128" s="827"/>
      <c r="MTE128" s="827"/>
      <c r="MTF128" s="827"/>
      <c r="MTG128" s="827"/>
      <c r="MTH128" s="827"/>
      <c r="MTI128" s="827"/>
      <c r="MTJ128" s="827"/>
      <c r="MTK128" s="827"/>
      <c r="MTL128" s="827"/>
      <c r="MTM128" s="827"/>
      <c r="MTN128" s="827"/>
      <c r="MTO128" s="827"/>
      <c r="MTP128" s="827"/>
      <c r="MTQ128" s="827"/>
      <c r="MTR128" s="827"/>
      <c r="MTS128" s="827"/>
      <c r="MTT128" s="827"/>
      <c r="MTU128" s="827"/>
      <c r="MTV128" s="827"/>
      <c r="MTW128" s="827"/>
      <c r="MTX128" s="827"/>
      <c r="MTY128" s="827"/>
      <c r="MTZ128" s="827"/>
      <c r="MUA128" s="827"/>
      <c r="MUB128" s="827"/>
      <c r="MUC128" s="827"/>
      <c r="MUD128" s="827"/>
      <c r="MUE128" s="827"/>
      <c r="MUF128" s="827"/>
      <c r="MUG128" s="827"/>
      <c r="MUH128" s="827"/>
      <c r="MUI128" s="827"/>
      <c r="MUJ128" s="827"/>
      <c r="MUK128" s="827"/>
      <c r="MUL128" s="827"/>
      <c r="MUM128" s="827"/>
      <c r="MUN128" s="827"/>
      <c r="MUO128" s="827"/>
      <c r="MUP128" s="827"/>
      <c r="MUQ128" s="827"/>
      <c r="MUR128" s="827"/>
      <c r="MUS128" s="827"/>
      <c r="MUT128" s="827"/>
      <c r="MUU128" s="827"/>
      <c r="MUV128" s="827"/>
      <c r="MUW128" s="827"/>
      <c r="MUX128" s="827"/>
      <c r="MUY128" s="827"/>
      <c r="MUZ128" s="827"/>
      <c r="MVA128" s="827"/>
      <c r="MVB128" s="827"/>
      <c r="MVC128" s="827"/>
      <c r="MVD128" s="827"/>
      <c r="MVE128" s="827"/>
      <c r="MVF128" s="827"/>
      <c r="MVG128" s="827"/>
      <c r="MVH128" s="827"/>
      <c r="MVI128" s="827"/>
      <c r="MVJ128" s="827"/>
      <c r="MVK128" s="827"/>
      <c r="MVL128" s="827"/>
      <c r="MVM128" s="827"/>
      <c r="MVN128" s="827"/>
      <c r="MVO128" s="827"/>
      <c r="MVP128" s="827"/>
      <c r="MVQ128" s="827"/>
      <c r="MVR128" s="827"/>
      <c r="MVS128" s="827"/>
      <c r="MVT128" s="827"/>
      <c r="MVU128" s="827"/>
      <c r="MVV128" s="827"/>
      <c r="MVW128" s="827"/>
      <c r="MVX128" s="827"/>
      <c r="MVY128" s="827"/>
      <c r="MVZ128" s="827"/>
      <c r="MWA128" s="827"/>
      <c r="MWB128" s="827"/>
      <c r="MWC128" s="827"/>
      <c r="MWD128" s="827"/>
      <c r="MWE128" s="827"/>
      <c r="MWF128" s="827"/>
      <c r="MWG128" s="827"/>
      <c r="MWH128" s="827"/>
      <c r="MWI128" s="827"/>
      <c r="MWJ128" s="827"/>
      <c r="MWK128" s="827"/>
      <c r="MWL128" s="827"/>
      <c r="MWM128" s="827"/>
      <c r="MWN128" s="827"/>
      <c r="MWO128" s="827"/>
      <c r="MWP128" s="827"/>
      <c r="MWQ128" s="827"/>
      <c r="MWR128" s="827"/>
      <c r="MWS128" s="827"/>
      <c r="MWT128" s="827"/>
      <c r="MWU128" s="827"/>
      <c r="MWV128" s="827"/>
      <c r="MWW128" s="827"/>
      <c r="MWX128" s="827"/>
      <c r="MWY128" s="827"/>
      <c r="MWZ128" s="827"/>
      <c r="MXA128" s="827"/>
      <c r="MXB128" s="827"/>
      <c r="MXC128" s="827"/>
      <c r="MXD128" s="827"/>
      <c r="MXE128" s="827"/>
      <c r="MXF128" s="827"/>
      <c r="MXG128" s="827"/>
      <c r="MXH128" s="827"/>
      <c r="MXI128" s="827"/>
      <c r="MXJ128" s="827"/>
      <c r="MXK128" s="827"/>
      <c r="MXL128" s="827"/>
      <c r="MXM128" s="827"/>
      <c r="MXN128" s="827"/>
      <c r="MXO128" s="827"/>
      <c r="MXP128" s="827"/>
      <c r="MXQ128" s="827"/>
      <c r="MXR128" s="827"/>
      <c r="MXS128" s="827"/>
      <c r="MXT128" s="827"/>
      <c r="MXU128" s="827"/>
      <c r="MXV128" s="827"/>
      <c r="MXW128" s="827"/>
      <c r="MXX128" s="827"/>
      <c r="MXY128" s="827"/>
      <c r="MXZ128" s="827"/>
      <c r="MYA128" s="827"/>
      <c r="MYB128" s="827"/>
      <c r="MYC128" s="827"/>
      <c r="MYD128" s="827"/>
      <c r="MYE128" s="827"/>
      <c r="MYF128" s="827"/>
      <c r="MYG128" s="827"/>
      <c r="MYH128" s="827"/>
      <c r="MYI128" s="827"/>
      <c r="MYJ128" s="827"/>
      <c r="MYK128" s="827"/>
      <c r="MYL128" s="827"/>
      <c r="MYM128" s="827"/>
      <c r="MYN128" s="827"/>
      <c r="MYO128" s="827"/>
      <c r="MYP128" s="827"/>
      <c r="MYQ128" s="827"/>
      <c r="MYR128" s="827"/>
      <c r="MYS128" s="827"/>
      <c r="MYT128" s="827"/>
      <c r="MYU128" s="827"/>
      <c r="MYV128" s="827"/>
      <c r="MYW128" s="827"/>
      <c r="MYX128" s="827"/>
      <c r="MYY128" s="827"/>
      <c r="MYZ128" s="827"/>
      <c r="MZA128" s="827"/>
      <c r="MZB128" s="827"/>
      <c r="MZC128" s="827"/>
      <c r="MZD128" s="827"/>
      <c r="MZE128" s="827"/>
      <c r="MZF128" s="827"/>
      <c r="MZG128" s="827"/>
      <c r="MZH128" s="827"/>
      <c r="MZI128" s="827"/>
      <c r="MZJ128" s="827"/>
      <c r="MZK128" s="827"/>
      <c r="MZL128" s="827"/>
      <c r="MZM128" s="827"/>
      <c r="MZN128" s="827"/>
      <c r="MZO128" s="827"/>
      <c r="MZP128" s="827"/>
      <c r="MZQ128" s="827"/>
      <c r="MZR128" s="827"/>
      <c r="MZS128" s="827"/>
      <c r="MZT128" s="827"/>
      <c r="MZU128" s="827"/>
      <c r="MZV128" s="827"/>
      <c r="MZW128" s="827"/>
      <c r="MZX128" s="827"/>
      <c r="MZY128" s="827"/>
      <c r="MZZ128" s="827"/>
      <c r="NAA128" s="827"/>
      <c r="NAB128" s="827"/>
      <c r="NAC128" s="827"/>
      <c r="NAD128" s="827"/>
      <c r="NAE128" s="827"/>
      <c r="NAF128" s="827"/>
      <c r="NAG128" s="827"/>
      <c r="NAH128" s="827"/>
      <c r="NAI128" s="827"/>
      <c r="NAJ128" s="827"/>
      <c r="NAK128" s="827"/>
      <c r="NAL128" s="827"/>
      <c r="NAM128" s="827"/>
      <c r="NAN128" s="827"/>
      <c r="NAO128" s="827"/>
      <c r="NAP128" s="827"/>
      <c r="NAQ128" s="827"/>
      <c r="NAR128" s="827"/>
      <c r="NAS128" s="827"/>
      <c r="NAT128" s="827"/>
      <c r="NAU128" s="827"/>
      <c r="NAV128" s="827"/>
      <c r="NAW128" s="827"/>
      <c r="NAX128" s="827"/>
      <c r="NAY128" s="827"/>
      <c r="NAZ128" s="827"/>
      <c r="NBA128" s="827"/>
      <c r="NBB128" s="827"/>
      <c r="NBC128" s="827"/>
      <c r="NBD128" s="827"/>
      <c r="NBE128" s="827"/>
      <c r="NBF128" s="827"/>
      <c r="NBG128" s="827"/>
      <c r="NBH128" s="827"/>
      <c r="NBI128" s="827"/>
      <c r="NBJ128" s="827"/>
      <c r="NBK128" s="827"/>
      <c r="NBL128" s="827"/>
      <c r="NBM128" s="827"/>
      <c r="NBN128" s="827"/>
      <c r="NBO128" s="827"/>
      <c r="NBP128" s="827"/>
      <c r="NBQ128" s="827"/>
      <c r="NBR128" s="827"/>
      <c r="NBS128" s="827"/>
      <c r="NBT128" s="827"/>
      <c r="NBU128" s="827"/>
      <c r="NBV128" s="827"/>
      <c r="NBW128" s="827"/>
      <c r="NBX128" s="827"/>
      <c r="NBY128" s="827"/>
      <c r="NBZ128" s="827"/>
      <c r="NCA128" s="827"/>
      <c r="NCB128" s="827"/>
      <c r="NCC128" s="827"/>
      <c r="NCD128" s="827"/>
      <c r="NCE128" s="827"/>
      <c r="NCF128" s="827"/>
      <c r="NCG128" s="827"/>
      <c r="NCH128" s="827"/>
      <c r="NCI128" s="827"/>
      <c r="NCJ128" s="827"/>
      <c r="NCK128" s="827"/>
      <c r="NCL128" s="827"/>
      <c r="NCM128" s="827"/>
      <c r="NCN128" s="827"/>
      <c r="NCO128" s="827"/>
      <c r="NCP128" s="827"/>
      <c r="NCQ128" s="827"/>
      <c r="NCR128" s="827"/>
      <c r="NCS128" s="827"/>
      <c r="NCT128" s="827"/>
      <c r="NCU128" s="827"/>
      <c r="NCV128" s="827"/>
      <c r="NCW128" s="827"/>
      <c r="NCX128" s="827"/>
      <c r="NCY128" s="827"/>
      <c r="NCZ128" s="827"/>
      <c r="NDA128" s="827"/>
      <c r="NDB128" s="827"/>
      <c r="NDC128" s="827"/>
      <c r="NDD128" s="827"/>
      <c r="NDE128" s="827"/>
      <c r="NDF128" s="827"/>
      <c r="NDG128" s="827"/>
      <c r="NDH128" s="827"/>
      <c r="NDI128" s="827"/>
      <c r="NDJ128" s="827"/>
      <c r="NDK128" s="827"/>
      <c r="NDL128" s="827"/>
      <c r="NDM128" s="827"/>
      <c r="NDN128" s="827"/>
      <c r="NDO128" s="827"/>
      <c r="NDP128" s="827"/>
      <c r="NDQ128" s="827"/>
      <c r="NDR128" s="827"/>
      <c r="NDS128" s="827"/>
      <c r="NDT128" s="827"/>
      <c r="NDU128" s="827"/>
      <c r="NDV128" s="827"/>
      <c r="NDW128" s="827"/>
      <c r="NDX128" s="827"/>
      <c r="NDY128" s="827"/>
      <c r="NDZ128" s="827"/>
      <c r="NEA128" s="827"/>
      <c r="NEB128" s="827"/>
      <c r="NEC128" s="827"/>
      <c r="NED128" s="827"/>
      <c r="NEE128" s="827"/>
      <c r="NEF128" s="827"/>
      <c r="NEG128" s="827"/>
      <c r="NEH128" s="827"/>
      <c r="NEI128" s="827"/>
      <c r="NEJ128" s="827"/>
      <c r="NEK128" s="827"/>
      <c r="NEL128" s="827"/>
      <c r="NEM128" s="827"/>
      <c r="NEN128" s="827"/>
      <c r="NEO128" s="827"/>
      <c r="NEP128" s="827"/>
      <c r="NEQ128" s="827"/>
      <c r="NER128" s="827"/>
      <c r="NES128" s="827"/>
      <c r="NET128" s="827"/>
      <c r="NEU128" s="827"/>
      <c r="NEV128" s="827"/>
      <c r="NEW128" s="827"/>
      <c r="NEX128" s="827"/>
      <c r="NEY128" s="827"/>
      <c r="NEZ128" s="827"/>
      <c r="NFA128" s="827"/>
      <c r="NFB128" s="827"/>
      <c r="NFC128" s="827"/>
      <c r="NFD128" s="827"/>
      <c r="NFE128" s="827"/>
      <c r="NFF128" s="827"/>
      <c r="NFG128" s="827"/>
      <c r="NFH128" s="827"/>
      <c r="NFI128" s="827"/>
      <c r="NFJ128" s="827"/>
      <c r="NFK128" s="827"/>
      <c r="NFL128" s="827"/>
      <c r="NFM128" s="827"/>
      <c r="NFN128" s="827"/>
      <c r="NFO128" s="827"/>
      <c r="NFP128" s="827"/>
      <c r="NFQ128" s="827"/>
      <c r="NFR128" s="827"/>
      <c r="NFS128" s="827"/>
      <c r="NFT128" s="827"/>
      <c r="NFU128" s="827"/>
      <c r="NFV128" s="827"/>
      <c r="NFW128" s="827"/>
      <c r="NFX128" s="827"/>
      <c r="NFY128" s="827"/>
      <c r="NFZ128" s="827"/>
      <c r="NGA128" s="827"/>
      <c r="NGB128" s="827"/>
      <c r="NGC128" s="827"/>
      <c r="NGD128" s="827"/>
      <c r="NGE128" s="827"/>
      <c r="NGF128" s="827"/>
      <c r="NGG128" s="827"/>
      <c r="NGH128" s="827"/>
      <c r="NGI128" s="827"/>
      <c r="NGJ128" s="827"/>
      <c r="NGK128" s="827"/>
      <c r="NGL128" s="827"/>
      <c r="NGM128" s="827"/>
      <c r="NGN128" s="827"/>
      <c r="NGO128" s="827"/>
      <c r="NGP128" s="827"/>
      <c r="NGQ128" s="827"/>
      <c r="NGR128" s="827"/>
      <c r="NGS128" s="827"/>
      <c r="NGT128" s="827"/>
      <c r="NGU128" s="827"/>
      <c r="NGV128" s="827"/>
      <c r="NGW128" s="827"/>
      <c r="NGX128" s="827"/>
      <c r="NGY128" s="827"/>
      <c r="NGZ128" s="827"/>
      <c r="NHA128" s="827"/>
      <c r="NHB128" s="827"/>
      <c r="NHC128" s="827"/>
      <c r="NHD128" s="827"/>
      <c r="NHE128" s="827"/>
      <c r="NHF128" s="827"/>
      <c r="NHG128" s="827"/>
      <c r="NHH128" s="827"/>
      <c r="NHI128" s="827"/>
      <c r="NHJ128" s="827"/>
      <c r="NHK128" s="827"/>
      <c r="NHL128" s="827"/>
      <c r="NHM128" s="827"/>
      <c r="NHN128" s="827"/>
      <c r="NHO128" s="827"/>
      <c r="NHP128" s="827"/>
      <c r="NHQ128" s="827"/>
      <c r="NHR128" s="827"/>
      <c r="NHS128" s="827"/>
      <c r="NHT128" s="827"/>
      <c r="NHU128" s="827"/>
      <c r="NHV128" s="827"/>
      <c r="NHW128" s="827"/>
      <c r="NHX128" s="827"/>
      <c r="NHY128" s="827"/>
      <c r="NHZ128" s="827"/>
      <c r="NIA128" s="827"/>
      <c r="NIB128" s="827"/>
      <c r="NIC128" s="827"/>
      <c r="NID128" s="827"/>
      <c r="NIE128" s="827"/>
      <c r="NIF128" s="827"/>
      <c r="NIG128" s="827"/>
      <c r="NIH128" s="827"/>
      <c r="NII128" s="827"/>
      <c r="NIJ128" s="827"/>
      <c r="NIK128" s="827"/>
      <c r="NIL128" s="827"/>
      <c r="NIM128" s="827"/>
      <c r="NIN128" s="827"/>
      <c r="NIO128" s="827"/>
      <c r="NIP128" s="827"/>
      <c r="NIQ128" s="827"/>
      <c r="NIR128" s="827"/>
      <c r="NIS128" s="827"/>
      <c r="NIT128" s="827"/>
      <c r="NIU128" s="827"/>
      <c r="NIV128" s="827"/>
      <c r="NIW128" s="827"/>
      <c r="NIX128" s="827"/>
      <c r="NIY128" s="827"/>
      <c r="NIZ128" s="827"/>
      <c r="NJA128" s="827"/>
      <c r="NJB128" s="827"/>
      <c r="NJC128" s="827"/>
      <c r="NJD128" s="827"/>
      <c r="NJE128" s="827"/>
      <c r="NJF128" s="827"/>
      <c r="NJG128" s="827"/>
      <c r="NJH128" s="827"/>
      <c r="NJI128" s="827"/>
      <c r="NJJ128" s="827"/>
      <c r="NJK128" s="827"/>
      <c r="NJL128" s="827"/>
      <c r="NJM128" s="827"/>
      <c r="NJN128" s="827"/>
      <c r="NJO128" s="827"/>
      <c r="NJP128" s="827"/>
      <c r="NJQ128" s="827"/>
      <c r="NJR128" s="827"/>
      <c r="NJS128" s="827"/>
      <c r="NJT128" s="827"/>
      <c r="NJU128" s="827"/>
      <c r="NJV128" s="827"/>
      <c r="NJW128" s="827"/>
      <c r="NJX128" s="827"/>
      <c r="NJY128" s="827"/>
      <c r="NJZ128" s="827"/>
      <c r="NKA128" s="827"/>
      <c r="NKB128" s="827"/>
      <c r="NKC128" s="827"/>
      <c r="NKD128" s="827"/>
      <c r="NKE128" s="827"/>
      <c r="NKF128" s="827"/>
      <c r="NKG128" s="827"/>
      <c r="NKH128" s="827"/>
      <c r="NKI128" s="827"/>
      <c r="NKJ128" s="827"/>
      <c r="NKK128" s="827"/>
      <c r="NKL128" s="827"/>
      <c r="NKM128" s="827"/>
      <c r="NKN128" s="827"/>
      <c r="NKO128" s="827"/>
      <c r="NKP128" s="827"/>
      <c r="NKQ128" s="827"/>
      <c r="NKR128" s="827"/>
      <c r="NKS128" s="827"/>
      <c r="NKT128" s="827"/>
      <c r="NKU128" s="827"/>
      <c r="NKV128" s="827"/>
      <c r="NKW128" s="827"/>
      <c r="NKX128" s="827"/>
      <c r="NKY128" s="827"/>
      <c r="NKZ128" s="827"/>
      <c r="NLA128" s="827"/>
      <c r="NLB128" s="827"/>
      <c r="NLC128" s="827"/>
      <c r="NLD128" s="827"/>
      <c r="NLE128" s="827"/>
      <c r="NLF128" s="827"/>
      <c r="NLG128" s="827"/>
      <c r="NLH128" s="827"/>
      <c r="NLI128" s="827"/>
      <c r="NLJ128" s="827"/>
      <c r="NLK128" s="827"/>
      <c r="NLL128" s="827"/>
      <c r="NLM128" s="827"/>
      <c r="NLN128" s="827"/>
      <c r="NLO128" s="827"/>
      <c r="NLP128" s="827"/>
      <c r="NLQ128" s="827"/>
      <c r="NLR128" s="827"/>
      <c r="NLS128" s="827"/>
      <c r="NLT128" s="827"/>
      <c r="NLU128" s="827"/>
      <c r="NLV128" s="827"/>
      <c r="NLW128" s="827"/>
      <c r="NLX128" s="827"/>
      <c r="NLY128" s="827"/>
      <c r="NLZ128" s="827"/>
      <c r="NMA128" s="827"/>
      <c r="NMB128" s="827"/>
      <c r="NMC128" s="827"/>
      <c r="NMD128" s="827"/>
      <c r="NME128" s="827"/>
      <c r="NMF128" s="827"/>
      <c r="NMG128" s="827"/>
      <c r="NMH128" s="827"/>
      <c r="NMI128" s="827"/>
      <c r="NMJ128" s="827"/>
      <c r="NMK128" s="827"/>
      <c r="NML128" s="827"/>
      <c r="NMM128" s="827"/>
      <c r="NMN128" s="827"/>
      <c r="NMO128" s="827"/>
      <c r="NMP128" s="827"/>
      <c r="NMQ128" s="827"/>
      <c r="NMR128" s="827"/>
      <c r="NMS128" s="827"/>
      <c r="NMT128" s="827"/>
      <c r="NMU128" s="827"/>
      <c r="NMV128" s="827"/>
      <c r="NMW128" s="827"/>
      <c r="NMX128" s="827"/>
      <c r="NMY128" s="827"/>
      <c r="NMZ128" s="827"/>
      <c r="NNA128" s="827"/>
      <c r="NNB128" s="827"/>
      <c r="NNC128" s="827"/>
      <c r="NND128" s="827"/>
      <c r="NNE128" s="827"/>
      <c r="NNF128" s="827"/>
      <c r="NNG128" s="827"/>
      <c r="NNH128" s="827"/>
      <c r="NNI128" s="827"/>
      <c r="NNJ128" s="827"/>
      <c r="NNK128" s="827"/>
      <c r="NNL128" s="827"/>
      <c r="NNM128" s="827"/>
      <c r="NNN128" s="827"/>
      <c r="NNO128" s="827"/>
      <c r="NNP128" s="827"/>
      <c r="NNQ128" s="827"/>
      <c r="NNR128" s="827"/>
      <c r="NNS128" s="827"/>
      <c r="NNT128" s="827"/>
      <c r="NNU128" s="827"/>
      <c r="NNV128" s="827"/>
      <c r="NNW128" s="827"/>
      <c r="NNX128" s="827"/>
      <c r="NNY128" s="827"/>
      <c r="NNZ128" s="827"/>
      <c r="NOA128" s="827"/>
      <c r="NOB128" s="827"/>
      <c r="NOC128" s="827"/>
      <c r="NOD128" s="827"/>
      <c r="NOE128" s="827"/>
      <c r="NOF128" s="827"/>
      <c r="NOG128" s="827"/>
      <c r="NOH128" s="827"/>
      <c r="NOI128" s="827"/>
      <c r="NOJ128" s="827"/>
      <c r="NOK128" s="827"/>
      <c r="NOL128" s="827"/>
      <c r="NOM128" s="827"/>
      <c r="NON128" s="827"/>
      <c r="NOO128" s="827"/>
      <c r="NOP128" s="827"/>
      <c r="NOQ128" s="827"/>
      <c r="NOR128" s="827"/>
      <c r="NOS128" s="827"/>
      <c r="NOT128" s="827"/>
      <c r="NOU128" s="827"/>
      <c r="NOV128" s="827"/>
      <c r="NOW128" s="827"/>
      <c r="NOX128" s="827"/>
      <c r="NOY128" s="827"/>
      <c r="NOZ128" s="827"/>
      <c r="NPA128" s="827"/>
      <c r="NPB128" s="827"/>
      <c r="NPC128" s="827"/>
      <c r="NPD128" s="827"/>
      <c r="NPE128" s="827"/>
      <c r="NPF128" s="827"/>
      <c r="NPG128" s="827"/>
      <c r="NPH128" s="827"/>
      <c r="NPI128" s="827"/>
      <c r="NPJ128" s="827"/>
      <c r="NPK128" s="827"/>
      <c r="NPL128" s="827"/>
      <c r="NPM128" s="827"/>
      <c r="NPN128" s="827"/>
      <c r="NPO128" s="827"/>
      <c r="NPP128" s="827"/>
      <c r="NPQ128" s="827"/>
      <c r="NPR128" s="827"/>
      <c r="NPS128" s="827"/>
      <c r="NPT128" s="827"/>
      <c r="NPU128" s="827"/>
      <c r="NPV128" s="827"/>
      <c r="NPW128" s="827"/>
      <c r="NPX128" s="827"/>
      <c r="NPY128" s="827"/>
      <c r="NPZ128" s="827"/>
      <c r="NQA128" s="827"/>
      <c r="NQB128" s="827"/>
      <c r="NQC128" s="827"/>
      <c r="NQD128" s="827"/>
      <c r="NQE128" s="827"/>
      <c r="NQF128" s="827"/>
      <c r="NQG128" s="827"/>
      <c r="NQH128" s="827"/>
      <c r="NQI128" s="827"/>
      <c r="NQJ128" s="827"/>
      <c r="NQK128" s="827"/>
      <c r="NQL128" s="827"/>
      <c r="NQM128" s="827"/>
      <c r="NQN128" s="827"/>
      <c r="NQO128" s="827"/>
      <c r="NQP128" s="827"/>
      <c r="NQQ128" s="827"/>
      <c r="NQR128" s="827"/>
      <c r="NQS128" s="827"/>
      <c r="NQT128" s="827"/>
      <c r="NQU128" s="827"/>
      <c r="NQV128" s="827"/>
      <c r="NQW128" s="827"/>
      <c r="NQX128" s="827"/>
      <c r="NQY128" s="827"/>
      <c r="NQZ128" s="827"/>
      <c r="NRA128" s="827"/>
      <c r="NRB128" s="827"/>
      <c r="NRC128" s="827"/>
      <c r="NRD128" s="827"/>
      <c r="NRE128" s="827"/>
      <c r="NRF128" s="827"/>
      <c r="NRG128" s="827"/>
      <c r="NRH128" s="827"/>
      <c r="NRI128" s="827"/>
      <c r="NRJ128" s="827"/>
      <c r="NRK128" s="827"/>
      <c r="NRL128" s="827"/>
      <c r="NRM128" s="827"/>
      <c r="NRN128" s="827"/>
      <c r="NRO128" s="827"/>
      <c r="NRP128" s="827"/>
      <c r="NRQ128" s="827"/>
      <c r="NRR128" s="827"/>
      <c r="NRS128" s="827"/>
      <c r="NRT128" s="827"/>
      <c r="NRU128" s="827"/>
      <c r="NRV128" s="827"/>
      <c r="NRW128" s="827"/>
      <c r="NRX128" s="827"/>
      <c r="NRY128" s="827"/>
      <c r="NRZ128" s="827"/>
      <c r="NSA128" s="827"/>
      <c r="NSB128" s="827"/>
      <c r="NSC128" s="827"/>
      <c r="NSD128" s="827"/>
      <c r="NSE128" s="827"/>
      <c r="NSF128" s="827"/>
      <c r="NSG128" s="827"/>
      <c r="NSH128" s="827"/>
      <c r="NSI128" s="827"/>
      <c r="NSJ128" s="827"/>
      <c r="NSK128" s="827"/>
      <c r="NSL128" s="827"/>
      <c r="NSM128" s="827"/>
      <c r="NSN128" s="827"/>
      <c r="NSO128" s="827"/>
      <c r="NSP128" s="827"/>
      <c r="NSQ128" s="827"/>
      <c r="NSR128" s="827"/>
      <c r="NSS128" s="827"/>
      <c r="NST128" s="827"/>
      <c r="NSU128" s="827"/>
      <c r="NSV128" s="827"/>
      <c r="NSW128" s="827"/>
      <c r="NSX128" s="827"/>
      <c r="NSY128" s="827"/>
      <c r="NSZ128" s="827"/>
      <c r="NTA128" s="827"/>
      <c r="NTB128" s="827"/>
      <c r="NTC128" s="827"/>
      <c r="NTD128" s="827"/>
      <c r="NTE128" s="827"/>
      <c r="NTF128" s="827"/>
      <c r="NTG128" s="827"/>
      <c r="NTH128" s="827"/>
      <c r="NTI128" s="827"/>
      <c r="NTJ128" s="827"/>
      <c r="NTK128" s="827"/>
      <c r="NTL128" s="827"/>
      <c r="NTM128" s="827"/>
      <c r="NTN128" s="827"/>
      <c r="NTO128" s="827"/>
      <c r="NTP128" s="827"/>
      <c r="NTQ128" s="827"/>
      <c r="NTR128" s="827"/>
      <c r="NTS128" s="827"/>
      <c r="NTT128" s="827"/>
      <c r="NTU128" s="827"/>
      <c r="NTV128" s="827"/>
      <c r="NTW128" s="827"/>
      <c r="NTX128" s="827"/>
      <c r="NTY128" s="827"/>
      <c r="NTZ128" s="827"/>
      <c r="NUA128" s="827"/>
      <c r="NUB128" s="827"/>
      <c r="NUC128" s="827"/>
      <c r="NUD128" s="827"/>
      <c r="NUE128" s="827"/>
      <c r="NUF128" s="827"/>
      <c r="NUG128" s="827"/>
      <c r="NUH128" s="827"/>
      <c r="NUI128" s="827"/>
      <c r="NUJ128" s="827"/>
      <c r="NUK128" s="827"/>
      <c r="NUL128" s="827"/>
      <c r="NUM128" s="827"/>
      <c r="NUN128" s="827"/>
      <c r="NUO128" s="827"/>
      <c r="NUP128" s="827"/>
      <c r="NUQ128" s="827"/>
      <c r="NUR128" s="827"/>
      <c r="NUS128" s="827"/>
      <c r="NUT128" s="827"/>
      <c r="NUU128" s="827"/>
      <c r="NUV128" s="827"/>
      <c r="NUW128" s="827"/>
      <c r="NUX128" s="827"/>
      <c r="NUY128" s="827"/>
      <c r="NUZ128" s="827"/>
      <c r="NVA128" s="827"/>
      <c r="NVB128" s="827"/>
      <c r="NVC128" s="827"/>
      <c r="NVD128" s="827"/>
      <c r="NVE128" s="827"/>
      <c r="NVF128" s="827"/>
      <c r="NVG128" s="827"/>
      <c r="NVH128" s="827"/>
      <c r="NVI128" s="827"/>
      <c r="NVJ128" s="827"/>
      <c r="NVK128" s="827"/>
      <c r="NVL128" s="827"/>
      <c r="NVM128" s="827"/>
      <c r="NVN128" s="827"/>
      <c r="NVO128" s="827"/>
      <c r="NVP128" s="827"/>
      <c r="NVQ128" s="827"/>
      <c r="NVR128" s="827"/>
      <c r="NVS128" s="827"/>
      <c r="NVT128" s="827"/>
      <c r="NVU128" s="827"/>
      <c r="NVV128" s="827"/>
      <c r="NVW128" s="827"/>
      <c r="NVX128" s="827"/>
      <c r="NVY128" s="827"/>
      <c r="NVZ128" s="827"/>
      <c r="NWA128" s="827"/>
      <c r="NWB128" s="827"/>
      <c r="NWC128" s="827"/>
      <c r="NWD128" s="827"/>
      <c r="NWE128" s="827"/>
      <c r="NWF128" s="827"/>
      <c r="NWG128" s="827"/>
      <c r="NWH128" s="827"/>
      <c r="NWI128" s="827"/>
      <c r="NWJ128" s="827"/>
      <c r="NWK128" s="827"/>
      <c r="NWL128" s="827"/>
      <c r="NWM128" s="827"/>
      <c r="NWN128" s="827"/>
      <c r="NWO128" s="827"/>
      <c r="NWP128" s="827"/>
      <c r="NWQ128" s="827"/>
      <c r="NWR128" s="827"/>
      <c r="NWS128" s="827"/>
      <c r="NWT128" s="827"/>
      <c r="NWU128" s="827"/>
      <c r="NWV128" s="827"/>
      <c r="NWW128" s="827"/>
      <c r="NWX128" s="827"/>
      <c r="NWY128" s="827"/>
      <c r="NWZ128" s="827"/>
      <c r="NXA128" s="827"/>
      <c r="NXB128" s="827"/>
      <c r="NXC128" s="827"/>
      <c r="NXD128" s="827"/>
      <c r="NXE128" s="827"/>
      <c r="NXF128" s="827"/>
      <c r="NXG128" s="827"/>
      <c r="NXH128" s="827"/>
      <c r="NXI128" s="827"/>
      <c r="NXJ128" s="827"/>
      <c r="NXK128" s="827"/>
      <c r="NXL128" s="827"/>
      <c r="NXM128" s="827"/>
      <c r="NXN128" s="827"/>
      <c r="NXO128" s="827"/>
      <c r="NXP128" s="827"/>
      <c r="NXQ128" s="827"/>
      <c r="NXR128" s="827"/>
      <c r="NXS128" s="827"/>
      <c r="NXT128" s="827"/>
      <c r="NXU128" s="827"/>
      <c r="NXV128" s="827"/>
      <c r="NXW128" s="827"/>
      <c r="NXX128" s="827"/>
      <c r="NXY128" s="827"/>
      <c r="NXZ128" s="827"/>
      <c r="NYA128" s="827"/>
      <c r="NYB128" s="827"/>
      <c r="NYC128" s="827"/>
      <c r="NYD128" s="827"/>
      <c r="NYE128" s="827"/>
      <c r="NYF128" s="827"/>
      <c r="NYG128" s="827"/>
      <c r="NYH128" s="827"/>
      <c r="NYI128" s="827"/>
      <c r="NYJ128" s="827"/>
      <c r="NYK128" s="827"/>
      <c r="NYL128" s="827"/>
      <c r="NYM128" s="827"/>
      <c r="NYN128" s="827"/>
      <c r="NYO128" s="827"/>
      <c r="NYP128" s="827"/>
      <c r="NYQ128" s="827"/>
      <c r="NYR128" s="827"/>
      <c r="NYS128" s="827"/>
      <c r="NYT128" s="827"/>
      <c r="NYU128" s="827"/>
      <c r="NYV128" s="827"/>
      <c r="NYW128" s="827"/>
      <c r="NYX128" s="827"/>
      <c r="NYY128" s="827"/>
      <c r="NYZ128" s="827"/>
      <c r="NZA128" s="827"/>
      <c r="NZB128" s="827"/>
      <c r="NZC128" s="827"/>
      <c r="NZD128" s="827"/>
      <c r="NZE128" s="827"/>
      <c r="NZF128" s="827"/>
      <c r="NZG128" s="827"/>
      <c r="NZH128" s="827"/>
      <c r="NZI128" s="827"/>
      <c r="NZJ128" s="827"/>
      <c r="NZK128" s="827"/>
      <c r="NZL128" s="827"/>
      <c r="NZM128" s="827"/>
      <c r="NZN128" s="827"/>
      <c r="NZO128" s="827"/>
      <c r="NZP128" s="827"/>
      <c r="NZQ128" s="827"/>
      <c r="NZR128" s="827"/>
      <c r="NZS128" s="827"/>
      <c r="NZT128" s="827"/>
      <c r="NZU128" s="827"/>
      <c r="NZV128" s="827"/>
      <c r="NZW128" s="827"/>
      <c r="NZX128" s="827"/>
      <c r="NZY128" s="827"/>
      <c r="NZZ128" s="827"/>
      <c r="OAA128" s="827"/>
      <c r="OAB128" s="827"/>
      <c r="OAC128" s="827"/>
      <c r="OAD128" s="827"/>
      <c r="OAE128" s="827"/>
      <c r="OAF128" s="827"/>
      <c r="OAG128" s="827"/>
      <c r="OAH128" s="827"/>
      <c r="OAI128" s="827"/>
      <c r="OAJ128" s="827"/>
      <c r="OAK128" s="827"/>
      <c r="OAL128" s="827"/>
      <c r="OAM128" s="827"/>
      <c r="OAN128" s="827"/>
      <c r="OAO128" s="827"/>
      <c r="OAP128" s="827"/>
      <c r="OAQ128" s="827"/>
      <c r="OAR128" s="827"/>
      <c r="OAS128" s="827"/>
      <c r="OAT128" s="827"/>
      <c r="OAU128" s="827"/>
      <c r="OAV128" s="827"/>
      <c r="OAW128" s="827"/>
      <c r="OAX128" s="827"/>
      <c r="OAY128" s="827"/>
      <c r="OAZ128" s="827"/>
      <c r="OBA128" s="827"/>
      <c r="OBB128" s="827"/>
      <c r="OBC128" s="827"/>
      <c r="OBD128" s="827"/>
      <c r="OBE128" s="827"/>
      <c r="OBF128" s="827"/>
      <c r="OBG128" s="827"/>
      <c r="OBH128" s="827"/>
      <c r="OBI128" s="827"/>
      <c r="OBJ128" s="827"/>
      <c r="OBK128" s="827"/>
      <c r="OBL128" s="827"/>
      <c r="OBM128" s="827"/>
      <c r="OBN128" s="827"/>
      <c r="OBO128" s="827"/>
      <c r="OBP128" s="827"/>
      <c r="OBQ128" s="827"/>
      <c r="OBR128" s="827"/>
      <c r="OBS128" s="827"/>
      <c r="OBT128" s="827"/>
      <c r="OBU128" s="827"/>
      <c r="OBV128" s="827"/>
      <c r="OBW128" s="827"/>
      <c r="OBX128" s="827"/>
      <c r="OBY128" s="827"/>
      <c r="OBZ128" s="827"/>
      <c r="OCA128" s="827"/>
      <c r="OCB128" s="827"/>
      <c r="OCC128" s="827"/>
      <c r="OCD128" s="827"/>
      <c r="OCE128" s="827"/>
      <c r="OCF128" s="827"/>
      <c r="OCG128" s="827"/>
      <c r="OCH128" s="827"/>
      <c r="OCI128" s="827"/>
      <c r="OCJ128" s="827"/>
      <c r="OCK128" s="827"/>
      <c r="OCL128" s="827"/>
      <c r="OCM128" s="827"/>
      <c r="OCN128" s="827"/>
      <c r="OCO128" s="827"/>
      <c r="OCP128" s="827"/>
      <c r="OCQ128" s="827"/>
      <c r="OCR128" s="827"/>
      <c r="OCS128" s="827"/>
      <c r="OCT128" s="827"/>
      <c r="OCU128" s="827"/>
      <c r="OCV128" s="827"/>
      <c r="OCW128" s="827"/>
      <c r="OCX128" s="827"/>
      <c r="OCY128" s="827"/>
      <c r="OCZ128" s="827"/>
      <c r="ODA128" s="827"/>
      <c r="ODB128" s="827"/>
      <c r="ODC128" s="827"/>
      <c r="ODD128" s="827"/>
      <c r="ODE128" s="827"/>
      <c r="ODF128" s="827"/>
      <c r="ODG128" s="827"/>
      <c r="ODH128" s="827"/>
      <c r="ODI128" s="827"/>
      <c r="ODJ128" s="827"/>
      <c r="ODK128" s="827"/>
      <c r="ODL128" s="827"/>
      <c r="ODM128" s="827"/>
      <c r="ODN128" s="827"/>
      <c r="ODO128" s="827"/>
      <c r="ODP128" s="827"/>
      <c r="ODQ128" s="827"/>
      <c r="ODR128" s="827"/>
      <c r="ODS128" s="827"/>
      <c r="ODT128" s="827"/>
      <c r="ODU128" s="827"/>
      <c r="ODV128" s="827"/>
      <c r="ODW128" s="827"/>
      <c r="ODX128" s="827"/>
      <c r="ODY128" s="827"/>
      <c r="ODZ128" s="827"/>
      <c r="OEA128" s="827"/>
      <c r="OEB128" s="827"/>
      <c r="OEC128" s="827"/>
      <c r="OED128" s="827"/>
      <c r="OEE128" s="827"/>
      <c r="OEF128" s="827"/>
      <c r="OEG128" s="827"/>
      <c r="OEH128" s="827"/>
      <c r="OEI128" s="827"/>
      <c r="OEJ128" s="827"/>
      <c r="OEK128" s="827"/>
      <c r="OEL128" s="827"/>
      <c r="OEM128" s="827"/>
      <c r="OEN128" s="827"/>
      <c r="OEO128" s="827"/>
      <c r="OEP128" s="827"/>
      <c r="OEQ128" s="827"/>
      <c r="OER128" s="827"/>
      <c r="OES128" s="827"/>
      <c r="OET128" s="827"/>
      <c r="OEU128" s="827"/>
      <c r="OEV128" s="827"/>
      <c r="OEW128" s="827"/>
      <c r="OEX128" s="827"/>
      <c r="OEY128" s="827"/>
      <c r="OEZ128" s="827"/>
      <c r="OFA128" s="827"/>
      <c r="OFB128" s="827"/>
      <c r="OFC128" s="827"/>
      <c r="OFD128" s="827"/>
      <c r="OFE128" s="827"/>
      <c r="OFF128" s="827"/>
      <c r="OFG128" s="827"/>
      <c r="OFH128" s="827"/>
      <c r="OFI128" s="827"/>
      <c r="OFJ128" s="827"/>
      <c r="OFK128" s="827"/>
      <c r="OFL128" s="827"/>
      <c r="OFM128" s="827"/>
      <c r="OFN128" s="827"/>
      <c r="OFO128" s="827"/>
      <c r="OFP128" s="827"/>
      <c r="OFQ128" s="827"/>
      <c r="OFR128" s="827"/>
      <c r="OFS128" s="827"/>
      <c r="OFT128" s="827"/>
      <c r="OFU128" s="827"/>
      <c r="OFV128" s="827"/>
      <c r="OFW128" s="827"/>
      <c r="OFX128" s="827"/>
      <c r="OFY128" s="827"/>
      <c r="OFZ128" s="827"/>
      <c r="OGA128" s="827"/>
      <c r="OGB128" s="827"/>
      <c r="OGC128" s="827"/>
      <c r="OGD128" s="827"/>
      <c r="OGE128" s="827"/>
      <c r="OGF128" s="827"/>
      <c r="OGG128" s="827"/>
      <c r="OGH128" s="827"/>
      <c r="OGI128" s="827"/>
      <c r="OGJ128" s="827"/>
      <c r="OGK128" s="827"/>
      <c r="OGL128" s="827"/>
      <c r="OGM128" s="827"/>
      <c r="OGN128" s="827"/>
      <c r="OGO128" s="827"/>
      <c r="OGP128" s="827"/>
      <c r="OGQ128" s="827"/>
      <c r="OGR128" s="827"/>
      <c r="OGS128" s="827"/>
      <c r="OGT128" s="827"/>
      <c r="OGU128" s="827"/>
      <c r="OGV128" s="827"/>
      <c r="OGW128" s="827"/>
      <c r="OGX128" s="827"/>
      <c r="OGY128" s="827"/>
      <c r="OGZ128" s="827"/>
      <c r="OHA128" s="827"/>
      <c r="OHB128" s="827"/>
      <c r="OHC128" s="827"/>
      <c r="OHD128" s="827"/>
      <c r="OHE128" s="827"/>
      <c r="OHF128" s="827"/>
      <c r="OHG128" s="827"/>
      <c r="OHH128" s="827"/>
      <c r="OHI128" s="827"/>
      <c r="OHJ128" s="827"/>
      <c r="OHK128" s="827"/>
      <c r="OHL128" s="827"/>
      <c r="OHM128" s="827"/>
      <c r="OHN128" s="827"/>
      <c r="OHO128" s="827"/>
      <c r="OHP128" s="827"/>
      <c r="OHQ128" s="827"/>
      <c r="OHR128" s="827"/>
      <c r="OHS128" s="827"/>
      <c r="OHT128" s="827"/>
      <c r="OHU128" s="827"/>
      <c r="OHV128" s="827"/>
      <c r="OHW128" s="827"/>
      <c r="OHX128" s="827"/>
      <c r="OHY128" s="827"/>
      <c r="OHZ128" s="827"/>
      <c r="OIA128" s="827"/>
      <c r="OIB128" s="827"/>
      <c r="OIC128" s="827"/>
      <c r="OID128" s="827"/>
      <c r="OIE128" s="827"/>
      <c r="OIF128" s="827"/>
      <c r="OIG128" s="827"/>
      <c r="OIH128" s="827"/>
      <c r="OII128" s="827"/>
      <c r="OIJ128" s="827"/>
      <c r="OIK128" s="827"/>
      <c r="OIL128" s="827"/>
      <c r="OIM128" s="827"/>
      <c r="OIN128" s="827"/>
      <c r="OIO128" s="827"/>
      <c r="OIP128" s="827"/>
      <c r="OIQ128" s="827"/>
      <c r="OIR128" s="827"/>
      <c r="OIS128" s="827"/>
      <c r="OIT128" s="827"/>
      <c r="OIU128" s="827"/>
      <c r="OIV128" s="827"/>
      <c r="OIW128" s="827"/>
      <c r="OIX128" s="827"/>
      <c r="OIY128" s="827"/>
      <c r="OIZ128" s="827"/>
      <c r="OJA128" s="827"/>
      <c r="OJB128" s="827"/>
      <c r="OJC128" s="827"/>
      <c r="OJD128" s="827"/>
      <c r="OJE128" s="827"/>
      <c r="OJF128" s="827"/>
      <c r="OJG128" s="827"/>
      <c r="OJH128" s="827"/>
      <c r="OJI128" s="827"/>
      <c r="OJJ128" s="827"/>
      <c r="OJK128" s="827"/>
      <c r="OJL128" s="827"/>
      <c r="OJM128" s="827"/>
      <c r="OJN128" s="827"/>
      <c r="OJO128" s="827"/>
      <c r="OJP128" s="827"/>
      <c r="OJQ128" s="827"/>
      <c r="OJR128" s="827"/>
      <c r="OJS128" s="827"/>
      <c r="OJT128" s="827"/>
      <c r="OJU128" s="827"/>
      <c r="OJV128" s="827"/>
      <c r="OJW128" s="827"/>
      <c r="OJX128" s="827"/>
      <c r="OJY128" s="827"/>
      <c r="OJZ128" s="827"/>
      <c r="OKA128" s="827"/>
      <c r="OKB128" s="827"/>
      <c r="OKC128" s="827"/>
      <c r="OKD128" s="827"/>
      <c r="OKE128" s="827"/>
      <c r="OKF128" s="827"/>
      <c r="OKG128" s="827"/>
      <c r="OKH128" s="827"/>
      <c r="OKI128" s="827"/>
      <c r="OKJ128" s="827"/>
      <c r="OKK128" s="827"/>
      <c r="OKL128" s="827"/>
      <c r="OKM128" s="827"/>
      <c r="OKN128" s="827"/>
      <c r="OKO128" s="827"/>
      <c r="OKP128" s="827"/>
      <c r="OKQ128" s="827"/>
      <c r="OKR128" s="827"/>
      <c r="OKS128" s="827"/>
      <c r="OKT128" s="827"/>
      <c r="OKU128" s="827"/>
      <c r="OKV128" s="827"/>
      <c r="OKW128" s="827"/>
      <c r="OKX128" s="827"/>
      <c r="OKY128" s="827"/>
      <c r="OKZ128" s="827"/>
      <c r="OLA128" s="827"/>
      <c r="OLB128" s="827"/>
      <c r="OLC128" s="827"/>
      <c r="OLD128" s="827"/>
      <c r="OLE128" s="827"/>
      <c r="OLF128" s="827"/>
      <c r="OLG128" s="827"/>
      <c r="OLH128" s="827"/>
      <c r="OLI128" s="827"/>
      <c r="OLJ128" s="827"/>
      <c r="OLK128" s="827"/>
      <c r="OLL128" s="827"/>
      <c r="OLM128" s="827"/>
      <c r="OLN128" s="827"/>
      <c r="OLO128" s="827"/>
      <c r="OLP128" s="827"/>
      <c r="OLQ128" s="827"/>
      <c r="OLR128" s="827"/>
      <c r="OLS128" s="827"/>
      <c r="OLT128" s="827"/>
      <c r="OLU128" s="827"/>
      <c r="OLV128" s="827"/>
      <c r="OLW128" s="827"/>
      <c r="OLX128" s="827"/>
      <c r="OLY128" s="827"/>
      <c r="OLZ128" s="827"/>
      <c r="OMA128" s="827"/>
      <c r="OMB128" s="827"/>
      <c r="OMC128" s="827"/>
      <c r="OMD128" s="827"/>
      <c r="OME128" s="827"/>
      <c r="OMF128" s="827"/>
      <c r="OMG128" s="827"/>
      <c r="OMH128" s="827"/>
      <c r="OMI128" s="827"/>
      <c r="OMJ128" s="827"/>
      <c r="OMK128" s="827"/>
      <c r="OML128" s="827"/>
      <c r="OMM128" s="827"/>
      <c r="OMN128" s="827"/>
      <c r="OMO128" s="827"/>
      <c r="OMP128" s="827"/>
      <c r="OMQ128" s="827"/>
      <c r="OMR128" s="827"/>
      <c r="OMS128" s="827"/>
      <c r="OMT128" s="827"/>
      <c r="OMU128" s="827"/>
      <c r="OMV128" s="827"/>
      <c r="OMW128" s="827"/>
      <c r="OMX128" s="827"/>
      <c r="OMY128" s="827"/>
      <c r="OMZ128" s="827"/>
      <c r="ONA128" s="827"/>
      <c r="ONB128" s="827"/>
      <c r="ONC128" s="827"/>
      <c r="OND128" s="827"/>
      <c r="ONE128" s="827"/>
      <c r="ONF128" s="827"/>
      <c r="ONG128" s="827"/>
      <c r="ONH128" s="827"/>
      <c r="ONI128" s="827"/>
      <c r="ONJ128" s="827"/>
      <c r="ONK128" s="827"/>
      <c r="ONL128" s="827"/>
      <c r="ONM128" s="827"/>
      <c r="ONN128" s="827"/>
      <c r="ONO128" s="827"/>
      <c r="ONP128" s="827"/>
      <c r="ONQ128" s="827"/>
      <c r="ONR128" s="827"/>
      <c r="ONS128" s="827"/>
      <c r="ONT128" s="827"/>
      <c r="ONU128" s="827"/>
      <c r="ONV128" s="827"/>
      <c r="ONW128" s="827"/>
      <c r="ONX128" s="827"/>
      <c r="ONY128" s="827"/>
      <c r="ONZ128" s="827"/>
      <c r="OOA128" s="827"/>
      <c r="OOB128" s="827"/>
      <c r="OOC128" s="827"/>
      <c r="OOD128" s="827"/>
      <c r="OOE128" s="827"/>
      <c r="OOF128" s="827"/>
      <c r="OOG128" s="827"/>
      <c r="OOH128" s="827"/>
      <c r="OOI128" s="827"/>
      <c r="OOJ128" s="827"/>
      <c r="OOK128" s="827"/>
      <c r="OOL128" s="827"/>
      <c r="OOM128" s="827"/>
      <c r="OON128" s="827"/>
      <c r="OOO128" s="827"/>
      <c r="OOP128" s="827"/>
      <c r="OOQ128" s="827"/>
      <c r="OOR128" s="827"/>
      <c r="OOS128" s="827"/>
      <c r="OOT128" s="827"/>
      <c r="OOU128" s="827"/>
      <c r="OOV128" s="827"/>
      <c r="OOW128" s="827"/>
      <c r="OOX128" s="827"/>
      <c r="OOY128" s="827"/>
      <c r="OOZ128" s="827"/>
      <c r="OPA128" s="827"/>
      <c r="OPB128" s="827"/>
      <c r="OPC128" s="827"/>
      <c r="OPD128" s="827"/>
      <c r="OPE128" s="827"/>
      <c r="OPF128" s="827"/>
      <c r="OPG128" s="827"/>
      <c r="OPH128" s="827"/>
      <c r="OPI128" s="827"/>
      <c r="OPJ128" s="827"/>
      <c r="OPK128" s="827"/>
      <c r="OPL128" s="827"/>
      <c r="OPM128" s="827"/>
      <c r="OPN128" s="827"/>
      <c r="OPO128" s="827"/>
      <c r="OPP128" s="827"/>
      <c r="OPQ128" s="827"/>
      <c r="OPR128" s="827"/>
      <c r="OPS128" s="827"/>
      <c r="OPT128" s="827"/>
      <c r="OPU128" s="827"/>
      <c r="OPV128" s="827"/>
      <c r="OPW128" s="827"/>
      <c r="OPX128" s="827"/>
      <c r="OPY128" s="827"/>
      <c r="OPZ128" s="827"/>
      <c r="OQA128" s="827"/>
      <c r="OQB128" s="827"/>
      <c r="OQC128" s="827"/>
      <c r="OQD128" s="827"/>
      <c r="OQE128" s="827"/>
      <c r="OQF128" s="827"/>
      <c r="OQG128" s="827"/>
      <c r="OQH128" s="827"/>
      <c r="OQI128" s="827"/>
      <c r="OQJ128" s="827"/>
      <c r="OQK128" s="827"/>
      <c r="OQL128" s="827"/>
      <c r="OQM128" s="827"/>
      <c r="OQN128" s="827"/>
      <c r="OQO128" s="827"/>
      <c r="OQP128" s="827"/>
      <c r="OQQ128" s="827"/>
      <c r="OQR128" s="827"/>
      <c r="OQS128" s="827"/>
      <c r="OQT128" s="827"/>
      <c r="OQU128" s="827"/>
      <c r="OQV128" s="827"/>
      <c r="OQW128" s="827"/>
      <c r="OQX128" s="827"/>
      <c r="OQY128" s="827"/>
      <c r="OQZ128" s="827"/>
      <c r="ORA128" s="827"/>
      <c r="ORB128" s="827"/>
      <c r="ORC128" s="827"/>
      <c r="ORD128" s="827"/>
      <c r="ORE128" s="827"/>
      <c r="ORF128" s="827"/>
      <c r="ORG128" s="827"/>
      <c r="ORH128" s="827"/>
      <c r="ORI128" s="827"/>
      <c r="ORJ128" s="827"/>
      <c r="ORK128" s="827"/>
      <c r="ORL128" s="827"/>
      <c r="ORM128" s="827"/>
      <c r="ORN128" s="827"/>
      <c r="ORO128" s="827"/>
      <c r="ORP128" s="827"/>
      <c r="ORQ128" s="827"/>
      <c r="ORR128" s="827"/>
      <c r="ORS128" s="827"/>
      <c r="ORT128" s="827"/>
      <c r="ORU128" s="827"/>
      <c r="ORV128" s="827"/>
      <c r="ORW128" s="827"/>
      <c r="ORX128" s="827"/>
      <c r="ORY128" s="827"/>
      <c r="ORZ128" s="827"/>
      <c r="OSA128" s="827"/>
      <c r="OSB128" s="827"/>
      <c r="OSC128" s="827"/>
      <c r="OSD128" s="827"/>
      <c r="OSE128" s="827"/>
      <c r="OSF128" s="827"/>
      <c r="OSG128" s="827"/>
      <c r="OSH128" s="827"/>
      <c r="OSI128" s="827"/>
      <c r="OSJ128" s="827"/>
      <c r="OSK128" s="827"/>
      <c r="OSL128" s="827"/>
      <c r="OSM128" s="827"/>
      <c r="OSN128" s="827"/>
      <c r="OSO128" s="827"/>
      <c r="OSP128" s="827"/>
      <c r="OSQ128" s="827"/>
      <c r="OSR128" s="827"/>
      <c r="OSS128" s="827"/>
      <c r="OST128" s="827"/>
      <c r="OSU128" s="827"/>
      <c r="OSV128" s="827"/>
      <c r="OSW128" s="827"/>
      <c r="OSX128" s="827"/>
      <c r="OSY128" s="827"/>
      <c r="OSZ128" s="827"/>
      <c r="OTA128" s="827"/>
      <c r="OTB128" s="827"/>
      <c r="OTC128" s="827"/>
      <c r="OTD128" s="827"/>
      <c r="OTE128" s="827"/>
      <c r="OTF128" s="827"/>
      <c r="OTG128" s="827"/>
      <c r="OTH128" s="827"/>
      <c r="OTI128" s="827"/>
      <c r="OTJ128" s="827"/>
      <c r="OTK128" s="827"/>
      <c r="OTL128" s="827"/>
      <c r="OTM128" s="827"/>
      <c r="OTN128" s="827"/>
      <c r="OTO128" s="827"/>
      <c r="OTP128" s="827"/>
      <c r="OTQ128" s="827"/>
      <c r="OTR128" s="827"/>
      <c r="OTS128" s="827"/>
      <c r="OTT128" s="827"/>
      <c r="OTU128" s="827"/>
      <c r="OTV128" s="827"/>
      <c r="OTW128" s="827"/>
      <c r="OTX128" s="827"/>
      <c r="OTY128" s="827"/>
      <c r="OTZ128" s="827"/>
      <c r="OUA128" s="827"/>
      <c r="OUB128" s="827"/>
      <c r="OUC128" s="827"/>
      <c r="OUD128" s="827"/>
      <c r="OUE128" s="827"/>
      <c r="OUF128" s="827"/>
      <c r="OUG128" s="827"/>
      <c r="OUH128" s="827"/>
      <c r="OUI128" s="827"/>
      <c r="OUJ128" s="827"/>
      <c r="OUK128" s="827"/>
      <c r="OUL128" s="827"/>
      <c r="OUM128" s="827"/>
      <c r="OUN128" s="827"/>
      <c r="OUO128" s="827"/>
      <c r="OUP128" s="827"/>
      <c r="OUQ128" s="827"/>
      <c r="OUR128" s="827"/>
      <c r="OUS128" s="827"/>
      <c r="OUT128" s="827"/>
      <c r="OUU128" s="827"/>
      <c r="OUV128" s="827"/>
      <c r="OUW128" s="827"/>
      <c r="OUX128" s="827"/>
      <c r="OUY128" s="827"/>
      <c r="OUZ128" s="827"/>
      <c r="OVA128" s="827"/>
      <c r="OVB128" s="827"/>
      <c r="OVC128" s="827"/>
      <c r="OVD128" s="827"/>
      <c r="OVE128" s="827"/>
      <c r="OVF128" s="827"/>
      <c r="OVG128" s="827"/>
      <c r="OVH128" s="827"/>
      <c r="OVI128" s="827"/>
      <c r="OVJ128" s="827"/>
      <c r="OVK128" s="827"/>
      <c r="OVL128" s="827"/>
      <c r="OVM128" s="827"/>
      <c r="OVN128" s="827"/>
      <c r="OVO128" s="827"/>
      <c r="OVP128" s="827"/>
      <c r="OVQ128" s="827"/>
      <c r="OVR128" s="827"/>
      <c r="OVS128" s="827"/>
      <c r="OVT128" s="827"/>
      <c r="OVU128" s="827"/>
      <c r="OVV128" s="827"/>
      <c r="OVW128" s="827"/>
      <c r="OVX128" s="827"/>
      <c r="OVY128" s="827"/>
      <c r="OVZ128" s="827"/>
      <c r="OWA128" s="827"/>
      <c r="OWB128" s="827"/>
      <c r="OWC128" s="827"/>
      <c r="OWD128" s="827"/>
      <c r="OWE128" s="827"/>
      <c r="OWF128" s="827"/>
      <c r="OWG128" s="827"/>
      <c r="OWH128" s="827"/>
      <c r="OWI128" s="827"/>
      <c r="OWJ128" s="827"/>
      <c r="OWK128" s="827"/>
      <c r="OWL128" s="827"/>
      <c r="OWM128" s="827"/>
      <c r="OWN128" s="827"/>
      <c r="OWO128" s="827"/>
      <c r="OWP128" s="827"/>
      <c r="OWQ128" s="827"/>
      <c r="OWR128" s="827"/>
      <c r="OWS128" s="827"/>
      <c r="OWT128" s="827"/>
      <c r="OWU128" s="827"/>
      <c r="OWV128" s="827"/>
      <c r="OWW128" s="827"/>
      <c r="OWX128" s="827"/>
      <c r="OWY128" s="827"/>
      <c r="OWZ128" s="827"/>
      <c r="OXA128" s="827"/>
      <c r="OXB128" s="827"/>
      <c r="OXC128" s="827"/>
      <c r="OXD128" s="827"/>
      <c r="OXE128" s="827"/>
      <c r="OXF128" s="827"/>
      <c r="OXG128" s="827"/>
      <c r="OXH128" s="827"/>
      <c r="OXI128" s="827"/>
      <c r="OXJ128" s="827"/>
      <c r="OXK128" s="827"/>
      <c r="OXL128" s="827"/>
      <c r="OXM128" s="827"/>
      <c r="OXN128" s="827"/>
      <c r="OXO128" s="827"/>
      <c r="OXP128" s="827"/>
      <c r="OXQ128" s="827"/>
      <c r="OXR128" s="827"/>
      <c r="OXS128" s="827"/>
      <c r="OXT128" s="827"/>
      <c r="OXU128" s="827"/>
      <c r="OXV128" s="827"/>
      <c r="OXW128" s="827"/>
      <c r="OXX128" s="827"/>
      <c r="OXY128" s="827"/>
      <c r="OXZ128" s="827"/>
      <c r="OYA128" s="827"/>
      <c r="OYB128" s="827"/>
      <c r="OYC128" s="827"/>
      <c r="OYD128" s="827"/>
      <c r="OYE128" s="827"/>
      <c r="OYF128" s="827"/>
      <c r="OYG128" s="827"/>
      <c r="OYH128" s="827"/>
      <c r="OYI128" s="827"/>
      <c r="OYJ128" s="827"/>
      <c r="OYK128" s="827"/>
      <c r="OYL128" s="827"/>
      <c r="OYM128" s="827"/>
      <c r="OYN128" s="827"/>
      <c r="OYO128" s="827"/>
      <c r="OYP128" s="827"/>
      <c r="OYQ128" s="827"/>
      <c r="OYR128" s="827"/>
      <c r="OYS128" s="827"/>
      <c r="OYT128" s="827"/>
      <c r="OYU128" s="827"/>
      <c r="OYV128" s="827"/>
      <c r="OYW128" s="827"/>
      <c r="OYX128" s="827"/>
      <c r="OYY128" s="827"/>
      <c r="OYZ128" s="827"/>
      <c r="OZA128" s="827"/>
      <c r="OZB128" s="827"/>
      <c r="OZC128" s="827"/>
      <c r="OZD128" s="827"/>
      <c r="OZE128" s="827"/>
      <c r="OZF128" s="827"/>
      <c r="OZG128" s="827"/>
      <c r="OZH128" s="827"/>
      <c r="OZI128" s="827"/>
      <c r="OZJ128" s="827"/>
      <c r="OZK128" s="827"/>
      <c r="OZL128" s="827"/>
      <c r="OZM128" s="827"/>
      <c r="OZN128" s="827"/>
      <c r="OZO128" s="827"/>
      <c r="OZP128" s="827"/>
      <c r="OZQ128" s="827"/>
      <c r="OZR128" s="827"/>
      <c r="OZS128" s="827"/>
      <c r="OZT128" s="827"/>
      <c r="OZU128" s="827"/>
      <c r="OZV128" s="827"/>
      <c r="OZW128" s="827"/>
      <c r="OZX128" s="827"/>
      <c r="OZY128" s="827"/>
      <c r="OZZ128" s="827"/>
      <c r="PAA128" s="827"/>
      <c r="PAB128" s="827"/>
      <c r="PAC128" s="827"/>
      <c r="PAD128" s="827"/>
      <c r="PAE128" s="827"/>
      <c r="PAF128" s="827"/>
      <c r="PAG128" s="827"/>
      <c r="PAH128" s="827"/>
      <c r="PAI128" s="827"/>
      <c r="PAJ128" s="827"/>
      <c r="PAK128" s="827"/>
      <c r="PAL128" s="827"/>
      <c r="PAM128" s="827"/>
      <c r="PAN128" s="827"/>
      <c r="PAO128" s="827"/>
      <c r="PAP128" s="827"/>
      <c r="PAQ128" s="827"/>
      <c r="PAR128" s="827"/>
      <c r="PAS128" s="827"/>
      <c r="PAT128" s="827"/>
      <c r="PAU128" s="827"/>
      <c r="PAV128" s="827"/>
      <c r="PAW128" s="827"/>
      <c r="PAX128" s="827"/>
      <c r="PAY128" s="827"/>
      <c r="PAZ128" s="827"/>
      <c r="PBA128" s="827"/>
      <c r="PBB128" s="827"/>
      <c r="PBC128" s="827"/>
      <c r="PBD128" s="827"/>
      <c r="PBE128" s="827"/>
      <c r="PBF128" s="827"/>
      <c r="PBG128" s="827"/>
      <c r="PBH128" s="827"/>
      <c r="PBI128" s="827"/>
      <c r="PBJ128" s="827"/>
      <c r="PBK128" s="827"/>
      <c r="PBL128" s="827"/>
      <c r="PBM128" s="827"/>
      <c r="PBN128" s="827"/>
      <c r="PBO128" s="827"/>
      <c r="PBP128" s="827"/>
      <c r="PBQ128" s="827"/>
      <c r="PBR128" s="827"/>
      <c r="PBS128" s="827"/>
      <c r="PBT128" s="827"/>
      <c r="PBU128" s="827"/>
      <c r="PBV128" s="827"/>
      <c r="PBW128" s="827"/>
      <c r="PBX128" s="827"/>
      <c r="PBY128" s="827"/>
      <c r="PBZ128" s="827"/>
      <c r="PCA128" s="827"/>
      <c r="PCB128" s="827"/>
      <c r="PCC128" s="827"/>
      <c r="PCD128" s="827"/>
      <c r="PCE128" s="827"/>
      <c r="PCF128" s="827"/>
      <c r="PCG128" s="827"/>
      <c r="PCH128" s="827"/>
      <c r="PCI128" s="827"/>
      <c r="PCJ128" s="827"/>
      <c r="PCK128" s="827"/>
      <c r="PCL128" s="827"/>
      <c r="PCM128" s="827"/>
      <c r="PCN128" s="827"/>
      <c r="PCO128" s="827"/>
      <c r="PCP128" s="827"/>
      <c r="PCQ128" s="827"/>
      <c r="PCR128" s="827"/>
      <c r="PCS128" s="827"/>
      <c r="PCT128" s="827"/>
      <c r="PCU128" s="827"/>
      <c r="PCV128" s="827"/>
      <c r="PCW128" s="827"/>
      <c r="PCX128" s="827"/>
      <c r="PCY128" s="827"/>
      <c r="PCZ128" s="827"/>
      <c r="PDA128" s="827"/>
      <c r="PDB128" s="827"/>
      <c r="PDC128" s="827"/>
      <c r="PDD128" s="827"/>
      <c r="PDE128" s="827"/>
      <c r="PDF128" s="827"/>
      <c r="PDG128" s="827"/>
      <c r="PDH128" s="827"/>
      <c r="PDI128" s="827"/>
      <c r="PDJ128" s="827"/>
      <c r="PDK128" s="827"/>
      <c r="PDL128" s="827"/>
      <c r="PDM128" s="827"/>
      <c r="PDN128" s="827"/>
      <c r="PDO128" s="827"/>
      <c r="PDP128" s="827"/>
      <c r="PDQ128" s="827"/>
      <c r="PDR128" s="827"/>
      <c r="PDS128" s="827"/>
      <c r="PDT128" s="827"/>
      <c r="PDU128" s="827"/>
      <c r="PDV128" s="827"/>
      <c r="PDW128" s="827"/>
      <c r="PDX128" s="827"/>
      <c r="PDY128" s="827"/>
      <c r="PDZ128" s="827"/>
      <c r="PEA128" s="827"/>
      <c r="PEB128" s="827"/>
      <c r="PEC128" s="827"/>
      <c r="PED128" s="827"/>
      <c r="PEE128" s="827"/>
      <c r="PEF128" s="827"/>
      <c r="PEG128" s="827"/>
      <c r="PEH128" s="827"/>
      <c r="PEI128" s="827"/>
      <c r="PEJ128" s="827"/>
      <c r="PEK128" s="827"/>
      <c r="PEL128" s="827"/>
      <c r="PEM128" s="827"/>
      <c r="PEN128" s="827"/>
      <c r="PEO128" s="827"/>
      <c r="PEP128" s="827"/>
      <c r="PEQ128" s="827"/>
      <c r="PER128" s="827"/>
      <c r="PES128" s="827"/>
      <c r="PET128" s="827"/>
      <c r="PEU128" s="827"/>
      <c r="PEV128" s="827"/>
      <c r="PEW128" s="827"/>
      <c r="PEX128" s="827"/>
      <c r="PEY128" s="827"/>
      <c r="PEZ128" s="827"/>
      <c r="PFA128" s="827"/>
      <c r="PFB128" s="827"/>
      <c r="PFC128" s="827"/>
      <c r="PFD128" s="827"/>
      <c r="PFE128" s="827"/>
      <c r="PFF128" s="827"/>
      <c r="PFG128" s="827"/>
      <c r="PFH128" s="827"/>
      <c r="PFI128" s="827"/>
      <c r="PFJ128" s="827"/>
      <c r="PFK128" s="827"/>
      <c r="PFL128" s="827"/>
      <c r="PFM128" s="827"/>
      <c r="PFN128" s="827"/>
      <c r="PFO128" s="827"/>
      <c r="PFP128" s="827"/>
      <c r="PFQ128" s="827"/>
      <c r="PFR128" s="827"/>
      <c r="PFS128" s="827"/>
      <c r="PFT128" s="827"/>
      <c r="PFU128" s="827"/>
      <c r="PFV128" s="827"/>
      <c r="PFW128" s="827"/>
      <c r="PFX128" s="827"/>
      <c r="PFY128" s="827"/>
      <c r="PFZ128" s="827"/>
      <c r="PGA128" s="827"/>
      <c r="PGB128" s="827"/>
      <c r="PGC128" s="827"/>
      <c r="PGD128" s="827"/>
      <c r="PGE128" s="827"/>
      <c r="PGF128" s="827"/>
      <c r="PGG128" s="827"/>
      <c r="PGH128" s="827"/>
      <c r="PGI128" s="827"/>
      <c r="PGJ128" s="827"/>
      <c r="PGK128" s="827"/>
      <c r="PGL128" s="827"/>
      <c r="PGM128" s="827"/>
      <c r="PGN128" s="827"/>
      <c r="PGO128" s="827"/>
      <c r="PGP128" s="827"/>
      <c r="PGQ128" s="827"/>
      <c r="PGR128" s="827"/>
      <c r="PGS128" s="827"/>
      <c r="PGT128" s="827"/>
      <c r="PGU128" s="827"/>
      <c r="PGV128" s="827"/>
      <c r="PGW128" s="827"/>
      <c r="PGX128" s="827"/>
      <c r="PGY128" s="827"/>
      <c r="PGZ128" s="827"/>
      <c r="PHA128" s="827"/>
      <c r="PHB128" s="827"/>
      <c r="PHC128" s="827"/>
      <c r="PHD128" s="827"/>
      <c r="PHE128" s="827"/>
      <c r="PHF128" s="827"/>
      <c r="PHG128" s="827"/>
      <c r="PHH128" s="827"/>
      <c r="PHI128" s="827"/>
      <c r="PHJ128" s="827"/>
      <c r="PHK128" s="827"/>
      <c r="PHL128" s="827"/>
      <c r="PHM128" s="827"/>
      <c r="PHN128" s="827"/>
      <c r="PHO128" s="827"/>
      <c r="PHP128" s="827"/>
      <c r="PHQ128" s="827"/>
      <c r="PHR128" s="827"/>
      <c r="PHS128" s="827"/>
      <c r="PHT128" s="827"/>
      <c r="PHU128" s="827"/>
      <c r="PHV128" s="827"/>
      <c r="PHW128" s="827"/>
      <c r="PHX128" s="827"/>
      <c r="PHY128" s="827"/>
      <c r="PHZ128" s="827"/>
      <c r="PIA128" s="827"/>
      <c r="PIB128" s="827"/>
      <c r="PIC128" s="827"/>
      <c r="PID128" s="827"/>
      <c r="PIE128" s="827"/>
      <c r="PIF128" s="827"/>
      <c r="PIG128" s="827"/>
      <c r="PIH128" s="827"/>
      <c r="PII128" s="827"/>
      <c r="PIJ128" s="827"/>
      <c r="PIK128" s="827"/>
      <c r="PIL128" s="827"/>
      <c r="PIM128" s="827"/>
      <c r="PIN128" s="827"/>
      <c r="PIO128" s="827"/>
      <c r="PIP128" s="827"/>
      <c r="PIQ128" s="827"/>
      <c r="PIR128" s="827"/>
      <c r="PIS128" s="827"/>
      <c r="PIT128" s="827"/>
      <c r="PIU128" s="827"/>
      <c r="PIV128" s="827"/>
      <c r="PIW128" s="827"/>
      <c r="PIX128" s="827"/>
      <c r="PIY128" s="827"/>
      <c r="PIZ128" s="827"/>
      <c r="PJA128" s="827"/>
      <c r="PJB128" s="827"/>
      <c r="PJC128" s="827"/>
      <c r="PJD128" s="827"/>
      <c r="PJE128" s="827"/>
      <c r="PJF128" s="827"/>
      <c r="PJG128" s="827"/>
      <c r="PJH128" s="827"/>
      <c r="PJI128" s="827"/>
      <c r="PJJ128" s="827"/>
      <c r="PJK128" s="827"/>
      <c r="PJL128" s="827"/>
      <c r="PJM128" s="827"/>
      <c r="PJN128" s="827"/>
      <c r="PJO128" s="827"/>
      <c r="PJP128" s="827"/>
      <c r="PJQ128" s="827"/>
      <c r="PJR128" s="827"/>
      <c r="PJS128" s="827"/>
      <c r="PJT128" s="827"/>
      <c r="PJU128" s="827"/>
      <c r="PJV128" s="827"/>
      <c r="PJW128" s="827"/>
      <c r="PJX128" s="827"/>
      <c r="PJY128" s="827"/>
      <c r="PJZ128" s="827"/>
      <c r="PKA128" s="827"/>
      <c r="PKB128" s="827"/>
      <c r="PKC128" s="827"/>
      <c r="PKD128" s="827"/>
      <c r="PKE128" s="827"/>
      <c r="PKF128" s="827"/>
      <c r="PKG128" s="827"/>
      <c r="PKH128" s="827"/>
      <c r="PKI128" s="827"/>
      <c r="PKJ128" s="827"/>
      <c r="PKK128" s="827"/>
      <c r="PKL128" s="827"/>
      <c r="PKM128" s="827"/>
      <c r="PKN128" s="827"/>
      <c r="PKO128" s="827"/>
      <c r="PKP128" s="827"/>
      <c r="PKQ128" s="827"/>
      <c r="PKR128" s="827"/>
      <c r="PKS128" s="827"/>
      <c r="PKT128" s="827"/>
      <c r="PKU128" s="827"/>
      <c r="PKV128" s="827"/>
      <c r="PKW128" s="827"/>
      <c r="PKX128" s="827"/>
      <c r="PKY128" s="827"/>
      <c r="PKZ128" s="827"/>
      <c r="PLA128" s="827"/>
      <c r="PLB128" s="827"/>
      <c r="PLC128" s="827"/>
      <c r="PLD128" s="827"/>
      <c r="PLE128" s="827"/>
      <c r="PLF128" s="827"/>
      <c r="PLG128" s="827"/>
      <c r="PLH128" s="827"/>
      <c r="PLI128" s="827"/>
      <c r="PLJ128" s="827"/>
      <c r="PLK128" s="827"/>
      <c r="PLL128" s="827"/>
      <c r="PLM128" s="827"/>
      <c r="PLN128" s="827"/>
      <c r="PLO128" s="827"/>
      <c r="PLP128" s="827"/>
      <c r="PLQ128" s="827"/>
      <c r="PLR128" s="827"/>
      <c r="PLS128" s="827"/>
      <c r="PLT128" s="827"/>
      <c r="PLU128" s="827"/>
      <c r="PLV128" s="827"/>
      <c r="PLW128" s="827"/>
      <c r="PLX128" s="827"/>
      <c r="PLY128" s="827"/>
      <c r="PLZ128" s="827"/>
      <c r="PMA128" s="827"/>
      <c r="PMB128" s="827"/>
      <c r="PMC128" s="827"/>
      <c r="PMD128" s="827"/>
      <c r="PME128" s="827"/>
      <c r="PMF128" s="827"/>
      <c r="PMG128" s="827"/>
      <c r="PMH128" s="827"/>
      <c r="PMI128" s="827"/>
      <c r="PMJ128" s="827"/>
      <c r="PMK128" s="827"/>
      <c r="PML128" s="827"/>
      <c r="PMM128" s="827"/>
      <c r="PMN128" s="827"/>
      <c r="PMO128" s="827"/>
      <c r="PMP128" s="827"/>
      <c r="PMQ128" s="827"/>
      <c r="PMR128" s="827"/>
      <c r="PMS128" s="827"/>
      <c r="PMT128" s="827"/>
      <c r="PMU128" s="827"/>
      <c r="PMV128" s="827"/>
      <c r="PMW128" s="827"/>
      <c r="PMX128" s="827"/>
      <c r="PMY128" s="827"/>
      <c r="PMZ128" s="827"/>
      <c r="PNA128" s="827"/>
      <c r="PNB128" s="827"/>
      <c r="PNC128" s="827"/>
      <c r="PND128" s="827"/>
      <c r="PNE128" s="827"/>
      <c r="PNF128" s="827"/>
      <c r="PNG128" s="827"/>
      <c r="PNH128" s="827"/>
      <c r="PNI128" s="827"/>
      <c r="PNJ128" s="827"/>
      <c r="PNK128" s="827"/>
      <c r="PNL128" s="827"/>
      <c r="PNM128" s="827"/>
      <c r="PNN128" s="827"/>
      <c r="PNO128" s="827"/>
      <c r="PNP128" s="827"/>
      <c r="PNQ128" s="827"/>
      <c r="PNR128" s="827"/>
      <c r="PNS128" s="827"/>
      <c r="PNT128" s="827"/>
      <c r="PNU128" s="827"/>
      <c r="PNV128" s="827"/>
      <c r="PNW128" s="827"/>
      <c r="PNX128" s="827"/>
      <c r="PNY128" s="827"/>
      <c r="PNZ128" s="827"/>
      <c r="POA128" s="827"/>
      <c r="POB128" s="827"/>
      <c r="POC128" s="827"/>
      <c r="POD128" s="827"/>
      <c r="POE128" s="827"/>
      <c r="POF128" s="827"/>
      <c r="POG128" s="827"/>
      <c r="POH128" s="827"/>
      <c r="POI128" s="827"/>
      <c r="POJ128" s="827"/>
      <c r="POK128" s="827"/>
      <c r="POL128" s="827"/>
      <c r="POM128" s="827"/>
      <c r="PON128" s="827"/>
      <c r="POO128" s="827"/>
      <c r="POP128" s="827"/>
      <c r="POQ128" s="827"/>
      <c r="POR128" s="827"/>
      <c r="POS128" s="827"/>
      <c r="POT128" s="827"/>
      <c r="POU128" s="827"/>
      <c r="POV128" s="827"/>
      <c r="POW128" s="827"/>
      <c r="POX128" s="827"/>
      <c r="POY128" s="827"/>
      <c r="POZ128" s="827"/>
      <c r="PPA128" s="827"/>
      <c r="PPB128" s="827"/>
      <c r="PPC128" s="827"/>
      <c r="PPD128" s="827"/>
      <c r="PPE128" s="827"/>
      <c r="PPF128" s="827"/>
      <c r="PPG128" s="827"/>
      <c r="PPH128" s="827"/>
      <c r="PPI128" s="827"/>
      <c r="PPJ128" s="827"/>
      <c r="PPK128" s="827"/>
      <c r="PPL128" s="827"/>
      <c r="PPM128" s="827"/>
      <c r="PPN128" s="827"/>
      <c r="PPO128" s="827"/>
      <c r="PPP128" s="827"/>
      <c r="PPQ128" s="827"/>
      <c r="PPR128" s="827"/>
      <c r="PPS128" s="827"/>
      <c r="PPT128" s="827"/>
      <c r="PPU128" s="827"/>
      <c r="PPV128" s="827"/>
      <c r="PPW128" s="827"/>
      <c r="PPX128" s="827"/>
      <c r="PPY128" s="827"/>
      <c r="PPZ128" s="827"/>
      <c r="PQA128" s="827"/>
      <c r="PQB128" s="827"/>
      <c r="PQC128" s="827"/>
      <c r="PQD128" s="827"/>
      <c r="PQE128" s="827"/>
      <c r="PQF128" s="827"/>
      <c r="PQG128" s="827"/>
      <c r="PQH128" s="827"/>
      <c r="PQI128" s="827"/>
      <c r="PQJ128" s="827"/>
      <c r="PQK128" s="827"/>
      <c r="PQL128" s="827"/>
      <c r="PQM128" s="827"/>
      <c r="PQN128" s="827"/>
      <c r="PQO128" s="827"/>
      <c r="PQP128" s="827"/>
      <c r="PQQ128" s="827"/>
      <c r="PQR128" s="827"/>
      <c r="PQS128" s="827"/>
      <c r="PQT128" s="827"/>
      <c r="PQU128" s="827"/>
      <c r="PQV128" s="827"/>
      <c r="PQW128" s="827"/>
      <c r="PQX128" s="827"/>
      <c r="PQY128" s="827"/>
      <c r="PQZ128" s="827"/>
      <c r="PRA128" s="827"/>
      <c r="PRB128" s="827"/>
      <c r="PRC128" s="827"/>
      <c r="PRD128" s="827"/>
      <c r="PRE128" s="827"/>
      <c r="PRF128" s="827"/>
      <c r="PRG128" s="827"/>
      <c r="PRH128" s="827"/>
      <c r="PRI128" s="827"/>
      <c r="PRJ128" s="827"/>
      <c r="PRK128" s="827"/>
      <c r="PRL128" s="827"/>
      <c r="PRM128" s="827"/>
      <c r="PRN128" s="827"/>
      <c r="PRO128" s="827"/>
      <c r="PRP128" s="827"/>
      <c r="PRQ128" s="827"/>
      <c r="PRR128" s="827"/>
      <c r="PRS128" s="827"/>
      <c r="PRT128" s="827"/>
      <c r="PRU128" s="827"/>
      <c r="PRV128" s="827"/>
      <c r="PRW128" s="827"/>
      <c r="PRX128" s="827"/>
      <c r="PRY128" s="827"/>
      <c r="PRZ128" s="827"/>
      <c r="PSA128" s="827"/>
      <c r="PSB128" s="827"/>
      <c r="PSC128" s="827"/>
      <c r="PSD128" s="827"/>
      <c r="PSE128" s="827"/>
      <c r="PSF128" s="827"/>
      <c r="PSG128" s="827"/>
      <c r="PSH128" s="827"/>
      <c r="PSI128" s="827"/>
      <c r="PSJ128" s="827"/>
      <c r="PSK128" s="827"/>
      <c r="PSL128" s="827"/>
      <c r="PSM128" s="827"/>
      <c r="PSN128" s="827"/>
      <c r="PSO128" s="827"/>
      <c r="PSP128" s="827"/>
      <c r="PSQ128" s="827"/>
      <c r="PSR128" s="827"/>
      <c r="PSS128" s="827"/>
      <c r="PST128" s="827"/>
      <c r="PSU128" s="827"/>
      <c r="PSV128" s="827"/>
      <c r="PSW128" s="827"/>
      <c r="PSX128" s="827"/>
      <c r="PSY128" s="827"/>
      <c r="PSZ128" s="827"/>
      <c r="PTA128" s="827"/>
      <c r="PTB128" s="827"/>
      <c r="PTC128" s="827"/>
      <c r="PTD128" s="827"/>
      <c r="PTE128" s="827"/>
      <c r="PTF128" s="827"/>
      <c r="PTG128" s="827"/>
      <c r="PTH128" s="827"/>
      <c r="PTI128" s="827"/>
      <c r="PTJ128" s="827"/>
      <c r="PTK128" s="827"/>
      <c r="PTL128" s="827"/>
      <c r="PTM128" s="827"/>
      <c r="PTN128" s="827"/>
      <c r="PTO128" s="827"/>
      <c r="PTP128" s="827"/>
      <c r="PTQ128" s="827"/>
      <c r="PTR128" s="827"/>
      <c r="PTS128" s="827"/>
      <c r="PTT128" s="827"/>
      <c r="PTU128" s="827"/>
      <c r="PTV128" s="827"/>
      <c r="PTW128" s="827"/>
      <c r="PTX128" s="827"/>
      <c r="PTY128" s="827"/>
      <c r="PTZ128" s="827"/>
      <c r="PUA128" s="827"/>
      <c r="PUB128" s="827"/>
      <c r="PUC128" s="827"/>
      <c r="PUD128" s="827"/>
      <c r="PUE128" s="827"/>
      <c r="PUF128" s="827"/>
      <c r="PUG128" s="827"/>
      <c r="PUH128" s="827"/>
      <c r="PUI128" s="827"/>
      <c r="PUJ128" s="827"/>
      <c r="PUK128" s="827"/>
      <c r="PUL128" s="827"/>
      <c r="PUM128" s="827"/>
      <c r="PUN128" s="827"/>
      <c r="PUO128" s="827"/>
      <c r="PUP128" s="827"/>
      <c r="PUQ128" s="827"/>
      <c r="PUR128" s="827"/>
      <c r="PUS128" s="827"/>
      <c r="PUT128" s="827"/>
      <c r="PUU128" s="827"/>
      <c r="PUV128" s="827"/>
      <c r="PUW128" s="827"/>
      <c r="PUX128" s="827"/>
      <c r="PUY128" s="827"/>
      <c r="PUZ128" s="827"/>
      <c r="PVA128" s="827"/>
      <c r="PVB128" s="827"/>
      <c r="PVC128" s="827"/>
      <c r="PVD128" s="827"/>
      <c r="PVE128" s="827"/>
      <c r="PVF128" s="827"/>
      <c r="PVG128" s="827"/>
      <c r="PVH128" s="827"/>
      <c r="PVI128" s="827"/>
      <c r="PVJ128" s="827"/>
      <c r="PVK128" s="827"/>
      <c r="PVL128" s="827"/>
      <c r="PVM128" s="827"/>
      <c r="PVN128" s="827"/>
      <c r="PVO128" s="827"/>
      <c r="PVP128" s="827"/>
      <c r="PVQ128" s="827"/>
      <c r="PVR128" s="827"/>
      <c r="PVS128" s="827"/>
      <c r="PVT128" s="827"/>
      <c r="PVU128" s="827"/>
      <c r="PVV128" s="827"/>
      <c r="PVW128" s="827"/>
      <c r="PVX128" s="827"/>
      <c r="PVY128" s="827"/>
      <c r="PVZ128" s="827"/>
      <c r="PWA128" s="827"/>
      <c r="PWB128" s="827"/>
      <c r="PWC128" s="827"/>
      <c r="PWD128" s="827"/>
      <c r="PWE128" s="827"/>
      <c r="PWF128" s="827"/>
      <c r="PWG128" s="827"/>
      <c r="PWH128" s="827"/>
      <c r="PWI128" s="827"/>
      <c r="PWJ128" s="827"/>
      <c r="PWK128" s="827"/>
      <c r="PWL128" s="827"/>
      <c r="PWM128" s="827"/>
      <c r="PWN128" s="827"/>
      <c r="PWO128" s="827"/>
      <c r="PWP128" s="827"/>
      <c r="PWQ128" s="827"/>
      <c r="PWR128" s="827"/>
      <c r="PWS128" s="827"/>
      <c r="PWT128" s="827"/>
      <c r="PWU128" s="827"/>
      <c r="PWV128" s="827"/>
      <c r="PWW128" s="827"/>
      <c r="PWX128" s="827"/>
      <c r="PWY128" s="827"/>
      <c r="PWZ128" s="827"/>
      <c r="PXA128" s="827"/>
      <c r="PXB128" s="827"/>
      <c r="PXC128" s="827"/>
      <c r="PXD128" s="827"/>
      <c r="PXE128" s="827"/>
      <c r="PXF128" s="827"/>
      <c r="PXG128" s="827"/>
      <c r="PXH128" s="827"/>
      <c r="PXI128" s="827"/>
      <c r="PXJ128" s="827"/>
      <c r="PXK128" s="827"/>
      <c r="PXL128" s="827"/>
      <c r="PXM128" s="827"/>
      <c r="PXN128" s="827"/>
      <c r="PXO128" s="827"/>
      <c r="PXP128" s="827"/>
      <c r="PXQ128" s="827"/>
      <c r="PXR128" s="827"/>
      <c r="PXS128" s="827"/>
      <c r="PXT128" s="827"/>
      <c r="PXU128" s="827"/>
      <c r="PXV128" s="827"/>
      <c r="PXW128" s="827"/>
      <c r="PXX128" s="827"/>
      <c r="PXY128" s="827"/>
      <c r="PXZ128" s="827"/>
      <c r="PYA128" s="827"/>
      <c r="PYB128" s="827"/>
      <c r="PYC128" s="827"/>
      <c r="PYD128" s="827"/>
      <c r="PYE128" s="827"/>
      <c r="PYF128" s="827"/>
      <c r="PYG128" s="827"/>
      <c r="PYH128" s="827"/>
      <c r="PYI128" s="827"/>
      <c r="PYJ128" s="827"/>
      <c r="PYK128" s="827"/>
      <c r="PYL128" s="827"/>
      <c r="PYM128" s="827"/>
      <c r="PYN128" s="827"/>
      <c r="PYO128" s="827"/>
      <c r="PYP128" s="827"/>
      <c r="PYQ128" s="827"/>
      <c r="PYR128" s="827"/>
      <c r="PYS128" s="827"/>
      <c r="PYT128" s="827"/>
      <c r="PYU128" s="827"/>
      <c r="PYV128" s="827"/>
      <c r="PYW128" s="827"/>
      <c r="PYX128" s="827"/>
      <c r="PYY128" s="827"/>
      <c r="PYZ128" s="827"/>
      <c r="PZA128" s="827"/>
      <c r="PZB128" s="827"/>
      <c r="PZC128" s="827"/>
      <c r="PZD128" s="827"/>
      <c r="PZE128" s="827"/>
      <c r="PZF128" s="827"/>
      <c r="PZG128" s="827"/>
      <c r="PZH128" s="827"/>
      <c r="PZI128" s="827"/>
      <c r="PZJ128" s="827"/>
      <c r="PZK128" s="827"/>
      <c r="PZL128" s="827"/>
      <c r="PZM128" s="827"/>
      <c r="PZN128" s="827"/>
      <c r="PZO128" s="827"/>
      <c r="PZP128" s="827"/>
      <c r="PZQ128" s="827"/>
      <c r="PZR128" s="827"/>
      <c r="PZS128" s="827"/>
      <c r="PZT128" s="827"/>
      <c r="PZU128" s="827"/>
      <c r="PZV128" s="827"/>
      <c r="PZW128" s="827"/>
      <c r="PZX128" s="827"/>
      <c r="PZY128" s="827"/>
      <c r="PZZ128" s="827"/>
      <c r="QAA128" s="827"/>
      <c r="QAB128" s="827"/>
      <c r="QAC128" s="827"/>
      <c r="QAD128" s="827"/>
      <c r="QAE128" s="827"/>
      <c r="QAF128" s="827"/>
      <c r="QAG128" s="827"/>
      <c r="QAH128" s="827"/>
      <c r="QAI128" s="827"/>
      <c r="QAJ128" s="827"/>
      <c r="QAK128" s="827"/>
      <c r="QAL128" s="827"/>
      <c r="QAM128" s="827"/>
      <c r="QAN128" s="827"/>
      <c r="QAO128" s="827"/>
      <c r="QAP128" s="827"/>
      <c r="QAQ128" s="827"/>
      <c r="QAR128" s="827"/>
      <c r="QAS128" s="827"/>
      <c r="QAT128" s="827"/>
      <c r="QAU128" s="827"/>
      <c r="QAV128" s="827"/>
      <c r="QAW128" s="827"/>
      <c r="QAX128" s="827"/>
      <c r="QAY128" s="827"/>
      <c r="QAZ128" s="827"/>
      <c r="QBA128" s="827"/>
      <c r="QBB128" s="827"/>
      <c r="QBC128" s="827"/>
      <c r="QBD128" s="827"/>
      <c r="QBE128" s="827"/>
      <c r="QBF128" s="827"/>
      <c r="QBG128" s="827"/>
      <c r="QBH128" s="827"/>
      <c r="QBI128" s="827"/>
      <c r="QBJ128" s="827"/>
      <c r="QBK128" s="827"/>
      <c r="QBL128" s="827"/>
      <c r="QBM128" s="827"/>
      <c r="QBN128" s="827"/>
      <c r="QBO128" s="827"/>
      <c r="QBP128" s="827"/>
      <c r="QBQ128" s="827"/>
      <c r="QBR128" s="827"/>
      <c r="QBS128" s="827"/>
      <c r="QBT128" s="827"/>
      <c r="QBU128" s="827"/>
      <c r="QBV128" s="827"/>
      <c r="QBW128" s="827"/>
      <c r="QBX128" s="827"/>
      <c r="QBY128" s="827"/>
      <c r="QBZ128" s="827"/>
      <c r="QCA128" s="827"/>
      <c r="QCB128" s="827"/>
      <c r="QCC128" s="827"/>
      <c r="QCD128" s="827"/>
      <c r="QCE128" s="827"/>
      <c r="QCF128" s="827"/>
      <c r="QCG128" s="827"/>
      <c r="QCH128" s="827"/>
      <c r="QCI128" s="827"/>
      <c r="QCJ128" s="827"/>
      <c r="QCK128" s="827"/>
      <c r="QCL128" s="827"/>
      <c r="QCM128" s="827"/>
      <c r="QCN128" s="827"/>
      <c r="QCO128" s="827"/>
      <c r="QCP128" s="827"/>
      <c r="QCQ128" s="827"/>
      <c r="QCR128" s="827"/>
      <c r="QCS128" s="827"/>
      <c r="QCT128" s="827"/>
      <c r="QCU128" s="827"/>
      <c r="QCV128" s="827"/>
      <c r="QCW128" s="827"/>
      <c r="QCX128" s="827"/>
      <c r="QCY128" s="827"/>
      <c r="QCZ128" s="827"/>
      <c r="QDA128" s="827"/>
      <c r="QDB128" s="827"/>
      <c r="QDC128" s="827"/>
      <c r="QDD128" s="827"/>
      <c r="QDE128" s="827"/>
      <c r="QDF128" s="827"/>
      <c r="QDG128" s="827"/>
      <c r="QDH128" s="827"/>
      <c r="QDI128" s="827"/>
      <c r="QDJ128" s="827"/>
      <c r="QDK128" s="827"/>
      <c r="QDL128" s="827"/>
      <c r="QDM128" s="827"/>
      <c r="QDN128" s="827"/>
      <c r="QDO128" s="827"/>
      <c r="QDP128" s="827"/>
      <c r="QDQ128" s="827"/>
      <c r="QDR128" s="827"/>
      <c r="QDS128" s="827"/>
      <c r="QDT128" s="827"/>
      <c r="QDU128" s="827"/>
      <c r="QDV128" s="827"/>
      <c r="QDW128" s="827"/>
      <c r="QDX128" s="827"/>
      <c r="QDY128" s="827"/>
      <c r="QDZ128" s="827"/>
      <c r="QEA128" s="827"/>
      <c r="QEB128" s="827"/>
      <c r="QEC128" s="827"/>
      <c r="QED128" s="827"/>
      <c r="QEE128" s="827"/>
      <c r="QEF128" s="827"/>
      <c r="QEG128" s="827"/>
      <c r="QEH128" s="827"/>
      <c r="QEI128" s="827"/>
      <c r="QEJ128" s="827"/>
      <c r="QEK128" s="827"/>
      <c r="QEL128" s="827"/>
      <c r="QEM128" s="827"/>
      <c r="QEN128" s="827"/>
      <c r="QEO128" s="827"/>
      <c r="QEP128" s="827"/>
      <c r="QEQ128" s="827"/>
      <c r="QER128" s="827"/>
      <c r="QES128" s="827"/>
      <c r="QET128" s="827"/>
      <c r="QEU128" s="827"/>
      <c r="QEV128" s="827"/>
      <c r="QEW128" s="827"/>
      <c r="QEX128" s="827"/>
      <c r="QEY128" s="827"/>
      <c r="QEZ128" s="827"/>
      <c r="QFA128" s="827"/>
      <c r="QFB128" s="827"/>
      <c r="QFC128" s="827"/>
      <c r="QFD128" s="827"/>
      <c r="QFE128" s="827"/>
      <c r="QFF128" s="827"/>
      <c r="QFG128" s="827"/>
      <c r="QFH128" s="827"/>
      <c r="QFI128" s="827"/>
      <c r="QFJ128" s="827"/>
      <c r="QFK128" s="827"/>
      <c r="QFL128" s="827"/>
      <c r="QFM128" s="827"/>
      <c r="QFN128" s="827"/>
      <c r="QFO128" s="827"/>
      <c r="QFP128" s="827"/>
      <c r="QFQ128" s="827"/>
      <c r="QFR128" s="827"/>
      <c r="QFS128" s="827"/>
      <c r="QFT128" s="827"/>
      <c r="QFU128" s="827"/>
      <c r="QFV128" s="827"/>
      <c r="QFW128" s="827"/>
      <c r="QFX128" s="827"/>
      <c r="QFY128" s="827"/>
      <c r="QFZ128" s="827"/>
      <c r="QGA128" s="827"/>
      <c r="QGB128" s="827"/>
      <c r="QGC128" s="827"/>
      <c r="QGD128" s="827"/>
      <c r="QGE128" s="827"/>
      <c r="QGF128" s="827"/>
      <c r="QGG128" s="827"/>
      <c r="QGH128" s="827"/>
      <c r="QGI128" s="827"/>
      <c r="QGJ128" s="827"/>
      <c r="QGK128" s="827"/>
      <c r="QGL128" s="827"/>
      <c r="QGM128" s="827"/>
      <c r="QGN128" s="827"/>
      <c r="QGO128" s="827"/>
      <c r="QGP128" s="827"/>
      <c r="QGQ128" s="827"/>
      <c r="QGR128" s="827"/>
      <c r="QGS128" s="827"/>
      <c r="QGT128" s="827"/>
      <c r="QGU128" s="827"/>
      <c r="QGV128" s="827"/>
      <c r="QGW128" s="827"/>
      <c r="QGX128" s="827"/>
      <c r="QGY128" s="827"/>
      <c r="QGZ128" s="827"/>
      <c r="QHA128" s="827"/>
      <c r="QHB128" s="827"/>
      <c r="QHC128" s="827"/>
      <c r="QHD128" s="827"/>
      <c r="QHE128" s="827"/>
      <c r="QHF128" s="827"/>
      <c r="QHG128" s="827"/>
      <c r="QHH128" s="827"/>
      <c r="QHI128" s="827"/>
      <c r="QHJ128" s="827"/>
      <c r="QHK128" s="827"/>
      <c r="QHL128" s="827"/>
      <c r="QHM128" s="827"/>
      <c r="QHN128" s="827"/>
      <c r="QHO128" s="827"/>
      <c r="QHP128" s="827"/>
      <c r="QHQ128" s="827"/>
      <c r="QHR128" s="827"/>
      <c r="QHS128" s="827"/>
      <c r="QHT128" s="827"/>
      <c r="QHU128" s="827"/>
      <c r="QHV128" s="827"/>
      <c r="QHW128" s="827"/>
      <c r="QHX128" s="827"/>
      <c r="QHY128" s="827"/>
      <c r="QHZ128" s="827"/>
      <c r="QIA128" s="827"/>
      <c r="QIB128" s="827"/>
      <c r="QIC128" s="827"/>
      <c r="QID128" s="827"/>
      <c r="QIE128" s="827"/>
      <c r="QIF128" s="827"/>
      <c r="QIG128" s="827"/>
      <c r="QIH128" s="827"/>
      <c r="QII128" s="827"/>
      <c r="QIJ128" s="827"/>
      <c r="QIK128" s="827"/>
      <c r="QIL128" s="827"/>
      <c r="QIM128" s="827"/>
      <c r="QIN128" s="827"/>
      <c r="QIO128" s="827"/>
      <c r="QIP128" s="827"/>
      <c r="QIQ128" s="827"/>
      <c r="QIR128" s="827"/>
      <c r="QIS128" s="827"/>
      <c r="QIT128" s="827"/>
      <c r="QIU128" s="827"/>
      <c r="QIV128" s="827"/>
      <c r="QIW128" s="827"/>
      <c r="QIX128" s="827"/>
      <c r="QIY128" s="827"/>
      <c r="QIZ128" s="827"/>
      <c r="QJA128" s="827"/>
      <c r="QJB128" s="827"/>
      <c r="QJC128" s="827"/>
      <c r="QJD128" s="827"/>
      <c r="QJE128" s="827"/>
      <c r="QJF128" s="827"/>
      <c r="QJG128" s="827"/>
      <c r="QJH128" s="827"/>
      <c r="QJI128" s="827"/>
      <c r="QJJ128" s="827"/>
      <c r="QJK128" s="827"/>
      <c r="QJL128" s="827"/>
      <c r="QJM128" s="827"/>
      <c r="QJN128" s="827"/>
      <c r="QJO128" s="827"/>
      <c r="QJP128" s="827"/>
      <c r="QJQ128" s="827"/>
      <c r="QJR128" s="827"/>
      <c r="QJS128" s="827"/>
      <c r="QJT128" s="827"/>
      <c r="QJU128" s="827"/>
      <c r="QJV128" s="827"/>
      <c r="QJW128" s="827"/>
      <c r="QJX128" s="827"/>
      <c r="QJY128" s="827"/>
      <c r="QJZ128" s="827"/>
      <c r="QKA128" s="827"/>
      <c r="QKB128" s="827"/>
      <c r="QKC128" s="827"/>
      <c r="QKD128" s="827"/>
      <c r="QKE128" s="827"/>
      <c r="QKF128" s="827"/>
      <c r="QKG128" s="827"/>
      <c r="QKH128" s="827"/>
      <c r="QKI128" s="827"/>
      <c r="QKJ128" s="827"/>
      <c r="QKK128" s="827"/>
      <c r="QKL128" s="827"/>
      <c r="QKM128" s="827"/>
      <c r="QKN128" s="827"/>
      <c r="QKO128" s="827"/>
      <c r="QKP128" s="827"/>
      <c r="QKQ128" s="827"/>
      <c r="QKR128" s="827"/>
      <c r="QKS128" s="827"/>
      <c r="QKT128" s="827"/>
      <c r="QKU128" s="827"/>
      <c r="QKV128" s="827"/>
      <c r="QKW128" s="827"/>
      <c r="QKX128" s="827"/>
      <c r="QKY128" s="827"/>
      <c r="QKZ128" s="827"/>
      <c r="QLA128" s="827"/>
      <c r="QLB128" s="827"/>
      <c r="QLC128" s="827"/>
      <c r="QLD128" s="827"/>
      <c r="QLE128" s="827"/>
      <c r="QLF128" s="827"/>
      <c r="QLG128" s="827"/>
      <c r="QLH128" s="827"/>
      <c r="QLI128" s="827"/>
      <c r="QLJ128" s="827"/>
      <c r="QLK128" s="827"/>
      <c r="QLL128" s="827"/>
      <c r="QLM128" s="827"/>
      <c r="QLN128" s="827"/>
      <c r="QLO128" s="827"/>
      <c r="QLP128" s="827"/>
      <c r="QLQ128" s="827"/>
      <c r="QLR128" s="827"/>
      <c r="QLS128" s="827"/>
      <c r="QLT128" s="827"/>
      <c r="QLU128" s="827"/>
      <c r="QLV128" s="827"/>
      <c r="QLW128" s="827"/>
      <c r="QLX128" s="827"/>
      <c r="QLY128" s="827"/>
      <c r="QLZ128" s="827"/>
      <c r="QMA128" s="827"/>
      <c r="QMB128" s="827"/>
      <c r="QMC128" s="827"/>
      <c r="QMD128" s="827"/>
      <c r="QME128" s="827"/>
      <c r="QMF128" s="827"/>
      <c r="QMG128" s="827"/>
      <c r="QMH128" s="827"/>
      <c r="QMI128" s="827"/>
      <c r="QMJ128" s="827"/>
      <c r="QMK128" s="827"/>
      <c r="QML128" s="827"/>
      <c r="QMM128" s="827"/>
      <c r="QMN128" s="827"/>
      <c r="QMO128" s="827"/>
      <c r="QMP128" s="827"/>
      <c r="QMQ128" s="827"/>
      <c r="QMR128" s="827"/>
      <c r="QMS128" s="827"/>
      <c r="QMT128" s="827"/>
      <c r="QMU128" s="827"/>
      <c r="QMV128" s="827"/>
      <c r="QMW128" s="827"/>
      <c r="QMX128" s="827"/>
      <c r="QMY128" s="827"/>
      <c r="QMZ128" s="827"/>
      <c r="QNA128" s="827"/>
      <c r="QNB128" s="827"/>
      <c r="QNC128" s="827"/>
      <c r="QND128" s="827"/>
      <c r="QNE128" s="827"/>
      <c r="QNF128" s="827"/>
      <c r="QNG128" s="827"/>
      <c r="QNH128" s="827"/>
      <c r="QNI128" s="827"/>
      <c r="QNJ128" s="827"/>
      <c r="QNK128" s="827"/>
      <c r="QNL128" s="827"/>
      <c r="QNM128" s="827"/>
      <c r="QNN128" s="827"/>
      <c r="QNO128" s="827"/>
      <c r="QNP128" s="827"/>
      <c r="QNQ128" s="827"/>
      <c r="QNR128" s="827"/>
      <c r="QNS128" s="827"/>
      <c r="QNT128" s="827"/>
      <c r="QNU128" s="827"/>
      <c r="QNV128" s="827"/>
      <c r="QNW128" s="827"/>
      <c r="QNX128" s="827"/>
      <c r="QNY128" s="827"/>
      <c r="QNZ128" s="827"/>
      <c r="QOA128" s="827"/>
      <c r="QOB128" s="827"/>
      <c r="QOC128" s="827"/>
      <c r="QOD128" s="827"/>
      <c r="QOE128" s="827"/>
      <c r="QOF128" s="827"/>
      <c r="QOG128" s="827"/>
      <c r="QOH128" s="827"/>
      <c r="QOI128" s="827"/>
      <c r="QOJ128" s="827"/>
      <c r="QOK128" s="827"/>
      <c r="QOL128" s="827"/>
      <c r="QOM128" s="827"/>
      <c r="QON128" s="827"/>
      <c r="QOO128" s="827"/>
      <c r="QOP128" s="827"/>
      <c r="QOQ128" s="827"/>
      <c r="QOR128" s="827"/>
      <c r="QOS128" s="827"/>
      <c r="QOT128" s="827"/>
      <c r="QOU128" s="827"/>
      <c r="QOV128" s="827"/>
      <c r="QOW128" s="827"/>
      <c r="QOX128" s="827"/>
      <c r="QOY128" s="827"/>
      <c r="QOZ128" s="827"/>
      <c r="QPA128" s="827"/>
      <c r="QPB128" s="827"/>
      <c r="QPC128" s="827"/>
      <c r="QPD128" s="827"/>
      <c r="QPE128" s="827"/>
      <c r="QPF128" s="827"/>
      <c r="QPG128" s="827"/>
      <c r="QPH128" s="827"/>
      <c r="QPI128" s="827"/>
      <c r="QPJ128" s="827"/>
      <c r="QPK128" s="827"/>
      <c r="QPL128" s="827"/>
      <c r="QPM128" s="827"/>
      <c r="QPN128" s="827"/>
      <c r="QPO128" s="827"/>
      <c r="QPP128" s="827"/>
      <c r="QPQ128" s="827"/>
      <c r="QPR128" s="827"/>
      <c r="QPS128" s="827"/>
      <c r="QPT128" s="827"/>
      <c r="QPU128" s="827"/>
      <c r="QPV128" s="827"/>
      <c r="QPW128" s="827"/>
      <c r="QPX128" s="827"/>
      <c r="QPY128" s="827"/>
      <c r="QPZ128" s="827"/>
      <c r="QQA128" s="827"/>
      <c r="QQB128" s="827"/>
      <c r="QQC128" s="827"/>
      <c r="QQD128" s="827"/>
      <c r="QQE128" s="827"/>
      <c r="QQF128" s="827"/>
      <c r="QQG128" s="827"/>
      <c r="QQH128" s="827"/>
      <c r="QQI128" s="827"/>
      <c r="QQJ128" s="827"/>
      <c r="QQK128" s="827"/>
      <c r="QQL128" s="827"/>
      <c r="QQM128" s="827"/>
      <c r="QQN128" s="827"/>
      <c r="QQO128" s="827"/>
      <c r="QQP128" s="827"/>
      <c r="QQQ128" s="827"/>
      <c r="QQR128" s="827"/>
      <c r="QQS128" s="827"/>
      <c r="QQT128" s="827"/>
      <c r="QQU128" s="827"/>
      <c r="QQV128" s="827"/>
      <c r="QQW128" s="827"/>
      <c r="QQX128" s="827"/>
      <c r="QQY128" s="827"/>
      <c r="QQZ128" s="827"/>
      <c r="QRA128" s="827"/>
      <c r="QRB128" s="827"/>
      <c r="QRC128" s="827"/>
      <c r="QRD128" s="827"/>
      <c r="QRE128" s="827"/>
      <c r="QRF128" s="827"/>
      <c r="QRG128" s="827"/>
      <c r="QRH128" s="827"/>
      <c r="QRI128" s="827"/>
      <c r="QRJ128" s="827"/>
      <c r="QRK128" s="827"/>
      <c r="QRL128" s="827"/>
      <c r="QRM128" s="827"/>
      <c r="QRN128" s="827"/>
      <c r="QRO128" s="827"/>
      <c r="QRP128" s="827"/>
      <c r="QRQ128" s="827"/>
      <c r="QRR128" s="827"/>
      <c r="QRS128" s="827"/>
      <c r="QRT128" s="827"/>
      <c r="QRU128" s="827"/>
      <c r="QRV128" s="827"/>
      <c r="QRW128" s="827"/>
      <c r="QRX128" s="827"/>
      <c r="QRY128" s="827"/>
      <c r="QRZ128" s="827"/>
      <c r="QSA128" s="827"/>
      <c r="QSB128" s="827"/>
      <c r="QSC128" s="827"/>
      <c r="QSD128" s="827"/>
      <c r="QSE128" s="827"/>
      <c r="QSF128" s="827"/>
      <c r="QSG128" s="827"/>
      <c r="QSH128" s="827"/>
      <c r="QSI128" s="827"/>
      <c r="QSJ128" s="827"/>
      <c r="QSK128" s="827"/>
      <c r="QSL128" s="827"/>
      <c r="QSM128" s="827"/>
      <c r="QSN128" s="827"/>
      <c r="QSO128" s="827"/>
      <c r="QSP128" s="827"/>
      <c r="QSQ128" s="827"/>
      <c r="QSR128" s="827"/>
      <c r="QSS128" s="827"/>
      <c r="QST128" s="827"/>
      <c r="QSU128" s="827"/>
      <c r="QSV128" s="827"/>
      <c r="QSW128" s="827"/>
      <c r="QSX128" s="827"/>
      <c r="QSY128" s="827"/>
      <c r="QSZ128" s="827"/>
      <c r="QTA128" s="827"/>
      <c r="QTB128" s="827"/>
      <c r="QTC128" s="827"/>
      <c r="QTD128" s="827"/>
      <c r="QTE128" s="827"/>
      <c r="QTF128" s="827"/>
      <c r="QTG128" s="827"/>
      <c r="QTH128" s="827"/>
      <c r="QTI128" s="827"/>
      <c r="QTJ128" s="827"/>
      <c r="QTK128" s="827"/>
      <c r="QTL128" s="827"/>
      <c r="QTM128" s="827"/>
      <c r="QTN128" s="827"/>
      <c r="QTO128" s="827"/>
      <c r="QTP128" s="827"/>
      <c r="QTQ128" s="827"/>
      <c r="QTR128" s="827"/>
      <c r="QTS128" s="827"/>
      <c r="QTT128" s="827"/>
      <c r="QTU128" s="827"/>
      <c r="QTV128" s="827"/>
      <c r="QTW128" s="827"/>
      <c r="QTX128" s="827"/>
      <c r="QTY128" s="827"/>
      <c r="QTZ128" s="827"/>
      <c r="QUA128" s="827"/>
      <c r="QUB128" s="827"/>
      <c r="QUC128" s="827"/>
      <c r="QUD128" s="827"/>
      <c r="QUE128" s="827"/>
      <c r="QUF128" s="827"/>
      <c r="QUG128" s="827"/>
      <c r="QUH128" s="827"/>
      <c r="QUI128" s="827"/>
      <c r="QUJ128" s="827"/>
      <c r="QUK128" s="827"/>
      <c r="QUL128" s="827"/>
      <c r="QUM128" s="827"/>
      <c r="QUN128" s="827"/>
      <c r="QUO128" s="827"/>
      <c r="QUP128" s="827"/>
      <c r="QUQ128" s="827"/>
      <c r="QUR128" s="827"/>
      <c r="QUS128" s="827"/>
      <c r="QUT128" s="827"/>
      <c r="QUU128" s="827"/>
      <c r="QUV128" s="827"/>
      <c r="QUW128" s="827"/>
      <c r="QUX128" s="827"/>
      <c r="QUY128" s="827"/>
      <c r="QUZ128" s="827"/>
      <c r="QVA128" s="827"/>
      <c r="QVB128" s="827"/>
      <c r="QVC128" s="827"/>
      <c r="QVD128" s="827"/>
      <c r="QVE128" s="827"/>
      <c r="QVF128" s="827"/>
      <c r="QVG128" s="827"/>
      <c r="QVH128" s="827"/>
      <c r="QVI128" s="827"/>
      <c r="QVJ128" s="827"/>
      <c r="QVK128" s="827"/>
      <c r="QVL128" s="827"/>
      <c r="QVM128" s="827"/>
      <c r="QVN128" s="827"/>
      <c r="QVO128" s="827"/>
      <c r="QVP128" s="827"/>
      <c r="QVQ128" s="827"/>
      <c r="QVR128" s="827"/>
      <c r="QVS128" s="827"/>
      <c r="QVT128" s="827"/>
      <c r="QVU128" s="827"/>
      <c r="QVV128" s="827"/>
      <c r="QVW128" s="827"/>
      <c r="QVX128" s="827"/>
      <c r="QVY128" s="827"/>
      <c r="QVZ128" s="827"/>
      <c r="QWA128" s="827"/>
      <c r="QWB128" s="827"/>
      <c r="QWC128" s="827"/>
      <c r="QWD128" s="827"/>
      <c r="QWE128" s="827"/>
      <c r="QWF128" s="827"/>
      <c r="QWG128" s="827"/>
      <c r="QWH128" s="827"/>
      <c r="QWI128" s="827"/>
      <c r="QWJ128" s="827"/>
      <c r="QWK128" s="827"/>
      <c r="QWL128" s="827"/>
      <c r="QWM128" s="827"/>
      <c r="QWN128" s="827"/>
      <c r="QWO128" s="827"/>
      <c r="QWP128" s="827"/>
      <c r="QWQ128" s="827"/>
      <c r="QWR128" s="827"/>
      <c r="QWS128" s="827"/>
      <c r="QWT128" s="827"/>
      <c r="QWU128" s="827"/>
      <c r="QWV128" s="827"/>
      <c r="QWW128" s="827"/>
      <c r="QWX128" s="827"/>
      <c r="QWY128" s="827"/>
      <c r="QWZ128" s="827"/>
      <c r="QXA128" s="827"/>
      <c r="QXB128" s="827"/>
      <c r="QXC128" s="827"/>
      <c r="QXD128" s="827"/>
      <c r="QXE128" s="827"/>
      <c r="QXF128" s="827"/>
      <c r="QXG128" s="827"/>
      <c r="QXH128" s="827"/>
      <c r="QXI128" s="827"/>
      <c r="QXJ128" s="827"/>
      <c r="QXK128" s="827"/>
      <c r="QXL128" s="827"/>
      <c r="QXM128" s="827"/>
      <c r="QXN128" s="827"/>
      <c r="QXO128" s="827"/>
      <c r="QXP128" s="827"/>
      <c r="QXQ128" s="827"/>
      <c r="QXR128" s="827"/>
      <c r="QXS128" s="827"/>
      <c r="QXT128" s="827"/>
      <c r="QXU128" s="827"/>
      <c r="QXV128" s="827"/>
      <c r="QXW128" s="827"/>
      <c r="QXX128" s="827"/>
      <c r="QXY128" s="827"/>
      <c r="QXZ128" s="827"/>
      <c r="QYA128" s="827"/>
      <c r="QYB128" s="827"/>
      <c r="QYC128" s="827"/>
      <c r="QYD128" s="827"/>
      <c r="QYE128" s="827"/>
      <c r="QYF128" s="827"/>
      <c r="QYG128" s="827"/>
      <c r="QYH128" s="827"/>
      <c r="QYI128" s="827"/>
      <c r="QYJ128" s="827"/>
      <c r="QYK128" s="827"/>
      <c r="QYL128" s="827"/>
      <c r="QYM128" s="827"/>
      <c r="QYN128" s="827"/>
      <c r="QYO128" s="827"/>
      <c r="QYP128" s="827"/>
      <c r="QYQ128" s="827"/>
      <c r="QYR128" s="827"/>
      <c r="QYS128" s="827"/>
      <c r="QYT128" s="827"/>
      <c r="QYU128" s="827"/>
      <c r="QYV128" s="827"/>
      <c r="QYW128" s="827"/>
      <c r="QYX128" s="827"/>
      <c r="QYY128" s="827"/>
      <c r="QYZ128" s="827"/>
      <c r="QZA128" s="827"/>
      <c r="QZB128" s="827"/>
      <c r="QZC128" s="827"/>
      <c r="QZD128" s="827"/>
      <c r="QZE128" s="827"/>
      <c r="QZF128" s="827"/>
      <c r="QZG128" s="827"/>
      <c r="QZH128" s="827"/>
      <c r="QZI128" s="827"/>
      <c r="QZJ128" s="827"/>
      <c r="QZK128" s="827"/>
      <c r="QZL128" s="827"/>
      <c r="QZM128" s="827"/>
      <c r="QZN128" s="827"/>
      <c r="QZO128" s="827"/>
      <c r="QZP128" s="827"/>
      <c r="QZQ128" s="827"/>
      <c r="QZR128" s="827"/>
      <c r="QZS128" s="827"/>
      <c r="QZT128" s="827"/>
      <c r="QZU128" s="827"/>
      <c r="QZV128" s="827"/>
      <c r="QZW128" s="827"/>
      <c r="QZX128" s="827"/>
      <c r="QZY128" s="827"/>
      <c r="QZZ128" s="827"/>
      <c r="RAA128" s="827"/>
      <c r="RAB128" s="827"/>
      <c r="RAC128" s="827"/>
      <c r="RAD128" s="827"/>
      <c r="RAE128" s="827"/>
      <c r="RAF128" s="827"/>
      <c r="RAG128" s="827"/>
      <c r="RAH128" s="827"/>
      <c r="RAI128" s="827"/>
      <c r="RAJ128" s="827"/>
      <c r="RAK128" s="827"/>
      <c r="RAL128" s="827"/>
      <c r="RAM128" s="827"/>
      <c r="RAN128" s="827"/>
      <c r="RAO128" s="827"/>
      <c r="RAP128" s="827"/>
      <c r="RAQ128" s="827"/>
      <c r="RAR128" s="827"/>
      <c r="RAS128" s="827"/>
      <c r="RAT128" s="827"/>
      <c r="RAU128" s="827"/>
      <c r="RAV128" s="827"/>
      <c r="RAW128" s="827"/>
      <c r="RAX128" s="827"/>
      <c r="RAY128" s="827"/>
      <c r="RAZ128" s="827"/>
      <c r="RBA128" s="827"/>
      <c r="RBB128" s="827"/>
      <c r="RBC128" s="827"/>
      <c r="RBD128" s="827"/>
      <c r="RBE128" s="827"/>
      <c r="RBF128" s="827"/>
      <c r="RBG128" s="827"/>
      <c r="RBH128" s="827"/>
      <c r="RBI128" s="827"/>
      <c r="RBJ128" s="827"/>
      <c r="RBK128" s="827"/>
      <c r="RBL128" s="827"/>
      <c r="RBM128" s="827"/>
      <c r="RBN128" s="827"/>
      <c r="RBO128" s="827"/>
      <c r="RBP128" s="827"/>
      <c r="RBQ128" s="827"/>
      <c r="RBR128" s="827"/>
      <c r="RBS128" s="827"/>
      <c r="RBT128" s="827"/>
      <c r="RBU128" s="827"/>
      <c r="RBV128" s="827"/>
      <c r="RBW128" s="827"/>
      <c r="RBX128" s="827"/>
      <c r="RBY128" s="827"/>
      <c r="RBZ128" s="827"/>
      <c r="RCA128" s="827"/>
      <c r="RCB128" s="827"/>
      <c r="RCC128" s="827"/>
      <c r="RCD128" s="827"/>
      <c r="RCE128" s="827"/>
      <c r="RCF128" s="827"/>
      <c r="RCG128" s="827"/>
      <c r="RCH128" s="827"/>
      <c r="RCI128" s="827"/>
      <c r="RCJ128" s="827"/>
      <c r="RCK128" s="827"/>
      <c r="RCL128" s="827"/>
      <c r="RCM128" s="827"/>
      <c r="RCN128" s="827"/>
      <c r="RCO128" s="827"/>
      <c r="RCP128" s="827"/>
      <c r="RCQ128" s="827"/>
      <c r="RCR128" s="827"/>
      <c r="RCS128" s="827"/>
      <c r="RCT128" s="827"/>
      <c r="RCU128" s="827"/>
      <c r="RCV128" s="827"/>
      <c r="RCW128" s="827"/>
      <c r="RCX128" s="827"/>
      <c r="RCY128" s="827"/>
      <c r="RCZ128" s="827"/>
      <c r="RDA128" s="827"/>
      <c r="RDB128" s="827"/>
      <c r="RDC128" s="827"/>
      <c r="RDD128" s="827"/>
      <c r="RDE128" s="827"/>
      <c r="RDF128" s="827"/>
      <c r="RDG128" s="827"/>
      <c r="RDH128" s="827"/>
      <c r="RDI128" s="827"/>
      <c r="RDJ128" s="827"/>
      <c r="RDK128" s="827"/>
      <c r="RDL128" s="827"/>
      <c r="RDM128" s="827"/>
      <c r="RDN128" s="827"/>
      <c r="RDO128" s="827"/>
      <c r="RDP128" s="827"/>
      <c r="RDQ128" s="827"/>
      <c r="RDR128" s="827"/>
      <c r="RDS128" s="827"/>
      <c r="RDT128" s="827"/>
      <c r="RDU128" s="827"/>
      <c r="RDV128" s="827"/>
      <c r="RDW128" s="827"/>
      <c r="RDX128" s="827"/>
      <c r="RDY128" s="827"/>
      <c r="RDZ128" s="827"/>
      <c r="REA128" s="827"/>
      <c r="REB128" s="827"/>
      <c r="REC128" s="827"/>
      <c r="RED128" s="827"/>
      <c r="REE128" s="827"/>
      <c r="REF128" s="827"/>
      <c r="REG128" s="827"/>
      <c r="REH128" s="827"/>
      <c r="REI128" s="827"/>
      <c r="REJ128" s="827"/>
      <c r="REK128" s="827"/>
      <c r="REL128" s="827"/>
      <c r="REM128" s="827"/>
      <c r="REN128" s="827"/>
      <c r="REO128" s="827"/>
      <c r="REP128" s="827"/>
      <c r="REQ128" s="827"/>
      <c r="RER128" s="827"/>
      <c r="RES128" s="827"/>
      <c r="RET128" s="827"/>
      <c r="REU128" s="827"/>
      <c r="REV128" s="827"/>
      <c r="REW128" s="827"/>
      <c r="REX128" s="827"/>
      <c r="REY128" s="827"/>
      <c r="REZ128" s="827"/>
      <c r="RFA128" s="827"/>
      <c r="RFB128" s="827"/>
      <c r="RFC128" s="827"/>
      <c r="RFD128" s="827"/>
      <c r="RFE128" s="827"/>
      <c r="RFF128" s="827"/>
      <c r="RFG128" s="827"/>
      <c r="RFH128" s="827"/>
      <c r="RFI128" s="827"/>
      <c r="RFJ128" s="827"/>
      <c r="RFK128" s="827"/>
      <c r="RFL128" s="827"/>
      <c r="RFM128" s="827"/>
      <c r="RFN128" s="827"/>
      <c r="RFO128" s="827"/>
      <c r="RFP128" s="827"/>
      <c r="RFQ128" s="827"/>
      <c r="RFR128" s="827"/>
      <c r="RFS128" s="827"/>
      <c r="RFT128" s="827"/>
      <c r="RFU128" s="827"/>
      <c r="RFV128" s="827"/>
      <c r="RFW128" s="827"/>
      <c r="RFX128" s="827"/>
      <c r="RFY128" s="827"/>
      <c r="RFZ128" s="827"/>
      <c r="RGA128" s="827"/>
      <c r="RGB128" s="827"/>
      <c r="RGC128" s="827"/>
      <c r="RGD128" s="827"/>
      <c r="RGE128" s="827"/>
      <c r="RGF128" s="827"/>
      <c r="RGG128" s="827"/>
      <c r="RGH128" s="827"/>
      <c r="RGI128" s="827"/>
      <c r="RGJ128" s="827"/>
      <c r="RGK128" s="827"/>
      <c r="RGL128" s="827"/>
      <c r="RGM128" s="827"/>
      <c r="RGN128" s="827"/>
      <c r="RGO128" s="827"/>
      <c r="RGP128" s="827"/>
      <c r="RGQ128" s="827"/>
      <c r="RGR128" s="827"/>
      <c r="RGS128" s="827"/>
      <c r="RGT128" s="827"/>
      <c r="RGU128" s="827"/>
      <c r="RGV128" s="827"/>
      <c r="RGW128" s="827"/>
      <c r="RGX128" s="827"/>
      <c r="RGY128" s="827"/>
      <c r="RGZ128" s="827"/>
      <c r="RHA128" s="827"/>
      <c r="RHB128" s="827"/>
      <c r="RHC128" s="827"/>
      <c r="RHD128" s="827"/>
      <c r="RHE128" s="827"/>
      <c r="RHF128" s="827"/>
      <c r="RHG128" s="827"/>
      <c r="RHH128" s="827"/>
      <c r="RHI128" s="827"/>
      <c r="RHJ128" s="827"/>
      <c r="RHK128" s="827"/>
      <c r="RHL128" s="827"/>
      <c r="RHM128" s="827"/>
      <c r="RHN128" s="827"/>
      <c r="RHO128" s="827"/>
      <c r="RHP128" s="827"/>
      <c r="RHQ128" s="827"/>
      <c r="RHR128" s="827"/>
      <c r="RHS128" s="827"/>
      <c r="RHT128" s="827"/>
      <c r="RHU128" s="827"/>
      <c r="RHV128" s="827"/>
      <c r="RHW128" s="827"/>
      <c r="RHX128" s="827"/>
      <c r="RHY128" s="827"/>
      <c r="RHZ128" s="827"/>
      <c r="RIA128" s="827"/>
      <c r="RIB128" s="827"/>
      <c r="RIC128" s="827"/>
      <c r="RID128" s="827"/>
      <c r="RIE128" s="827"/>
      <c r="RIF128" s="827"/>
      <c r="RIG128" s="827"/>
      <c r="RIH128" s="827"/>
      <c r="RII128" s="827"/>
      <c r="RIJ128" s="827"/>
      <c r="RIK128" s="827"/>
      <c r="RIL128" s="827"/>
      <c r="RIM128" s="827"/>
      <c r="RIN128" s="827"/>
      <c r="RIO128" s="827"/>
      <c r="RIP128" s="827"/>
      <c r="RIQ128" s="827"/>
      <c r="RIR128" s="827"/>
      <c r="RIS128" s="827"/>
      <c r="RIT128" s="827"/>
      <c r="RIU128" s="827"/>
      <c r="RIV128" s="827"/>
      <c r="RIW128" s="827"/>
      <c r="RIX128" s="827"/>
      <c r="RIY128" s="827"/>
      <c r="RIZ128" s="827"/>
      <c r="RJA128" s="827"/>
      <c r="RJB128" s="827"/>
      <c r="RJC128" s="827"/>
      <c r="RJD128" s="827"/>
      <c r="RJE128" s="827"/>
      <c r="RJF128" s="827"/>
      <c r="RJG128" s="827"/>
      <c r="RJH128" s="827"/>
      <c r="RJI128" s="827"/>
      <c r="RJJ128" s="827"/>
      <c r="RJK128" s="827"/>
      <c r="RJL128" s="827"/>
      <c r="RJM128" s="827"/>
      <c r="RJN128" s="827"/>
      <c r="RJO128" s="827"/>
      <c r="RJP128" s="827"/>
      <c r="RJQ128" s="827"/>
      <c r="RJR128" s="827"/>
      <c r="RJS128" s="827"/>
      <c r="RJT128" s="827"/>
      <c r="RJU128" s="827"/>
      <c r="RJV128" s="827"/>
      <c r="RJW128" s="827"/>
      <c r="RJX128" s="827"/>
      <c r="RJY128" s="827"/>
      <c r="RJZ128" s="827"/>
      <c r="RKA128" s="827"/>
      <c r="RKB128" s="827"/>
      <c r="RKC128" s="827"/>
      <c r="RKD128" s="827"/>
      <c r="RKE128" s="827"/>
      <c r="RKF128" s="827"/>
      <c r="RKG128" s="827"/>
      <c r="RKH128" s="827"/>
      <c r="RKI128" s="827"/>
      <c r="RKJ128" s="827"/>
      <c r="RKK128" s="827"/>
      <c r="RKL128" s="827"/>
      <c r="RKM128" s="827"/>
      <c r="RKN128" s="827"/>
      <c r="RKO128" s="827"/>
      <c r="RKP128" s="827"/>
      <c r="RKQ128" s="827"/>
      <c r="RKR128" s="827"/>
      <c r="RKS128" s="827"/>
      <c r="RKT128" s="827"/>
      <c r="RKU128" s="827"/>
      <c r="RKV128" s="827"/>
      <c r="RKW128" s="827"/>
      <c r="RKX128" s="827"/>
      <c r="RKY128" s="827"/>
      <c r="RKZ128" s="827"/>
      <c r="RLA128" s="827"/>
      <c r="RLB128" s="827"/>
      <c r="RLC128" s="827"/>
      <c r="RLD128" s="827"/>
      <c r="RLE128" s="827"/>
      <c r="RLF128" s="827"/>
      <c r="RLG128" s="827"/>
      <c r="RLH128" s="827"/>
      <c r="RLI128" s="827"/>
      <c r="RLJ128" s="827"/>
      <c r="RLK128" s="827"/>
      <c r="RLL128" s="827"/>
      <c r="RLM128" s="827"/>
      <c r="RLN128" s="827"/>
      <c r="RLO128" s="827"/>
      <c r="RLP128" s="827"/>
      <c r="RLQ128" s="827"/>
      <c r="RLR128" s="827"/>
      <c r="RLS128" s="827"/>
      <c r="RLT128" s="827"/>
      <c r="RLU128" s="827"/>
      <c r="RLV128" s="827"/>
      <c r="RLW128" s="827"/>
      <c r="RLX128" s="827"/>
      <c r="RLY128" s="827"/>
      <c r="RLZ128" s="827"/>
      <c r="RMA128" s="827"/>
      <c r="RMB128" s="827"/>
      <c r="RMC128" s="827"/>
      <c r="RMD128" s="827"/>
      <c r="RME128" s="827"/>
      <c r="RMF128" s="827"/>
      <c r="RMG128" s="827"/>
      <c r="RMH128" s="827"/>
      <c r="RMI128" s="827"/>
      <c r="RMJ128" s="827"/>
      <c r="RMK128" s="827"/>
      <c r="RML128" s="827"/>
      <c r="RMM128" s="827"/>
      <c r="RMN128" s="827"/>
      <c r="RMO128" s="827"/>
      <c r="RMP128" s="827"/>
      <c r="RMQ128" s="827"/>
      <c r="RMR128" s="827"/>
      <c r="RMS128" s="827"/>
      <c r="RMT128" s="827"/>
      <c r="RMU128" s="827"/>
      <c r="RMV128" s="827"/>
      <c r="RMW128" s="827"/>
      <c r="RMX128" s="827"/>
      <c r="RMY128" s="827"/>
      <c r="RMZ128" s="827"/>
      <c r="RNA128" s="827"/>
      <c r="RNB128" s="827"/>
      <c r="RNC128" s="827"/>
      <c r="RND128" s="827"/>
      <c r="RNE128" s="827"/>
      <c r="RNF128" s="827"/>
      <c r="RNG128" s="827"/>
      <c r="RNH128" s="827"/>
      <c r="RNI128" s="827"/>
      <c r="RNJ128" s="827"/>
      <c r="RNK128" s="827"/>
      <c r="RNL128" s="827"/>
      <c r="RNM128" s="827"/>
      <c r="RNN128" s="827"/>
      <c r="RNO128" s="827"/>
      <c r="RNP128" s="827"/>
      <c r="RNQ128" s="827"/>
      <c r="RNR128" s="827"/>
      <c r="RNS128" s="827"/>
      <c r="RNT128" s="827"/>
      <c r="RNU128" s="827"/>
      <c r="RNV128" s="827"/>
      <c r="RNW128" s="827"/>
      <c r="RNX128" s="827"/>
      <c r="RNY128" s="827"/>
      <c r="RNZ128" s="827"/>
      <c r="ROA128" s="827"/>
      <c r="ROB128" s="827"/>
      <c r="ROC128" s="827"/>
      <c r="ROD128" s="827"/>
      <c r="ROE128" s="827"/>
      <c r="ROF128" s="827"/>
      <c r="ROG128" s="827"/>
      <c r="ROH128" s="827"/>
      <c r="ROI128" s="827"/>
      <c r="ROJ128" s="827"/>
      <c r="ROK128" s="827"/>
      <c r="ROL128" s="827"/>
      <c r="ROM128" s="827"/>
      <c r="RON128" s="827"/>
      <c r="ROO128" s="827"/>
      <c r="ROP128" s="827"/>
      <c r="ROQ128" s="827"/>
      <c r="ROR128" s="827"/>
      <c r="ROS128" s="827"/>
      <c r="ROT128" s="827"/>
      <c r="ROU128" s="827"/>
      <c r="ROV128" s="827"/>
      <c r="ROW128" s="827"/>
      <c r="ROX128" s="827"/>
      <c r="ROY128" s="827"/>
      <c r="ROZ128" s="827"/>
      <c r="RPA128" s="827"/>
      <c r="RPB128" s="827"/>
      <c r="RPC128" s="827"/>
      <c r="RPD128" s="827"/>
      <c r="RPE128" s="827"/>
      <c r="RPF128" s="827"/>
      <c r="RPG128" s="827"/>
      <c r="RPH128" s="827"/>
      <c r="RPI128" s="827"/>
      <c r="RPJ128" s="827"/>
      <c r="RPK128" s="827"/>
      <c r="RPL128" s="827"/>
      <c r="RPM128" s="827"/>
      <c r="RPN128" s="827"/>
      <c r="RPO128" s="827"/>
      <c r="RPP128" s="827"/>
      <c r="RPQ128" s="827"/>
      <c r="RPR128" s="827"/>
      <c r="RPS128" s="827"/>
      <c r="RPT128" s="827"/>
      <c r="RPU128" s="827"/>
      <c r="RPV128" s="827"/>
      <c r="RPW128" s="827"/>
      <c r="RPX128" s="827"/>
      <c r="RPY128" s="827"/>
      <c r="RPZ128" s="827"/>
      <c r="RQA128" s="827"/>
      <c r="RQB128" s="827"/>
      <c r="RQC128" s="827"/>
      <c r="RQD128" s="827"/>
      <c r="RQE128" s="827"/>
      <c r="RQF128" s="827"/>
      <c r="RQG128" s="827"/>
      <c r="RQH128" s="827"/>
      <c r="RQI128" s="827"/>
      <c r="RQJ128" s="827"/>
      <c r="RQK128" s="827"/>
      <c r="RQL128" s="827"/>
      <c r="RQM128" s="827"/>
      <c r="RQN128" s="827"/>
      <c r="RQO128" s="827"/>
      <c r="RQP128" s="827"/>
      <c r="RQQ128" s="827"/>
      <c r="RQR128" s="827"/>
      <c r="RQS128" s="827"/>
      <c r="RQT128" s="827"/>
      <c r="RQU128" s="827"/>
      <c r="RQV128" s="827"/>
      <c r="RQW128" s="827"/>
      <c r="RQX128" s="827"/>
      <c r="RQY128" s="827"/>
      <c r="RQZ128" s="827"/>
      <c r="RRA128" s="827"/>
      <c r="RRB128" s="827"/>
      <c r="RRC128" s="827"/>
      <c r="RRD128" s="827"/>
      <c r="RRE128" s="827"/>
      <c r="RRF128" s="827"/>
      <c r="RRG128" s="827"/>
      <c r="RRH128" s="827"/>
      <c r="RRI128" s="827"/>
      <c r="RRJ128" s="827"/>
      <c r="RRK128" s="827"/>
      <c r="RRL128" s="827"/>
      <c r="RRM128" s="827"/>
      <c r="RRN128" s="827"/>
      <c r="RRO128" s="827"/>
      <c r="RRP128" s="827"/>
      <c r="RRQ128" s="827"/>
      <c r="RRR128" s="827"/>
      <c r="RRS128" s="827"/>
      <c r="RRT128" s="827"/>
      <c r="RRU128" s="827"/>
      <c r="RRV128" s="827"/>
      <c r="RRW128" s="827"/>
      <c r="RRX128" s="827"/>
      <c r="RRY128" s="827"/>
      <c r="RRZ128" s="827"/>
      <c r="RSA128" s="827"/>
      <c r="RSB128" s="827"/>
      <c r="RSC128" s="827"/>
      <c r="RSD128" s="827"/>
      <c r="RSE128" s="827"/>
      <c r="RSF128" s="827"/>
      <c r="RSG128" s="827"/>
      <c r="RSH128" s="827"/>
      <c r="RSI128" s="827"/>
      <c r="RSJ128" s="827"/>
      <c r="RSK128" s="827"/>
      <c r="RSL128" s="827"/>
      <c r="RSM128" s="827"/>
      <c r="RSN128" s="827"/>
      <c r="RSO128" s="827"/>
      <c r="RSP128" s="827"/>
      <c r="RSQ128" s="827"/>
      <c r="RSR128" s="827"/>
      <c r="RSS128" s="827"/>
      <c r="RST128" s="827"/>
      <c r="RSU128" s="827"/>
      <c r="RSV128" s="827"/>
      <c r="RSW128" s="827"/>
      <c r="RSX128" s="827"/>
      <c r="RSY128" s="827"/>
      <c r="RSZ128" s="827"/>
      <c r="RTA128" s="827"/>
      <c r="RTB128" s="827"/>
      <c r="RTC128" s="827"/>
      <c r="RTD128" s="827"/>
      <c r="RTE128" s="827"/>
      <c r="RTF128" s="827"/>
      <c r="RTG128" s="827"/>
      <c r="RTH128" s="827"/>
      <c r="RTI128" s="827"/>
      <c r="RTJ128" s="827"/>
      <c r="RTK128" s="827"/>
      <c r="RTL128" s="827"/>
      <c r="RTM128" s="827"/>
      <c r="RTN128" s="827"/>
      <c r="RTO128" s="827"/>
      <c r="RTP128" s="827"/>
      <c r="RTQ128" s="827"/>
      <c r="RTR128" s="827"/>
      <c r="RTS128" s="827"/>
      <c r="RTT128" s="827"/>
      <c r="RTU128" s="827"/>
      <c r="RTV128" s="827"/>
      <c r="RTW128" s="827"/>
      <c r="RTX128" s="827"/>
      <c r="RTY128" s="827"/>
      <c r="RTZ128" s="827"/>
      <c r="RUA128" s="827"/>
      <c r="RUB128" s="827"/>
      <c r="RUC128" s="827"/>
      <c r="RUD128" s="827"/>
      <c r="RUE128" s="827"/>
      <c r="RUF128" s="827"/>
      <c r="RUG128" s="827"/>
      <c r="RUH128" s="827"/>
      <c r="RUI128" s="827"/>
      <c r="RUJ128" s="827"/>
      <c r="RUK128" s="827"/>
      <c r="RUL128" s="827"/>
      <c r="RUM128" s="827"/>
      <c r="RUN128" s="827"/>
      <c r="RUO128" s="827"/>
      <c r="RUP128" s="827"/>
      <c r="RUQ128" s="827"/>
      <c r="RUR128" s="827"/>
      <c r="RUS128" s="827"/>
      <c r="RUT128" s="827"/>
      <c r="RUU128" s="827"/>
      <c r="RUV128" s="827"/>
      <c r="RUW128" s="827"/>
      <c r="RUX128" s="827"/>
      <c r="RUY128" s="827"/>
      <c r="RUZ128" s="827"/>
      <c r="RVA128" s="827"/>
      <c r="RVB128" s="827"/>
      <c r="RVC128" s="827"/>
      <c r="RVD128" s="827"/>
      <c r="RVE128" s="827"/>
      <c r="RVF128" s="827"/>
      <c r="RVG128" s="827"/>
      <c r="RVH128" s="827"/>
      <c r="RVI128" s="827"/>
      <c r="RVJ128" s="827"/>
      <c r="RVK128" s="827"/>
      <c r="RVL128" s="827"/>
      <c r="RVM128" s="827"/>
      <c r="RVN128" s="827"/>
      <c r="RVO128" s="827"/>
      <c r="RVP128" s="827"/>
      <c r="RVQ128" s="827"/>
      <c r="RVR128" s="827"/>
      <c r="RVS128" s="827"/>
      <c r="RVT128" s="827"/>
      <c r="RVU128" s="827"/>
      <c r="RVV128" s="827"/>
      <c r="RVW128" s="827"/>
      <c r="RVX128" s="827"/>
      <c r="RVY128" s="827"/>
      <c r="RVZ128" s="827"/>
      <c r="RWA128" s="827"/>
      <c r="RWB128" s="827"/>
      <c r="RWC128" s="827"/>
      <c r="RWD128" s="827"/>
      <c r="RWE128" s="827"/>
      <c r="RWF128" s="827"/>
      <c r="RWG128" s="827"/>
      <c r="RWH128" s="827"/>
      <c r="RWI128" s="827"/>
      <c r="RWJ128" s="827"/>
      <c r="RWK128" s="827"/>
      <c r="RWL128" s="827"/>
      <c r="RWM128" s="827"/>
      <c r="RWN128" s="827"/>
      <c r="RWO128" s="827"/>
      <c r="RWP128" s="827"/>
      <c r="RWQ128" s="827"/>
      <c r="RWR128" s="827"/>
      <c r="RWS128" s="827"/>
      <c r="RWT128" s="827"/>
      <c r="RWU128" s="827"/>
      <c r="RWV128" s="827"/>
      <c r="RWW128" s="827"/>
      <c r="RWX128" s="827"/>
      <c r="RWY128" s="827"/>
      <c r="RWZ128" s="827"/>
      <c r="RXA128" s="827"/>
      <c r="RXB128" s="827"/>
      <c r="RXC128" s="827"/>
      <c r="RXD128" s="827"/>
      <c r="RXE128" s="827"/>
      <c r="RXF128" s="827"/>
      <c r="RXG128" s="827"/>
      <c r="RXH128" s="827"/>
      <c r="RXI128" s="827"/>
      <c r="RXJ128" s="827"/>
      <c r="RXK128" s="827"/>
      <c r="RXL128" s="827"/>
      <c r="RXM128" s="827"/>
      <c r="RXN128" s="827"/>
      <c r="RXO128" s="827"/>
      <c r="RXP128" s="827"/>
      <c r="RXQ128" s="827"/>
      <c r="RXR128" s="827"/>
      <c r="RXS128" s="827"/>
      <c r="RXT128" s="827"/>
      <c r="RXU128" s="827"/>
      <c r="RXV128" s="827"/>
      <c r="RXW128" s="827"/>
      <c r="RXX128" s="827"/>
      <c r="RXY128" s="827"/>
      <c r="RXZ128" s="827"/>
      <c r="RYA128" s="827"/>
      <c r="RYB128" s="827"/>
      <c r="RYC128" s="827"/>
      <c r="RYD128" s="827"/>
      <c r="RYE128" s="827"/>
      <c r="RYF128" s="827"/>
      <c r="RYG128" s="827"/>
      <c r="RYH128" s="827"/>
      <c r="RYI128" s="827"/>
      <c r="RYJ128" s="827"/>
      <c r="RYK128" s="827"/>
      <c r="RYL128" s="827"/>
      <c r="RYM128" s="827"/>
      <c r="RYN128" s="827"/>
      <c r="RYO128" s="827"/>
      <c r="RYP128" s="827"/>
      <c r="RYQ128" s="827"/>
      <c r="RYR128" s="827"/>
      <c r="RYS128" s="827"/>
      <c r="RYT128" s="827"/>
      <c r="RYU128" s="827"/>
      <c r="RYV128" s="827"/>
      <c r="RYW128" s="827"/>
      <c r="RYX128" s="827"/>
      <c r="RYY128" s="827"/>
      <c r="RYZ128" s="827"/>
      <c r="RZA128" s="827"/>
      <c r="RZB128" s="827"/>
      <c r="RZC128" s="827"/>
      <c r="RZD128" s="827"/>
      <c r="RZE128" s="827"/>
      <c r="RZF128" s="827"/>
      <c r="RZG128" s="827"/>
      <c r="RZH128" s="827"/>
      <c r="RZI128" s="827"/>
      <c r="RZJ128" s="827"/>
      <c r="RZK128" s="827"/>
      <c r="RZL128" s="827"/>
      <c r="RZM128" s="827"/>
      <c r="RZN128" s="827"/>
      <c r="RZO128" s="827"/>
      <c r="RZP128" s="827"/>
      <c r="RZQ128" s="827"/>
      <c r="RZR128" s="827"/>
      <c r="RZS128" s="827"/>
      <c r="RZT128" s="827"/>
      <c r="RZU128" s="827"/>
      <c r="RZV128" s="827"/>
      <c r="RZW128" s="827"/>
      <c r="RZX128" s="827"/>
      <c r="RZY128" s="827"/>
      <c r="RZZ128" s="827"/>
      <c r="SAA128" s="827"/>
      <c r="SAB128" s="827"/>
      <c r="SAC128" s="827"/>
      <c r="SAD128" s="827"/>
      <c r="SAE128" s="827"/>
      <c r="SAF128" s="827"/>
      <c r="SAG128" s="827"/>
      <c r="SAH128" s="827"/>
      <c r="SAI128" s="827"/>
      <c r="SAJ128" s="827"/>
      <c r="SAK128" s="827"/>
      <c r="SAL128" s="827"/>
      <c r="SAM128" s="827"/>
      <c r="SAN128" s="827"/>
      <c r="SAO128" s="827"/>
      <c r="SAP128" s="827"/>
      <c r="SAQ128" s="827"/>
      <c r="SAR128" s="827"/>
      <c r="SAS128" s="827"/>
      <c r="SAT128" s="827"/>
      <c r="SAU128" s="827"/>
      <c r="SAV128" s="827"/>
      <c r="SAW128" s="827"/>
      <c r="SAX128" s="827"/>
      <c r="SAY128" s="827"/>
      <c r="SAZ128" s="827"/>
      <c r="SBA128" s="827"/>
      <c r="SBB128" s="827"/>
      <c r="SBC128" s="827"/>
      <c r="SBD128" s="827"/>
      <c r="SBE128" s="827"/>
      <c r="SBF128" s="827"/>
      <c r="SBG128" s="827"/>
      <c r="SBH128" s="827"/>
      <c r="SBI128" s="827"/>
      <c r="SBJ128" s="827"/>
      <c r="SBK128" s="827"/>
      <c r="SBL128" s="827"/>
      <c r="SBM128" s="827"/>
      <c r="SBN128" s="827"/>
      <c r="SBO128" s="827"/>
      <c r="SBP128" s="827"/>
      <c r="SBQ128" s="827"/>
      <c r="SBR128" s="827"/>
      <c r="SBS128" s="827"/>
      <c r="SBT128" s="827"/>
      <c r="SBU128" s="827"/>
      <c r="SBV128" s="827"/>
      <c r="SBW128" s="827"/>
      <c r="SBX128" s="827"/>
      <c r="SBY128" s="827"/>
      <c r="SBZ128" s="827"/>
      <c r="SCA128" s="827"/>
      <c r="SCB128" s="827"/>
      <c r="SCC128" s="827"/>
      <c r="SCD128" s="827"/>
      <c r="SCE128" s="827"/>
      <c r="SCF128" s="827"/>
      <c r="SCG128" s="827"/>
      <c r="SCH128" s="827"/>
      <c r="SCI128" s="827"/>
      <c r="SCJ128" s="827"/>
      <c r="SCK128" s="827"/>
      <c r="SCL128" s="827"/>
      <c r="SCM128" s="827"/>
      <c r="SCN128" s="827"/>
      <c r="SCO128" s="827"/>
      <c r="SCP128" s="827"/>
      <c r="SCQ128" s="827"/>
      <c r="SCR128" s="827"/>
      <c r="SCS128" s="827"/>
      <c r="SCT128" s="827"/>
      <c r="SCU128" s="827"/>
      <c r="SCV128" s="827"/>
      <c r="SCW128" s="827"/>
      <c r="SCX128" s="827"/>
      <c r="SCY128" s="827"/>
      <c r="SCZ128" s="827"/>
      <c r="SDA128" s="827"/>
      <c r="SDB128" s="827"/>
      <c r="SDC128" s="827"/>
      <c r="SDD128" s="827"/>
      <c r="SDE128" s="827"/>
      <c r="SDF128" s="827"/>
      <c r="SDG128" s="827"/>
      <c r="SDH128" s="827"/>
      <c r="SDI128" s="827"/>
      <c r="SDJ128" s="827"/>
      <c r="SDK128" s="827"/>
      <c r="SDL128" s="827"/>
      <c r="SDM128" s="827"/>
      <c r="SDN128" s="827"/>
      <c r="SDO128" s="827"/>
      <c r="SDP128" s="827"/>
      <c r="SDQ128" s="827"/>
      <c r="SDR128" s="827"/>
      <c r="SDS128" s="827"/>
      <c r="SDT128" s="827"/>
      <c r="SDU128" s="827"/>
      <c r="SDV128" s="827"/>
      <c r="SDW128" s="827"/>
      <c r="SDX128" s="827"/>
      <c r="SDY128" s="827"/>
      <c r="SDZ128" s="827"/>
      <c r="SEA128" s="827"/>
      <c r="SEB128" s="827"/>
      <c r="SEC128" s="827"/>
      <c r="SED128" s="827"/>
      <c r="SEE128" s="827"/>
      <c r="SEF128" s="827"/>
      <c r="SEG128" s="827"/>
      <c r="SEH128" s="827"/>
      <c r="SEI128" s="827"/>
      <c r="SEJ128" s="827"/>
      <c r="SEK128" s="827"/>
      <c r="SEL128" s="827"/>
      <c r="SEM128" s="827"/>
      <c r="SEN128" s="827"/>
      <c r="SEO128" s="827"/>
      <c r="SEP128" s="827"/>
      <c r="SEQ128" s="827"/>
      <c r="SER128" s="827"/>
      <c r="SES128" s="827"/>
      <c r="SET128" s="827"/>
      <c r="SEU128" s="827"/>
      <c r="SEV128" s="827"/>
      <c r="SEW128" s="827"/>
      <c r="SEX128" s="827"/>
      <c r="SEY128" s="827"/>
      <c r="SEZ128" s="827"/>
      <c r="SFA128" s="827"/>
      <c r="SFB128" s="827"/>
      <c r="SFC128" s="827"/>
      <c r="SFD128" s="827"/>
      <c r="SFE128" s="827"/>
      <c r="SFF128" s="827"/>
      <c r="SFG128" s="827"/>
      <c r="SFH128" s="827"/>
      <c r="SFI128" s="827"/>
      <c r="SFJ128" s="827"/>
      <c r="SFK128" s="827"/>
      <c r="SFL128" s="827"/>
      <c r="SFM128" s="827"/>
      <c r="SFN128" s="827"/>
      <c r="SFO128" s="827"/>
      <c r="SFP128" s="827"/>
      <c r="SFQ128" s="827"/>
      <c r="SFR128" s="827"/>
      <c r="SFS128" s="827"/>
      <c r="SFT128" s="827"/>
      <c r="SFU128" s="827"/>
      <c r="SFV128" s="827"/>
      <c r="SFW128" s="827"/>
      <c r="SFX128" s="827"/>
      <c r="SFY128" s="827"/>
      <c r="SFZ128" s="827"/>
      <c r="SGA128" s="827"/>
      <c r="SGB128" s="827"/>
      <c r="SGC128" s="827"/>
      <c r="SGD128" s="827"/>
      <c r="SGE128" s="827"/>
      <c r="SGF128" s="827"/>
      <c r="SGG128" s="827"/>
      <c r="SGH128" s="827"/>
      <c r="SGI128" s="827"/>
      <c r="SGJ128" s="827"/>
      <c r="SGK128" s="827"/>
      <c r="SGL128" s="827"/>
      <c r="SGM128" s="827"/>
      <c r="SGN128" s="827"/>
      <c r="SGO128" s="827"/>
      <c r="SGP128" s="827"/>
      <c r="SGQ128" s="827"/>
      <c r="SGR128" s="827"/>
      <c r="SGS128" s="827"/>
      <c r="SGT128" s="827"/>
      <c r="SGU128" s="827"/>
      <c r="SGV128" s="827"/>
      <c r="SGW128" s="827"/>
      <c r="SGX128" s="827"/>
      <c r="SGY128" s="827"/>
      <c r="SGZ128" s="827"/>
      <c r="SHA128" s="827"/>
      <c r="SHB128" s="827"/>
      <c r="SHC128" s="827"/>
      <c r="SHD128" s="827"/>
      <c r="SHE128" s="827"/>
      <c r="SHF128" s="827"/>
      <c r="SHG128" s="827"/>
      <c r="SHH128" s="827"/>
      <c r="SHI128" s="827"/>
      <c r="SHJ128" s="827"/>
      <c r="SHK128" s="827"/>
      <c r="SHL128" s="827"/>
      <c r="SHM128" s="827"/>
      <c r="SHN128" s="827"/>
      <c r="SHO128" s="827"/>
      <c r="SHP128" s="827"/>
      <c r="SHQ128" s="827"/>
      <c r="SHR128" s="827"/>
      <c r="SHS128" s="827"/>
      <c r="SHT128" s="827"/>
      <c r="SHU128" s="827"/>
      <c r="SHV128" s="827"/>
      <c r="SHW128" s="827"/>
      <c r="SHX128" s="827"/>
      <c r="SHY128" s="827"/>
      <c r="SHZ128" s="827"/>
      <c r="SIA128" s="827"/>
      <c r="SIB128" s="827"/>
      <c r="SIC128" s="827"/>
      <c r="SID128" s="827"/>
      <c r="SIE128" s="827"/>
      <c r="SIF128" s="827"/>
      <c r="SIG128" s="827"/>
      <c r="SIH128" s="827"/>
      <c r="SII128" s="827"/>
      <c r="SIJ128" s="827"/>
      <c r="SIK128" s="827"/>
      <c r="SIL128" s="827"/>
      <c r="SIM128" s="827"/>
      <c r="SIN128" s="827"/>
      <c r="SIO128" s="827"/>
      <c r="SIP128" s="827"/>
      <c r="SIQ128" s="827"/>
      <c r="SIR128" s="827"/>
      <c r="SIS128" s="827"/>
      <c r="SIT128" s="827"/>
      <c r="SIU128" s="827"/>
      <c r="SIV128" s="827"/>
      <c r="SIW128" s="827"/>
      <c r="SIX128" s="827"/>
      <c r="SIY128" s="827"/>
      <c r="SIZ128" s="827"/>
      <c r="SJA128" s="827"/>
      <c r="SJB128" s="827"/>
      <c r="SJC128" s="827"/>
      <c r="SJD128" s="827"/>
      <c r="SJE128" s="827"/>
      <c r="SJF128" s="827"/>
      <c r="SJG128" s="827"/>
      <c r="SJH128" s="827"/>
      <c r="SJI128" s="827"/>
      <c r="SJJ128" s="827"/>
      <c r="SJK128" s="827"/>
      <c r="SJL128" s="827"/>
      <c r="SJM128" s="827"/>
      <c r="SJN128" s="827"/>
      <c r="SJO128" s="827"/>
      <c r="SJP128" s="827"/>
      <c r="SJQ128" s="827"/>
      <c r="SJR128" s="827"/>
      <c r="SJS128" s="827"/>
      <c r="SJT128" s="827"/>
      <c r="SJU128" s="827"/>
      <c r="SJV128" s="827"/>
      <c r="SJW128" s="827"/>
      <c r="SJX128" s="827"/>
      <c r="SJY128" s="827"/>
      <c r="SJZ128" s="827"/>
      <c r="SKA128" s="827"/>
      <c r="SKB128" s="827"/>
      <c r="SKC128" s="827"/>
      <c r="SKD128" s="827"/>
      <c r="SKE128" s="827"/>
      <c r="SKF128" s="827"/>
      <c r="SKG128" s="827"/>
      <c r="SKH128" s="827"/>
      <c r="SKI128" s="827"/>
      <c r="SKJ128" s="827"/>
      <c r="SKK128" s="827"/>
      <c r="SKL128" s="827"/>
      <c r="SKM128" s="827"/>
      <c r="SKN128" s="827"/>
      <c r="SKO128" s="827"/>
      <c r="SKP128" s="827"/>
      <c r="SKQ128" s="827"/>
      <c r="SKR128" s="827"/>
      <c r="SKS128" s="827"/>
      <c r="SKT128" s="827"/>
      <c r="SKU128" s="827"/>
      <c r="SKV128" s="827"/>
      <c r="SKW128" s="827"/>
      <c r="SKX128" s="827"/>
      <c r="SKY128" s="827"/>
      <c r="SKZ128" s="827"/>
      <c r="SLA128" s="827"/>
      <c r="SLB128" s="827"/>
      <c r="SLC128" s="827"/>
      <c r="SLD128" s="827"/>
      <c r="SLE128" s="827"/>
      <c r="SLF128" s="827"/>
      <c r="SLG128" s="827"/>
      <c r="SLH128" s="827"/>
      <c r="SLI128" s="827"/>
      <c r="SLJ128" s="827"/>
      <c r="SLK128" s="827"/>
      <c r="SLL128" s="827"/>
      <c r="SLM128" s="827"/>
      <c r="SLN128" s="827"/>
      <c r="SLO128" s="827"/>
      <c r="SLP128" s="827"/>
      <c r="SLQ128" s="827"/>
      <c r="SLR128" s="827"/>
      <c r="SLS128" s="827"/>
      <c r="SLT128" s="827"/>
      <c r="SLU128" s="827"/>
      <c r="SLV128" s="827"/>
      <c r="SLW128" s="827"/>
      <c r="SLX128" s="827"/>
      <c r="SLY128" s="827"/>
      <c r="SLZ128" s="827"/>
      <c r="SMA128" s="827"/>
      <c r="SMB128" s="827"/>
      <c r="SMC128" s="827"/>
      <c r="SMD128" s="827"/>
      <c r="SME128" s="827"/>
      <c r="SMF128" s="827"/>
      <c r="SMG128" s="827"/>
      <c r="SMH128" s="827"/>
      <c r="SMI128" s="827"/>
      <c r="SMJ128" s="827"/>
      <c r="SMK128" s="827"/>
      <c r="SML128" s="827"/>
      <c r="SMM128" s="827"/>
      <c r="SMN128" s="827"/>
      <c r="SMO128" s="827"/>
      <c r="SMP128" s="827"/>
      <c r="SMQ128" s="827"/>
      <c r="SMR128" s="827"/>
      <c r="SMS128" s="827"/>
      <c r="SMT128" s="827"/>
      <c r="SMU128" s="827"/>
      <c r="SMV128" s="827"/>
      <c r="SMW128" s="827"/>
      <c r="SMX128" s="827"/>
      <c r="SMY128" s="827"/>
      <c r="SMZ128" s="827"/>
      <c r="SNA128" s="827"/>
      <c r="SNB128" s="827"/>
      <c r="SNC128" s="827"/>
      <c r="SND128" s="827"/>
      <c r="SNE128" s="827"/>
      <c r="SNF128" s="827"/>
      <c r="SNG128" s="827"/>
      <c r="SNH128" s="827"/>
      <c r="SNI128" s="827"/>
      <c r="SNJ128" s="827"/>
      <c r="SNK128" s="827"/>
      <c r="SNL128" s="827"/>
      <c r="SNM128" s="827"/>
      <c r="SNN128" s="827"/>
      <c r="SNO128" s="827"/>
      <c r="SNP128" s="827"/>
      <c r="SNQ128" s="827"/>
      <c r="SNR128" s="827"/>
      <c r="SNS128" s="827"/>
      <c r="SNT128" s="827"/>
      <c r="SNU128" s="827"/>
      <c r="SNV128" s="827"/>
      <c r="SNW128" s="827"/>
      <c r="SNX128" s="827"/>
      <c r="SNY128" s="827"/>
      <c r="SNZ128" s="827"/>
      <c r="SOA128" s="827"/>
      <c r="SOB128" s="827"/>
      <c r="SOC128" s="827"/>
      <c r="SOD128" s="827"/>
      <c r="SOE128" s="827"/>
      <c r="SOF128" s="827"/>
      <c r="SOG128" s="827"/>
      <c r="SOH128" s="827"/>
      <c r="SOI128" s="827"/>
      <c r="SOJ128" s="827"/>
      <c r="SOK128" s="827"/>
      <c r="SOL128" s="827"/>
      <c r="SOM128" s="827"/>
      <c r="SON128" s="827"/>
      <c r="SOO128" s="827"/>
      <c r="SOP128" s="827"/>
      <c r="SOQ128" s="827"/>
      <c r="SOR128" s="827"/>
      <c r="SOS128" s="827"/>
      <c r="SOT128" s="827"/>
      <c r="SOU128" s="827"/>
      <c r="SOV128" s="827"/>
      <c r="SOW128" s="827"/>
      <c r="SOX128" s="827"/>
      <c r="SOY128" s="827"/>
      <c r="SOZ128" s="827"/>
      <c r="SPA128" s="827"/>
      <c r="SPB128" s="827"/>
      <c r="SPC128" s="827"/>
      <c r="SPD128" s="827"/>
      <c r="SPE128" s="827"/>
      <c r="SPF128" s="827"/>
      <c r="SPG128" s="827"/>
      <c r="SPH128" s="827"/>
      <c r="SPI128" s="827"/>
      <c r="SPJ128" s="827"/>
      <c r="SPK128" s="827"/>
      <c r="SPL128" s="827"/>
      <c r="SPM128" s="827"/>
      <c r="SPN128" s="827"/>
      <c r="SPO128" s="827"/>
      <c r="SPP128" s="827"/>
      <c r="SPQ128" s="827"/>
      <c r="SPR128" s="827"/>
      <c r="SPS128" s="827"/>
      <c r="SPT128" s="827"/>
      <c r="SPU128" s="827"/>
      <c r="SPV128" s="827"/>
      <c r="SPW128" s="827"/>
      <c r="SPX128" s="827"/>
      <c r="SPY128" s="827"/>
      <c r="SPZ128" s="827"/>
      <c r="SQA128" s="827"/>
      <c r="SQB128" s="827"/>
      <c r="SQC128" s="827"/>
      <c r="SQD128" s="827"/>
      <c r="SQE128" s="827"/>
      <c r="SQF128" s="827"/>
      <c r="SQG128" s="827"/>
      <c r="SQH128" s="827"/>
      <c r="SQI128" s="827"/>
      <c r="SQJ128" s="827"/>
      <c r="SQK128" s="827"/>
      <c r="SQL128" s="827"/>
      <c r="SQM128" s="827"/>
      <c r="SQN128" s="827"/>
      <c r="SQO128" s="827"/>
      <c r="SQP128" s="827"/>
      <c r="SQQ128" s="827"/>
      <c r="SQR128" s="827"/>
      <c r="SQS128" s="827"/>
      <c r="SQT128" s="827"/>
      <c r="SQU128" s="827"/>
      <c r="SQV128" s="827"/>
      <c r="SQW128" s="827"/>
      <c r="SQX128" s="827"/>
      <c r="SQY128" s="827"/>
      <c r="SQZ128" s="827"/>
      <c r="SRA128" s="827"/>
      <c r="SRB128" s="827"/>
      <c r="SRC128" s="827"/>
      <c r="SRD128" s="827"/>
      <c r="SRE128" s="827"/>
      <c r="SRF128" s="827"/>
      <c r="SRG128" s="827"/>
      <c r="SRH128" s="827"/>
      <c r="SRI128" s="827"/>
      <c r="SRJ128" s="827"/>
      <c r="SRK128" s="827"/>
      <c r="SRL128" s="827"/>
      <c r="SRM128" s="827"/>
      <c r="SRN128" s="827"/>
      <c r="SRO128" s="827"/>
      <c r="SRP128" s="827"/>
      <c r="SRQ128" s="827"/>
      <c r="SRR128" s="827"/>
      <c r="SRS128" s="827"/>
      <c r="SRT128" s="827"/>
      <c r="SRU128" s="827"/>
      <c r="SRV128" s="827"/>
      <c r="SRW128" s="827"/>
      <c r="SRX128" s="827"/>
      <c r="SRY128" s="827"/>
      <c r="SRZ128" s="827"/>
      <c r="SSA128" s="827"/>
      <c r="SSB128" s="827"/>
      <c r="SSC128" s="827"/>
      <c r="SSD128" s="827"/>
      <c r="SSE128" s="827"/>
      <c r="SSF128" s="827"/>
      <c r="SSG128" s="827"/>
      <c r="SSH128" s="827"/>
      <c r="SSI128" s="827"/>
      <c r="SSJ128" s="827"/>
      <c r="SSK128" s="827"/>
      <c r="SSL128" s="827"/>
      <c r="SSM128" s="827"/>
      <c r="SSN128" s="827"/>
      <c r="SSO128" s="827"/>
      <c r="SSP128" s="827"/>
      <c r="SSQ128" s="827"/>
      <c r="SSR128" s="827"/>
      <c r="SSS128" s="827"/>
      <c r="SST128" s="827"/>
      <c r="SSU128" s="827"/>
      <c r="SSV128" s="827"/>
      <c r="SSW128" s="827"/>
      <c r="SSX128" s="827"/>
      <c r="SSY128" s="827"/>
      <c r="SSZ128" s="827"/>
      <c r="STA128" s="827"/>
      <c r="STB128" s="827"/>
      <c r="STC128" s="827"/>
      <c r="STD128" s="827"/>
      <c r="STE128" s="827"/>
      <c r="STF128" s="827"/>
      <c r="STG128" s="827"/>
      <c r="STH128" s="827"/>
      <c r="STI128" s="827"/>
      <c r="STJ128" s="827"/>
      <c r="STK128" s="827"/>
      <c r="STL128" s="827"/>
      <c r="STM128" s="827"/>
      <c r="STN128" s="827"/>
      <c r="STO128" s="827"/>
      <c r="STP128" s="827"/>
      <c r="STQ128" s="827"/>
      <c r="STR128" s="827"/>
      <c r="STS128" s="827"/>
      <c r="STT128" s="827"/>
      <c r="STU128" s="827"/>
      <c r="STV128" s="827"/>
      <c r="STW128" s="827"/>
      <c r="STX128" s="827"/>
      <c r="STY128" s="827"/>
      <c r="STZ128" s="827"/>
      <c r="SUA128" s="827"/>
      <c r="SUB128" s="827"/>
      <c r="SUC128" s="827"/>
      <c r="SUD128" s="827"/>
      <c r="SUE128" s="827"/>
      <c r="SUF128" s="827"/>
      <c r="SUG128" s="827"/>
      <c r="SUH128" s="827"/>
      <c r="SUI128" s="827"/>
      <c r="SUJ128" s="827"/>
      <c r="SUK128" s="827"/>
      <c r="SUL128" s="827"/>
      <c r="SUM128" s="827"/>
      <c r="SUN128" s="827"/>
      <c r="SUO128" s="827"/>
      <c r="SUP128" s="827"/>
      <c r="SUQ128" s="827"/>
      <c r="SUR128" s="827"/>
      <c r="SUS128" s="827"/>
      <c r="SUT128" s="827"/>
      <c r="SUU128" s="827"/>
      <c r="SUV128" s="827"/>
      <c r="SUW128" s="827"/>
      <c r="SUX128" s="827"/>
      <c r="SUY128" s="827"/>
      <c r="SUZ128" s="827"/>
      <c r="SVA128" s="827"/>
      <c r="SVB128" s="827"/>
      <c r="SVC128" s="827"/>
      <c r="SVD128" s="827"/>
      <c r="SVE128" s="827"/>
      <c r="SVF128" s="827"/>
      <c r="SVG128" s="827"/>
      <c r="SVH128" s="827"/>
      <c r="SVI128" s="827"/>
      <c r="SVJ128" s="827"/>
      <c r="SVK128" s="827"/>
      <c r="SVL128" s="827"/>
      <c r="SVM128" s="827"/>
      <c r="SVN128" s="827"/>
      <c r="SVO128" s="827"/>
      <c r="SVP128" s="827"/>
      <c r="SVQ128" s="827"/>
      <c r="SVR128" s="827"/>
      <c r="SVS128" s="827"/>
      <c r="SVT128" s="827"/>
      <c r="SVU128" s="827"/>
      <c r="SVV128" s="827"/>
      <c r="SVW128" s="827"/>
      <c r="SVX128" s="827"/>
      <c r="SVY128" s="827"/>
      <c r="SVZ128" s="827"/>
      <c r="SWA128" s="827"/>
      <c r="SWB128" s="827"/>
      <c r="SWC128" s="827"/>
      <c r="SWD128" s="827"/>
      <c r="SWE128" s="827"/>
      <c r="SWF128" s="827"/>
      <c r="SWG128" s="827"/>
      <c r="SWH128" s="827"/>
      <c r="SWI128" s="827"/>
      <c r="SWJ128" s="827"/>
      <c r="SWK128" s="827"/>
      <c r="SWL128" s="827"/>
      <c r="SWM128" s="827"/>
      <c r="SWN128" s="827"/>
      <c r="SWO128" s="827"/>
      <c r="SWP128" s="827"/>
      <c r="SWQ128" s="827"/>
      <c r="SWR128" s="827"/>
      <c r="SWS128" s="827"/>
      <c r="SWT128" s="827"/>
      <c r="SWU128" s="827"/>
      <c r="SWV128" s="827"/>
      <c r="SWW128" s="827"/>
      <c r="SWX128" s="827"/>
      <c r="SWY128" s="827"/>
      <c r="SWZ128" s="827"/>
      <c r="SXA128" s="827"/>
      <c r="SXB128" s="827"/>
      <c r="SXC128" s="827"/>
      <c r="SXD128" s="827"/>
      <c r="SXE128" s="827"/>
      <c r="SXF128" s="827"/>
      <c r="SXG128" s="827"/>
      <c r="SXH128" s="827"/>
      <c r="SXI128" s="827"/>
      <c r="SXJ128" s="827"/>
      <c r="SXK128" s="827"/>
      <c r="SXL128" s="827"/>
      <c r="SXM128" s="827"/>
      <c r="SXN128" s="827"/>
      <c r="SXO128" s="827"/>
      <c r="SXP128" s="827"/>
      <c r="SXQ128" s="827"/>
      <c r="SXR128" s="827"/>
      <c r="SXS128" s="827"/>
      <c r="SXT128" s="827"/>
      <c r="SXU128" s="827"/>
      <c r="SXV128" s="827"/>
      <c r="SXW128" s="827"/>
      <c r="SXX128" s="827"/>
      <c r="SXY128" s="827"/>
      <c r="SXZ128" s="827"/>
      <c r="SYA128" s="827"/>
      <c r="SYB128" s="827"/>
      <c r="SYC128" s="827"/>
      <c r="SYD128" s="827"/>
      <c r="SYE128" s="827"/>
      <c r="SYF128" s="827"/>
      <c r="SYG128" s="827"/>
      <c r="SYH128" s="827"/>
      <c r="SYI128" s="827"/>
      <c r="SYJ128" s="827"/>
      <c r="SYK128" s="827"/>
      <c r="SYL128" s="827"/>
      <c r="SYM128" s="827"/>
      <c r="SYN128" s="827"/>
      <c r="SYO128" s="827"/>
      <c r="SYP128" s="827"/>
      <c r="SYQ128" s="827"/>
      <c r="SYR128" s="827"/>
      <c r="SYS128" s="827"/>
      <c r="SYT128" s="827"/>
      <c r="SYU128" s="827"/>
      <c r="SYV128" s="827"/>
      <c r="SYW128" s="827"/>
      <c r="SYX128" s="827"/>
      <c r="SYY128" s="827"/>
      <c r="SYZ128" s="827"/>
      <c r="SZA128" s="827"/>
      <c r="SZB128" s="827"/>
      <c r="SZC128" s="827"/>
      <c r="SZD128" s="827"/>
      <c r="SZE128" s="827"/>
      <c r="SZF128" s="827"/>
      <c r="SZG128" s="827"/>
      <c r="SZH128" s="827"/>
      <c r="SZI128" s="827"/>
      <c r="SZJ128" s="827"/>
      <c r="SZK128" s="827"/>
      <c r="SZL128" s="827"/>
      <c r="SZM128" s="827"/>
      <c r="SZN128" s="827"/>
      <c r="SZO128" s="827"/>
      <c r="SZP128" s="827"/>
      <c r="SZQ128" s="827"/>
      <c r="SZR128" s="827"/>
      <c r="SZS128" s="827"/>
      <c r="SZT128" s="827"/>
      <c r="SZU128" s="827"/>
      <c r="SZV128" s="827"/>
      <c r="SZW128" s="827"/>
      <c r="SZX128" s="827"/>
      <c r="SZY128" s="827"/>
      <c r="SZZ128" s="827"/>
      <c r="TAA128" s="827"/>
      <c r="TAB128" s="827"/>
      <c r="TAC128" s="827"/>
      <c r="TAD128" s="827"/>
      <c r="TAE128" s="827"/>
      <c r="TAF128" s="827"/>
      <c r="TAG128" s="827"/>
      <c r="TAH128" s="827"/>
      <c r="TAI128" s="827"/>
      <c r="TAJ128" s="827"/>
      <c r="TAK128" s="827"/>
      <c r="TAL128" s="827"/>
      <c r="TAM128" s="827"/>
      <c r="TAN128" s="827"/>
      <c r="TAO128" s="827"/>
      <c r="TAP128" s="827"/>
      <c r="TAQ128" s="827"/>
      <c r="TAR128" s="827"/>
      <c r="TAS128" s="827"/>
      <c r="TAT128" s="827"/>
      <c r="TAU128" s="827"/>
      <c r="TAV128" s="827"/>
      <c r="TAW128" s="827"/>
      <c r="TAX128" s="827"/>
      <c r="TAY128" s="827"/>
      <c r="TAZ128" s="827"/>
      <c r="TBA128" s="827"/>
      <c r="TBB128" s="827"/>
      <c r="TBC128" s="827"/>
      <c r="TBD128" s="827"/>
      <c r="TBE128" s="827"/>
      <c r="TBF128" s="827"/>
      <c r="TBG128" s="827"/>
      <c r="TBH128" s="827"/>
      <c r="TBI128" s="827"/>
      <c r="TBJ128" s="827"/>
      <c r="TBK128" s="827"/>
      <c r="TBL128" s="827"/>
      <c r="TBM128" s="827"/>
      <c r="TBN128" s="827"/>
      <c r="TBO128" s="827"/>
      <c r="TBP128" s="827"/>
      <c r="TBQ128" s="827"/>
      <c r="TBR128" s="827"/>
      <c r="TBS128" s="827"/>
      <c r="TBT128" s="827"/>
      <c r="TBU128" s="827"/>
      <c r="TBV128" s="827"/>
      <c r="TBW128" s="827"/>
      <c r="TBX128" s="827"/>
      <c r="TBY128" s="827"/>
      <c r="TBZ128" s="827"/>
      <c r="TCA128" s="827"/>
      <c r="TCB128" s="827"/>
      <c r="TCC128" s="827"/>
      <c r="TCD128" s="827"/>
      <c r="TCE128" s="827"/>
      <c r="TCF128" s="827"/>
      <c r="TCG128" s="827"/>
      <c r="TCH128" s="827"/>
      <c r="TCI128" s="827"/>
      <c r="TCJ128" s="827"/>
      <c r="TCK128" s="827"/>
      <c r="TCL128" s="827"/>
      <c r="TCM128" s="827"/>
      <c r="TCN128" s="827"/>
      <c r="TCO128" s="827"/>
      <c r="TCP128" s="827"/>
      <c r="TCQ128" s="827"/>
      <c r="TCR128" s="827"/>
      <c r="TCS128" s="827"/>
      <c r="TCT128" s="827"/>
      <c r="TCU128" s="827"/>
      <c r="TCV128" s="827"/>
      <c r="TCW128" s="827"/>
      <c r="TCX128" s="827"/>
      <c r="TCY128" s="827"/>
      <c r="TCZ128" s="827"/>
      <c r="TDA128" s="827"/>
      <c r="TDB128" s="827"/>
      <c r="TDC128" s="827"/>
      <c r="TDD128" s="827"/>
      <c r="TDE128" s="827"/>
      <c r="TDF128" s="827"/>
      <c r="TDG128" s="827"/>
      <c r="TDH128" s="827"/>
      <c r="TDI128" s="827"/>
      <c r="TDJ128" s="827"/>
      <c r="TDK128" s="827"/>
      <c r="TDL128" s="827"/>
      <c r="TDM128" s="827"/>
      <c r="TDN128" s="827"/>
      <c r="TDO128" s="827"/>
      <c r="TDP128" s="827"/>
      <c r="TDQ128" s="827"/>
      <c r="TDR128" s="827"/>
      <c r="TDS128" s="827"/>
      <c r="TDT128" s="827"/>
      <c r="TDU128" s="827"/>
      <c r="TDV128" s="827"/>
      <c r="TDW128" s="827"/>
      <c r="TDX128" s="827"/>
      <c r="TDY128" s="827"/>
      <c r="TDZ128" s="827"/>
      <c r="TEA128" s="827"/>
      <c r="TEB128" s="827"/>
      <c r="TEC128" s="827"/>
      <c r="TED128" s="827"/>
      <c r="TEE128" s="827"/>
      <c r="TEF128" s="827"/>
      <c r="TEG128" s="827"/>
      <c r="TEH128" s="827"/>
      <c r="TEI128" s="827"/>
      <c r="TEJ128" s="827"/>
      <c r="TEK128" s="827"/>
      <c r="TEL128" s="827"/>
      <c r="TEM128" s="827"/>
      <c r="TEN128" s="827"/>
      <c r="TEO128" s="827"/>
      <c r="TEP128" s="827"/>
      <c r="TEQ128" s="827"/>
      <c r="TER128" s="827"/>
      <c r="TES128" s="827"/>
      <c r="TET128" s="827"/>
      <c r="TEU128" s="827"/>
      <c r="TEV128" s="827"/>
      <c r="TEW128" s="827"/>
      <c r="TEX128" s="827"/>
      <c r="TEY128" s="827"/>
      <c r="TEZ128" s="827"/>
      <c r="TFA128" s="827"/>
      <c r="TFB128" s="827"/>
      <c r="TFC128" s="827"/>
      <c r="TFD128" s="827"/>
      <c r="TFE128" s="827"/>
      <c r="TFF128" s="827"/>
      <c r="TFG128" s="827"/>
      <c r="TFH128" s="827"/>
      <c r="TFI128" s="827"/>
      <c r="TFJ128" s="827"/>
      <c r="TFK128" s="827"/>
      <c r="TFL128" s="827"/>
      <c r="TFM128" s="827"/>
      <c r="TFN128" s="827"/>
      <c r="TFO128" s="827"/>
      <c r="TFP128" s="827"/>
      <c r="TFQ128" s="827"/>
      <c r="TFR128" s="827"/>
      <c r="TFS128" s="827"/>
      <c r="TFT128" s="827"/>
      <c r="TFU128" s="827"/>
      <c r="TFV128" s="827"/>
      <c r="TFW128" s="827"/>
      <c r="TFX128" s="827"/>
      <c r="TFY128" s="827"/>
      <c r="TFZ128" s="827"/>
      <c r="TGA128" s="827"/>
      <c r="TGB128" s="827"/>
      <c r="TGC128" s="827"/>
      <c r="TGD128" s="827"/>
      <c r="TGE128" s="827"/>
      <c r="TGF128" s="827"/>
      <c r="TGG128" s="827"/>
      <c r="TGH128" s="827"/>
      <c r="TGI128" s="827"/>
      <c r="TGJ128" s="827"/>
      <c r="TGK128" s="827"/>
      <c r="TGL128" s="827"/>
      <c r="TGM128" s="827"/>
      <c r="TGN128" s="827"/>
      <c r="TGO128" s="827"/>
      <c r="TGP128" s="827"/>
      <c r="TGQ128" s="827"/>
      <c r="TGR128" s="827"/>
      <c r="TGS128" s="827"/>
      <c r="TGT128" s="827"/>
      <c r="TGU128" s="827"/>
      <c r="TGV128" s="827"/>
      <c r="TGW128" s="827"/>
      <c r="TGX128" s="827"/>
      <c r="TGY128" s="827"/>
      <c r="TGZ128" s="827"/>
      <c r="THA128" s="827"/>
      <c r="THB128" s="827"/>
      <c r="THC128" s="827"/>
      <c r="THD128" s="827"/>
      <c r="THE128" s="827"/>
      <c r="THF128" s="827"/>
      <c r="THG128" s="827"/>
      <c r="THH128" s="827"/>
      <c r="THI128" s="827"/>
      <c r="THJ128" s="827"/>
      <c r="THK128" s="827"/>
      <c r="THL128" s="827"/>
      <c r="THM128" s="827"/>
      <c r="THN128" s="827"/>
      <c r="THO128" s="827"/>
      <c r="THP128" s="827"/>
      <c r="THQ128" s="827"/>
      <c r="THR128" s="827"/>
      <c r="THS128" s="827"/>
      <c r="THT128" s="827"/>
      <c r="THU128" s="827"/>
      <c r="THV128" s="827"/>
      <c r="THW128" s="827"/>
      <c r="THX128" s="827"/>
      <c r="THY128" s="827"/>
      <c r="THZ128" s="827"/>
      <c r="TIA128" s="827"/>
      <c r="TIB128" s="827"/>
      <c r="TIC128" s="827"/>
      <c r="TID128" s="827"/>
      <c r="TIE128" s="827"/>
      <c r="TIF128" s="827"/>
      <c r="TIG128" s="827"/>
      <c r="TIH128" s="827"/>
      <c r="TII128" s="827"/>
      <c r="TIJ128" s="827"/>
      <c r="TIK128" s="827"/>
      <c r="TIL128" s="827"/>
      <c r="TIM128" s="827"/>
      <c r="TIN128" s="827"/>
      <c r="TIO128" s="827"/>
      <c r="TIP128" s="827"/>
      <c r="TIQ128" s="827"/>
      <c r="TIR128" s="827"/>
      <c r="TIS128" s="827"/>
      <c r="TIT128" s="827"/>
      <c r="TIU128" s="827"/>
      <c r="TIV128" s="827"/>
      <c r="TIW128" s="827"/>
      <c r="TIX128" s="827"/>
      <c r="TIY128" s="827"/>
      <c r="TIZ128" s="827"/>
      <c r="TJA128" s="827"/>
      <c r="TJB128" s="827"/>
      <c r="TJC128" s="827"/>
      <c r="TJD128" s="827"/>
      <c r="TJE128" s="827"/>
      <c r="TJF128" s="827"/>
      <c r="TJG128" s="827"/>
      <c r="TJH128" s="827"/>
      <c r="TJI128" s="827"/>
      <c r="TJJ128" s="827"/>
      <c r="TJK128" s="827"/>
      <c r="TJL128" s="827"/>
      <c r="TJM128" s="827"/>
      <c r="TJN128" s="827"/>
      <c r="TJO128" s="827"/>
      <c r="TJP128" s="827"/>
      <c r="TJQ128" s="827"/>
      <c r="TJR128" s="827"/>
      <c r="TJS128" s="827"/>
      <c r="TJT128" s="827"/>
      <c r="TJU128" s="827"/>
      <c r="TJV128" s="827"/>
      <c r="TJW128" s="827"/>
      <c r="TJX128" s="827"/>
      <c r="TJY128" s="827"/>
      <c r="TJZ128" s="827"/>
      <c r="TKA128" s="827"/>
      <c r="TKB128" s="827"/>
      <c r="TKC128" s="827"/>
      <c r="TKD128" s="827"/>
      <c r="TKE128" s="827"/>
      <c r="TKF128" s="827"/>
      <c r="TKG128" s="827"/>
      <c r="TKH128" s="827"/>
      <c r="TKI128" s="827"/>
      <c r="TKJ128" s="827"/>
      <c r="TKK128" s="827"/>
      <c r="TKL128" s="827"/>
      <c r="TKM128" s="827"/>
      <c r="TKN128" s="827"/>
      <c r="TKO128" s="827"/>
      <c r="TKP128" s="827"/>
      <c r="TKQ128" s="827"/>
      <c r="TKR128" s="827"/>
      <c r="TKS128" s="827"/>
      <c r="TKT128" s="827"/>
      <c r="TKU128" s="827"/>
      <c r="TKV128" s="827"/>
      <c r="TKW128" s="827"/>
      <c r="TKX128" s="827"/>
      <c r="TKY128" s="827"/>
      <c r="TKZ128" s="827"/>
      <c r="TLA128" s="827"/>
      <c r="TLB128" s="827"/>
      <c r="TLC128" s="827"/>
      <c r="TLD128" s="827"/>
      <c r="TLE128" s="827"/>
      <c r="TLF128" s="827"/>
      <c r="TLG128" s="827"/>
      <c r="TLH128" s="827"/>
      <c r="TLI128" s="827"/>
      <c r="TLJ128" s="827"/>
      <c r="TLK128" s="827"/>
      <c r="TLL128" s="827"/>
      <c r="TLM128" s="827"/>
      <c r="TLN128" s="827"/>
      <c r="TLO128" s="827"/>
      <c r="TLP128" s="827"/>
      <c r="TLQ128" s="827"/>
      <c r="TLR128" s="827"/>
      <c r="TLS128" s="827"/>
      <c r="TLT128" s="827"/>
      <c r="TLU128" s="827"/>
      <c r="TLV128" s="827"/>
      <c r="TLW128" s="827"/>
      <c r="TLX128" s="827"/>
      <c r="TLY128" s="827"/>
      <c r="TLZ128" s="827"/>
      <c r="TMA128" s="827"/>
      <c r="TMB128" s="827"/>
      <c r="TMC128" s="827"/>
      <c r="TMD128" s="827"/>
      <c r="TME128" s="827"/>
      <c r="TMF128" s="827"/>
      <c r="TMG128" s="827"/>
      <c r="TMH128" s="827"/>
      <c r="TMI128" s="827"/>
      <c r="TMJ128" s="827"/>
      <c r="TMK128" s="827"/>
      <c r="TML128" s="827"/>
      <c r="TMM128" s="827"/>
      <c r="TMN128" s="827"/>
      <c r="TMO128" s="827"/>
      <c r="TMP128" s="827"/>
      <c r="TMQ128" s="827"/>
      <c r="TMR128" s="827"/>
      <c r="TMS128" s="827"/>
      <c r="TMT128" s="827"/>
      <c r="TMU128" s="827"/>
      <c r="TMV128" s="827"/>
      <c r="TMW128" s="827"/>
      <c r="TMX128" s="827"/>
      <c r="TMY128" s="827"/>
      <c r="TMZ128" s="827"/>
      <c r="TNA128" s="827"/>
      <c r="TNB128" s="827"/>
      <c r="TNC128" s="827"/>
      <c r="TND128" s="827"/>
      <c r="TNE128" s="827"/>
      <c r="TNF128" s="827"/>
      <c r="TNG128" s="827"/>
      <c r="TNH128" s="827"/>
      <c r="TNI128" s="827"/>
      <c r="TNJ128" s="827"/>
      <c r="TNK128" s="827"/>
      <c r="TNL128" s="827"/>
      <c r="TNM128" s="827"/>
      <c r="TNN128" s="827"/>
      <c r="TNO128" s="827"/>
      <c r="TNP128" s="827"/>
      <c r="TNQ128" s="827"/>
      <c r="TNR128" s="827"/>
      <c r="TNS128" s="827"/>
      <c r="TNT128" s="827"/>
      <c r="TNU128" s="827"/>
      <c r="TNV128" s="827"/>
      <c r="TNW128" s="827"/>
      <c r="TNX128" s="827"/>
      <c r="TNY128" s="827"/>
      <c r="TNZ128" s="827"/>
      <c r="TOA128" s="827"/>
      <c r="TOB128" s="827"/>
      <c r="TOC128" s="827"/>
      <c r="TOD128" s="827"/>
      <c r="TOE128" s="827"/>
      <c r="TOF128" s="827"/>
      <c r="TOG128" s="827"/>
      <c r="TOH128" s="827"/>
      <c r="TOI128" s="827"/>
      <c r="TOJ128" s="827"/>
      <c r="TOK128" s="827"/>
      <c r="TOL128" s="827"/>
      <c r="TOM128" s="827"/>
      <c r="TON128" s="827"/>
      <c r="TOO128" s="827"/>
      <c r="TOP128" s="827"/>
      <c r="TOQ128" s="827"/>
      <c r="TOR128" s="827"/>
      <c r="TOS128" s="827"/>
      <c r="TOT128" s="827"/>
      <c r="TOU128" s="827"/>
      <c r="TOV128" s="827"/>
      <c r="TOW128" s="827"/>
      <c r="TOX128" s="827"/>
      <c r="TOY128" s="827"/>
      <c r="TOZ128" s="827"/>
      <c r="TPA128" s="827"/>
      <c r="TPB128" s="827"/>
      <c r="TPC128" s="827"/>
      <c r="TPD128" s="827"/>
      <c r="TPE128" s="827"/>
      <c r="TPF128" s="827"/>
      <c r="TPG128" s="827"/>
      <c r="TPH128" s="827"/>
      <c r="TPI128" s="827"/>
      <c r="TPJ128" s="827"/>
      <c r="TPK128" s="827"/>
      <c r="TPL128" s="827"/>
      <c r="TPM128" s="827"/>
      <c r="TPN128" s="827"/>
      <c r="TPO128" s="827"/>
      <c r="TPP128" s="827"/>
      <c r="TPQ128" s="827"/>
      <c r="TPR128" s="827"/>
      <c r="TPS128" s="827"/>
      <c r="TPT128" s="827"/>
      <c r="TPU128" s="827"/>
      <c r="TPV128" s="827"/>
      <c r="TPW128" s="827"/>
      <c r="TPX128" s="827"/>
      <c r="TPY128" s="827"/>
      <c r="TPZ128" s="827"/>
      <c r="TQA128" s="827"/>
      <c r="TQB128" s="827"/>
      <c r="TQC128" s="827"/>
      <c r="TQD128" s="827"/>
      <c r="TQE128" s="827"/>
      <c r="TQF128" s="827"/>
      <c r="TQG128" s="827"/>
      <c r="TQH128" s="827"/>
      <c r="TQI128" s="827"/>
      <c r="TQJ128" s="827"/>
      <c r="TQK128" s="827"/>
      <c r="TQL128" s="827"/>
      <c r="TQM128" s="827"/>
      <c r="TQN128" s="827"/>
      <c r="TQO128" s="827"/>
      <c r="TQP128" s="827"/>
      <c r="TQQ128" s="827"/>
      <c r="TQR128" s="827"/>
      <c r="TQS128" s="827"/>
      <c r="TQT128" s="827"/>
      <c r="TQU128" s="827"/>
      <c r="TQV128" s="827"/>
      <c r="TQW128" s="827"/>
      <c r="TQX128" s="827"/>
      <c r="TQY128" s="827"/>
      <c r="TQZ128" s="827"/>
      <c r="TRA128" s="827"/>
      <c r="TRB128" s="827"/>
      <c r="TRC128" s="827"/>
      <c r="TRD128" s="827"/>
      <c r="TRE128" s="827"/>
      <c r="TRF128" s="827"/>
      <c r="TRG128" s="827"/>
      <c r="TRH128" s="827"/>
      <c r="TRI128" s="827"/>
      <c r="TRJ128" s="827"/>
      <c r="TRK128" s="827"/>
      <c r="TRL128" s="827"/>
      <c r="TRM128" s="827"/>
      <c r="TRN128" s="827"/>
      <c r="TRO128" s="827"/>
      <c r="TRP128" s="827"/>
      <c r="TRQ128" s="827"/>
      <c r="TRR128" s="827"/>
      <c r="TRS128" s="827"/>
      <c r="TRT128" s="827"/>
      <c r="TRU128" s="827"/>
      <c r="TRV128" s="827"/>
      <c r="TRW128" s="827"/>
      <c r="TRX128" s="827"/>
      <c r="TRY128" s="827"/>
      <c r="TRZ128" s="827"/>
      <c r="TSA128" s="827"/>
      <c r="TSB128" s="827"/>
      <c r="TSC128" s="827"/>
      <c r="TSD128" s="827"/>
      <c r="TSE128" s="827"/>
      <c r="TSF128" s="827"/>
      <c r="TSG128" s="827"/>
      <c r="TSH128" s="827"/>
      <c r="TSI128" s="827"/>
      <c r="TSJ128" s="827"/>
      <c r="TSK128" s="827"/>
      <c r="TSL128" s="827"/>
      <c r="TSM128" s="827"/>
      <c r="TSN128" s="827"/>
      <c r="TSO128" s="827"/>
      <c r="TSP128" s="827"/>
      <c r="TSQ128" s="827"/>
      <c r="TSR128" s="827"/>
      <c r="TSS128" s="827"/>
      <c r="TST128" s="827"/>
      <c r="TSU128" s="827"/>
      <c r="TSV128" s="827"/>
      <c r="TSW128" s="827"/>
      <c r="TSX128" s="827"/>
      <c r="TSY128" s="827"/>
      <c r="TSZ128" s="827"/>
      <c r="TTA128" s="827"/>
      <c r="TTB128" s="827"/>
      <c r="TTC128" s="827"/>
      <c r="TTD128" s="827"/>
      <c r="TTE128" s="827"/>
      <c r="TTF128" s="827"/>
      <c r="TTG128" s="827"/>
      <c r="TTH128" s="827"/>
      <c r="TTI128" s="827"/>
      <c r="TTJ128" s="827"/>
      <c r="TTK128" s="827"/>
      <c r="TTL128" s="827"/>
      <c r="TTM128" s="827"/>
      <c r="TTN128" s="827"/>
      <c r="TTO128" s="827"/>
      <c r="TTP128" s="827"/>
      <c r="TTQ128" s="827"/>
      <c r="TTR128" s="827"/>
      <c r="TTS128" s="827"/>
      <c r="TTT128" s="827"/>
      <c r="TTU128" s="827"/>
      <c r="TTV128" s="827"/>
      <c r="TTW128" s="827"/>
      <c r="TTX128" s="827"/>
      <c r="TTY128" s="827"/>
      <c r="TTZ128" s="827"/>
      <c r="TUA128" s="827"/>
      <c r="TUB128" s="827"/>
      <c r="TUC128" s="827"/>
      <c r="TUD128" s="827"/>
      <c r="TUE128" s="827"/>
      <c r="TUF128" s="827"/>
      <c r="TUG128" s="827"/>
      <c r="TUH128" s="827"/>
      <c r="TUI128" s="827"/>
      <c r="TUJ128" s="827"/>
      <c r="TUK128" s="827"/>
      <c r="TUL128" s="827"/>
      <c r="TUM128" s="827"/>
      <c r="TUN128" s="827"/>
      <c r="TUO128" s="827"/>
      <c r="TUP128" s="827"/>
      <c r="TUQ128" s="827"/>
      <c r="TUR128" s="827"/>
      <c r="TUS128" s="827"/>
      <c r="TUT128" s="827"/>
      <c r="TUU128" s="827"/>
      <c r="TUV128" s="827"/>
      <c r="TUW128" s="827"/>
      <c r="TUX128" s="827"/>
      <c r="TUY128" s="827"/>
      <c r="TUZ128" s="827"/>
      <c r="TVA128" s="827"/>
      <c r="TVB128" s="827"/>
      <c r="TVC128" s="827"/>
      <c r="TVD128" s="827"/>
      <c r="TVE128" s="827"/>
      <c r="TVF128" s="827"/>
      <c r="TVG128" s="827"/>
      <c r="TVH128" s="827"/>
      <c r="TVI128" s="827"/>
      <c r="TVJ128" s="827"/>
      <c r="TVK128" s="827"/>
      <c r="TVL128" s="827"/>
      <c r="TVM128" s="827"/>
      <c r="TVN128" s="827"/>
      <c r="TVO128" s="827"/>
      <c r="TVP128" s="827"/>
      <c r="TVQ128" s="827"/>
      <c r="TVR128" s="827"/>
      <c r="TVS128" s="827"/>
      <c r="TVT128" s="827"/>
      <c r="TVU128" s="827"/>
      <c r="TVV128" s="827"/>
      <c r="TVW128" s="827"/>
      <c r="TVX128" s="827"/>
      <c r="TVY128" s="827"/>
      <c r="TVZ128" s="827"/>
      <c r="TWA128" s="827"/>
      <c r="TWB128" s="827"/>
      <c r="TWC128" s="827"/>
      <c r="TWD128" s="827"/>
      <c r="TWE128" s="827"/>
      <c r="TWF128" s="827"/>
      <c r="TWG128" s="827"/>
      <c r="TWH128" s="827"/>
      <c r="TWI128" s="827"/>
      <c r="TWJ128" s="827"/>
      <c r="TWK128" s="827"/>
      <c r="TWL128" s="827"/>
      <c r="TWM128" s="827"/>
      <c r="TWN128" s="827"/>
      <c r="TWO128" s="827"/>
      <c r="TWP128" s="827"/>
      <c r="TWQ128" s="827"/>
      <c r="TWR128" s="827"/>
      <c r="TWS128" s="827"/>
      <c r="TWT128" s="827"/>
      <c r="TWU128" s="827"/>
      <c r="TWV128" s="827"/>
      <c r="TWW128" s="827"/>
      <c r="TWX128" s="827"/>
      <c r="TWY128" s="827"/>
      <c r="TWZ128" s="827"/>
      <c r="TXA128" s="827"/>
      <c r="TXB128" s="827"/>
      <c r="TXC128" s="827"/>
      <c r="TXD128" s="827"/>
      <c r="TXE128" s="827"/>
      <c r="TXF128" s="827"/>
      <c r="TXG128" s="827"/>
      <c r="TXH128" s="827"/>
      <c r="TXI128" s="827"/>
      <c r="TXJ128" s="827"/>
      <c r="TXK128" s="827"/>
      <c r="TXL128" s="827"/>
      <c r="TXM128" s="827"/>
      <c r="TXN128" s="827"/>
      <c r="TXO128" s="827"/>
      <c r="TXP128" s="827"/>
      <c r="TXQ128" s="827"/>
      <c r="TXR128" s="827"/>
      <c r="TXS128" s="827"/>
      <c r="TXT128" s="827"/>
      <c r="TXU128" s="827"/>
      <c r="TXV128" s="827"/>
      <c r="TXW128" s="827"/>
      <c r="TXX128" s="827"/>
      <c r="TXY128" s="827"/>
      <c r="TXZ128" s="827"/>
      <c r="TYA128" s="827"/>
      <c r="TYB128" s="827"/>
      <c r="TYC128" s="827"/>
      <c r="TYD128" s="827"/>
      <c r="TYE128" s="827"/>
      <c r="TYF128" s="827"/>
      <c r="TYG128" s="827"/>
      <c r="TYH128" s="827"/>
      <c r="TYI128" s="827"/>
      <c r="TYJ128" s="827"/>
      <c r="TYK128" s="827"/>
      <c r="TYL128" s="827"/>
      <c r="TYM128" s="827"/>
      <c r="TYN128" s="827"/>
      <c r="TYO128" s="827"/>
      <c r="TYP128" s="827"/>
      <c r="TYQ128" s="827"/>
      <c r="TYR128" s="827"/>
      <c r="TYS128" s="827"/>
      <c r="TYT128" s="827"/>
      <c r="TYU128" s="827"/>
      <c r="TYV128" s="827"/>
      <c r="TYW128" s="827"/>
      <c r="TYX128" s="827"/>
      <c r="TYY128" s="827"/>
      <c r="TYZ128" s="827"/>
      <c r="TZA128" s="827"/>
      <c r="TZB128" s="827"/>
      <c r="TZC128" s="827"/>
      <c r="TZD128" s="827"/>
      <c r="TZE128" s="827"/>
      <c r="TZF128" s="827"/>
      <c r="TZG128" s="827"/>
      <c r="TZH128" s="827"/>
      <c r="TZI128" s="827"/>
      <c r="TZJ128" s="827"/>
      <c r="TZK128" s="827"/>
      <c r="TZL128" s="827"/>
      <c r="TZM128" s="827"/>
      <c r="TZN128" s="827"/>
      <c r="TZO128" s="827"/>
      <c r="TZP128" s="827"/>
      <c r="TZQ128" s="827"/>
      <c r="TZR128" s="827"/>
      <c r="TZS128" s="827"/>
      <c r="TZT128" s="827"/>
      <c r="TZU128" s="827"/>
      <c r="TZV128" s="827"/>
      <c r="TZW128" s="827"/>
      <c r="TZX128" s="827"/>
      <c r="TZY128" s="827"/>
      <c r="TZZ128" s="827"/>
      <c r="UAA128" s="827"/>
      <c r="UAB128" s="827"/>
      <c r="UAC128" s="827"/>
      <c r="UAD128" s="827"/>
      <c r="UAE128" s="827"/>
      <c r="UAF128" s="827"/>
      <c r="UAG128" s="827"/>
      <c r="UAH128" s="827"/>
      <c r="UAI128" s="827"/>
      <c r="UAJ128" s="827"/>
      <c r="UAK128" s="827"/>
      <c r="UAL128" s="827"/>
      <c r="UAM128" s="827"/>
      <c r="UAN128" s="827"/>
      <c r="UAO128" s="827"/>
      <c r="UAP128" s="827"/>
      <c r="UAQ128" s="827"/>
      <c r="UAR128" s="827"/>
      <c r="UAS128" s="827"/>
      <c r="UAT128" s="827"/>
      <c r="UAU128" s="827"/>
      <c r="UAV128" s="827"/>
      <c r="UAW128" s="827"/>
      <c r="UAX128" s="827"/>
      <c r="UAY128" s="827"/>
      <c r="UAZ128" s="827"/>
      <c r="UBA128" s="827"/>
      <c r="UBB128" s="827"/>
      <c r="UBC128" s="827"/>
      <c r="UBD128" s="827"/>
      <c r="UBE128" s="827"/>
      <c r="UBF128" s="827"/>
      <c r="UBG128" s="827"/>
      <c r="UBH128" s="827"/>
      <c r="UBI128" s="827"/>
      <c r="UBJ128" s="827"/>
      <c r="UBK128" s="827"/>
      <c r="UBL128" s="827"/>
      <c r="UBM128" s="827"/>
      <c r="UBN128" s="827"/>
      <c r="UBO128" s="827"/>
      <c r="UBP128" s="827"/>
      <c r="UBQ128" s="827"/>
      <c r="UBR128" s="827"/>
      <c r="UBS128" s="827"/>
      <c r="UBT128" s="827"/>
      <c r="UBU128" s="827"/>
      <c r="UBV128" s="827"/>
      <c r="UBW128" s="827"/>
      <c r="UBX128" s="827"/>
      <c r="UBY128" s="827"/>
      <c r="UBZ128" s="827"/>
      <c r="UCA128" s="827"/>
      <c r="UCB128" s="827"/>
      <c r="UCC128" s="827"/>
      <c r="UCD128" s="827"/>
      <c r="UCE128" s="827"/>
      <c r="UCF128" s="827"/>
      <c r="UCG128" s="827"/>
      <c r="UCH128" s="827"/>
      <c r="UCI128" s="827"/>
      <c r="UCJ128" s="827"/>
      <c r="UCK128" s="827"/>
      <c r="UCL128" s="827"/>
      <c r="UCM128" s="827"/>
      <c r="UCN128" s="827"/>
      <c r="UCO128" s="827"/>
      <c r="UCP128" s="827"/>
      <c r="UCQ128" s="827"/>
      <c r="UCR128" s="827"/>
      <c r="UCS128" s="827"/>
      <c r="UCT128" s="827"/>
      <c r="UCU128" s="827"/>
      <c r="UCV128" s="827"/>
      <c r="UCW128" s="827"/>
      <c r="UCX128" s="827"/>
      <c r="UCY128" s="827"/>
      <c r="UCZ128" s="827"/>
      <c r="UDA128" s="827"/>
      <c r="UDB128" s="827"/>
      <c r="UDC128" s="827"/>
      <c r="UDD128" s="827"/>
      <c r="UDE128" s="827"/>
      <c r="UDF128" s="827"/>
      <c r="UDG128" s="827"/>
      <c r="UDH128" s="827"/>
      <c r="UDI128" s="827"/>
      <c r="UDJ128" s="827"/>
      <c r="UDK128" s="827"/>
      <c r="UDL128" s="827"/>
      <c r="UDM128" s="827"/>
      <c r="UDN128" s="827"/>
      <c r="UDO128" s="827"/>
      <c r="UDP128" s="827"/>
      <c r="UDQ128" s="827"/>
      <c r="UDR128" s="827"/>
      <c r="UDS128" s="827"/>
      <c r="UDT128" s="827"/>
      <c r="UDU128" s="827"/>
      <c r="UDV128" s="827"/>
      <c r="UDW128" s="827"/>
      <c r="UDX128" s="827"/>
      <c r="UDY128" s="827"/>
      <c r="UDZ128" s="827"/>
      <c r="UEA128" s="827"/>
      <c r="UEB128" s="827"/>
      <c r="UEC128" s="827"/>
      <c r="UED128" s="827"/>
      <c r="UEE128" s="827"/>
      <c r="UEF128" s="827"/>
      <c r="UEG128" s="827"/>
      <c r="UEH128" s="827"/>
      <c r="UEI128" s="827"/>
      <c r="UEJ128" s="827"/>
      <c r="UEK128" s="827"/>
      <c r="UEL128" s="827"/>
      <c r="UEM128" s="827"/>
      <c r="UEN128" s="827"/>
      <c r="UEO128" s="827"/>
      <c r="UEP128" s="827"/>
      <c r="UEQ128" s="827"/>
      <c r="UER128" s="827"/>
      <c r="UES128" s="827"/>
      <c r="UET128" s="827"/>
      <c r="UEU128" s="827"/>
      <c r="UEV128" s="827"/>
      <c r="UEW128" s="827"/>
      <c r="UEX128" s="827"/>
      <c r="UEY128" s="827"/>
      <c r="UEZ128" s="827"/>
      <c r="UFA128" s="827"/>
      <c r="UFB128" s="827"/>
      <c r="UFC128" s="827"/>
      <c r="UFD128" s="827"/>
      <c r="UFE128" s="827"/>
      <c r="UFF128" s="827"/>
      <c r="UFG128" s="827"/>
      <c r="UFH128" s="827"/>
      <c r="UFI128" s="827"/>
      <c r="UFJ128" s="827"/>
      <c r="UFK128" s="827"/>
      <c r="UFL128" s="827"/>
      <c r="UFM128" s="827"/>
      <c r="UFN128" s="827"/>
      <c r="UFO128" s="827"/>
      <c r="UFP128" s="827"/>
      <c r="UFQ128" s="827"/>
      <c r="UFR128" s="827"/>
      <c r="UFS128" s="827"/>
      <c r="UFT128" s="827"/>
      <c r="UFU128" s="827"/>
      <c r="UFV128" s="827"/>
      <c r="UFW128" s="827"/>
      <c r="UFX128" s="827"/>
      <c r="UFY128" s="827"/>
      <c r="UFZ128" s="827"/>
      <c r="UGA128" s="827"/>
      <c r="UGB128" s="827"/>
      <c r="UGC128" s="827"/>
      <c r="UGD128" s="827"/>
      <c r="UGE128" s="827"/>
      <c r="UGF128" s="827"/>
      <c r="UGG128" s="827"/>
      <c r="UGH128" s="827"/>
      <c r="UGI128" s="827"/>
      <c r="UGJ128" s="827"/>
      <c r="UGK128" s="827"/>
      <c r="UGL128" s="827"/>
      <c r="UGM128" s="827"/>
      <c r="UGN128" s="827"/>
      <c r="UGO128" s="827"/>
      <c r="UGP128" s="827"/>
      <c r="UGQ128" s="827"/>
      <c r="UGR128" s="827"/>
      <c r="UGS128" s="827"/>
      <c r="UGT128" s="827"/>
      <c r="UGU128" s="827"/>
      <c r="UGV128" s="827"/>
      <c r="UGW128" s="827"/>
      <c r="UGX128" s="827"/>
      <c r="UGY128" s="827"/>
      <c r="UGZ128" s="827"/>
      <c r="UHA128" s="827"/>
      <c r="UHB128" s="827"/>
      <c r="UHC128" s="827"/>
      <c r="UHD128" s="827"/>
      <c r="UHE128" s="827"/>
      <c r="UHF128" s="827"/>
      <c r="UHG128" s="827"/>
      <c r="UHH128" s="827"/>
      <c r="UHI128" s="827"/>
      <c r="UHJ128" s="827"/>
      <c r="UHK128" s="827"/>
      <c r="UHL128" s="827"/>
      <c r="UHM128" s="827"/>
      <c r="UHN128" s="827"/>
      <c r="UHO128" s="827"/>
      <c r="UHP128" s="827"/>
      <c r="UHQ128" s="827"/>
      <c r="UHR128" s="827"/>
      <c r="UHS128" s="827"/>
      <c r="UHT128" s="827"/>
      <c r="UHU128" s="827"/>
      <c r="UHV128" s="827"/>
      <c r="UHW128" s="827"/>
      <c r="UHX128" s="827"/>
      <c r="UHY128" s="827"/>
      <c r="UHZ128" s="827"/>
      <c r="UIA128" s="827"/>
      <c r="UIB128" s="827"/>
      <c r="UIC128" s="827"/>
      <c r="UID128" s="827"/>
      <c r="UIE128" s="827"/>
      <c r="UIF128" s="827"/>
      <c r="UIG128" s="827"/>
      <c r="UIH128" s="827"/>
      <c r="UII128" s="827"/>
      <c r="UIJ128" s="827"/>
      <c r="UIK128" s="827"/>
      <c r="UIL128" s="827"/>
      <c r="UIM128" s="827"/>
      <c r="UIN128" s="827"/>
      <c r="UIO128" s="827"/>
      <c r="UIP128" s="827"/>
      <c r="UIQ128" s="827"/>
      <c r="UIR128" s="827"/>
      <c r="UIS128" s="827"/>
      <c r="UIT128" s="827"/>
      <c r="UIU128" s="827"/>
      <c r="UIV128" s="827"/>
      <c r="UIW128" s="827"/>
      <c r="UIX128" s="827"/>
      <c r="UIY128" s="827"/>
      <c r="UIZ128" s="827"/>
      <c r="UJA128" s="827"/>
      <c r="UJB128" s="827"/>
      <c r="UJC128" s="827"/>
      <c r="UJD128" s="827"/>
      <c r="UJE128" s="827"/>
      <c r="UJF128" s="827"/>
      <c r="UJG128" s="827"/>
      <c r="UJH128" s="827"/>
      <c r="UJI128" s="827"/>
      <c r="UJJ128" s="827"/>
      <c r="UJK128" s="827"/>
      <c r="UJL128" s="827"/>
      <c r="UJM128" s="827"/>
      <c r="UJN128" s="827"/>
      <c r="UJO128" s="827"/>
      <c r="UJP128" s="827"/>
      <c r="UJQ128" s="827"/>
      <c r="UJR128" s="827"/>
      <c r="UJS128" s="827"/>
      <c r="UJT128" s="827"/>
      <c r="UJU128" s="827"/>
      <c r="UJV128" s="827"/>
      <c r="UJW128" s="827"/>
      <c r="UJX128" s="827"/>
      <c r="UJY128" s="827"/>
      <c r="UJZ128" s="827"/>
      <c r="UKA128" s="827"/>
      <c r="UKB128" s="827"/>
      <c r="UKC128" s="827"/>
      <c r="UKD128" s="827"/>
      <c r="UKE128" s="827"/>
      <c r="UKF128" s="827"/>
      <c r="UKG128" s="827"/>
      <c r="UKH128" s="827"/>
      <c r="UKI128" s="827"/>
      <c r="UKJ128" s="827"/>
      <c r="UKK128" s="827"/>
      <c r="UKL128" s="827"/>
      <c r="UKM128" s="827"/>
      <c r="UKN128" s="827"/>
      <c r="UKO128" s="827"/>
      <c r="UKP128" s="827"/>
      <c r="UKQ128" s="827"/>
      <c r="UKR128" s="827"/>
      <c r="UKS128" s="827"/>
      <c r="UKT128" s="827"/>
      <c r="UKU128" s="827"/>
      <c r="UKV128" s="827"/>
      <c r="UKW128" s="827"/>
      <c r="UKX128" s="827"/>
      <c r="UKY128" s="827"/>
      <c r="UKZ128" s="827"/>
      <c r="ULA128" s="827"/>
      <c r="ULB128" s="827"/>
      <c r="ULC128" s="827"/>
      <c r="ULD128" s="827"/>
      <c r="ULE128" s="827"/>
      <c r="ULF128" s="827"/>
      <c r="ULG128" s="827"/>
      <c r="ULH128" s="827"/>
      <c r="ULI128" s="827"/>
      <c r="ULJ128" s="827"/>
      <c r="ULK128" s="827"/>
      <c r="ULL128" s="827"/>
      <c r="ULM128" s="827"/>
      <c r="ULN128" s="827"/>
      <c r="ULO128" s="827"/>
      <c r="ULP128" s="827"/>
      <c r="ULQ128" s="827"/>
      <c r="ULR128" s="827"/>
      <c r="ULS128" s="827"/>
      <c r="ULT128" s="827"/>
      <c r="ULU128" s="827"/>
      <c r="ULV128" s="827"/>
      <c r="ULW128" s="827"/>
      <c r="ULX128" s="827"/>
      <c r="ULY128" s="827"/>
      <c r="ULZ128" s="827"/>
      <c r="UMA128" s="827"/>
      <c r="UMB128" s="827"/>
      <c r="UMC128" s="827"/>
      <c r="UMD128" s="827"/>
      <c r="UME128" s="827"/>
      <c r="UMF128" s="827"/>
      <c r="UMG128" s="827"/>
      <c r="UMH128" s="827"/>
      <c r="UMI128" s="827"/>
      <c r="UMJ128" s="827"/>
      <c r="UMK128" s="827"/>
      <c r="UML128" s="827"/>
      <c r="UMM128" s="827"/>
      <c r="UMN128" s="827"/>
      <c r="UMO128" s="827"/>
      <c r="UMP128" s="827"/>
      <c r="UMQ128" s="827"/>
      <c r="UMR128" s="827"/>
      <c r="UMS128" s="827"/>
      <c r="UMT128" s="827"/>
      <c r="UMU128" s="827"/>
      <c r="UMV128" s="827"/>
      <c r="UMW128" s="827"/>
      <c r="UMX128" s="827"/>
      <c r="UMY128" s="827"/>
      <c r="UMZ128" s="827"/>
      <c r="UNA128" s="827"/>
      <c r="UNB128" s="827"/>
      <c r="UNC128" s="827"/>
      <c r="UND128" s="827"/>
      <c r="UNE128" s="827"/>
      <c r="UNF128" s="827"/>
      <c r="UNG128" s="827"/>
      <c r="UNH128" s="827"/>
      <c r="UNI128" s="827"/>
      <c r="UNJ128" s="827"/>
      <c r="UNK128" s="827"/>
      <c r="UNL128" s="827"/>
      <c r="UNM128" s="827"/>
      <c r="UNN128" s="827"/>
      <c r="UNO128" s="827"/>
      <c r="UNP128" s="827"/>
      <c r="UNQ128" s="827"/>
      <c r="UNR128" s="827"/>
      <c r="UNS128" s="827"/>
      <c r="UNT128" s="827"/>
      <c r="UNU128" s="827"/>
      <c r="UNV128" s="827"/>
      <c r="UNW128" s="827"/>
      <c r="UNX128" s="827"/>
      <c r="UNY128" s="827"/>
      <c r="UNZ128" s="827"/>
      <c r="UOA128" s="827"/>
      <c r="UOB128" s="827"/>
      <c r="UOC128" s="827"/>
      <c r="UOD128" s="827"/>
      <c r="UOE128" s="827"/>
      <c r="UOF128" s="827"/>
      <c r="UOG128" s="827"/>
      <c r="UOH128" s="827"/>
      <c r="UOI128" s="827"/>
      <c r="UOJ128" s="827"/>
      <c r="UOK128" s="827"/>
      <c r="UOL128" s="827"/>
      <c r="UOM128" s="827"/>
      <c r="UON128" s="827"/>
      <c r="UOO128" s="827"/>
      <c r="UOP128" s="827"/>
      <c r="UOQ128" s="827"/>
      <c r="UOR128" s="827"/>
      <c r="UOS128" s="827"/>
      <c r="UOT128" s="827"/>
      <c r="UOU128" s="827"/>
      <c r="UOV128" s="827"/>
      <c r="UOW128" s="827"/>
      <c r="UOX128" s="827"/>
      <c r="UOY128" s="827"/>
      <c r="UOZ128" s="827"/>
      <c r="UPA128" s="827"/>
      <c r="UPB128" s="827"/>
      <c r="UPC128" s="827"/>
      <c r="UPD128" s="827"/>
      <c r="UPE128" s="827"/>
      <c r="UPF128" s="827"/>
      <c r="UPG128" s="827"/>
      <c r="UPH128" s="827"/>
      <c r="UPI128" s="827"/>
      <c r="UPJ128" s="827"/>
      <c r="UPK128" s="827"/>
      <c r="UPL128" s="827"/>
      <c r="UPM128" s="827"/>
      <c r="UPN128" s="827"/>
      <c r="UPO128" s="827"/>
      <c r="UPP128" s="827"/>
      <c r="UPQ128" s="827"/>
      <c r="UPR128" s="827"/>
      <c r="UPS128" s="827"/>
      <c r="UPT128" s="827"/>
      <c r="UPU128" s="827"/>
      <c r="UPV128" s="827"/>
      <c r="UPW128" s="827"/>
      <c r="UPX128" s="827"/>
      <c r="UPY128" s="827"/>
      <c r="UPZ128" s="827"/>
      <c r="UQA128" s="827"/>
      <c r="UQB128" s="827"/>
      <c r="UQC128" s="827"/>
      <c r="UQD128" s="827"/>
      <c r="UQE128" s="827"/>
      <c r="UQF128" s="827"/>
      <c r="UQG128" s="827"/>
      <c r="UQH128" s="827"/>
      <c r="UQI128" s="827"/>
      <c r="UQJ128" s="827"/>
      <c r="UQK128" s="827"/>
      <c r="UQL128" s="827"/>
      <c r="UQM128" s="827"/>
      <c r="UQN128" s="827"/>
      <c r="UQO128" s="827"/>
      <c r="UQP128" s="827"/>
      <c r="UQQ128" s="827"/>
      <c r="UQR128" s="827"/>
      <c r="UQS128" s="827"/>
      <c r="UQT128" s="827"/>
      <c r="UQU128" s="827"/>
      <c r="UQV128" s="827"/>
      <c r="UQW128" s="827"/>
      <c r="UQX128" s="827"/>
      <c r="UQY128" s="827"/>
      <c r="UQZ128" s="827"/>
      <c r="URA128" s="827"/>
      <c r="URB128" s="827"/>
      <c r="URC128" s="827"/>
      <c r="URD128" s="827"/>
      <c r="URE128" s="827"/>
      <c r="URF128" s="827"/>
      <c r="URG128" s="827"/>
      <c r="URH128" s="827"/>
      <c r="URI128" s="827"/>
      <c r="URJ128" s="827"/>
      <c r="URK128" s="827"/>
      <c r="URL128" s="827"/>
      <c r="URM128" s="827"/>
      <c r="URN128" s="827"/>
      <c r="URO128" s="827"/>
      <c r="URP128" s="827"/>
      <c r="URQ128" s="827"/>
      <c r="URR128" s="827"/>
      <c r="URS128" s="827"/>
      <c r="URT128" s="827"/>
      <c r="URU128" s="827"/>
      <c r="URV128" s="827"/>
      <c r="URW128" s="827"/>
      <c r="URX128" s="827"/>
      <c r="URY128" s="827"/>
      <c r="URZ128" s="827"/>
      <c r="USA128" s="827"/>
      <c r="USB128" s="827"/>
      <c r="USC128" s="827"/>
      <c r="USD128" s="827"/>
      <c r="USE128" s="827"/>
      <c r="USF128" s="827"/>
      <c r="USG128" s="827"/>
      <c r="USH128" s="827"/>
      <c r="USI128" s="827"/>
      <c r="USJ128" s="827"/>
      <c r="USK128" s="827"/>
      <c r="USL128" s="827"/>
      <c r="USM128" s="827"/>
      <c r="USN128" s="827"/>
      <c r="USO128" s="827"/>
      <c r="USP128" s="827"/>
      <c r="USQ128" s="827"/>
      <c r="USR128" s="827"/>
      <c r="USS128" s="827"/>
      <c r="UST128" s="827"/>
      <c r="USU128" s="827"/>
      <c r="USV128" s="827"/>
      <c r="USW128" s="827"/>
      <c r="USX128" s="827"/>
      <c r="USY128" s="827"/>
      <c r="USZ128" s="827"/>
      <c r="UTA128" s="827"/>
      <c r="UTB128" s="827"/>
      <c r="UTC128" s="827"/>
      <c r="UTD128" s="827"/>
      <c r="UTE128" s="827"/>
      <c r="UTF128" s="827"/>
      <c r="UTG128" s="827"/>
      <c r="UTH128" s="827"/>
      <c r="UTI128" s="827"/>
      <c r="UTJ128" s="827"/>
      <c r="UTK128" s="827"/>
      <c r="UTL128" s="827"/>
      <c r="UTM128" s="827"/>
      <c r="UTN128" s="827"/>
      <c r="UTO128" s="827"/>
      <c r="UTP128" s="827"/>
      <c r="UTQ128" s="827"/>
      <c r="UTR128" s="827"/>
      <c r="UTS128" s="827"/>
      <c r="UTT128" s="827"/>
      <c r="UTU128" s="827"/>
      <c r="UTV128" s="827"/>
      <c r="UTW128" s="827"/>
      <c r="UTX128" s="827"/>
      <c r="UTY128" s="827"/>
      <c r="UTZ128" s="827"/>
      <c r="UUA128" s="827"/>
      <c r="UUB128" s="827"/>
      <c r="UUC128" s="827"/>
      <c r="UUD128" s="827"/>
      <c r="UUE128" s="827"/>
      <c r="UUF128" s="827"/>
      <c r="UUG128" s="827"/>
      <c r="UUH128" s="827"/>
      <c r="UUI128" s="827"/>
      <c r="UUJ128" s="827"/>
      <c r="UUK128" s="827"/>
      <c r="UUL128" s="827"/>
      <c r="UUM128" s="827"/>
      <c r="UUN128" s="827"/>
      <c r="UUO128" s="827"/>
      <c r="UUP128" s="827"/>
      <c r="UUQ128" s="827"/>
      <c r="UUR128" s="827"/>
      <c r="UUS128" s="827"/>
      <c r="UUT128" s="827"/>
      <c r="UUU128" s="827"/>
      <c r="UUV128" s="827"/>
      <c r="UUW128" s="827"/>
      <c r="UUX128" s="827"/>
      <c r="UUY128" s="827"/>
      <c r="UUZ128" s="827"/>
      <c r="UVA128" s="827"/>
      <c r="UVB128" s="827"/>
      <c r="UVC128" s="827"/>
      <c r="UVD128" s="827"/>
      <c r="UVE128" s="827"/>
      <c r="UVF128" s="827"/>
      <c r="UVG128" s="827"/>
      <c r="UVH128" s="827"/>
      <c r="UVI128" s="827"/>
      <c r="UVJ128" s="827"/>
      <c r="UVK128" s="827"/>
      <c r="UVL128" s="827"/>
      <c r="UVM128" s="827"/>
      <c r="UVN128" s="827"/>
      <c r="UVO128" s="827"/>
      <c r="UVP128" s="827"/>
      <c r="UVQ128" s="827"/>
      <c r="UVR128" s="827"/>
      <c r="UVS128" s="827"/>
      <c r="UVT128" s="827"/>
      <c r="UVU128" s="827"/>
      <c r="UVV128" s="827"/>
      <c r="UVW128" s="827"/>
      <c r="UVX128" s="827"/>
      <c r="UVY128" s="827"/>
      <c r="UVZ128" s="827"/>
      <c r="UWA128" s="827"/>
      <c r="UWB128" s="827"/>
      <c r="UWC128" s="827"/>
      <c r="UWD128" s="827"/>
      <c r="UWE128" s="827"/>
      <c r="UWF128" s="827"/>
      <c r="UWG128" s="827"/>
      <c r="UWH128" s="827"/>
      <c r="UWI128" s="827"/>
      <c r="UWJ128" s="827"/>
      <c r="UWK128" s="827"/>
      <c r="UWL128" s="827"/>
      <c r="UWM128" s="827"/>
      <c r="UWN128" s="827"/>
      <c r="UWO128" s="827"/>
      <c r="UWP128" s="827"/>
      <c r="UWQ128" s="827"/>
      <c r="UWR128" s="827"/>
      <c r="UWS128" s="827"/>
      <c r="UWT128" s="827"/>
      <c r="UWU128" s="827"/>
      <c r="UWV128" s="827"/>
      <c r="UWW128" s="827"/>
      <c r="UWX128" s="827"/>
      <c r="UWY128" s="827"/>
      <c r="UWZ128" s="827"/>
      <c r="UXA128" s="827"/>
      <c r="UXB128" s="827"/>
      <c r="UXC128" s="827"/>
      <c r="UXD128" s="827"/>
      <c r="UXE128" s="827"/>
      <c r="UXF128" s="827"/>
      <c r="UXG128" s="827"/>
      <c r="UXH128" s="827"/>
      <c r="UXI128" s="827"/>
      <c r="UXJ128" s="827"/>
      <c r="UXK128" s="827"/>
      <c r="UXL128" s="827"/>
      <c r="UXM128" s="827"/>
      <c r="UXN128" s="827"/>
      <c r="UXO128" s="827"/>
      <c r="UXP128" s="827"/>
      <c r="UXQ128" s="827"/>
      <c r="UXR128" s="827"/>
      <c r="UXS128" s="827"/>
      <c r="UXT128" s="827"/>
      <c r="UXU128" s="827"/>
      <c r="UXV128" s="827"/>
      <c r="UXW128" s="827"/>
      <c r="UXX128" s="827"/>
      <c r="UXY128" s="827"/>
      <c r="UXZ128" s="827"/>
      <c r="UYA128" s="827"/>
      <c r="UYB128" s="827"/>
      <c r="UYC128" s="827"/>
      <c r="UYD128" s="827"/>
      <c r="UYE128" s="827"/>
      <c r="UYF128" s="827"/>
      <c r="UYG128" s="827"/>
      <c r="UYH128" s="827"/>
      <c r="UYI128" s="827"/>
      <c r="UYJ128" s="827"/>
      <c r="UYK128" s="827"/>
      <c r="UYL128" s="827"/>
      <c r="UYM128" s="827"/>
      <c r="UYN128" s="827"/>
      <c r="UYO128" s="827"/>
      <c r="UYP128" s="827"/>
      <c r="UYQ128" s="827"/>
      <c r="UYR128" s="827"/>
      <c r="UYS128" s="827"/>
      <c r="UYT128" s="827"/>
      <c r="UYU128" s="827"/>
      <c r="UYV128" s="827"/>
      <c r="UYW128" s="827"/>
      <c r="UYX128" s="827"/>
      <c r="UYY128" s="827"/>
      <c r="UYZ128" s="827"/>
      <c r="UZA128" s="827"/>
      <c r="UZB128" s="827"/>
      <c r="UZC128" s="827"/>
      <c r="UZD128" s="827"/>
      <c r="UZE128" s="827"/>
      <c r="UZF128" s="827"/>
      <c r="UZG128" s="827"/>
      <c r="UZH128" s="827"/>
      <c r="UZI128" s="827"/>
      <c r="UZJ128" s="827"/>
      <c r="UZK128" s="827"/>
      <c r="UZL128" s="827"/>
      <c r="UZM128" s="827"/>
      <c r="UZN128" s="827"/>
      <c r="UZO128" s="827"/>
      <c r="UZP128" s="827"/>
      <c r="UZQ128" s="827"/>
      <c r="UZR128" s="827"/>
      <c r="UZS128" s="827"/>
      <c r="UZT128" s="827"/>
      <c r="UZU128" s="827"/>
      <c r="UZV128" s="827"/>
      <c r="UZW128" s="827"/>
      <c r="UZX128" s="827"/>
      <c r="UZY128" s="827"/>
      <c r="UZZ128" s="827"/>
      <c r="VAA128" s="827"/>
      <c r="VAB128" s="827"/>
      <c r="VAC128" s="827"/>
      <c r="VAD128" s="827"/>
      <c r="VAE128" s="827"/>
      <c r="VAF128" s="827"/>
      <c r="VAG128" s="827"/>
      <c r="VAH128" s="827"/>
      <c r="VAI128" s="827"/>
      <c r="VAJ128" s="827"/>
      <c r="VAK128" s="827"/>
      <c r="VAL128" s="827"/>
      <c r="VAM128" s="827"/>
      <c r="VAN128" s="827"/>
      <c r="VAO128" s="827"/>
      <c r="VAP128" s="827"/>
      <c r="VAQ128" s="827"/>
      <c r="VAR128" s="827"/>
      <c r="VAS128" s="827"/>
      <c r="VAT128" s="827"/>
      <c r="VAU128" s="827"/>
      <c r="VAV128" s="827"/>
      <c r="VAW128" s="827"/>
      <c r="VAX128" s="827"/>
      <c r="VAY128" s="827"/>
      <c r="VAZ128" s="827"/>
      <c r="VBA128" s="827"/>
      <c r="VBB128" s="827"/>
      <c r="VBC128" s="827"/>
      <c r="VBD128" s="827"/>
      <c r="VBE128" s="827"/>
      <c r="VBF128" s="827"/>
      <c r="VBG128" s="827"/>
      <c r="VBH128" s="827"/>
      <c r="VBI128" s="827"/>
      <c r="VBJ128" s="827"/>
      <c r="VBK128" s="827"/>
      <c r="VBL128" s="827"/>
      <c r="VBM128" s="827"/>
      <c r="VBN128" s="827"/>
      <c r="VBO128" s="827"/>
      <c r="VBP128" s="827"/>
      <c r="VBQ128" s="827"/>
      <c r="VBR128" s="827"/>
      <c r="VBS128" s="827"/>
      <c r="VBT128" s="827"/>
      <c r="VBU128" s="827"/>
      <c r="VBV128" s="827"/>
      <c r="VBW128" s="827"/>
      <c r="VBX128" s="827"/>
      <c r="VBY128" s="827"/>
      <c r="VBZ128" s="827"/>
      <c r="VCA128" s="827"/>
      <c r="VCB128" s="827"/>
      <c r="VCC128" s="827"/>
      <c r="VCD128" s="827"/>
      <c r="VCE128" s="827"/>
      <c r="VCF128" s="827"/>
      <c r="VCG128" s="827"/>
      <c r="VCH128" s="827"/>
      <c r="VCI128" s="827"/>
      <c r="VCJ128" s="827"/>
      <c r="VCK128" s="827"/>
      <c r="VCL128" s="827"/>
      <c r="VCM128" s="827"/>
      <c r="VCN128" s="827"/>
      <c r="VCO128" s="827"/>
      <c r="VCP128" s="827"/>
      <c r="VCQ128" s="827"/>
      <c r="VCR128" s="827"/>
      <c r="VCS128" s="827"/>
      <c r="VCT128" s="827"/>
      <c r="VCU128" s="827"/>
      <c r="VCV128" s="827"/>
      <c r="VCW128" s="827"/>
      <c r="VCX128" s="827"/>
      <c r="VCY128" s="827"/>
      <c r="VCZ128" s="827"/>
      <c r="VDA128" s="827"/>
      <c r="VDB128" s="827"/>
      <c r="VDC128" s="827"/>
      <c r="VDD128" s="827"/>
      <c r="VDE128" s="827"/>
      <c r="VDF128" s="827"/>
      <c r="VDG128" s="827"/>
      <c r="VDH128" s="827"/>
      <c r="VDI128" s="827"/>
      <c r="VDJ128" s="827"/>
      <c r="VDK128" s="827"/>
      <c r="VDL128" s="827"/>
      <c r="VDM128" s="827"/>
      <c r="VDN128" s="827"/>
      <c r="VDO128" s="827"/>
      <c r="VDP128" s="827"/>
      <c r="VDQ128" s="827"/>
      <c r="VDR128" s="827"/>
      <c r="VDS128" s="827"/>
      <c r="VDT128" s="827"/>
      <c r="VDU128" s="827"/>
      <c r="VDV128" s="827"/>
      <c r="VDW128" s="827"/>
      <c r="VDX128" s="827"/>
      <c r="VDY128" s="827"/>
      <c r="VDZ128" s="827"/>
      <c r="VEA128" s="827"/>
      <c r="VEB128" s="827"/>
      <c r="VEC128" s="827"/>
      <c r="VED128" s="827"/>
      <c r="VEE128" s="827"/>
      <c r="VEF128" s="827"/>
      <c r="VEG128" s="827"/>
      <c r="VEH128" s="827"/>
      <c r="VEI128" s="827"/>
      <c r="VEJ128" s="827"/>
      <c r="VEK128" s="827"/>
      <c r="VEL128" s="827"/>
      <c r="VEM128" s="827"/>
      <c r="VEN128" s="827"/>
      <c r="VEO128" s="827"/>
      <c r="VEP128" s="827"/>
      <c r="VEQ128" s="827"/>
      <c r="VER128" s="827"/>
      <c r="VES128" s="827"/>
      <c r="VET128" s="827"/>
      <c r="VEU128" s="827"/>
      <c r="VEV128" s="827"/>
      <c r="VEW128" s="827"/>
      <c r="VEX128" s="827"/>
      <c r="VEY128" s="827"/>
      <c r="VEZ128" s="827"/>
      <c r="VFA128" s="827"/>
      <c r="VFB128" s="827"/>
      <c r="VFC128" s="827"/>
      <c r="VFD128" s="827"/>
      <c r="VFE128" s="827"/>
      <c r="VFF128" s="827"/>
      <c r="VFG128" s="827"/>
      <c r="VFH128" s="827"/>
      <c r="VFI128" s="827"/>
      <c r="VFJ128" s="827"/>
      <c r="VFK128" s="827"/>
      <c r="VFL128" s="827"/>
      <c r="VFM128" s="827"/>
      <c r="VFN128" s="827"/>
      <c r="VFO128" s="827"/>
      <c r="VFP128" s="827"/>
      <c r="VFQ128" s="827"/>
      <c r="VFR128" s="827"/>
      <c r="VFS128" s="827"/>
      <c r="VFT128" s="827"/>
      <c r="VFU128" s="827"/>
      <c r="VFV128" s="827"/>
      <c r="VFW128" s="827"/>
      <c r="VFX128" s="827"/>
      <c r="VFY128" s="827"/>
      <c r="VFZ128" s="827"/>
      <c r="VGA128" s="827"/>
      <c r="VGB128" s="827"/>
      <c r="VGC128" s="827"/>
      <c r="VGD128" s="827"/>
      <c r="VGE128" s="827"/>
      <c r="VGF128" s="827"/>
      <c r="VGG128" s="827"/>
      <c r="VGH128" s="827"/>
      <c r="VGI128" s="827"/>
      <c r="VGJ128" s="827"/>
      <c r="VGK128" s="827"/>
      <c r="VGL128" s="827"/>
      <c r="VGM128" s="827"/>
      <c r="VGN128" s="827"/>
      <c r="VGO128" s="827"/>
      <c r="VGP128" s="827"/>
      <c r="VGQ128" s="827"/>
      <c r="VGR128" s="827"/>
      <c r="VGS128" s="827"/>
      <c r="VGT128" s="827"/>
      <c r="VGU128" s="827"/>
      <c r="VGV128" s="827"/>
      <c r="VGW128" s="827"/>
      <c r="VGX128" s="827"/>
      <c r="VGY128" s="827"/>
      <c r="VGZ128" s="827"/>
      <c r="VHA128" s="827"/>
      <c r="VHB128" s="827"/>
      <c r="VHC128" s="827"/>
      <c r="VHD128" s="827"/>
      <c r="VHE128" s="827"/>
      <c r="VHF128" s="827"/>
      <c r="VHG128" s="827"/>
      <c r="VHH128" s="827"/>
      <c r="VHI128" s="827"/>
      <c r="VHJ128" s="827"/>
      <c r="VHK128" s="827"/>
      <c r="VHL128" s="827"/>
      <c r="VHM128" s="827"/>
      <c r="VHN128" s="827"/>
      <c r="VHO128" s="827"/>
      <c r="VHP128" s="827"/>
      <c r="VHQ128" s="827"/>
      <c r="VHR128" s="827"/>
      <c r="VHS128" s="827"/>
      <c r="VHT128" s="827"/>
      <c r="VHU128" s="827"/>
      <c r="VHV128" s="827"/>
      <c r="VHW128" s="827"/>
      <c r="VHX128" s="827"/>
      <c r="VHY128" s="827"/>
      <c r="VHZ128" s="827"/>
      <c r="VIA128" s="827"/>
      <c r="VIB128" s="827"/>
      <c r="VIC128" s="827"/>
      <c r="VID128" s="827"/>
      <c r="VIE128" s="827"/>
      <c r="VIF128" s="827"/>
      <c r="VIG128" s="827"/>
      <c r="VIH128" s="827"/>
      <c r="VII128" s="827"/>
      <c r="VIJ128" s="827"/>
      <c r="VIK128" s="827"/>
      <c r="VIL128" s="827"/>
      <c r="VIM128" s="827"/>
      <c r="VIN128" s="827"/>
      <c r="VIO128" s="827"/>
      <c r="VIP128" s="827"/>
      <c r="VIQ128" s="827"/>
      <c r="VIR128" s="827"/>
      <c r="VIS128" s="827"/>
      <c r="VIT128" s="827"/>
      <c r="VIU128" s="827"/>
      <c r="VIV128" s="827"/>
      <c r="VIW128" s="827"/>
      <c r="VIX128" s="827"/>
      <c r="VIY128" s="827"/>
      <c r="VIZ128" s="827"/>
      <c r="VJA128" s="827"/>
      <c r="VJB128" s="827"/>
      <c r="VJC128" s="827"/>
      <c r="VJD128" s="827"/>
      <c r="VJE128" s="827"/>
      <c r="VJF128" s="827"/>
      <c r="VJG128" s="827"/>
      <c r="VJH128" s="827"/>
      <c r="VJI128" s="827"/>
      <c r="VJJ128" s="827"/>
      <c r="VJK128" s="827"/>
      <c r="VJL128" s="827"/>
      <c r="VJM128" s="827"/>
      <c r="VJN128" s="827"/>
      <c r="VJO128" s="827"/>
      <c r="VJP128" s="827"/>
      <c r="VJQ128" s="827"/>
      <c r="VJR128" s="827"/>
      <c r="VJS128" s="827"/>
      <c r="VJT128" s="827"/>
      <c r="VJU128" s="827"/>
      <c r="VJV128" s="827"/>
      <c r="VJW128" s="827"/>
      <c r="VJX128" s="827"/>
      <c r="VJY128" s="827"/>
      <c r="VJZ128" s="827"/>
      <c r="VKA128" s="827"/>
      <c r="VKB128" s="827"/>
      <c r="VKC128" s="827"/>
      <c r="VKD128" s="827"/>
      <c r="VKE128" s="827"/>
      <c r="VKF128" s="827"/>
      <c r="VKG128" s="827"/>
      <c r="VKH128" s="827"/>
      <c r="VKI128" s="827"/>
      <c r="VKJ128" s="827"/>
      <c r="VKK128" s="827"/>
      <c r="VKL128" s="827"/>
      <c r="VKM128" s="827"/>
      <c r="VKN128" s="827"/>
      <c r="VKO128" s="827"/>
      <c r="VKP128" s="827"/>
      <c r="VKQ128" s="827"/>
      <c r="VKR128" s="827"/>
      <c r="VKS128" s="827"/>
      <c r="VKT128" s="827"/>
      <c r="VKU128" s="827"/>
      <c r="VKV128" s="827"/>
      <c r="VKW128" s="827"/>
      <c r="VKX128" s="827"/>
      <c r="VKY128" s="827"/>
      <c r="VKZ128" s="827"/>
      <c r="VLA128" s="827"/>
      <c r="VLB128" s="827"/>
      <c r="VLC128" s="827"/>
      <c r="VLD128" s="827"/>
      <c r="VLE128" s="827"/>
      <c r="VLF128" s="827"/>
      <c r="VLG128" s="827"/>
      <c r="VLH128" s="827"/>
      <c r="VLI128" s="827"/>
      <c r="VLJ128" s="827"/>
      <c r="VLK128" s="827"/>
      <c r="VLL128" s="827"/>
      <c r="VLM128" s="827"/>
      <c r="VLN128" s="827"/>
      <c r="VLO128" s="827"/>
      <c r="VLP128" s="827"/>
      <c r="VLQ128" s="827"/>
      <c r="VLR128" s="827"/>
      <c r="VLS128" s="827"/>
      <c r="VLT128" s="827"/>
      <c r="VLU128" s="827"/>
      <c r="VLV128" s="827"/>
      <c r="VLW128" s="827"/>
      <c r="VLX128" s="827"/>
      <c r="VLY128" s="827"/>
      <c r="VLZ128" s="827"/>
      <c r="VMA128" s="827"/>
      <c r="VMB128" s="827"/>
      <c r="VMC128" s="827"/>
      <c r="VMD128" s="827"/>
      <c r="VME128" s="827"/>
      <c r="VMF128" s="827"/>
      <c r="VMG128" s="827"/>
      <c r="VMH128" s="827"/>
      <c r="VMI128" s="827"/>
      <c r="VMJ128" s="827"/>
      <c r="VMK128" s="827"/>
      <c r="VML128" s="827"/>
      <c r="VMM128" s="827"/>
      <c r="VMN128" s="827"/>
      <c r="VMO128" s="827"/>
      <c r="VMP128" s="827"/>
      <c r="VMQ128" s="827"/>
      <c r="VMR128" s="827"/>
      <c r="VMS128" s="827"/>
      <c r="VMT128" s="827"/>
      <c r="VMU128" s="827"/>
      <c r="VMV128" s="827"/>
      <c r="VMW128" s="827"/>
      <c r="VMX128" s="827"/>
      <c r="VMY128" s="827"/>
      <c r="VMZ128" s="827"/>
      <c r="VNA128" s="827"/>
      <c r="VNB128" s="827"/>
      <c r="VNC128" s="827"/>
      <c r="VND128" s="827"/>
      <c r="VNE128" s="827"/>
      <c r="VNF128" s="827"/>
      <c r="VNG128" s="827"/>
      <c r="VNH128" s="827"/>
      <c r="VNI128" s="827"/>
      <c r="VNJ128" s="827"/>
      <c r="VNK128" s="827"/>
      <c r="VNL128" s="827"/>
      <c r="VNM128" s="827"/>
      <c r="VNN128" s="827"/>
      <c r="VNO128" s="827"/>
      <c r="VNP128" s="827"/>
      <c r="VNQ128" s="827"/>
      <c r="VNR128" s="827"/>
      <c r="VNS128" s="827"/>
      <c r="VNT128" s="827"/>
      <c r="VNU128" s="827"/>
      <c r="VNV128" s="827"/>
      <c r="VNW128" s="827"/>
      <c r="VNX128" s="827"/>
      <c r="VNY128" s="827"/>
      <c r="VNZ128" s="827"/>
      <c r="VOA128" s="827"/>
      <c r="VOB128" s="827"/>
      <c r="VOC128" s="827"/>
      <c r="VOD128" s="827"/>
      <c r="VOE128" s="827"/>
      <c r="VOF128" s="827"/>
      <c r="VOG128" s="827"/>
      <c r="VOH128" s="827"/>
      <c r="VOI128" s="827"/>
      <c r="VOJ128" s="827"/>
      <c r="VOK128" s="827"/>
      <c r="VOL128" s="827"/>
      <c r="VOM128" s="827"/>
      <c r="VON128" s="827"/>
      <c r="VOO128" s="827"/>
      <c r="VOP128" s="827"/>
      <c r="VOQ128" s="827"/>
      <c r="VOR128" s="827"/>
      <c r="VOS128" s="827"/>
      <c r="VOT128" s="827"/>
      <c r="VOU128" s="827"/>
      <c r="VOV128" s="827"/>
      <c r="VOW128" s="827"/>
      <c r="VOX128" s="827"/>
      <c r="VOY128" s="827"/>
      <c r="VOZ128" s="827"/>
      <c r="VPA128" s="827"/>
      <c r="VPB128" s="827"/>
      <c r="VPC128" s="827"/>
      <c r="VPD128" s="827"/>
      <c r="VPE128" s="827"/>
      <c r="VPF128" s="827"/>
      <c r="VPG128" s="827"/>
      <c r="VPH128" s="827"/>
      <c r="VPI128" s="827"/>
      <c r="VPJ128" s="827"/>
      <c r="VPK128" s="827"/>
      <c r="VPL128" s="827"/>
      <c r="VPM128" s="827"/>
      <c r="VPN128" s="827"/>
      <c r="VPO128" s="827"/>
      <c r="VPP128" s="827"/>
      <c r="VPQ128" s="827"/>
      <c r="VPR128" s="827"/>
      <c r="VPS128" s="827"/>
      <c r="VPT128" s="827"/>
      <c r="VPU128" s="827"/>
      <c r="VPV128" s="827"/>
      <c r="VPW128" s="827"/>
      <c r="VPX128" s="827"/>
      <c r="VPY128" s="827"/>
      <c r="VPZ128" s="827"/>
      <c r="VQA128" s="827"/>
      <c r="VQB128" s="827"/>
      <c r="VQC128" s="827"/>
      <c r="VQD128" s="827"/>
      <c r="VQE128" s="827"/>
      <c r="VQF128" s="827"/>
      <c r="VQG128" s="827"/>
      <c r="VQH128" s="827"/>
      <c r="VQI128" s="827"/>
      <c r="VQJ128" s="827"/>
      <c r="VQK128" s="827"/>
      <c r="VQL128" s="827"/>
      <c r="VQM128" s="827"/>
      <c r="VQN128" s="827"/>
      <c r="VQO128" s="827"/>
      <c r="VQP128" s="827"/>
      <c r="VQQ128" s="827"/>
      <c r="VQR128" s="827"/>
      <c r="VQS128" s="827"/>
      <c r="VQT128" s="827"/>
      <c r="VQU128" s="827"/>
      <c r="VQV128" s="827"/>
      <c r="VQW128" s="827"/>
      <c r="VQX128" s="827"/>
      <c r="VQY128" s="827"/>
      <c r="VQZ128" s="827"/>
      <c r="VRA128" s="827"/>
      <c r="VRB128" s="827"/>
      <c r="VRC128" s="827"/>
      <c r="VRD128" s="827"/>
      <c r="VRE128" s="827"/>
      <c r="VRF128" s="827"/>
      <c r="VRG128" s="827"/>
      <c r="VRH128" s="827"/>
      <c r="VRI128" s="827"/>
      <c r="VRJ128" s="827"/>
      <c r="VRK128" s="827"/>
      <c r="VRL128" s="827"/>
      <c r="VRM128" s="827"/>
      <c r="VRN128" s="827"/>
      <c r="VRO128" s="827"/>
      <c r="VRP128" s="827"/>
      <c r="VRQ128" s="827"/>
      <c r="VRR128" s="827"/>
      <c r="VRS128" s="827"/>
      <c r="VRT128" s="827"/>
      <c r="VRU128" s="827"/>
      <c r="VRV128" s="827"/>
      <c r="VRW128" s="827"/>
      <c r="VRX128" s="827"/>
      <c r="VRY128" s="827"/>
      <c r="VRZ128" s="827"/>
      <c r="VSA128" s="827"/>
      <c r="VSB128" s="827"/>
      <c r="VSC128" s="827"/>
      <c r="VSD128" s="827"/>
      <c r="VSE128" s="827"/>
      <c r="VSF128" s="827"/>
      <c r="VSG128" s="827"/>
      <c r="VSH128" s="827"/>
      <c r="VSI128" s="827"/>
      <c r="VSJ128" s="827"/>
      <c r="VSK128" s="827"/>
      <c r="VSL128" s="827"/>
      <c r="VSM128" s="827"/>
      <c r="VSN128" s="827"/>
      <c r="VSO128" s="827"/>
      <c r="VSP128" s="827"/>
      <c r="VSQ128" s="827"/>
      <c r="VSR128" s="827"/>
      <c r="VSS128" s="827"/>
      <c r="VST128" s="827"/>
      <c r="VSU128" s="827"/>
      <c r="VSV128" s="827"/>
      <c r="VSW128" s="827"/>
      <c r="VSX128" s="827"/>
      <c r="VSY128" s="827"/>
      <c r="VSZ128" s="827"/>
      <c r="VTA128" s="827"/>
      <c r="VTB128" s="827"/>
      <c r="VTC128" s="827"/>
      <c r="VTD128" s="827"/>
      <c r="VTE128" s="827"/>
      <c r="VTF128" s="827"/>
      <c r="VTG128" s="827"/>
      <c r="VTH128" s="827"/>
      <c r="VTI128" s="827"/>
      <c r="VTJ128" s="827"/>
      <c r="VTK128" s="827"/>
      <c r="VTL128" s="827"/>
      <c r="VTM128" s="827"/>
      <c r="VTN128" s="827"/>
      <c r="VTO128" s="827"/>
      <c r="VTP128" s="827"/>
      <c r="VTQ128" s="827"/>
      <c r="VTR128" s="827"/>
      <c r="VTS128" s="827"/>
      <c r="VTT128" s="827"/>
      <c r="VTU128" s="827"/>
      <c r="VTV128" s="827"/>
      <c r="VTW128" s="827"/>
      <c r="VTX128" s="827"/>
      <c r="VTY128" s="827"/>
      <c r="VTZ128" s="827"/>
      <c r="VUA128" s="827"/>
      <c r="VUB128" s="827"/>
      <c r="VUC128" s="827"/>
      <c r="VUD128" s="827"/>
      <c r="VUE128" s="827"/>
      <c r="VUF128" s="827"/>
      <c r="VUG128" s="827"/>
      <c r="VUH128" s="827"/>
      <c r="VUI128" s="827"/>
      <c r="VUJ128" s="827"/>
      <c r="VUK128" s="827"/>
      <c r="VUL128" s="827"/>
      <c r="VUM128" s="827"/>
      <c r="VUN128" s="827"/>
      <c r="VUO128" s="827"/>
      <c r="VUP128" s="827"/>
      <c r="VUQ128" s="827"/>
      <c r="VUR128" s="827"/>
      <c r="VUS128" s="827"/>
      <c r="VUT128" s="827"/>
      <c r="VUU128" s="827"/>
      <c r="VUV128" s="827"/>
      <c r="VUW128" s="827"/>
      <c r="VUX128" s="827"/>
      <c r="VUY128" s="827"/>
      <c r="VUZ128" s="827"/>
      <c r="VVA128" s="827"/>
      <c r="VVB128" s="827"/>
      <c r="VVC128" s="827"/>
      <c r="VVD128" s="827"/>
      <c r="VVE128" s="827"/>
      <c r="VVF128" s="827"/>
      <c r="VVG128" s="827"/>
      <c r="VVH128" s="827"/>
      <c r="VVI128" s="827"/>
      <c r="VVJ128" s="827"/>
      <c r="VVK128" s="827"/>
      <c r="VVL128" s="827"/>
      <c r="VVM128" s="827"/>
      <c r="VVN128" s="827"/>
      <c r="VVO128" s="827"/>
      <c r="VVP128" s="827"/>
      <c r="VVQ128" s="827"/>
      <c r="VVR128" s="827"/>
      <c r="VVS128" s="827"/>
      <c r="VVT128" s="827"/>
      <c r="VVU128" s="827"/>
      <c r="VVV128" s="827"/>
      <c r="VVW128" s="827"/>
      <c r="VVX128" s="827"/>
      <c r="VVY128" s="827"/>
      <c r="VVZ128" s="827"/>
      <c r="VWA128" s="827"/>
      <c r="VWB128" s="827"/>
      <c r="VWC128" s="827"/>
      <c r="VWD128" s="827"/>
      <c r="VWE128" s="827"/>
      <c r="VWF128" s="827"/>
      <c r="VWG128" s="827"/>
      <c r="VWH128" s="827"/>
      <c r="VWI128" s="827"/>
      <c r="VWJ128" s="827"/>
      <c r="VWK128" s="827"/>
      <c r="VWL128" s="827"/>
      <c r="VWM128" s="827"/>
      <c r="VWN128" s="827"/>
      <c r="VWO128" s="827"/>
      <c r="VWP128" s="827"/>
      <c r="VWQ128" s="827"/>
      <c r="VWR128" s="827"/>
      <c r="VWS128" s="827"/>
      <c r="VWT128" s="827"/>
      <c r="VWU128" s="827"/>
      <c r="VWV128" s="827"/>
      <c r="VWW128" s="827"/>
      <c r="VWX128" s="827"/>
      <c r="VWY128" s="827"/>
      <c r="VWZ128" s="827"/>
      <c r="VXA128" s="827"/>
      <c r="VXB128" s="827"/>
      <c r="VXC128" s="827"/>
      <c r="VXD128" s="827"/>
      <c r="VXE128" s="827"/>
      <c r="VXF128" s="827"/>
      <c r="VXG128" s="827"/>
      <c r="VXH128" s="827"/>
      <c r="VXI128" s="827"/>
      <c r="VXJ128" s="827"/>
      <c r="VXK128" s="827"/>
      <c r="VXL128" s="827"/>
      <c r="VXM128" s="827"/>
      <c r="VXN128" s="827"/>
      <c r="VXO128" s="827"/>
      <c r="VXP128" s="827"/>
      <c r="VXQ128" s="827"/>
      <c r="VXR128" s="827"/>
      <c r="VXS128" s="827"/>
      <c r="VXT128" s="827"/>
      <c r="VXU128" s="827"/>
      <c r="VXV128" s="827"/>
      <c r="VXW128" s="827"/>
      <c r="VXX128" s="827"/>
      <c r="VXY128" s="827"/>
      <c r="VXZ128" s="827"/>
      <c r="VYA128" s="827"/>
      <c r="VYB128" s="827"/>
      <c r="VYC128" s="827"/>
      <c r="VYD128" s="827"/>
      <c r="VYE128" s="827"/>
      <c r="VYF128" s="827"/>
      <c r="VYG128" s="827"/>
      <c r="VYH128" s="827"/>
      <c r="VYI128" s="827"/>
      <c r="VYJ128" s="827"/>
      <c r="VYK128" s="827"/>
      <c r="VYL128" s="827"/>
      <c r="VYM128" s="827"/>
      <c r="VYN128" s="827"/>
      <c r="VYO128" s="827"/>
      <c r="VYP128" s="827"/>
      <c r="VYQ128" s="827"/>
      <c r="VYR128" s="827"/>
      <c r="VYS128" s="827"/>
      <c r="VYT128" s="827"/>
      <c r="VYU128" s="827"/>
      <c r="VYV128" s="827"/>
      <c r="VYW128" s="827"/>
      <c r="VYX128" s="827"/>
      <c r="VYY128" s="827"/>
      <c r="VYZ128" s="827"/>
      <c r="VZA128" s="827"/>
      <c r="VZB128" s="827"/>
      <c r="VZC128" s="827"/>
      <c r="VZD128" s="827"/>
      <c r="VZE128" s="827"/>
      <c r="VZF128" s="827"/>
      <c r="VZG128" s="827"/>
      <c r="VZH128" s="827"/>
      <c r="VZI128" s="827"/>
      <c r="VZJ128" s="827"/>
      <c r="VZK128" s="827"/>
      <c r="VZL128" s="827"/>
      <c r="VZM128" s="827"/>
      <c r="VZN128" s="827"/>
      <c r="VZO128" s="827"/>
      <c r="VZP128" s="827"/>
      <c r="VZQ128" s="827"/>
      <c r="VZR128" s="827"/>
      <c r="VZS128" s="827"/>
      <c r="VZT128" s="827"/>
      <c r="VZU128" s="827"/>
      <c r="VZV128" s="827"/>
      <c r="VZW128" s="827"/>
      <c r="VZX128" s="827"/>
      <c r="VZY128" s="827"/>
      <c r="VZZ128" s="827"/>
      <c r="WAA128" s="827"/>
      <c r="WAB128" s="827"/>
      <c r="WAC128" s="827"/>
      <c r="WAD128" s="827"/>
      <c r="WAE128" s="827"/>
      <c r="WAF128" s="827"/>
      <c r="WAG128" s="827"/>
      <c r="WAH128" s="827"/>
      <c r="WAI128" s="827"/>
      <c r="WAJ128" s="827"/>
      <c r="WAK128" s="827"/>
      <c r="WAL128" s="827"/>
      <c r="WAM128" s="827"/>
      <c r="WAN128" s="827"/>
      <c r="WAO128" s="827"/>
      <c r="WAP128" s="827"/>
      <c r="WAQ128" s="827"/>
      <c r="WAR128" s="827"/>
      <c r="WAS128" s="827"/>
      <c r="WAT128" s="827"/>
      <c r="WAU128" s="827"/>
      <c r="WAV128" s="827"/>
      <c r="WAW128" s="827"/>
      <c r="WAX128" s="827"/>
      <c r="WAY128" s="827"/>
      <c r="WAZ128" s="827"/>
      <c r="WBA128" s="827"/>
      <c r="WBB128" s="827"/>
      <c r="WBC128" s="827"/>
      <c r="WBD128" s="827"/>
      <c r="WBE128" s="827"/>
      <c r="WBF128" s="827"/>
      <c r="WBG128" s="827"/>
      <c r="WBH128" s="827"/>
      <c r="WBI128" s="827"/>
      <c r="WBJ128" s="827"/>
      <c r="WBK128" s="827"/>
      <c r="WBL128" s="827"/>
      <c r="WBM128" s="827"/>
      <c r="WBN128" s="827"/>
      <c r="WBO128" s="827"/>
      <c r="WBP128" s="827"/>
      <c r="WBQ128" s="827"/>
      <c r="WBR128" s="827"/>
      <c r="WBS128" s="827"/>
      <c r="WBT128" s="827"/>
      <c r="WBU128" s="827"/>
      <c r="WBV128" s="827"/>
      <c r="WBW128" s="827"/>
      <c r="WBX128" s="827"/>
      <c r="WBY128" s="827"/>
      <c r="WBZ128" s="827"/>
      <c r="WCA128" s="827"/>
      <c r="WCB128" s="827"/>
      <c r="WCC128" s="827"/>
      <c r="WCD128" s="827"/>
      <c r="WCE128" s="827"/>
      <c r="WCF128" s="827"/>
      <c r="WCG128" s="827"/>
      <c r="WCH128" s="827"/>
      <c r="WCI128" s="827"/>
      <c r="WCJ128" s="827"/>
      <c r="WCK128" s="827"/>
      <c r="WCL128" s="827"/>
      <c r="WCM128" s="827"/>
      <c r="WCN128" s="827"/>
      <c r="WCO128" s="827"/>
      <c r="WCP128" s="827"/>
      <c r="WCQ128" s="827"/>
      <c r="WCR128" s="827"/>
      <c r="WCS128" s="827"/>
      <c r="WCT128" s="827"/>
      <c r="WCU128" s="827"/>
      <c r="WCV128" s="827"/>
      <c r="WCW128" s="827"/>
      <c r="WCX128" s="827"/>
      <c r="WCY128" s="827"/>
      <c r="WCZ128" s="827"/>
      <c r="WDA128" s="827"/>
      <c r="WDB128" s="827"/>
      <c r="WDC128" s="827"/>
      <c r="WDD128" s="827"/>
      <c r="WDE128" s="827"/>
      <c r="WDF128" s="827"/>
      <c r="WDG128" s="827"/>
      <c r="WDH128" s="827"/>
      <c r="WDI128" s="827"/>
      <c r="WDJ128" s="827"/>
      <c r="WDK128" s="827"/>
      <c r="WDL128" s="827"/>
      <c r="WDM128" s="827"/>
      <c r="WDN128" s="827"/>
      <c r="WDO128" s="827"/>
      <c r="WDP128" s="827"/>
      <c r="WDQ128" s="827"/>
      <c r="WDR128" s="827"/>
      <c r="WDS128" s="827"/>
      <c r="WDT128" s="827"/>
      <c r="WDU128" s="827"/>
      <c r="WDV128" s="827"/>
      <c r="WDW128" s="827"/>
      <c r="WDX128" s="827"/>
      <c r="WDY128" s="827"/>
      <c r="WDZ128" s="827"/>
      <c r="WEA128" s="827"/>
      <c r="WEB128" s="827"/>
      <c r="WEC128" s="827"/>
      <c r="WED128" s="827"/>
      <c r="WEE128" s="827"/>
      <c r="WEF128" s="827"/>
      <c r="WEG128" s="827"/>
      <c r="WEH128" s="827"/>
      <c r="WEI128" s="827"/>
      <c r="WEJ128" s="827"/>
      <c r="WEK128" s="827"/>
      <c r="WEL128" s="827"/>
      <c r="WEM128" s="827"/>
      <c r="WEN128" s="827"/>
      <c r="WEO128" s="827"/>
      <c r="WEP128" s="827"/>
      <c r="WEQ128" s="827"/>
      <c r="WER128" s="827"/>
      <c r="WES128" s="827"/>
      <c r="WET128" s="827"/>
      <c r="WEU128" s="827"/>
      <c r="WEV128" s="827"/>
      <c r="WEW128" s="827"/>
      <c r="WEX128" s="827"/>
      <c r="WEY128" s="827"/>
      <c r="WEZ128" s="827"/>
      <c r="WFA128" s="827"/>
      <c r="WFB128" s="827"/>
      <c r="WFC128" s="827"/>
      <c r="WFD128" s="827"/>
      <c r="WFE128" s="827"/>
      <c r="WFF128" s="827"/>
      <c r="WFG128" s="827"/>
      <c r="WFH128" s="827"/>
      <c r="WFI128" s="827"/>
      <c r="WFJ128" s="827"/>
      <c r="WFK128" s="827"/>
      <c r="WFL128" s="827"/>
      <c r="WFM128" s="827"/>
      <c r="WFN128" s="827"/>
      <c r="WFO128" s="827"/>
      <c r="WFP128" s="827"/>
      <c r="WFQ128" s="827"/>
      <c r="WFR128" s="827"/>
      <c r="WFS128" s="827"/>
      <c r="WFT128" s="827"/>
      <c r="WFU128" s="827"/>
      <c r="WFV128" s="827"/>
      <c r="WFW128" s="827"/>
      <c r="WFX128" s="827"/>
      <c r="WFY128" s="827"/>
      <c r="WFZ128" s="827"/>
      <c r="WGA128" s="827"/>
      <c r="WGB128" s="827"/>
      <c r="WGC128" s="827"/>
      <c r="WGD128" s="827"/>
      <c r="WGE128" s="827"/>
      <c r="WGF128" s="827"/>
      <c r="WGG128" s="827"/>
      <c r="WGH128" s="827"/>
      <c r="WGI128" s="827"/>
      <c r="WGJ128" s="827"/>
      <c r="WGK128" s="827"/>
      <c r="WGL128" s="827"/>
      <c r="WGM128" s="827"/>
      <c r="WGN128" s="827"/>
      <c r="WGO128" s="827"/>
      <c r="WGP128" s="827"/>
      <c r="WGQ128" s="827"/>
      <c r="WGR128" s="827"/>
      <c r="WGS128" s="827"/>
      <c r="WGT128" s="827"/>
      <c r="WGU128" s="827"/>
      <c r="WGV128" s="827"/>
      <c r="WGW128" s="827"/>
      <c r="WGX128" s="827"/>
      <c r="WGY128" s="827"/>
      <c r="WGZ128" s="827"/>
      <c r="WHA128" s="827"/>
      <c r="WHB128" s="827"/>
      <c r="WHC128" s="827"/>
      <c r="WHD128" s="827"/>
      <c r="WHE128" s="827"/>
      <c r="WHF128" s="827"/>
      <c r="WHG128" s="827"/>
      <c r="WHH128" s="827"/>
      <c r="WHI128" s="827"/>
      <c r="WHJ128" s="827"/>
      <c r="WHK128" s="827"/>
      <c r="WHL128" s="827"/>
      <c r="WHM128" s="827"/>
      <c r="WHN128" s="827"/>
      <c r="WHO128" s="827"/>
      <c r="WHP128" s="827"/>
      <c r="WHQ128" s="827"/>
      <c r="WHR128" s="827"/>
      <c r="WHS128" s="827"/>
      <c r="WHT128" s="827"/>
      <c r="WHU128" s="827"/>
      <c r="WHV128" s="827"/>
      <c r="WHW128" s="827"/>
      <c r="WHX128" s="827"/>
      <c r="WHY128" s="827"/>
      <c r="WHZ128" s="827"/>
      <c r="WIA128" s="827"/>
      <c r="WIB128" s="827"/>
      <c r="WIC128" s="827"/>
      <c r="WID128" s="827"/>
      <c r="WIE128" s="827"/>
      <c r="WIF128" s="827"/>
      <c r="WIG128" s="827"/>
      <c r="WIH128" s="827"/>
      <c r="WII128" s="827"/>
      <c r="WIJ128" s="827"/>
      <c r="WIK128" s="827"/>
      <c r="WIL128" s="827"/>
      <c r="WIM128" s="827"/>
      <c r="WIN128" s="827"/>
      <c r="WIO128" s="827"/>
      <c r="WIP128" s="827"/>
      <c r="WIQ128" s="827"/>
      <c r="WIR128" s="827"/>
      <c r="WIS128" s="827"/>
      <c r="WIT128" s="827"/>
      <c r="WIU128" s="827"/>
      <c r="WIV128" s="827"/>
      <c r="WIW128" s="827"/>
      <c r="WIX128" s="827"/>
      <c r="WIY128" s="827"/>
      <c r="WIZ128" s="827"/>
      <c r="WJA128" s="827"/>
      <c r="WJB128" s="827"/>
      <c r="WJC128" s="827"/>
      <c r="WJD128" s="827"/>
      <c r="WJE128" s="827"/>
      <c r="WJF128" s="827"/>
      <c r="WJG128" s="827"/>
      <c r="WJH128" s="827"/>
      <c r="WJI128" s="827"/>
      <c r="WJJ128" s="827"/>
      <c r="WJK128" s="827"/>
      <c r="WJL128" s="827"/>
      <c r="WJM128" s="827"/>
      <c r="WJN128" s="827"/>
      <c r="WJO128" s="827"/>
      <c r="WJP128" s="827"/>
      <c r="WJQ128" s="827"/>
      <c r="WJR128" s="827"/>
      <c r="WJS128" s="827"/>
      <c r="WJT128" s="827"/>
      <c r="WJU128" s="827"/>
      <c r="WJV128" s="827"/>
      <c r="WJW128" s="827"/>
      <c r="WJX128" s="827"/>
      <c r="WJY128" s="827"/>
      <c r="WJZ128" s="827"/>
      <c r="WKA128" s="827"/>
      <c r="WKB128" s="827"/>
      <c r="WKC128" s="827"/>
      <c r="WKD128" s="827"/>
      <c r="WKE128" s="827"/>
      <c r="WKF128" s="827"/>
      <c r="WKG128" s="827"/>
      <c r="WKH128" s="827"/>
      <c r="WKI128" s="827"/>
      <c r="WKJ128" s="827"/>
      <c r="WKK128" s="827"/>
      <c r="WKL128" s="827"/>
      <c r="WKM128" s="827"/>
      <c r="WKN128" s="827"/>
      <c r="WKO128" s="827"/>
      <c r="WKP128" s="827"/>
      <c r="WKQ128" s="827"/>
      <c r="WKR128" s="827"/>
      <c r="WKS128" s="827"/>
      <c r="WKT128" s="827"/>
      <c r="WKU128" s="827"/>
      <c r="WKV128" s="827"/>
      <c r="WKW128" s="827"/>
      <c r="WKX128" s="827"/>
      <c r="WKY128" s="827"/>
      <c r="WKZ128" s="827"/>
      <c r="WLA128" s="827"/>
      <c r="WLB128" s="827"/>
      <c r="WLC128" s="827"/>
      <c r="WLD128" s="827"/>
      <c r="WLE128" s="827"/>
      <c r="WLF128" s="827"/>
      <c r="WLG128" s="827"/>
      <c r="WLH128" s="827"/>
      <c r="WLI128" s="827"/>
      <c r="WLJ128" s="827"/>
      <c r="WLK128" s="827"/>
      <c r="WLL128" s="827"/>
      <c r="WLM128" s="827"/>
      <c r="WLN128" s="827"/>
      <c r="WLO128" s="827"/>
      <c r="WLP128" s="827"/>
      <c r="WLQ128" s="827"/>
      <c r="WLR128" s="827"/>
      <c r="WLS128" s="827"/>
      <c r="WLT128" s="827"/>
      <c r="WLU128" s="827"/>
      <c r="WLV128" s="827"/>
      <c r="WLW128" s="827"/>
      <c r="WLX128" s="827"/>
      <c r="WLY128" s="827"/>
      <c r="WLZ128" s="827"/>
      <c r="WMA128" s="827"/>
      <c r="WMB128" s="827"/>
      <c r="WMC128" s="827"/>
      <c r="WMD128" s="827"/>
      <c r="WME128" s="827"/>
      <c r="WMF128" s="827"/>
      <c r="WMG128" s="827"/>
      <c r="WMH128" s="827"/>
      <c r="WMI128" s="827"/>
      <c r="WMJ128" s="827"/>
      <c r="WMK128" s="827"/>
      <c r="WML128" s="827"/>
      <c r="WMM128" s="827"/>
      <c r="WMN128" s="827"/>
      <c r="WMO128" s="827"/>
      <c r="WMP128" s="827"/>
      <c r="WMQ128" s="827"/>
      <c r="WMR128" s="827"/>
      <c r="WMS128" s="827"/>
      <c r="WMT128" s="827"/>
      <c r="WMU128" s="827"/>
      <c r="WMV128" s="827"/>
      <c r="WMW128" s="827"/>
      <c r="WMX128" s="827"/>
      <c r="WMY128" s="827"/>
      <c r="WMZ128" s="827"/>
      <c r="WNA128" s="827"/>
      <c r="WNB128" s="827"/>
      <c r="WNC128" s="827"/>
      <c r="WND128" s="827"/>
      <c r="WNE128" s="827"/>
      <c r="WNF128" s="827"/>
      <c r="WNG128" s="827"/>
      <c r="WNH128" s="827"/>
      <c r="WNI128" s="827"/>
      <c r="WNJ128" s="827"/>
      <c r="WNK128" s="827"/>
      <c r="WNL128" s="827"/>
      <c r="WNM128" s="827"/>
      <c r="WNN128" s="827"/>
      <c r="WNO128" s="827"/>
      <c r="WNP128" s="827"/>
      <c r="WNQ128" s="827"/>
      <c r="WNR128" s="827"/>
      <c r="WNS128" s="827"/>
      <c r="WNT128" s="827"/>
      <c r="WNU128" s="827"/>
      <c r="WNV128" s="827"/>
      <c r="WNW128" s="827"/>
      <c r="WNX128" s="827"/>
      <c r="WNY128" s="827"/>
      <c r="WNZ128" s="827"/>
      <c r="WOA128" s="827"/>
      <c r="WOB128" s="827"/>
      <c r="WOC128" s="827"/>
      <c r="WOD128" s="827"/>
      <c r="WOE128" s="827"/>
      <c r="WOF128" s="827"/>
      <c r="WOG128" s="827"/>
      <c r="WOH128" s="827"/>
      <c r="WOI128" s="827"/>
      <c r="WOJ128" s="827"/>
      <c r="WOK128" s="827"/>
      <c r="WOL128" s="827"/>
      <c r="WOM128" s="827"/>
      <c r="WON128" s="827"/>
      <c r="WOO128" s="827"/>
      <c r="WOP128" s="827"/>
      <c r="WOQ128" s="827"/>
      <c r="WOR128" s="827"/>
      <c r="WOS128" s="827"/>
      <c r="WOT128" s="827"/>
      <c r="WOU128" s="827"/>
      <c r="WOV128" s="827"/>
      <c r="WOW128" s="827"/>
      <c r="WOX128" s="827"/>
      <c r="WOY128" s="827"/>
      <c r="WOZ128" s="827"/>
      <c r="WPA128" s="827"/>
      <c r="WPB128" s="827"/>
      <c r="WPC128" s="827"/>
      <c r="WPD128" s="827"/>
      <c r="WPE128" s="827"/>
      <c r="WPF128" s="827"/>
      <c r="WPG128" s="827"/>
      <c r="WPH128" s="827"/>
      <c r="WPI128" s="827"/>
      <c r="WPJ128" s="827"/>
      <c r="WPK128" s="827"/>
      <c r="WPL128" s="827"/>
      <c r="WPM128" s="827"/>
      <c r="WPN128" s="827"/>
      <c r="WPO128" s="827"/>
      <c r="WPP128" s="827"/>
      <c r="WPQ128" s="827"/>
      <c r="WPR128" s="827"/>
      <c r="WPS128" s="827"/>
      <c r="WPT128" s="827"/>
      <c r="WPU128" s="827"/>
      <c r="WPV128" s="827"/>
      <c r="WPW128" s="827"/>
      <c r="WPX128" s="827"/>
      <c r="WPY128" s="827"/>
      <c r="WPZ128" s="827"/>
      <c r="WQA128" s="827"/>
      <c r="WQB128" s="827"/>
      <c r="WQC128" s="827"/>
      <c r="WQD128" s="827"/>
      <c r="WQE128" s="827"/>
      <c r="WQF128" s="827"/>
      <c r="WQG128" s="827"/>
      <c r="WQH128" s="827"/>
      <c r="WQI128" s="827"/>
      <c r="WQJ128" s="827"/>
      <c r="WQK128" s="827"/>
      <c r="WQL128" s="827"/>
      <c r="WQM128" s="827"/>
      <c r="WQN128" s="827"/>
      <c r="WQO128" s="827"/>
      <c r="WQP128" s="827"/>
      <c r="WQQ128" s="827"/>
      <c r="WQR128" s="827"/>
      <c r="WQS128" s="827"/>
      <c r="WQT128" s="827"/>
      <c r="WQU128" s="827"/>
      <c r="WQV128" s="827"/>
      <c r="WQW128" s="827"/>
      <c r="WQX128" s="827"/>
      <c r="WQY128" s="827"/>
      <c r="WQZ128" s="827"/>
      <c r="WRA128" s="827"/>
      <c r="WRB128" s="827"/>
      <c r="WRC128" s="827"/>
      <c r="WRD128" s="827"/>
      <c r="WRE128" s="827"/>
      <c r="WRF128" s="827"/>
      <c r="WRG128" s="827"/>
      <c r="WRH128" s="827"/>
      <c r="WRI128" s="827"/>
      <c r="WRJ128" s="827"/>
      <c r="WRK128" s="827"/>
      <c r="WRL128" s="827"/>
      <c r="WRM128" s="827"/>
      <c r="WRN128" s="827"/>
      <c r="WRO128" s="827"/>
      <c r="WRP128" s="827"/>
      <c r="WRQ128" s="827"/>
      <c r="WRR128" s="827"/>
      <c r="WRS128" s="827"/>
      <c r="WRT128" s="827"/>
      <c r="WRU128" s="827"/>
      <c r="WRV128" s="827"/>
      <c r="WRW128" s="827"/>
      <c r="WRX128" s="827"/>
      <c r="WRY128" s="827"/>
      <c r="WRZ128" s="827"/>
      <c r="WSA128" s="827"/>
      <c r="WSB128" s="827"/>
      <c r="WSC128" s="827"/>
      <c r="WSD128" s="827"/>
      <c r="WSE128" s="827"/>
      <c r="WSF128" s="827"/>
      <c r="WSG128" s="827"/>
      <c r="WSH128" s="827"/>
      <c r="WSI128" s="827"/>
      <c r="WSJ128" s="827"/>
      <c r="WSK128" s="827"/>
      <c r="WSL128" s="827"/>
      <c r="WSM128" s="827"/>
      <c r="WSN128" s="827"/>
      <c r="WSO128" s="827"/>
      <c r="WSP128" s="827"/>
      <c r="WSQ128" s="827"/>
      <c r="WSR128" s="827"/>
      <c r="WSS128" s="827"/>
      <c r="WST128" s="827"/>
      <c r="WSU128" s="827"/>
      <c r="WSV128" s="827"/>
      <c r="WSW128" s="827"/>
      <c r="WSX128" s="827"/>
      <c r="WSY128" s="827"/>
      <c r="WSZ128" s="827"/>
      <c r="WTA128" s="827"/>
      <c r="WTB128" s="827"/>
      <c r="WTC128" s="827"/>
      <c r="WTD128" s="827"/>
      <c r="WTE128" s="827"/>
      <c r="WTF128" s="827"/>
      <c r="WTG128" s="827"/>
      <c r="WTH128" s="827"/>
      <c r="WTI128" s="827"/>
      <c r="WTJ128" s="827"/>
      <c r="WTK128" s="827"/>
      <c r="WTL128" s="827"/>
      <c r="WTM128" s="827"/>
      <c r="WTN128" s="827"/>
      <c r="WTO128" s="827"/>
      <c r="WTP128" s="827"/>
      <c r="WTQ128" s="827"/>
      <c r="WTR128" s="827"/>
      <c r="WTS128" s="827"/>
      <c r="WTT128" s="827"/>
      <c r="WTU128" s="827"/>
      <c r="WTV128" s="827"/>
      <c r="WTW128" s="827"/>
      <c r="WTX128" s="827"/>
      <c r="WTY128" s="827"/>
      <c r="WTZ128" s="827"/>
      <c r="WUA128" s="827"/>
      <c r="WUB128" s="827"/>
      <c r="WUC128" s="827"/>
      <c r="WUD128" s="827"/>
      <c r="WUE128" s="827"/>
      <c r="WUF128" s="827"/>
      <c r="WUG128" s="827"/>
      <c r="WUH128" s="827"/>
      <c r="WUI128" s="827"/>
      <c r="WUJ128" s="827"/>
      <c r="WUK128" s="827"/>
      <c r="WUL128" s="827"/>
      <c r="WUM128" s="827"/>
      <c r="WUN128" s="827"/>
      <c r="WUO128" s="827"/>
      <c r="WUP128" s="827"/>
      <c r="WUQ128" s="827"/>
      <c r="WUR128" s="827"/>
      <c r="WUS128" s="827"/>
      <c r="WUT128" s="827"/>
      <c r="WUU128" s="827"/>
      <c r="WUV128" s="827"/>
      <c r="WUW128" s="827"/>
      <c r="WUX128" s="827"/>
      <c r="WUY128" s="827"/>
      <c r="WUZ128" s="827"/>
      <c r="WVA128" s="827"/>
      <c r="WVB128" s="827"/>
      <c r="WVC128" s="827"/>
      <c r="WVD128" s="827"/>
      <c r="WVE128" s="827"/>
      <c r="WVF128" s="827"/>
      <c r="WVG128" s="827"/>
      <c r="WVH128" s="827"/>
      <c r="WVI128" s="827"/>
      <c r="WVJ128" s="827"/>
      <c r="WVK128" s="827"/>
      <c r="WVL128" s="827"/>
      <c r="WVM128" s="827"/>
      <c r="WVN128" s="827"/>
      <c r="WVO128" s="827"/>
      <c r="WVP128" s="827"/>
      <c r="WVQ128" s="827"/>
      <c r="WVR128" s="827"/>
      <c r="WVS128" s="827"/>
      <c r="WVT128" s="827"/>
      <c r="WVU128" s="827"/>
      <c r="WVV128" s="827"/>
      <c r="WVW128" s="827"/>
      <c r="WVX128" s="827"/>
      <c r="WVY128" s="827"/>
      <c r="WVZ128" s="827"/>
      <c r="WWA128" s="827"/>
      <c r="WWB128" s="827"/>
      <c r="WWC128" s="827"/>
      <c r="WWD128" s="827"/>
      <c r="WWE128" s="827"/>
      <c r="WWF128" s="827"/>
      <c r="WWG128" s="827"/>
      <c r="WWH128" s="827"/>
      <c r="WWI128" s="827"/>
      <c r="WWJ128" s="827"/>
      <c r="WWK128" s="827"/>
      <c r="WWL128" s="827"/>
      <c r="WWM128" s="827"/>
      <c r="WWN128" s="827"/>
      <c r="WWO128" s="827"/>
      <c r="WWP128" s="827"/>
      <c r="WWQ128" s="827"/>
      <c r="WWR128" s="827"/>
      <c r="WWS128" s="827"/>
      <c r="WWT128" s="827"/>
      <c r="WWU128" s="827"/>
      <c r="WWV128" s="827"/>
      <c r="WWW128" s="827"/>
      <c r="WWX128" s="827"/>
      <c r="WWY128" s="827"/>
    </row>
    <row r="129" spans="1:75" s="826" customFormat="1" ht="56.25" customHeight="1">
      <c r="A129" s="57">
        <v>639</v>
      </c>
      <c r="B129" s="117" t="s">
        <v>10331</v>
      </c>
      <c r="C129" s="59">
        <v>12632869</v>
      </c>
      <c r="D129" s="823" t="s">
        <v>463</v>
      </c>
      <c r="E129" s="60">
        <v>42990</v>
      </c>
      <c r="F129" s="61">
        <v>42979</v>
      </c>
      <c r="G129" s="62" t="s">
        <v>7009</v>
      </c>
      <c r="H129" s="117" t="s">
        <v>171</v>
      </c>
      <c r="I129" s="117" t="s">
        <v>3423</v>
      </c>
      <c r="J129" s="60"/>
      <c r="K129" s="61"/>
      <c r="L129" s="62"/>
      <c r="M129" s="117"/>
      <c r="N129" s="117"/>
      <c r="O129" s="60"/>
      <c r="P129" s="63"/>
      <c r="Q129" s="62"/>
      <c r="R129" s="117"/>
      <c r="S129" s="117"/>
      <c r="T129" s="60"/>
      <c r="U129" s="61"/>
      <c r="V129" s="62"/>
      <c r="W129" s="117"/>
      <c r="X129" s="117"/>
      <c r="Y129" s="60"/>
      <c r="Z129" s="61"/>
      <c r="AA129" s="62"/>
      <c r="AB129" s="117"/>
      <c r="AC129" s="117"/>
      <c r="AD129" s="60"/>
      <c r="AE129" s="61"/>
      <c r="AF129" s="62"/>
      <c r="AG129" s="117"/>
      <c r="AH129" s="117"/>
      <c r="AI129" s="117"/>
      <c r="AJ129" s="61"/>
      <c r="AK129" s="62"/>
      <c r="AL129" s="117"/>
      <c r="AM129" s="117"/>
      <c r="AN129" s="117" t="s">
        <v>4896</v>
      </c>
      <c r="AO129" s="117"/>
      <c r="AP129" s="62" t="s">
        <v>10332</v>
      </c>
      <c r="AQ129" s="117" t="s">
        <v>161</v>
      </c>
      <c r="AR129" s="60">
        <v>40422</v>
      </c>
      <c r="AS129" s="60">
        <v>40658</v>
      </c>
      <c r="AT129" s="117" t="s">
        <v>4499</v>
      </c>
      <c r="AU129" s="117" t="s">
        <v>69</v>
      </c>
      <c r="AV129" s="117" t="s">
        <v>10333</v>
      </c>
      <c r="AW129" s="60">
        <v>42987</v>
      </c>
      <c r="AX129" s="117"/>
      <c r="AY129" s="60"/>
      <c r="AZ129" s="27">
        <v>42990</v>
      </c>
      <c r="BA129" s="117" t="s">
        <v>95</v>
      </c>
      <c r="BB129" s="117"/>
      <c r="BC129" s="117"/>
      <c r="BD129" s="62"/>
      <c r="BE129" s="62"/>
      <c r="BF129" s="62"/>
      <c r="BG129" s="62"/>
      <c r="BH129" s="852">
        <v>12000000</v>
      </c>
      <c r="BI129" s="67"/>
      <c r="BJ129" s="68"/>
      <c r="BK129" s="60"/>
      <c r="BL129" s="61"/>
      <c r="BM129" s="425"/>
      <c r="BN129" s="62"/>
      <c r="BO129" s="62"/>
      <c r="BP129" s="62"/>
      <c r="BQ129" s="62"/>
      <c r="BR129" s="71"/>
      <c r="BS129" s="66"/>
      <c r="BT129" s="60"/>
      <c r="BU129" s="61"/>
    </row>
    <row r="130" spans="1:75" s="826" customFormat="1" ht="56.25" customHeight="1">
      <c r="A130" s="96" t="s">
        <v>10334</v>
      </c>
      <c r="B130" s="424" t="s">
        <v>10335</v>
      </c>
      <c r="C130" s="419">
        <v>93411870</v>
      </c>
      <c r="D130" s="424" t="s">
        <v>10336</v>
      </c>
      <c r="E130" s="147">
        <v>43395</v>
      </c>
      <c r="F130" s="21">
        <v>43395</v>
      </c>
      <c r="G130" s="428" t="s">
        <v>10337</v>
      </c>
      <c r="H130" s="26" t="s">
        <v>195</v>
      </c>
      <c r="I130" s="423" t="s">
        <v>7226</v>
      </c>
      <c r="J130" s="147"/>
      <c r="K130" s="21"/>
      <c r="L130" s="424"/>
      <c r="M130" s="237"/>
      <c r="N130" s="833"/>
      <c r="O130" s="147"/>
      <c r="P130" s="21"/>
      <c r="Q130" s="424"/>
      <c r="R130" s="237"/>
      <c r="S130" s="833"/>
      <c r="T130" s="147"/>
      <c r="U130" s="21"/>
      <c r="V130" s="424"/>
      <c r="W130" s="237"/>
      <c r="X130" s="833"/>
      <c r="Y130" s="233"/>
      <c r="Z130" s="234"/>
      <c r="AA130" s="235"/>
      <c r="AB130" s="237"/>
      <c r="AC130" s="237"/>
      <c r="AD130" s="233"/>
      <c r="AE130" s="234"/>
      <c r="AF130" s="235"/>
      <c r="AG130" s="237"/>
      <c r="AH130" s="237"/>
      <c r="AI130" s="237"/>
      <c r="AJ130" s="234"/>
      <c r="AK130" s="235"/>
      <c r="AL130" s="237"/>
      <c r="AM130" s="237"/>
      <c r="AN130" s="253"/>
      <c r="AO130" s="849"/>
      <c r="AP130" s="217" t="s">
        <v>10338</v>
      </c>
      <c r="AQ130" s="424" t="s">
        <v>2411</v>
      </c>
      <c r="AR130" s="147">
        <v>38412</v>
      </c>
      <c r="AS130" s="147">
        <v>40164</v>
      </c>
      <c r="AT130" s="424" t="s">
        <v>8058</v>
      </c>
      <c r="AU130" s="148" t="s">
        <v>69</v>
      </c>
      <c r="AV130" s="428" t="s">
        <v>10339</v>
      </c>
      <c r="AW130" s="420">
        <v>43378</v>
      </c>
      <c r="AX130" s="424"/>
      <c r="AY130" s="147"/>
      <c r="AZ130" s="16"/>
      <c r="BA130" s="424" t="s">
        <v>6498</v>
      </c>
      <c r="BB130" s="126" t="s">
        <v>566</v>
      </c>
      <c r="BC130" s="237"/>
      <c r="BD130" s="235"/>
      <c r="BE130" s="235"/>
      <c r="BF130" s="235"/>
      <c r="BG130" s="235"/>
      <c r="BH130" s="159"/>
      <c r="BI130" s="241"/>
      <c r="BJ130" s="242"/>
      <c r="BK130" s="233"/>
      <c r="BL130" s="234"/>
      <c r="BM130" s="850"/>
      <c r="BN130" s="248"/>
      <c r="BO130" s="235"/>
      <c r="BP130" s="235"/>
      <c r="BQ130" s="235"/>
      <c r="BR130" s="244"/>
      <c r="BS130" s="245"/>
      <c r="BT130" s="233"/>
      <c r="BU130" s="246"/>
      <c r="BV130" s="32"/>
      <c r="BW130" s="32"/>
    </row>
    <row r="131" spans="1:75" s="826" customFormat="1" ht="56.25" customHeight="1">
      <c r="A131" s="96"/>
      <c r="B131" s="424" t="s">
        <v>10340</v>
      </c>
      <c r="C131" s="419"/>
      <c r="D131" s="834"/>
      <c r="E131" s="423">
        <v>43412</v>
      </c>
      <c r="F131" s="23">
        <v>43412</v>
      </c>
      <c r="G131" s="22" t="s">
        <v>10341</v>
      </c>
      <c r="H131" s="126" t="s">
        <v>171</v>
      </c>
      <c r="I131" s="126" t="s">
        <v>8806</v>
      </c>
      <c r="J131" s="426"/>
      <c r="K131" s="23"/>
      <c r="L131" s="194"/>
      <c r="M131" s="195"/>
      <c r="N131" s="195"/>
      <c r="O131" s="426"/>
      <c r="P131" s="23"/>
      <c r="Q131" s="194"/>
      <c r="R131" s="195"/>
      <c r="S131" s="195"/>
      <c r="T131" s="426"/>
      <c r="U131" s="23"/>
      <c r="V131" s="194"/>
      <c r="W131" s="195"/>
      <c r="X131" s="195"/>
      <c r="Y131" s="426"/>
      <c r="Z131" s="23"/>
      <c r="AA131" s="194"/>
      <c r="AB131" s="195"/>
      <c r="AC131" s="195"/>
      <c r="AD131" s="426"/>
      <c r="AE131" s="23"/>
      <c r="AF131" s="194"/>
      <c r="AG131" s="195"/>
      <c r="AH131" s="195"/>
      <c r="AI131" s="195"/>
      <c r="AJ131" s="23"/>
      <c r="AK131" s="194"/>
      <c r="AL131" s="195"/>
      <c r="AM131" s="195"/>
      <c r="AN131" s="195"/>
      <c r="AO131" s="195"/>
      <c r="AP131" s="194"/>
      <c r="AQ131" s="195"/>
      <c r="AR131" s="426"/>
      <c r="AS131" s="426"/>
      <c r="AT131" s="195"/>
      <c r="AU131" s="195"/>
      <c r="AV131" s="126"/>
      <c r="AW131" s="126"/>
      <c r="AX131" s="195"/>
      <c r="AY131" s="426"/>
      <c r="AZ131" s="426"/>
      <c r="BA131" s="126"/>
      <c r="BB131" s="126"/>
      <c r="BC131" s="195"/>
      <c r="BD131" s="194"/>
      <c r="BE131" s="194"/>
      <c r="BF131" s="194"/>
      <c r="BG131" s="194"/>
      <c r="BH131" s="159"/>
      <c r="BI131" s="159"/>
      <c r="BJ131" s="196"/>
      <c r="BK131" s="426"/>
      <c r="BL131" s="23"/>
      <c r="BM131" s="201"/>
      <c r="BN131" s="195"/>
      <c r="BO131" s="194"/>
      <c r="BP131" s="194"/>
      <c r="BQ131" s="194"/>
      <c r="BR131" s="198"/>
      <c r="BS131" s="194"/>
      <c r="BT131" s="426"/>
      <c r="BU131" s="23"/>
    </row>
    <row r="132" spans="1:75" s="826" customFormat="1" ht="56.25" customHeight="1">
      <c r="A132" s="96"/>
      <c r="B132" s="424" t="s">
        <v>10342</v>
      </c>
      <c r="C132" s="419"/>
      <c r="D132" s="428"/>
      <c r="E132" s="423"/>
      <c r="F132" s="23"/>
      <c r="G132" s="22"/>
      <c r="H132" s="126"/>
      <c r="I132" s="195"/>
      <c r="J132" s="426"/>
      <c r="K132" s="23"/>
      <c r="L132" s="194"/>
      <c r="M132" s="195"/>
      <c r="N132" s="195"/>
      <c r="O132" s="426"/>
      <c r="P132" s="23"/>
      <c r="Q132" s="194"/>
      <c r="R132" s="195"/>
      <c r="S132" s="195"/>
      <c r="T132" s="426"/>
      <c r="U132" s="23"/>
      <c r="V132" s="194"/>
      <c r="W132" s="195"/>
      <c r="X132" s="195"/>
      <c r="Y132" s="426"/>
      <c r="Z132" s="23"/>
      <c r="AA132" s="194"/>
      <c r="AB132" s="195"/>
      <c r="AC132" s="195"/>
      <c r="AD132" s="426"/>
      <c r="AE132" s="23"/>
      <c r="AF132" s="194"/>
      <c r="AG132" s="195"/>
      <c r="AH132" s="195"/>
      <c r="AI132" s="195"/>
      <c r="AJ132" s="23"/>
      <c r="AK132" s="194"/>
      <c r="AL132" s="195"/>
      <c r="AM132" s="195"/>
      <c r="AN132" s="195"/>
      <c r="AO132" s="195"/>
      <c r="AP132" s="194" t="s">
        <v>10343</v>
      </c>
      <c r="AQ132" s="424" t="s">
        <v>2411</v>
      </c>
      <c r="AR132" s="426"/>
      <c r="AS132" s="426"/>
      <c r="AT132" s="195"/>
      <c r="AU132" s="148" t="s">
        <v>69</v>
      </c>
      <c r="AV132" s="126" t="s">
        <v>10344</v>
      </c>
      <c r="AW132" s="423">
        <v>43486</v>
      </c>
      <c r="AX132" s="195"/>
      <c r="AY132" s="426"/>
      <c r="AZ132" s="426"/>
      <c r="BA132" s="424" t="s">
        <v>561</v>
      </c>
      <c r="BB132" s="126" t="s">
        <v>10345</v>
      </c>
      <c r="BC132" s="126" t="s">
        <v>10209</v>
      </c>
      <c r="BD132" s="194"/>
      <c r="BE132" s="194"/>
      <c r="BF132" s="194"/>
      <c r="BG132" s="194"/>
      <c r="BH132" s="159"/>
      <c r="BI132" s="159"/>
      <c r="BJ132" s="196"/>
      <c r="BK132" s="426"/>
      <c r="BL132" s="23"/>
      <c r="BM132" s="201"/>
      <c r="BN132" s="195"/>
      <c r="BO132" s="194"/>
      <c r="BP132" s="194"/>
      <c r="BQ132" s="194"/>
      <c r="BR132" s="198"/>
      <c r="BS132" s="194"/>
      <c r="BT132" s="426"/>
      <c r="BU132" s="23"/>
    </row>
    <row r="133" spans="1:75" s="826" customFormat="1" ht="56.25" customHeight="1">
      <c r="A133" s="96"/>
      <c r="B133" s="424" t="s">
        <v>10346</v>
      </c>
      <c r="C133" s="419"/>
      <c r="D133" s="428"/>
      <c r="E133" s="423"/>
      <c r="F133" s="23"/>
      <c r="G133" s="22"/>
      <c r="H133" s="126"/>
      <c r="I133" s="195"/>
      <c r="J133" s="426"/>
      <c r="K133" s="23"/>
      <c r="L133" s="194"/>
      <c r="M133" s="195"/>
      <c r="N133" s="195"/>
      <c r="O133" s="426"/>
      <c r="P133" s="23"/>
      <c r="Q133" s="194"/>
      <c r="R133" s="195"/>
      <c r="S133" s="195"/>
      <c r="T133" s="426"/>
      <c r="U133" s="23"/>
      <c r="V133" s="194"/>
      <c r="W133" s="195"/>
      <c r="X133" s="195"/>
      <c r="Y133" s="426"/>
      <c r="Z133" s="23"/>
      <c r="AA133" s="194"/>
      <c r="AB133" s="195"/>
      <c r="AC133" s="195"/>
      <c r="AD133" s="426"/>
      <c r="AE133" s="23"/>
      <c r="AF133" s="194"/>
      <c r="AG133" s="195"/>
      <c r="AH133" s="195"/>
      <c r="AI133" s="195"/>
      <c r="AJ133" s="23"/>
      <c r="AK133" s="194"/>
      <c r="AL133" s="195"/>
      <c r="AM133" s="195"/>
      <c r="AN133" s="195"/>
      <c r="AO133" s="195"/>
      <c r="AP133" s="194" t="s">
        <v>10347</v>
      </c>
      <c r="AQ133" s="424"/>
      <c r="AR133" s="426"/>
      <c r="AS133" s="426"/>
      <c r="AT133" s="126" t="s">
        <v>10348</v>
      </c>
      <c r="AU133" s="148"/>
      <c r="AV133" s="126" t="s">
        <v>94</v>
      </c>
      <c r="AW133" s="423">
        <v>44260</v>
      </c>
      <c r="AX133" s="195"/>
      <c r="AY133" s="426"/>
      <c r="AZ133" s="426"/>
      <c r="BA133" s="424"/>
      <c r="BB133" s="126"/>
      <c r="BC133" s="126"/>
      <c r="BD133" s="194"/>
      <c r="BE133" s="194"/>
      <c r="BF133" s="194"/>
      <c r="BG133" s="194"/>
      <c r="BH133" s="159"/>
      <c r="BI133" s="159"/>
      <c r="BJ133" s="196"/>
      <c r="BK133" s="426"/>
      <c r="BL133" s="23"/>
      <c r="BM133" s="201"/>
      <c r="BN133" s="195"/>
      <c r="BO133" s="194"/>
      <c r="BP133" s="194"/>
      <c r="BQ133" s="194"/>
      <c r="BR133" s="198"/>
      <c r="BS133" s="194"/>
      <c r="BT133" s="426"/>
      <c r="BU133" s="23"/>
    </row>
    <row r="134" spans="1:75" s="826" customFormat="1" ht="56.25" customHeight="1">
      <c r="A134" s="96"/>
      <c r="B134" s="424"/>
      <c r="C134" s="419"/>
      <c r="D134" s="428"/>
      <c r="E134" s="423"/>
      <c r="F134" s="23"/>
      <c r="G134" s="22"/>
      <c r="H134" s="126"/>
      <c r="I134" s="195"/>
      <c r="J134" s="426"/>
      <c r="K134" s="23"/>
      <c r="L134" s="194"/>
      <c r="M134" s="195"/>
      <c r="N134" s="195"/>
      <c r="O134" s="426"/>
      <c r="P134" s="23"/>
      <c r="Q134" s="194"/>
      <c r="R134" s="195"/>
      <c r="S134" s="195"/>
      <c r="T134" s="426"/>
      <c r="U134" s="23"/>
      <c r="V134" s="194"/>
      <c r="W134" s="195"/>
      <c r="X134" s="195"/>
      <c r="Y134" s="426"/>
      <c r="Z134" s="23"/>
      <c r="AA134" s="194"/>
      <c r="AB134" s="195"/>
      <c r="AC134" s="195"/>
      <c r="AD134" s="426"/>
      <c r="AE134" s="23"/>
      <c r="AF134" s="194"/>
      <c r="AG134" s="195"/>
      <c r="AH134" s="195"/>
      <c r="AI134" s="195"/>
      <c r="AJ134" s="23"/>
      <c r="AK134" s="194"/>
      <c r="AL134" s="195"/>
      <c r="AM134" s="195"/>
      <c r="AN134" s="195"/>
      <c r="AO134" s="195"/>
      <c r="AP134" s="194"/>
      <c r="AQ134" s="424"/>
      <c r="AR134" s="426"/>
      <c r="AS134" s="426"/>
      <c r="AT134" s="195"/>
      <c r="AU134" s="148"/>
      <c r="AV134" s="126"/>
      <c r="AW134" s="423"/>
      <c r="AX134" s="195"/>
      <c r="AY134" s="426"/>
      <c r="AZ134" s="426"/>
      <c r="BA134" s="424"/>
      <c r="BB134" s="126"/>
      <c r="BC134" s="126"/>
      <c r="BD134" s="194"/>
      <c r="BE134" s="194"/>
      <c r="BF134" s="194"/>
      <c r="BG134" s="194"/>
      <c r="BH134" s="159"/>
      <c r="BI134" s="159"/>
      <c r="BJ134" s="196"/>
      <c r="BK134" s="426"/>
      <c r="BL134" s="23"/>
      <c r="BM134" s="201"/>
      <c r="BN134" s="195"/>
      <c r="BO134" s="194"/>
      <c r="BP134" s="194"/>
      <c r="BQ134" s="194"/>
      <c r="BR134" s="198"/>
      <c r="BS134" s="194"/>
      <c r="BT134" s="426"/>
      <c r="BU134" s="23"/>
    </row>
    <row r="135" spans="1:75" s="826" customFormat="1" ht="56.25" customHeight="1">
      <c r="A135" s="96"/>
      <c r="B135" s="424"/>
      <c r="C135" s="419"/>
      <c r="D135" s="428"/>
      <c r="E135" s="423"/>
      <c r="F135" s="23"/>
      <c r="G135" s="22"/>
      <c r="H135" s="126"/>
      <c r="I135" s="195"/>
      <c r="J135" s="426"/>
      <c r="K135" s="23"/>
      <c r="L135" s="194"/>
      <c r="M135" s="195"/>
      <c r="N135" s="195"/>
      <c r="O135" s="426"/>
      <c r="P135" s="23"/>
      <c r="Q135" s="194"/>
      <c r="R135" s="195"/>
      <c r="S135" s="195"/>
      <c r="T135" s="426"/>
      <c r="U135" s="23"/>
      <c r="V135" s="194"/>
      <c r="W135" s="195"/>
      <c r="X135" s="195"/>
      <c r="Y135" s="426"/>
      <c r="Z135" s="23"/>
      <c r="AA135" s="194"/>
      <c r="AB135" s="195"/>
      <c r="AC135" s="195"/>
      <c r="AD135" s="426"/>
      <c r="AE135" s="23"/>
      <c r="AF135" s="194"/>
      <c r="AG135" s="195"/>
      <c r="AH135" s="195"/>
      <c r="AI135" s="195"/>
      <c r="AJ135" s="23"/>
      <c r="AK135" s="194"/>
      <c r="AL135" s="195"/>
      <c r="AM135" s="195"/>
      <c r="AN135" s="195"/>
      <c r="AO135" s="195"/>
      <c r="AP135" s="194"/>
      <c r="AQ135" s="424"/>
      <c r="AR135" s="426"/>
      <c r="AS135" s="426"/>
      <c r="AT135" s="195"/>
      <c r="AU135" s="148"/>
      <c r="AV135" s="126"/>
      <c r="AW135" s="423"/>
      <c r="AX135" s="195"/>
      <c r="AY135" s="426"/>
      <c r="AZ135" s="426"/>
      <c r="BA135" s="424"/>
      <c r="BB135" s="126"/>
      <c r="BC135" s="126"/>
      <c r="BD135" s="194"/>
      <c r="BE135" s="194"/>
      <c r="BF135" s="194"/>
      <c r="BG135" s="194"/>
      <c r="BH135" s="159"/>
      <c r="BI135" s="159"/>
      <c r="BJ135" s="196"/>
      <c r="BK135" s="426"/>
      <c r="BL135" s="23"/>
      <c r="BM135" s="201"/>
      <c r="BN135" s="195"/>
      <c r="BO135" s="194"/>
      <c r="BP135" s="194"/>
      <c r="BQ135" s="194"/>
      <c r="BR135" s="198"/>
      <c r="BS135" s="194"/>
      <c r="BT135" s="426"/>
      <c r="BU135" s="23"/>
    </row>
    <row r="136" spans="1:75" s="826" customFormat="1" ht="56.25" customHeight="1">
      <c r="A136" s="96"/>
      <c r="B136" s="424"/>
      <c r="C136" s="419"/>
      <c r="D136" s="428"/>
      <c r="E136" s="423"/>
      <c r="F136" s="23"/>
      <c r="G136" s="22"/>
      <c r="H136" s="126"/>
      <c r="I136" s="195"/>
      <c r="J136" s="426"/>
      <c r="K136" s="23"/>
      <c r="L136" s="194"/>
      <c r="M136" s="195"/>
      <c r="N136" s="195"/>
      <c r="O136" s="426"/>
      <c r="P136" s="23"/>
      <c r="Q136" s="194"/>
      <c r="R136" s="195"/>
      <c r="S136" s="195"/>
      <c r="T136" s="426"/>
      <c r="U136" s="23"/>
      <c r="V136" s="194"/>
      <c r="W136" s="195"/>
      <c r="X136" s="195"/>
      <c r="Y136" s="426"/>
      <c r="Z136" s="23"/>
      <c r="AA136" s="194"/>
      <c r="AB136" s="195"/>
      <c r="AC136" s="195"/>
      <c r="AD136" s="426"/>
      <c r="AE136" s="23"/>
      <c r="AF136" s="194"/>
      <c r="AG136" s="195"/>
      <c r="AH136" s="195"/>
      <c r="AI136" s="195"/>
      <c r="AJ136" s="23"/>
      <c r="AK136" s="194"/>
      <c r="AL136" s="195"/>
      <c r="AM136" s="195"/>
      <c r="AN136" s="195"/>
      <c r="AO136" s="195"/>
      <c r="AP136" s="194"/>
      <c r="AQ136" s="424"/>
      <c r="AR136" s="426"/>
      <c r="AS136" s="426"/>
      <c r="AT136" s="195"/>
      <c r="AU136" s="148"/>
      <c r="AV136" s="126"/>
      <c r="AW136" s="423"/>
      <c r="AX136" s="195"/>
      <c r="AY136" s="426"/>
      <c r="AZ136" s="426"/>
      <c r="BA136" s="424"/>
      <c r="BB136" s="126"/>
      <c r="BC136" s="126"/>
      <c r="BD136" s="194"/>
      <c r="BE136" s="194"/>
      <c r="BF136" s="194"/>
      <c r="BG136" s="194"/>
      <c r="BH136" s="159"/>
      <c r="BI136" s="159"/>
      <c r="BJ136" s="196"/>
      <c r="BK136" s="426"/>
      <c r="BL136" s="23"/>
      <c r="BM136" s="201"/>
      <c r="BN136" s="195"/>
      <c r="BO136" s="194"/>
      <c r="BP136" s="194"/>
      <c r="BQ136" s="194"/>
      <c r="BR136" s="198"/>
      <c r="BS136" s="194"/>
      <c r="BT136" s="426"/>
      <c r="BU136" s="23"/>
    </row>
    <row r="137" spans="1:75" s="826" customFormat="1" ht="56.25" customHeight="1">
      <c r="A137" s="96"/>
      <c r="B137" s="424"/>
      <c r="C137" s="419"/>
      <c r="D137" s="428"/>
      <c r="E137" s="423"/>
      <c r="F137" s="23"/>
      <c r="G137" s="22"/>
      <c r="H137" s="126"/>
      <c r="I137" s="195"/>
      <c r="J137" s="426"/>
      <c r="K137" s="23"/>
      <c r="L137" s="194"/>
      <c r="M137" s="195"/>
      <c r="N137" s="195"/>
      <c r="O137" s="426"/>
      <c r="P137" s="23"/>
      <c r="Q137" s="194"/>
      <c r="R137" s="195"/>
      <c r="S137" s="195"/>
      <c r="T137" s="426"/>
      <c r="U137" s="23"/>
      <c r="V137" s="194"/>
      <c r="W137" s="195"/>
      <c r="X137" s="195"/>
      <c r="Y137" s="426"/>
      <c r="Z137" s="23"/>
      <c r="AA137" s="194"/>
      <c r="AB137" s="195"/>
      <c r="AC137" s="195"/>
      <c r="AD137" s="426"/>
      <c r="AE137" s="23"/>
      <c r="AF137" s="194"/>
      <c r="AG137" s="195"/>
      <c r="AH137" s="195"/>
      <c r="AI137" s="195"/>
      <c r="AJ137" s="23"/>
      <c r="AK137" s="194"/>
      <c r="AL137" s="195"/>
      <c r="AM137" s="195"/>
      <c r="AN137" s="195"/>
      <c r="AO137" s="195"/>
      <c r="AP137" s="194"/>
      <c r="AQ137" s="424"/>
      <c r="AR137" s="426"/>
      <c r="AS137" s="426"/>
      <c r="AT137" s="195"/>
      <c r="AU137" s="148"/>
      <c r="AV137" s="126"/>
      <c r="AW137" s="423"/>
      <c r="AX137" s="195"/>
      <c r="AY137" s="426"/>
      <c r="AZ137" s="426"/>
      <c r="BA137" s="424"/>
      <c r="BB137" s="126"/>
      <c r="BC137" s="126"/>
      <c r="BD137" s="194"/>
      <c r="BE137" s="194"/>
      <c r="BF137" s="194"/>
      <c r="BG137" s="194"/>
      <c r="BH137" s="159"/>
      <c r="BI137" s="159"/>
      <c r="BJ137" s="196"/>
      <c r="BK137" s="426"/>
      <c r="BL137" s="23"/>
      <c r="BM137" s="201"/>
      <c r="BN137" s="195"/>
      <c r="BO137" s="194"/>
      <c r="BP137" s="194"/>
      <c r="BQ137" s="194"/>
      <c r="BR137" s="198"/>
      <c r="BS137" s="194"/>
      <c r="BT137" s="426"/>
      <c r="BU137" s="23"/>
    </row>
    <row r="138" spans="1:75" s="826" customFormat="1" ht="56.25" customHeight="1">
      <c r="A138" s="96"/>
      <c r="B138" s="424"/>
      <c r="C138" s="419"/>
      <c r="D138" s="428"/>
      <c r="E138" s="423"/>
      <c r="F138" s="23"/>
      <c r="G138" s="22"/>
      <c r="H138" s="126"/>
      <c r="I138" s="195"/>
      <c r="J138" s="426"/>
      <c r="K138" s="23"/>
      <c r="L138" s="194"/>
      <c r="M138" s="195"/>
      <c r="N138" s="195"/>
      <c r="O138" s="426"/>
      <c r="P138" s="23"/>
      <c r="Q138" s="194"/>
      <c r="R138" s="195"/>
      <c r="S138" s="195"/>
      <c r="T138" s="426"/>
      <c r="U138" s="23"/>
      <c r="V138" s="194"/>
      <c r="W138" s="195"/>
      <c r="X138" s="195"/>
      <c r="Y138" s="426"/>
      <c r="Z138" s="23"/>
      <c r="AA138" s="194"/>
      <c r="AB138" s="195"/>
      <c r="AC138" s="195"/>
      <c r="AD138" s="426"/>
      <c r="AE138" s="23"/>
      <c r="AF138" s="194"/>
      <c r="AG138" s="195"/>
      <c r="AH138" s="195"/>
      <c r="AI138" s="195"/>
      <c r="AJ138" s="23"/>
      <c r="AK138" s="194"/>
      <c r="AL138" s="195"/>
      <c r="AM138" s="195"/>
      <c r="AN138" s="195"/>
      <c r="AO138" s="195"/>
      <c r="AP138" s="194"/>
      <c r="AQ138" s="424"/>
      <c r="AR138" s="426"/>
      <c r="AS138" s="426"/>
      <c r="AT138" s="195"/>
      <c r="AU138" s="148"/>
      <c r="AV138" s="126"/>
      <c r="AW138" s="423"/>
      <c r="AX138" s="195"/>
      <c r="AY138" s="426"/>
      <c r="AZ138" s="426"/>
      <c r="BA138" s="424"/>
      <c r="BB138" s="126"/>
      <c r="BC138" s="126"/>
      <c r="BD138" s="194"/>
      <c r="BE138" s="194"/>
      <c r="BF138" s="194"/>
      <c r="BG138" s="194"/>
      <c r="BH138" s="159"/>
      <c r="BI138" s="159"/>
      <c r="BJ138" s="196"/>
      <c r="BK138" s="426"/>
      <c r="BL138" s="23"/>
      <c r="BM138" s="201"/>
      <c r="BN138" s="195"/>
      <c r="BO138" s="194"/>
      <c r="BP138" s="194"/>
      <c r="BQ138" s="194"/>
      <c r="BR138" s="198"/>
      <c r="BS138" s="194"/>
      <c r="BT138" s="426"/>
      <c r="BU138" s="23"/>
    </row>
    <row r="139" spans="1:75" s="826" customFormat="1" ht="56.25" customHeight="1">
      <c r="A139" s="96"/>
      <c r="B139" s="424"/>
      <c r="C139" s="419"/>
      <c r="D139" s="428"/>
      <c r="E139" s="423"/>
      <c r="F139" s="23"/>
      <c r="G139" s="22"/>
      <c r="H139" s="126"/>
      <c r="I139" s="195"/>
      <c r="J139" s="426"/>
      <c r="K139" s="23"/>
      <c r="L139" s="194"/>
      <c r="M139" s="195"/>
      <c r="N139" s="195"/>
      <c r="O139" s="426"/>
      <c r="P139" s="23"/>
      <c r="Q139" s="194"/>
      <c r="R139" s="195"/>
      <c r="S139" s="195"/>
      <c r="T139" s="426"/>
      <c r="U139" s="23"/>
      <c r="V139" s="194"/>
      <c r="W139" s="195"/>
      <c r="X139" s="195"/>
      <c r="Y139" s="426"/>
      <c r="Z139" s="23"/>
      <c r="AA139" s="194"/>
      <c r="AB139" s="195"/>
      <c r="AC139" s="195"/>
      <c r="AD139" s="426"/>
      <c r="AE139" s="23"/>
      <c r="AF139" s="194"/>
      <c r="AG139" s="195"/>
      <c r="AH139" s="195"/>
      <c r="AI139" s="195"/>
      <c r="AJ139" s="23"/>
      <c r="AK139" s="194"/>
      <c r="AL139" s="195"/>
      <c r="AM139" s="195"/>
      <c r="AN139" s="195"/>
      <c r="AO139" s="195"/>
      <c r="AP139" s="194"/>
      <c r="AQ139" s="424"/>
      <c r="AR139" s="426"/>
      <c r="AS139" s="426"/>
      <c r="AT139" s="195"/>
      <c r="AU139" s="148"/>
      <c r="AV139" s="126"/>
      <c r="AW139" s="423"/>
      <c r="AX139" s="195"/>
      <c r="AY139" s="426"/>
      <c r="AZ139" s="426"/>
      <c r="BA139" s="424"/>
      <c r="BB139" s="126"/>
      <c r="BC139" s="126"/>
      <c r="BD139" s="194"/>
      <c r="BE139" s="194"/>
      <c r="BF139" s="194"/>
      <c r="BG139" s="194"/>
      <c r="BH139" s="159"/>
      <c r="BI139" s="159"/>
      <c r="BJ139" s="196"/>
      <c r="BK139" s="426"/>
      <c r="BL139" s="23"/>
      <c r="BM139" s="201"/>
      <c r="BN139" s="195"/>
      <c r="BO139" s="194"/>
      <c r="BP139" s="194"/>
      <c r="BQ139" s="194"/>
      <c r="BR139" s="198"/>
      <c r="BS139" s="194"/>
      <c r="BT139" s="426"/>
      <c r="BU139" s="23"/>
    </row>
    <row r="140" spans="1:75" s="826" customFormat="1" ht="56.25" customHeight="1">
      <c r="A140" s="96"/>
      <c r="B140" s="424"/>
      <c r="C140" s="419"/>
      <c r="D140" s="428"/>
      <c r="E140" s="423"/>
      <c r="F140" s="23"/>
      <c r="G140" s="22"/>
      <c r="H140" s="126"/>
      <c r="I140" s="195"/>
      <c r="J140" s="426"/>
      <c r="K140" s="23"/>
      <c r="L140" s="194"/>
      <c r="M140" s="195"/>
      <c r="N140" s="195"/>
      <c r="O140" s="426"/>
      <c r="P140" s="23"/>
      <c r="Q140" s="194"/>
      <c r="R140" s="195"/>
      <c r="S140" s="195"/>
      <c r="T140" s="426"/>
      <c r="U140" s="23"/>
      <c r="V140" s="194"/>
      <c r="W140" s="195"/>
      <c r="X140" s="195"/>
      <c r="Y140" s="426"/>
      <c r="Z140" s="23"/>
      <c r="AA140" s="194"/>
      <c r="AB140" s="195"/>
      <c r="AC140" s="195"/>
      <c r="AD140" s="426"/>
      <c r="AE140" s="23"/>
      <c r="AF140" s="194"/>
      <c r="AG140" s="195"/>
      <c r="AH140" s="195"/>
      <c r="AI140" s="195"/>
      <c r="AJ140" s="23"/>
      <c r="AK140" s="194"/>
      <c r="AL140" s="195"/>
      <c r="AM140" s="195"/>
      <c r="AN140" s="195"/>
      <c r="AO140" s="195"/>
      <c r="AP140" s="194"/>
      <c r="AQ140" s="424"/>
      <c r="AR140" s="426"/>
      <c r="AS140" s="426"/>
      <c r="AT140" s="195"/>
      <c r="AU140" s="148"/>
      <c r="AV140" s="126"/>
      <c r="AW140" s="423"/>
      <c r="AX140" s="195"/>
      <c r="AY140" s="426"/>
      <c r="AZ140" s="426"/>
      <c r="BA140" s="424"/>
      <c r="BB140" s="126"/>
      <c r="BC140" s="126"/>
      <c r="BD140" s="194"/>
      <c r="BE140" s="194"/>
      <c r="BF140" s="194"/>
      <c r="BG140" s="194"/>
      <c r="BH140" s="159"/>
      <c r="BI140" s="159"/>
      <c r="BJ140" s="196"/>
      <c r="BK140" s="426"/>
      <c r="BL140" s="23"/>
      <c r="BM140" s="201"/>
      <c r="BN140" s="195"/>
      <c r="BO140" s="194"/>
      <c r="BP140" s="194"/>
      <c r="BQ140" s="194"/>
      <c r="BR140" s="198"/>
      <c r="BS140" s="194"/>
      <c r="BT140" s="426"/>
      <c r="BU140" s="23"/>
    </row>
    <row r="141" spans="1:75" s="826" customFormat="1" ht="56.25" customHeight="1">
      <c r="A141" s="96"/>
      <c r="B141" s="424"/>
      <c r="C141" s="419"/>
      <c r="D141" s="428"/>
      <c r="E141" s="423"/>
      <c r="F141" s="23"/>
      <c r="G141" s="22"/>
      <c r="H141" s="126"/>
      <c r="I141" s="195"/>
      <c r="J141" s="426"/>
      <c r="K141" s="23"/>
      <c r="L141" s="194"/>
      <c r="M141" s="195"/>
      <c r="N141" s="195"/>
      <c r="O141" s="426"/>
      <c r="P141" s="23"/>
      <c r="Q141" s="194"/>
      <c r="R141" s="195"/>
      <c r="S141" s="195"/>
      <c r="T141" s="426"/>
      <c r="U141" s="23"/>
      <c r="V141" s="194"/>
      <c r="W141" s="195"/>
      <c r="X141" s="195"/>
      <c r="Y141" s="426"/>
      <c r="Z141" s="23"/>
      <c r="AA141" s="194"/>
      <c r="AB141" s="195"/>
      <c r="AC141" s="195"/>
      <c r="AD141" s="426"/>
      <c r="AE141" s="23"/>
      <c r="AF141" s="194"/>
      <c r="AG141" s="195"/>
      <c r="AH141" s="195"/>
      <c r="AI141" s="195"/>
      <c r="AJ141" s="23"/>
      <c r="AK141" s="194"/>
      <c r="AL141" s="195"/>
      <c r="AM141" s="195"/>
      <c r="AN141" s="195"/>
      <c r="AO141" s="195"/>
      <c r="AP141" s="194"/>
      <c r="AQ141" s="424"/>
      <c r="AR141" s="426"/>
      <c r="AS141" s="426"/>
      <c r="AT141" s="195"/>
      <c r="AU141" s="148"/>
      <c r="AV141" s="126"/>
      <c r="AW141" s="423"/>
      <c r="AX141" s="195"/>
      <c r="AY141" s="426"/>
      <c r="AZ141" s="426"/>
      <c r="BA141" s="424"/>
      <c r="BB141" s="126"/>
      <c r="BC141" s="126"/>
      <c r="BD141" s="194"/>
      <c r="BE141" s="194"/>
      <c r="BF141" s="194"/>
      <c r="BG141" s="194"/>
      <c r="BH141" s="159"/>
      <c r="BI141" s="159"/>
      <c r="BJ141" s="196"/>
      <c r="BK141" s="426"/>
      <c r="BL141" s="23"/>
      <c r="BM141" s="201"/>
      <c r="BN141" s="195"/>
      <c r="BO141" s="194"/>
      <c r="BP141" s="194"/>
      <c r="BQ141" s="194"/>
      <c r="BR141" s="198"/>
      <c r="BS141" s="194"/>
      <c r="BT141" s="426"/>
      <c r="BU141" s="23"/>
    </row>
    <row r="142" spans="1:75" s="826" customFormat="1" ht="56.25" customHeight="1">
      <c r="A142" s="96"/>
      <c r="B142" s="424"/>
      <c r="C142" s="419"/>
      <c r="D142" s="428"/>
      <c r="E142" s="423"/>
      <c r="F142" s="23"/>
      <c r="G142" s="22"/>
      <c r="H142" s="126"/>
      <c r="I142" s="195"/>
      <c r="J142" s="426"/>
      <c r="K142" s="23"/>
      <c r="L142" s="194"/>
      <c r="M142" s="195"/>
      <c r="N142" s="195"/>
      <c r="O142" s="426"/>
      <c r="P142" s="23"/>
      <c r="Q142" s="194"/>
      <c r="R142" s="195"/>
      <c r="S142" s="195"/>
      <c r="T142" s="426"/>
      <c r="U142" s="23"/>
      <c r="V142" s="194"/>
      <c r="W142" s="195"/>
      <c r="X142" s="195"/>
      <c r="Y142" s="426"/>
      <c r="Z142" s="23"/>
      <c r="AA142" s="194"/>
      <c r="AB142" s="195"/>
      <c r="AC142" s="195"/>
      <c r="AD142" s="426"/>
      <c r="AE142" s="23"/>
      <c r="AF142" s="194"/>
      <c r="AG142" s="195"/>
      <c r="AH142" s="195"/>
      <c r="AI142" s="195"/>
      <c r="AJ142" s="23"/>
      <c r="AK142" s="194"/>
      <c r="AL142" s="195"/>
      <c r="AM142" s="195"/>
      <c r="AN142" s="195"/>
      <c r="AO142" s="195"/>
      <c r="AP142" s="194"/>
      <c r="AQ142" s="424"/>
      <c r="AR142" s="426"/>
      <c r="AS142" s="426"/>
      <c r="AT142" s="195"/>
      <c r="AU142" s="148"/>
      <c r="AV142" s="126"/>
      <c r="AW142" s="423"/>
      <c r="AX142" s="195"/>
      <c r="AY142" s="426"/>
      <c r="AZ142" s="426"/>
      <c r="BA142" s="424"/>
      <c r="BB142" s="126"/>
      <c r="BC142" s="126"/>
      <c r="BD142" s="194"/>
      <c r="BE142" s="194"/>
      <c r="BF142" s="194"/>
      <c r="BG142" s="194"/>
      <c r="BH142" s="159"/>
      <c r="BI142" s="159"/>
      <c r="BJ142" s="196"/>
      <c r="BK142" s="426"/>
      <c r="BL142" s="23"/>
      <c r="BM142" s="201"/>
      <c r="BN142" s="195"/>
      <c r="BO142" s="194"/>
      <c r="BP142" s="194"/>
      <c r="BQ142" s="194"/>
      <c r="BR142" s="198"/>
      <c r="BS142" s="194"/>
      <c r="BT142" s="426"/>
      <c r="BU142" s="23"/>
    </row>
    <row r="143" spans="1:75" s="826" customFormat="1" ht="56.25" customHeight="1">
      <c r="A143" s="96"/>
      <c r="B143" s="424"/>
      <c r="C143" s="419"/>
      <c r="D143" s="428"/>
      <c r="E143" s="423"/>
      <c r="F143" s="23"/>
      <c r="G143" s="22"/>
      <c r="H143" s="126"/>
      <c r="I143" s="195"/>
      <c r="J143" s="426"/>
      <c r="K143" s="23"/>
      <c r="L143" s="194"/>
      <c r="M143" s="195"/>
      <c r="N143" s="195"/>
      <c r="O143" s="426"/>
      <c r="P143" s="23"/>
      <c r="Q143" s="194"/>
      <c r="R143" s="195"/>
      <c r="S143" s="195"/>
      <c r="T143" s="426"/>
      <c r="U143" s="23"/>
      <c r="V143" s="194"/>
      <c r="W143" s="195"/>
      <c r="X143" s="195"/>
      <c r="Y143" s="426"/>
      <c r="Z143" s="23"/>
      <c r="AA143" s="194"/>
      <c r="AB143" s="195"/>
      <c r="AC143" s="195"/>
      <c r="AD143" s="426"/>
      <c r="AE143" s="23"/>
      <c r="AF143" s="194"/>
      <c r="AG143" s="195"/>
      <c r="AH143" s="195"/>
      <c r="AI143" s="195"/>
      <c r="AJ143" s="23"/>
      <c r="AK143" s="194"/>
      <c r="AL143" s="195"/>
      <c r="AM143" s="195"/>
      <c r="AN143" s="195"/>
      <c r="AO143" s="195"/>
      <c r="AP143" s="194"/>
      <c r="AQ143" s="424"/>
      <c r="AR143" s="426"/>
      <c r="AS143" s="426"/>
      <c r="AT143" s="195"/>
      <c r="AU143" s="148"/>
      <c r="AV143" s="126"/>
      <c r="AW143" s="423"/>
      <c r="AX143" s="195"/>
      <c r="AY143" s="426"/>
      <c r="AZ143" s="426"/>
      <c r="BA143" s="424"/>
      <c r="BB143" s="126"/>
      <c r="BC143" s="126"/>
      <c r="BD143" s="194"/>
      <c r="BE143" s="194"/>
      <c r="BF143" s="194"/>
      <c r="BG143" s="194"/>
      <c r="BH143" s="159"/>
      <c r="BI143" s="159"/>
      <c r="BJ143" s="196"/>
      <c r="BK143" s="426"/>
      <c r="BL143" s="23"/>
      <c r="BM143" s="201"/>
      <c r="BN143" s="195"/>
      <c r="BO143" s="194"/>
      <c r="BP143" s="194"/>
      <c r="BQ143" s="194"/>
      <c r="BR143" s="198"/>
      <c r="BS143" s="194"/>
      <c r="BT143" s="426"/>
      <c r="BU143" s="23"/>
    </row>
    <row r="144" spans="1:75" s="826" customFormat="1" ht="56.25" customHeight="1">
      <c r="A144" s="96"/>
      <c r="B144" s="424"/>
      <c r="C144" s="419"/>
      <c r="D144" s="428"/>
      <c r="E144" s="423"/>
      <c r="F144" s="23"/>
      <c r="G144" s="22"/>
      <c r="H144" s="126"/>
      <c r="I144" s="195"/>
      <c r="J144" s="426"/>
      <c r="K144" s="23"/>
      <c r="L144" s="194"/>
      <c r="M144" s="195"/>
      <c r="N144" s="195"/>
      <c r="O144" s="426"/>
      <c r="P144" s="23"/>
      <c r="Q144" s="194"/>
      <c r="R144" s="195"/>
      <c r="S144" s="195"/>
      <c r="T144" s="426"/>
      <c r="U144" s="23"/>
      <c r="V144" s="194"/>
      <c r="W144" s="195"/>
      <c r="X144" s="195"/>
      <c r="Y144" s="426"/>
      <c r="Z144" s="23"/>
      <c r="AA144" s="194"/>
      <c r="AB144" s="195"/>
      <c r="AC144" s="195"/>
      <c r="AD144" s="426"/>
      <c r="AE144" s="23"/>
      <c r="AF144" s="194"/>
      <c r="AG144" s="195"/>
      <c r="AH144" s="195"/>
      <c r="AI144" s="195"/>
      <c r="AJ144" s="23"/>
      <c r="AK144" s="194"/>
      <c r="AL144" s="195"/>
      <c r="AM144" s="195"/>
      <c r="AN144" s="195"/>
      <c r="AO144" s="195"/>
      <c r="AP144" s="194"/>
      <c r="AQ144" s="424"/>
      <c r="AR144" s="426"/>
      <c r="AS144" s="426"/>
      <c r="AT144" s="195"/>
      <c r="AU144" s="148"/>
      <c r="AV144" s="126"/>
      <c r="AW144" s="423"/>
      <c r="AX144" s="195"/>
      <c r="AY144" s="426"/>
      <c r="AZ144" s="426"/>
      <c r="BA144" s="424"/>
      <c r="BB144" s="126"/>
      <c r="BC144" s="126"/>
      <c r="BD144" s="194"/>
      <c r="BE144" s="194"/>
      <c r="BF144" s="194"/>
      <c r="BG144" s="194"/>
      <c r="BH144" s="159"/>
      <c r="BI144" s="159"/>
      <c r="BJ144" s="196"/>
      <c r="BK144" s="426"/>
      <c r="BL144" s="23"/>
      <c r="BM144" s="201"/>
      <c r="BN144" s="195"/>
      <c r="BO144" s="194"/>
      <c r="BP144" s="194"/>
      <c r="BQ144" s="194"/>
      <c r="BR144" s="198"/>
      <c r="BS144" s="194"/>
      <c r="BT144" s="426"/>
      <c r="BU144" s="23"/>
    </row>
  </sheetData>
  <autoFilter ref="A1:WWY1" xr:uid="{E4E1238E-8A86-4DF8-91C5-E302C7AADCF0}"/>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EE4E4FDD66F6564794CF0AA1CB4405C3" ma:contentTypeVersion="12" ma:contentTypeDescription="Crear nuevo documento." ma:contentTypeScope="" ma:versionID="37cd9e293eb6a6d272c47bb2f4d022d0">
  <xsd:schema xmlns:xsd="http://www.w3.org/2001/XMLSchema" xmlns:xs="http://www.w3.org/2001/XMLSchema" xmlns:p="http://schemas.microsoft.com/office/2006/metadata/properties" xmlns:ns2="435a11ef-c2bf-4d1e-b58b-639ade20a33f" xmlns:ns3="498b611d-e1f9-4886-a3c0-032d1958834a" targetNamespace="http://schemas.microsoft.com/office/2006/metadata/properties" ma:root="true" ma:fieldsID="e97299e72b569fff92f676a4144c46d7" ns2:_="" ns3:_="">
    <xsd:import namespace="435a11ef-c2bf-4d1e-b58b-639ade20a33f"/>
    <xsd:import namespace="498b611d-e1f9-4886-a3c0-032d1958834a"/>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KeyPoints" minOccurs="0"/>
                <xsd:element ref="ns3:MediaServiceKeyPoints"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35a11ef-c2bf-4d1e-b58b-639ade20a33f"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498b611d-e1f9-4886-a3c0-032d1958834a"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Tags" ma:index="15" nillable="true" ma:displayName="Tags" ma:internalName="MediaServiceAutoTag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F3088D69-9693-4DB9-9FA3-C53D38147AE7}"/>
</file>

<file path=customXml/itemProps2.xml><?xml version="1.0" encoding="utf-8"?>
<ds:datastoreItem xmlns:ds="http://schemas.openxmlformats.org/officeDocument/2006/customXml" ds:itemID="{3E463A68-B498-4222-B687-899316859806}"/>
</file>

<file path=customXml/itemProps3.xml><?xml version="1.0" encoding="utf-8"?>
<ds:datastoreItem xmlns:ds="http://schemas.openxmlformats.org/officeDocument/2006/customXml" ds:itemID="{9D0A345E-1A4D-4F81-9248-5DD394834D53}"/>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2" baseType="variant">
      <vt:variant>
        <vt:lpstr>Hojas de cálculo</vt:lpstr>
      </vt:variant>
      <vt:variant>
        <vt:i4>5</vt:i4>
      </vt:variant>
    </vt:vector>
  </HeadingPairs>
  <TitlesOfParts>
    <vt:vector size="5" baseType="lpstr">
      <vt:lpstr>LIQUIDACIONES</vt:lpstr>
      <vt:lpstr>DESCRIPCION</vt:lpstr>
      <vt:lpstr>EXT</vt:lpstr>
      <vt:lpstr>SIN EJECUTORIA</vt:lpstr>
      <vt:lpstr>Primeras Instancias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Andres Torres Aguilar</dc:creator>
  <cp:lastModifiedBy>Mario David Gomez Meza</cp:lastModifiedBy>
  <dcterms:created xsi:type="dcterms:W3CDTF">2018-10-31T12:52:13Z</dcterms:created>
  <dcterms:modified xsi:type="dcterms:W3CDTF">2022-03-01T20:40:59Z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0x010100EE4E4FDD66F6564794CF0AA1CB4405C3</vt:lpwstr>
  </property>
</Properties>
</file>